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sheets/sheet25.xml" ContentType="application/vnd.openxmlformats-officedocument.spreadsheetml.worksheet+xml"/>
  <Override PartName="/xl/tables/table1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PlannedOrders" sheetId="9" state="visible" r:id="rId9"/>
    <sheet name="T_OpeningStock" sheetId="10" state="visible" r:id="rId10"/>
    <sheet name="T_StockCount" sheetId="11" state="visible" r:id="rId11"/>
    <sheet name="T_SelfStock" sheetId="12" state="visible" r:id="rId12"/>
    <sheet name="T_TTAFStock" sheetId="13" state="visible" r:id="rId13"/>
    <sheet name="M_RawMaterials" sheetId="14" state="visible" r:id="rId14"/>
    <sheet name="M_BOM" sheetId="15" state="visible" r:id="rId15"/>
    <sheet name="PP_Grid" sheetId="16" state="visible" r:id="rId16"/>
    <sheet name="Cal_Weeks" sheetId="17" state="hidden" r:id="rId17"/>
    <sheet name="M_Intermediates" sheetId="18" state="hidden" r:id="rId18"/>
    <sheet name="M_ProductMap" sheetId="19" state="hidden" r:id="rId19"/>
    <sheet name="Grid_Requirement" sheetId="20" state="hidden" r:id="rId20"/>
    <sheet name="Grid_Incoming" sheetId="21" state="hidden" r:id="rId21"/>
    <sheet name="Grid_Stock" sheetId="22" state="hidden" r:id="rId22"/>
    <sheet name="Grid_TheoreticalStock" sheetId="23" state="hidden" r:id="rId23"/>
    <sheet name="T_SelfStock_Log" sheetId="24" state="hidden" r:id="rId24"/>
    <sheet name="T_TTAFStock_Log" sheetId="25" state="hidden" r:id="rId2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7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2" borderId="0" pivotButton="0" quotePrefix="0" xfId="0"/>
    <xf numFmtId="165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7" authorId="0" shapeId="0">
      <text>
        <t>MOQ(最小発注量)を入力してください（手書きでOK）</t>
      </text>
    </comment>
    <comment ref="C27" authorId="0" shapeId="0">
      <text>
        <t>MOQ(最小発注量)を入力してください（手書きでOK）</t>
      </text>
    </comment>
    <comment ref="C49" authorId="0" shapeId="0">
      <text>
        <t>MOQ(最小発注量)を入力してください（手書きでOK）</t>
      </text>
    </comment>
    <comment ref="C59" authorId="0" shapeId="0">
      <text>
        <t>MOQ(最小発注量)を入力してください（手書きでOK）</t>
      </text>
    </comment>
    <comment ref="C85" authorId="0" shapeId="0">
      <text>
        <t>MOQ(最小発注量)を入力してください（手書きでOK）</t>
      </text>
    </comment>
    <comment ref="C95" authorId="0" shapeId="0">
      <text>
        <t>MOQ(最小発注量)を入力してください（手書きでOK）</t>
      </text>
    </comment>
    <comment ref="C105" authorId="0" shapeId="0">
      <text>
        <t>MOQ(最小発注量)を入力してください（手書きでOK）</t>
      </text>
    </comment>
    <comment ref="C115" authorId="0" shapeId="0">
      <text>
        <t>MOQ(最小発注量)を入力してください（手書きでOK）</t>
      </text>
    </comment>
    <comment ref="C133" authorId="0" shapeId="0">
      <text>
        <t>MOQ(最小発注量)を入力してください（手書きでOK）</t>
      </text>
    </comment>
    <comment ref="C143" authorId="0" shapeId="0">
      <text>
        <t>MOQ(最小発注量)を入力してください（手書きでOK）</t>
      </text>
    </comment>
    <comment ref="C153" authorId="0" shapeId="0">
      <text>
        <t>MOQ(最小発注量)を入力してください（手書きでOK）</t>
      </text>
    </comment>
    <comment ref="C165" authorId="0" shapeId="0">
      <text>
        <t>MOQ(最小発注量)を入力してください（手書きでOK）</t>
      </text>
    </comment>
    <comment ref="C175" authorId="0" shapeId="0">
      <text>
        <t>MOQ(最小発注量)を入力してください（手書きでOK）</t>
      </text>
    </comment>
    <comment ref="C209" authorId="0" shapeId="0">
      <text>
        <t>MOQ(最小発注量)を入力してください（手書きでOK）</t>
      </text>
    </comment>
    <comment ref="C221" authorId="0" shapeId="0">
      <text>
        <t>MOQ(最小発注量)を入力してください（手書きでOK）</t>
      </text>
    </comment>
    <comment ref="C233" authorId="0" shapeId="0">
      <text>
        <t>MOQ(最小発注量)を入力してください（手書きでOK）</t>
      </text>
    </comment>
    <comment ref="C279" authorId="0" shapeId="0">
      <text>
        <t>MOQ(最小発注量)を入力してください（手書きでOK）</t>
      </text>
    </comment>
    <comment ref="C327" authorId="0" shapeId="0">
      <text>
        <t>MOQ(最小発注量)を入力してください（手書きでOK）</t>
      </text>
    </comment>
    <comment ref="C339" authorId="0" shapeId="0">
      <text>
        <t>MOQ(最小発注量)を入力してください（手書きでOK）</t>
      </text>
    </comment>
    <comment ref="C377" authorId="0" shapeId="0">
      <text>
        <t>MOQ(最小発注量)を入力してください（手書きでOK）</t>
      </text>
    </comment>
    <comment ref="C393" authorId="0" shapeId="0">
      <text>
        <t>MOQ(最小発注量)を入力してください（手書きでOK）</t>
      </text>
    </comment>
    <comment ref="C409" authorId="0" shapeId="0">
      <text>
        <t>MOQ(最小発注量)を入力してください（手書きでOK）</t>
      </text>
    </comment>
    <comment ref="C439" authorId="0" shapeId="0">
      <text>
        <t>MOQ(最小発注量)を入力してください（手書きでOK）</t>
      </text>
    </comment>
    <comment ref="C581" authorId="0" shapeId="0">
      <text>
        <t>MOQ(最小発注量)を入力してください（手書きでOK）</t>
      </text>
    </comment>
    <comment ref="C677" authorId="0" shapeId="0">
      <text>
        <t>MOQ(最小発注量)を入力してください（手書きでOK）</t>
      </text>
    </comment>
    <comment ref="C759" authorId="0" shapeId="0">
      <text>
        <t>MOQ(最小発注量)を入力してください（手書きでOK）</t>
      </text>
    </comment>
    <comment ref="C777" authorId="0" shapeId="0">
      <text>
        <t>MOQ(最小発注量)を入力してください（手書きでOK）</t>
      </text>
    </comment>
    <comment ref="C807" authorId="0" shapeId="0">
      <text>
        <t>MOQ(最小発注量)を入力してください（手書きでOK）</t>
      </text>
    </comment>
    <comment ref="C875" authorId="0" shapeId="0">
      <text>
        <t>MOQ(最小発注量)を入力してください（手書きでOK）</t>
      </text>
    </comment>
    <comment ref="C903" authorId="0" shapeId="0">
      <text>
        <t>MOQ(最小発注量)を入力してください（手書きでOK）</t>
      </text>
    </comment>
    <comment ref="C947" authorId="0" shapeId="0">
      <text>
        <t>MOQ(最小発注量)を入力してください（手書きでOK）</t>
      </text>
    </comment>
    <comment ref="C977" authorId="0" shapeId="0">
      <text>
        <t>MOQ(最小発注量)を入力してください（手書きでOK）</t>
      </text>
    </comment>
    <comment ref="C999" authorId="0" shapeId="0">
      <text>
        <t>MOQ(最小発注量)を入力してください（手書きでOK）</t>
      </text>
    </comment>
    <comment ref="C1037" authorId="0" shapeId="0">
      <text>
        <t>MOQ(最小発注量)を入力してください（手書きでOK）</t>
      </text>
    </comment>
    <comment ref="C1061" authorId="0" shapeId="0">
      <text>
        <t>MOQ(最小発注量)を入力してください（手書きでOK）</t>
      </text>
    </comment>
    <comment ref="C1075" authorId="0" shapeId="0">
      <text>
        <t>MOQ(最小発注量)を入力してください（手書きでOK）</t>
      </text>
    </comment>
    <comment ref="C1085" authorId="0" shapeId="0">
      <text>
        <t>MOQ(最小発注量)を入力してください（手書きでOK）</t>
      </text>
    </comment>
    <comment ref="C1095" authorId="0" shapeId="0">
      <text>
        <t>MOQ(最小発注量)を入力してください（手書きでOK）</t>
      </text>
    </comment>
    <comment ref="C1107" authorId="0" shapeId="0">
      <text>
        <t>MOQ(最小発注量)を入力してください（手書きでOK）</t>
      </text>
    </comment>
    <comment ref="C1119" authorId="0" shapeId="0">
      <text>
        <t>MOQ(最小発注量)を入力してください（手書きでOK）</t>
      </text>
    </comment>
    <comment ref="C1133" authorId="0" shapeId="0">
      <text>
        <t>MOQ(最小発注量)を入力してください（手書きでOK）</t>
      </text>
    </comment>
    <comment ref="C1149" authorId="0" shapeId="0">
      <text>
        <t>MOQ(最小発注量)を入力してください（手書きでOK）</t>
      </text>
    </comment>
    <comment ref="C1165" authorId="0" shapeId="0">
      <text>
        <t>MOQ(最小発注量)を入力してください（手書きでOK）</t>
      </text>
    </comment>
    <comment ref="C1179" authorId="0" shapeId="0">
      <text>
        <t>MOQ(最小発注量)を入力してください（手書きでOK）</t>
      </text>
    </comment>
    <comment ref="C1201" authorId="0" shapeId="0">
      <text>
        <t>MOQ(最小発注量)を入力してください（手書きでOK）</t>
      </text>
    </comment>
    <comment ref="C1217" authorId="0" shapeId="0">
      <text>
        <t>MOQ(最小発注量)を入力してください（手書きでOK）</t>
      </text>
    </comment>
    <comment ref="C1231" authorId="0" shapeId="0">
      <text>
        <t>MOQ(最小発注量)を入力してください（手書きでOK）</t>
      </text>
    </comment>
    <comment ref="C1241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I238" headerRowCount="1">
  <autoFilter ref="A1:I238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3.xml><?xml version="1.0" encoding="utf-8"?>
<table xmlns="http://schemas.openxmlformats.org/spreadsheetml/2006/main" id="3" name="T_PlannedOrders" displayName="T_PlannedOrders" ref="A1:G2" headerRowCount="1">
  <autoFilter ref="A1:G2"/>
  <tableColumns count="7">
    <tableColumn id="1" name="Part Name"/>
    <tableColumn id="2" name="Qty"/>
    <tableColumn id="3" name="Target_Delivery_Date"/>
    <tableColumn id="4" name="WeekIndex"/>
    <tableColumn id="5" name="Order_Month"/>
    <tableColumn id="6" name="IsReconciled"/>
    <tableColumn id="7" name="EffectiveQty"/>
  </tableColumns>
  <tableStyleInfo name="TableStyleMedium9" showRowStripes="1"/>
</table>
</file>

<file path=xl/tables/table4.xml><?xml version="1.0" encoding="utf-8"?>
<table xmlns="http://schemas.openxmlformats.org/spreadsheetml/2006/main" id="4" name="T_OpeningStock" displayName="T_OpeningStock" ref="A1:C57" headerRowCount="1">
  <autoFilter ref="A1:C57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5.xml><?xml version="1.0" encoding="utf-8"?>
<table xmlns="http://schemas.openxmlformats.org/spreadsheetml/2006/main" id="5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6.xml><?xml version="1.0" encoding="utf-8"?>
<table xmlns="http://schemas.openxmlformats.org/spreadsheetml/2006/main" id="6" name="M_RawMaterials" displayName="M_RawMaterials" ref="A1:J57" headerRowCount="1">
  <autoFilter ref="A1:J57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7.xml><?xml version="1.0" encoding="utf-8"?>
<table xmlns="http://schemas.openxmlformats.org/spreadsheetml/2006/main" id="7" name="M_BOM" displayName="M_BOM" ref="A1:D540" headerRowCount="1">
  <autoFilter ref="A1:D540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8.xml><?xml version="1.0" encoding="utf-8"?>
<table xmlns="http://schemas.openxmlformats.org/spreadsheetml/2006/main" id="8" name="PP_Grid" displayName="PP_Grid" ref="A1:DA138" headerRowCount="1">
  <autoFilter ref="A1:DA138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9.xml><?xml version="1.0" encoding="utf-8"?>
<table xmlns="http://schemas.openxmlformats.org/spreadsheetml/2006/main" id="9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10.xml><?xml version="1.0" encoding="utf-8"?>
<table xmlns="http://schemas.openxmlformats.org/spreadsheetml/2006/main" id="10" name="M_Intermediates" displayName="M_Intermediates" ref="A1:D138" headerRowCount="1">
  <autoFilter ref="A1:D138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1.xml><?xml version="1.0" encoding="utf-8"?>
<table xmlns="http://schemas.openxmlformats.org/spreadsheetml/2006/main" id="11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2.xml><?xml version="1.0" encoding="utf-8"?>
<table xmlns="http://schemas.openxmlformats.org/spreadsheetml/2006/main" id="12" name="Grid_Requirement" displayName="Grid_Requirement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Incoming" displayName="Grid_Incoming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Stock" displayName="Grid_Stock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Grid_TheoreticalStock" displayName="Grid_TheoreticalStock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6.xml><?xml version="1.0" encoding="utf-8"?>
<table xmlns="http://schemas.openxmlformats.org/spreadsheetml/2006/main" id="16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7.xml><?xml version="1.0" encoding="utf-8"?>
<table xmlns="http://schemas.openxmlformats.org/spreadsheetml/2006/main" id="17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PlannedOrders'!A1" TargetMode="External" Id="rId8" /><Relationship Type="http://schemas.openxmlformats.org/officeDocument/2006/relationships/hyperlink" Target="#'T_OpeningStock'!A1" TargetMode="External" Id="rId9" /><Relationship Type="http://schemas.openxmlformats.org/officeDocument/2006/relationships/hyperlink" Target="#'T_StockCount'!A1" TargetMode="External" Id="rId10" /><Relationship Type="http://schemas.openxmlformats.org/officeDocument/2006/relationships/hyperlink" Target="#'T_SelfStock'!A1" TargetMode="External" Id="rId11" /><Relationship Type="http://schemas.openxmlformats.org/officeDocument/2006/relationships/hyperlink" Target="#'T_TTAFStock'!A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T_PlannedOrders - 計画中の発注の入力（PO Noが出る前の予定分。Material_DetailのOrder行に反映）</t>
        </is>
      </c>
    </row>
    <row r="11">
      <c r="A11" s="3" t="inlineStr">
        <is>
          <t>▶ T_OpeningStock - 期首在庫の入力</t>
        </is>
      </c>
    </row>
    <row r="12">
      <c r="A12" s="3" t="inlineStr">
        <is>
          <t>▶ T_StockCount - 棚卸実績の入力</t>
        </is>
      </c>
    </row>
    <row r="13">
      <c r="A13" s="3" t="inlineStr">
        <is>
          <t>▶ T_SelfStock - 自社倉庫の在庫実績（材料×週。RefreshSelfStockで自動更新）</t>
        </is>
      </c>
    </row>
    <row r="14">
      <c r="A14" s="3" t="inlineStr">
        <is>
          <t>▶ T_TTAFStock - TTAF倉庫の在庫実績（材料×週。RefreshTTAFStockで自動更新）</t>
        </is>
      </c>
    </row>
    <row r="16">
      <c r="A16" t="inlineStr"/>
    </row>
    <row r="17">
      <c r="A17" t="inlineStr">
        <is>
          <t>このブックはPower BI等に読み込ませる中間テーブルではなく、これ自体が完成品です。</t>
        </is>
      </c>
    </row>
    <row r="18">
      <c r="A18" t="inlineStr">
        <is>
          <t>Dashboard と PO_Draft_* が最終的な閲覧・発注画面、それ以外は計算の土台です。</t>
        </is>
      </c>
    </row>
    <row r="19">
      <c r="A19" t="inlineStr"/>
    </row>
    <row r="20">
      <c r="A20" t="inlineStr">
        <is>
          <t>【週番号のルール】すべてExcelの数式で計算（Cal_WeeksのB1=AnchorYearを変えると全体が再計算）</t>
        </is>
      </c>
    </row>
    <row r="21">
      <c r="A21" t="inlineStr">
        <is>
          <t xml:space="preserve">  Week1=1月1日を含む月〜日の週。年が変わると再び1にリセットされます（2026-W52の次は2027-W01）。</t>
        </is>
      </c>
    </row>
    <row r="22">
      <c r="A22" t="inlineStr">
        <is>
          <t xml:space="preserve">  各シートの週見出しは3段: 1段目=月-年(Aug-26等) / 2段目=その週月曜の日付 / 3段目=週No。</t>
        </is>
      </c>
    </row>
    <row r="23">
      <c r="A23" t="inlineStr"/>
    </row>
    <row r="24">
      <c r="A24" t="inlineStr">
        <is>
          <t>【普段見るシート】</t>
        </is>
      </c>
    </row>
    <row r="25">
      <c r="A25" t="inlineStr">
        <is>
          <t xml:space="preserve">  Dashboard           : 原材料×週の在庫を2年分、横軸で見渡せるメイン画面（まずここ）。</t>
        </is>
      </c>
    </row>
    <row r="26">
      <c r="A26" t="inlineStr">
        <is>
          <t xml:space="preserve">                        自社在庫(実績)・TTAF在庫(実績)・実績週の列で内訳も確認できます。</t>
        </is>
      </c>
    </row>
    <row r="27">
      <c r="A27" t="inlineStr">
        <is>
          <t xml:space="preserve">                        基準在庫(下限/上限)を入力すると、各週のセルが赤(下限未満)/</t>
        </is>
      </c>
    </row>
    <row r="28">
      <c r="A28" t="inlineStr">
        <is>
          <t xml:space="preserve">                        緑(範囲内)/青(上限超)に自動で色分けされます。</t>
        </is>
      </c>
    </row>
    <row r="29">
      <c r="A29" t="inlineStr">
        <is>
          <t xml:space="preserve">                        C1に'W23'のように入力すると（現在年の週Noとして検索）、</t>
        </is>
      </c>
    </row>
    <row r="30">
      <c r="A30" t="inlineStr">
        <is>
          <t xml:space="preserve">                        該当する週の列が太枠でハイライトされます。VBA(JumpToSelectedWeek、</t>
        </is>
      </c>
    </row>
    <row r="31">
      <c r="A31" t="inlineStr">
        <is>
          <t xml:space="preserve">                        要ボタン設定・詳細はdocs/SOH_System_Guide.md)を導入していれば、</t>
        </is>
      </c>
    </row>
    <row r="32">
      <c r="A32" t="inlineStr">
        <is>
          <t xml:space="preserve">                        実績週のすぐ右にその週の列が来るよう自動でスクロールもされます。</t>
        </is>
      </c>
    </row>
    <row r="33">
      <c r="A33" t="inlineStr">
        <is>
          <t xml:space="preserve">  Material_Detail     : 材料ごとに「どの中間体が・何バッチ・いくら使うか」をブロック表示（トレーサビリティ）。</t>
        </is>
      </c>
    </row>
    <row r="34">
      <c r="A34" t="inlineStr">
        <is>
          <t xml:space="preserve">                        Dashboardと同様にC1に'W23'のように入力すると該当週が求まり、</t>
        </is>
      </c>
    </row>
    <row r="35">
      <c r="A35" t="inlineStr">
        <is>
          <t xml:space="preserve">                        VBA導入時はその週列のすぐ右に自動でスクロールします。</t>
        </is>
      </c>
    </row>
    <row r="36">
      <c r="A36" t="inlineStr">
        <is>
          <t xml:space="preserve">                        材料名の右のC列にMOQ(最小発注量)を手入力できます。</t>
        </is>
      </c>
    </row>
    <row r="37">
      <c r="A37" t="inlineStr">
        <is>
          <t xml:space="preserve">                        合計使用量の下にTTAF在庫実績・自社在庫実績・Order(発注予定)・</t>
        </is>
      </c>
    </row>
    <row r="38">
      <c r="A38" t="inlineStr">
        <is>
          <t xml:space="preserve">                        合計在庫(週末時点)の週次推移も表示されます。</t>
        </is>
      </c>
    </row>
    <row r="39">
      <c r="A39" t="inlineStr">
        <is>
          <t xml:space="preserve">                        HideInactiveIntermediatesマクロ(要ボタン設定)で、指定期間ずっと生産予定の無い</t>
        </is>
      </c>
    </row>
    <row r="40">
      <c r="A40" t="inlineStr">
        <is>
          <t xml:space="preserve">                        中間体の行を折りたためます（在庫関連の行は常に表示されたままです）。</t>
        </is>
      </c>
    </row>
    <row r="41">
      <c r="A41" t="inlineStr">
        <is>
          <t xml:space="preserve">  PO_Draft_*          : 要発注分を注文書ひな形に自動転記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T_PlannedOrders     : PO Noがまだ出ていない「計画中の発注」の入力（材料名・数量・納品予定日・</t>
        </is>
      </c>
    </row>
    <row r="47">
      <c r="A47" t="inlineStr">
        <is>
          <t xml:space="preserve">                        発注月）。Material_Detailの「Order」行に反映されます。同じ材料・発注月の</t>
        </is>
      </c>
    </row>
    <row r="48">
      <c r="A48" t="inlineStr">
        <is>
          <t xml:space="preserve">                        実データがT_Shipments(RefreshShipmentsで毎週更新)に現れたら</t>
        </is>
      </c>
    </row>
    <row r="49">
      <c r="A49" t="inlineStr">
        <is>
          <t xml:space="preserve">                        自動的に消え（二重計上防止）、手動削除は不要です。</t>
        </is>
      </c>
    </row>
    <row r="50">
      <c r="A50" t="inlineStr">
        <is>
          <t xml:space="preserve">  T_OpeningStock/T_StockCount : 入力用</t>
        </is>
      </c>
    </row>
    <row r="51">
      <c r="A51" t="inlineStr">
        <is>
          <t xml:space="preserve">  T_SelfStock/T_TTAFStock : 材料×週のグリッドで自社/TTAF在庫実績を表示（出力・閲覧用）。</t>
        </is>
      </c>
    </row>
    <row r="52">
      <c r="A52" t="inlineStr">
        <is>
          <t xml:space="preserve">                        RefreshSelfStock/RefreshTTAFStockで更新されます。手入力はしないでください</t>
        </is>
      </c>
    </row>
    <row r="53">
      <c r="A53" t="inlineStr">
        <is>
          <t xml:space="preserve">                        （生データは非表示のT_SelfStock_Log/T_TTAFStock_Logに安全に保存されています）。</t>
        </is>
      </c>
    </row>
    <row r="54">
      <c r="A54" t="inlineStr"/>
    </row>
    <row r="55">
      <c r="A55" t="inlineStr">
        <is>
          <t xml:space="preserve">  M_RawMaterials・M_BOM・PP_Grid・Grid_Stock・その他非表示シートは内部計算用です。通常は開く必要はありません。</t>
        </is>
      </c>
    </row>
    <row r="56">
      <c r="A56" t="inlineStr"/>
    </row>
    <row r="57">
      <c r="A57" t="inlineStr">
        <is>
          <t>【重要】原単位・バッチ数・自社/TTAF在庫・発注実績はPythonを使わず、Excel(VBA)マクロだけで更新できます。</t>
        </is>
      </c>
    </row>
    <row r="58">
      <c r="A58" t="inlineStr">
        <is>
          <t xml:space="preserve">  macros/フォルダのRefreshData_*.bas(7ファイル)を導入し、RefreshWeeklyBatches / RefreshBOM / RefreshSelfStock /</t>
        </is>
      </c>
    </row>
    <row r="59">
      <c r="A59" t="inlineStr">
        <is>
          <t xml:space="preserve">  RefreshTTAFStock / RefreshShipments を実行してください（対象ファイルを選ぶだけです。</t>
        </is>
      </c>
    </row>
    <row r="60">
      <c r="A60" t="inlineStr">
        <is>
          <t xml:space="preserve">  詳細はdocs/SOH_System_Guide.md、未検証のため要動作確認）。</t>
        </is>
      </c>
    </row>
    <row r="61">
      <c r="A61" t="inlineStr">
        <is>
          <t xml:space="preserve">  T_Shipments・T_OpeningStock・T_StockCount・T_PlannedOrders等の入力内容は上書きされません</t>
        </is>
      </c>
    </row>
    <row r="62">
      <c r="A62" t="inlineStr">
        <is>
          <t xml:space="preserve">  （T_ShipmentsはRefreshShipmentsを実行した場合のみ更新されます）。</t>
        </is>
      </c>
    </row>
    <row r="63">
      <c r="A63" t="inlineStr">
        <is>
          <t xml:space="preserve">  Material_Detailの中間体の行を隠す/戻すHideInactiveIntermediates / ShowAllIntermediatesは、</t>
        </is>
      </c>
    </row>
    <row r="64">
      <c r="A64" t="inlineStr">
        <is>
          <t xml:space="preserve">  ボタンへの割り当てが必要な一度だけの手動設定です（詳細はdocs/SOH_System_Guide.md）。</t>
        </is>
      </c>
    </row>
    <row r="65">
      <c r="A65" t="inlineStr"/>
    </row>
    <row r="66">
      <c r="A66" t="inlineStr">
        <is>
          <t>【毎月の運用】</t>
        </is>
      </c>
    </row>
    <row r="67">
      <c r="A67" t="inlineStr">
        <is>
          <t xml:space="preserve">  1. 「Powder &amp; Slurry &amp; Pgm Plan」の新しい月版でRefreshWeeklyBatchesを実行</t>
        </is>
      </c>
    </row>
    <row r="68">
      <c r="A68" t="inlineStr">
        <is>
          <t xml:space="preserve">  2. 「Usage from Production Engineering」が更新されていればRefreshBOMを実行</t>
        </is>
      </c>
    </row>
    <row r="69">
      <c r="A69" t="inlineStr">
        <is>
          <t xml:space="preserve">  3. 自社倉庫の現物確認を毎週月曜の朝に実施したらRefreshSelfStockを実行</t>
        </is>
      </c>
    </row>
    <row r="70">
      <c r="A70" t="inlineStr">
        <is>
          <t xml:space="preserve">  4. CSA Reportが毎週月曜に届いたらRefreshTTAFStockとRefreshShipmentsを実行</t>
        </is>
      </c>
    </row>
    <row r="71">
      <c r="A71" t="inlineStr">
        <is>
          <t xml:space="preserve">  5. 新しく発注したらT_PlannedOrdersに追記（材料名・数量・納品予定日・発注月）</t>
        </is>
      </c>
    </row>
    <row r="72">
      <c r="A72" t="inlineStr">
        <is>
          <t xml:space="preserve">  6. 棚卸を実施したらT_StockCountに実測値を追記（Date列に実施日を入力。WeekIndex列は自動計算）</t>
        </is>
      </c>
    </row>
    <row r="73">
      <c r="A73" t="inlineStr">
        <is>
          <t xml:space="preserve">  7. Dashboardで赤色(基準在庫の下限未満)の週を確認し、PO_Draft_*から注文書を出力</t>
        </is>
      </c>
    </row>
    <row r="74">
      <c r="A74" t="inlineStr">
        <is>
          <t xml:space="preserve">  8. 月初は、前月最終週と当月頭のDashboardを見比べて在庫差異を確認（Plan Increase and Decrease /</t>
        </is>
      </c>
    </row>
    <row r="75">
      <c r="A75" t="inlineStr">
        <is>
          <t xml:space="preserve">     Inventory Releasesの報告フォーマットに転記）</t>
        </is>
      </c>
    </row>
    <row r="76">
      <c r="A76" t="inlineStr"/>
    </row>
    <row r="77">
      <c r="A77" t="inlineStr">
        <is>
          <t>【前提・要確認事項】詳細はdocs/SOH_System_Guide.mdを参照</t>
        </is>
      </c>
    </row>
    <row r="78">
      <c r="A78" t="inlineStr">
        <is>
          <t xml:space="preserve">  - M_RawMaterials の基準在庫(下限/上限)とLeadTime_Weeksは仮値(0)です。実際の水準に置き換えてください</t>
        </is>
      </c>
    </row>
    <row r="79">
      <c r="A79" t="inlineStr">
        <is>
          <t xml:space="preserve">    （Dashboardの週次セルの赤/緑/青の色分けに使われます）。</t>
        </is>
      </c>
    </row>
    <row r="80">
      <c r="A80" t="inlineStr">
        <is>
          <t xml:space="preserve">  - Categoryの割り当て(Chemical/Hazardous Chemical/Substrate)は入手データから機械的に推定した部分があります。要レビュー。</t>
        </is>
      </c>
    </row>
    <row r="81">
      <c r="A81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「Usage from Production Engineering」が更新されたら実行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18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'Grid_Stock'!DA2-'Grid_TheoreticalStock'!DA2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'Grid_Stock'!DA2-'Grid_TheoreticalStock'!DA2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'Grid_Stock'!DA3-'Grid_TheoreticalStock'!DA3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'Grid_Stock'!DA3-'Grid_TheoreticalStock'!DA3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'Grid_Stock'!DA4-'Grid_TheoreticalStock'!DA4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'Grid_Stock'!DA4-'Grid_TheoreticalStock'!DA4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'Grid_Stock'!DA5-'Grid_TheoreticalStock'!DA5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'Grid_Stock'!DA5-'Grid_TheoreticalStock'!DA5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'Grid_Stock'!DA6-'Grid_TheoreticalStock'!DA6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'Grid_Stock'!DA6-'Grid_TheoreticalStock'!DA6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'Grid_Stock'!DA7-'Grid_TheoreticalStock'!DA7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'Grid_Stock'!DA7-'Grid_TheoreticalStock'!DA7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'Grid_Stock'!DA8-'Grid_TheoreticalStock'!DA8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'Grid_Stock'!DA8-'Grid_TheoreticalStock'!DA8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'Grid_Stock'!DA9-'Grid_TheoreticalStock'!DA9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'Grid_Stock'!DA9-'Grid_TheoreticalStock'!DA9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'Grid_Stock'!DA10-'Grid_TheoreticalStock'!DA10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'Grid_Stock'!DA10-'Grid_TheoreticalStock'!DA10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'Grid_Stock'!DA11-'Grid_TheoreticalStock'!DA11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'Grid_Stock'!DA11-'Grid_TheoreticalStock'!DA11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'Grid_Stock'!DA12-'Grid_TheoreticalStock'!DA12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'Grid_Stock'!DA12-'Grid_TheoreticalStock'!DA12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'Grid_Stock'!DA13-'Grid_TheoreticalStock'!DA13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'Grid_Stock'!DA13-'Grid_TheoreticalStock'!DA13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'Grid_Stock'!DA14-'Grid_TheoreticalStock'!DA14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'Grid_Stock'!DA14-'Grid_TheoreticalStock'!DA14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'Grid_Stock'!DA15-'Grid_TheoreticalStock'!DA15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'Grid_Stock'!DA15-'Grid_TheoreticalStock'!DA15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'Grid_Stock'!DA16-'Grid_TheoreticalStock'!DA16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'Grid_Stock'!DA16-'Grid_TheoreticalStock'!DA16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'Grid_Stock'!DA17-'Grid_TheoreticalStock'!DA17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'Grid_Stock'!DA17-'Grid_TheoreticalStock'!DA17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'Grid_Stock'!DA18-'Grid_TheoreticalStock'!DA18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'Grid_Stock'!DA18-'Grid_TheoreticalStock'!DA18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'Grid_Stock'!DA19-'Grid_TheoreticalStock'!DA19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'Grid_Stock'!DA19-'Grid_TheoreticalStock'!DA19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'Grid_Stock'!DA20-'Grid_TheoreticalStock'!DA20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'Grid_Stock'!DA20-'Grid_TheoreticalStock'!DA20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'Grid_Stock'!DA21-'Grid_TheoreticalStock'!DA21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'Grid_Stock'!DA21-'Grid_TheoreticalStock'!DA21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'Grid_Stock'!DA22-'Grid_TheoreticalStock'!DA22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'Grid_Stock'!DA22-'Grid_TheoreticalStock'!DA22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'Grid_Stock'!DA23-'Grid_TheoreticalStock'!DA23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'Grid_Stock'!DA23-'Grid_TheoreticalStock'!DA23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'Grid_Stock'!DA24-'Grid_TheoreticalStock'!DA24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'Grid_Stock'!DA24-'Grid_TheoreticalStock'!DA24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'Grid_Stock'!DA25-'Grid_TheoreticalStock'!DA25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'Grid_Stock'!DA25-'Grid_TheoreticalStock'!DA25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'Grid_Stock'!DA26-'Grid_TheoreticalStock'!DA26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'Grid_Stock'!DA26-'Grid_TheoreticalStock'!DA26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'Grid_Stock'!DA27-'Grid_TheoreticalStock'!DA27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'Grid_Stock'!DA27-'Grid_TheoreticalStock'!DA27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'Grid_Stock'!DA28-'Grid_TheoreticalStock'!DA28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'Grid_Stock'!DA28-'Grid_TheoreticalStock'!DA28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'Grid_Stock'!DA29-'Grid_TheoreticalStock'!DA29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'Grid_Stock'!DA29-'Grid_TheoreticalStock'!DA29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'Grid_Stock'!DA30-'Grid_TheoreticalStock'!DA30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'Grid_Stock'!DA30-'Grid_TheoreticalStock'!DA30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'Grid_Stock'!DA31-'Grid_TheoreticalStock'!DA31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'Grid_Stock'!DA31-'Grid_TheoreticalStock'!DA31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'Grid_Stock'!DA32-'Grid_TheoreticalStock'!DA32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'Grid_Stock'!DA32-'Grid_TheoreticalStock'!DA32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'Grid_Stock'!DA33-'Grid_TheoreticalStock'!DA33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'Grid_Stock'!DA33-'Grid_TheoreticalStock'!DA33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'Grid_Stock'!DA34-'Grid_TheoreticalStock'!DA34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'Grid_Stock'!DA34-'Grid_TheoreticalStock'!DA34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'Grid_Stock'!DA35-'Grid_TheoreticalStock'!DA35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'Grid_Stock'!DA35-'Grid_TheoreticalStock'!DA35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'Grid_Stock'!DA36-'Grid_TheoreticalStock'!DA36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'Grid_Stock'!DA36-'Grid_TheoreticalStock'!DA36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CHEM-1530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'Grid_Stock'!DA37-'Grid_TheoreticalStock'!DA37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CHEM-1530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'Grid_Stock'!DA37-'Grid_TheoreticalStock'!DA37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CHEM-1480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'Grid_Stock'!DA38-'Grid_TheoreticalStock'!DA38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CHEM-1480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'Grid_Stock'!DA38-'Grid_TheoreticalStock'!DA38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CHEM-1540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'Grid_Stock'!DA39-'Grid_TheoreticalStock'!DA39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CHEM-1540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'Grid_Stock'!DA39-'Grid_TheoreticalStock'!DA39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CHEM-1680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'Grid_Stock'!DA40-'Grid_TheoreticalStock'!DA40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CHEM-1680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'Grid_Stock'!DA40-'Grid_TheoreticalStock'!DA40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CHEM-1730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'Grid_Stock'!DA41-'Grid_TheoreticalStock'!DA41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CHEM-1730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'Grid_Stock'!DA41-'Grid_TheoreticalStock'!DA41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CHEM-1280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'Grid_Stock'!DA42-'Grid_TheoreticalStock'!DA42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CHEM-1280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'Grid_Stock'!DA42-'Grid_TheoreticalStock'!DA42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CHEM-1570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'Grid_Stock'!DA43-'Grid_TheoreticalStock'!DA43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CHEM-1570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'Grid_Stock'!DA43-'Grid_TheoreticalStock'!DA43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CHEM-1450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'Grid_Stock'!DA44-'Grid_TheoreticalStock'!DA44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CHEM-1450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'Grid_Stock'!DA44-'Grid_TheoreticalStock'!DA44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CHEM-1770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'Grid_Stock'!DA45-'Grid_TheoreticalStock'!DA45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CHEM-1770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'Grid_Stock'!DA45-'Grid_TheoreticalStock'!DA45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CHEM-1430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'Grid_Stock'!DA46-'Grid_TheoreticalStock'!DA46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CHEM-1430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'Grid_Stock'!DA46-'Grid_TheoreticalStock'!DA46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CHEM-1470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'Grid_Stock'!DA47-'Grid_TheoreticalStock'!DA47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CHEM-1470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'Grid_Stock'!DA47-'Grid_TheoreticalStock'!DA47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CHEM-1010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'Grid_Stock'!DA48-'Grid_TheoreticalStock'!DA48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CHEM-1010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'Grid_Stock'!DA48-'Grid_TheoreticalStock'!DA48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CHEM-1760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'Grid_Stock'!DA49-'Grid_TheoreticalStock'!DA49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CHEM-1760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'Grid_Stock'!DA49-'Grid_TheoreticalStock'!DA49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CHEM-1700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'Grid_Stock'!DA50-'Grid_TheoreticalStock'!DA50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CHEM-1700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'Grid_Stock'!DA50-'Grid_TheoreticalStock'!DA50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CHEM-1850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'Grid_Stock'!DA51-'Grid_TheoreticalStock'!DA51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CHEM-1850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'Grid_Stock'!DA51-'Grid_TheoreticalStock'!DA51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Original Towel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'Grid_Stock'!DA52-'Grid_TheoreticalStock'!DA52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Original Towel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'Grid_Stock'!DA52-'Grid_TheoreticalStock'!DA52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Ester Film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'Grid_Stock'!DA53-'Grid_TheoreticalStock'!DA53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Ester Film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'Grid_Stock'!DA53-'Grid_TheoreticalStock'!DA53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PP Film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'Grid_Stock'!DA54-'Grid_TheoreticalStock'!DA54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PP Film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'Grid_Stock'!DA54-'Grid_TheoreticalStock'!DA54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CHEM-1560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'Grid_Stock'!DA55-'Grid_TheoreticalStock'!DA55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CHEM-1560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'Grid_Stock'!DA55-'Grid_TheoreticalStock'!DA55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CHEM-1690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'Grid_Stock'!DA56-'Grid_TheoreticalStock'!DA56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CHEM-1690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'Grid_Stock'!DA56-'Grid_TheoreticalStock'!DA56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CHEM-1720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'Grid_Stock'!DA57-'Grid_TheoreticalStock'!DA57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CHEM-1720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'Grid_Stock'!DA57-'Grid_TheoreticalStock'!DA57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</sheetData>
  <conditionalFormatting sqref="K7:DJ118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18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D1249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5SN</t>
        </is>
      </c>
      <c r="B7" s="21" t="inlineStr">
        <is>
          <t>Substrate NGK WF6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0Q110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'Grid_Requirement'!B15</f>
        <v/>
      </c>
      <c r="E10">
        <f>'Grid_Requirement'!C15</f>
        <v/>
      </c>
      <c r="F10">
        <f>'Grid_Requirement'!D15</f>
        <v/>
      </c>
      <c r="G10">
        <f>'Grid_Requirement'!E15</f>
        <v/>
      </c>
      <c r="H10">
        <f>'Grid_Requirement'!F15</f>
        <v/>
      </c>
      <c r="I10">
        <f>'Grid_Requirement'!G15</f>
        <v/>
      </c>
      <c r="J10">
        <f>'Grid_Requirement'!H15</f>
        <v/>
      </c>
      <c r="K10">
        <f>'Grid_Requirement'!I15</f>
        <v/>
      </c>
      <c r="L10">
        <f>'Grid_Requirement'!J15</f>
        <v/>
      </c>
      <c r="M10">
        <f>'Grid_Requirement'!K15</f>
        <v/>
      </c>
      <c r="N10">
        <f>'Grid_Requirement'!L15</f>
        <v/>
      </c>
      <c r="O10">
        <f>'Grid_Requirement'!M15</f>
        <v/>
      </c>
      <c r="P10">
        <f>'Grid_Requirement'!N15</f>
        <v/>
      </c>
      <c r="Q10">
        <f>'Grid_Requirement'!O15</f>
        <v/>
      </c>
      <c r="R10">
        <f>'Grid_Requirement'!P15</f>
        <v/>
      </c>
      <c r="S10">
        <f>'Grid_Requirement'!Q15</f>
        <v/>
      </c>
      <c r="T10">
        <f>'Grid_Requirement'!R15</f>
        <v/>
      </c>
      <c r="U10">
        <f>'Grid_Requirement'!S15</f>
        <v/>
      </c>
      <c r="V10">
        <f>'Grid_Requirement'!T15</f>
        <v/>
      </c>
      <c r="W10">
        <f>'Grid_Requirement'!U15</f>
        <v/>
      </c>
      <c r="X10">
        <f>'Grid_Requirement'!V15</f>
        <v/>
      </c>
      <c r="Y10">
        <f>'Grid_Requirement'!W15</f>
        <v/>
      </c>
      <c r="Z10">
        <f>'Grid_Requirement'!X15</f>
        <v/>
      </c>
      <c r="AA10">
        <f>'Grid_Requirement'!Y15</f>
        <v/>
      </c>
      <c r="AB10">
        <f>'Grid_Requirement'!Z15</f>
        <v/>
      </c>
      <c r="AC10">
        <f>'Grid_Requirement'!AA15</f>
        <v/>
      </c>
      <c r="AD10">
        <f>'Grid_Requirement'!AB15</f>
        <v/>
      </c>
      <c r="AE10">
        <f>'Grid_Requirement'!AC15</f>
        <v/>
      </c>
      <c r="AF10">
        <f>'Grid_Requirement'!AD15</f>
        <v/>
      </c>
      <c r="AG10">
        <f>'Grid_Requirement'!AE15</f>
        <v/>
      </c>
      <c r="AH10">
        <f>'Grid_Requirement'!AF15</f>
        <v/>
      </c>
      <c r="AI10">
        <f>'Grid_Requirement'!AG15</f>
        <v/>
      </c>
      <c r="AJ10">
        <f>'Grid_Requirement'!AH15</f>
        <v/>
      </c>
      <c r="AK10">
        <f>'Grid_Requirement'!AI15</f>
        <v/>
      </c>
      <c r="AL10">
        <f>'Grid_Requirement'!AJ15</f>
        <v/>
      </c>
      <c r="AM10">
        <f>'Grid_Requirement'!AK15</f>
        <v/>
      </c>
      <c r="AN10">
        <f>'Grid_Requirement'!AL15</f>
        <v/>
      </c>
      <c r="AO10">
        <f>'Grid_Requirement'!AM15</f>
        <v/>
      </c>
      <c r="AP10">
        <f>'Grid_Requirement'!AN15</f>
        <v/>
      </c>
      <c r="AQ10">
        <f>'Grid_Requirement'!AO15</f>
        <v/>
      </c>
      <c r="AR10">
        <f>'Grid_Requirement'!AP15</f>
        <v/>
      </c>
      <c r="AS10">
        <f>'Grid_Requirement'!AQ15</f>
        <v/>
      </c>
      <c r="AT10">
        <f>'Grid_Requirement'!AR15</f>
        <v/>
      </c>
      <c r="AU10">
        <f>'Grid_Requirement'!AS15</f>
        <v/>
      </c>
      <c r="AV10">
        <f>'Grid_Requirement'!AT15</f>
        <v/>
      </c>
      <c r="AW10">
        <f>'Grid_Requirement'!AU15</f>
        <v/>
      </c>
      <c r="AX10">
        <f>'Grid_Requirement'!AV15</f>
        <v/>
      </c>
      <c r="AY10">
        <f>'Grid_Requirement'!AW15</f>
        <v/>
      </c>
      <c r="AZ10">
        <f>'Grid_Requirement'!AX15</f>
        <v/>
      </c>
      <c r="BA10">
        <f>'Grid_Requirement'!AY15</f>
        <v/>
      </c>
      <c r="BB10">
        <f>'Grid_Requirement'!AZ15</f>
        <v/>
      </c>
      <c r="BC10">
        <f>'Grid_Requirement'!BA15</f>
        <v/>
      </c>
      <c r="BD10">
        <f>'Grid_Requirement'!BB15</f>
        <v/>
      </c>
      <c r="BE10">
        <f>'Grid_Requirement'!BC15</f>
        <v/>
      </c>
      <c r="BF10">
        <f>'Grid_Requirement'!BD15</f>
        <v/>
      </c>
      <c r="BG10">
        <f>'Grid_Requirement'!BE15</f>
        <v/>
      </c>
      <c r="BH10">
        <f>'Grid_Requirement'!BF15</f>
        <v/>
      </c>
      <c r="BI10">
        <f>'Grid_Requirement'!BG15</f>
        <v/>
      </c>
      <c r="BJ10">
        <f>'Grid_Requirement'!BH15</f>
        <v/>
      </c>
      <c r="BK10">
        <f>'Grid_Requirement'!BI15</f>
        <v/>
      </c>
      <c r="BL10">
        <f>'Grid_Requirement'!BJ15</f>
        <v/>
      </c>
      <c r="BM10">
        <f>'Grid_Requirement'!BK15</f>
        <v/>
      </c>
      <c r="BN10">
        <f>'Grid_Requirement'!BL15</f>
        <v/>
      </c>
      <c r="BO10">
        <f>'Grid_Requirement'!BM15</f>
        <v/>
      </c>
      <c r="BP10">
        <f>'Grid_Requirement'!BN15</f>
        <v/>
      </c>
      <c r="BQ10">
        <f>'Grid_Requirement'!BO15</f>
        <v/>
      </c>
      <c r="BR10">
        <f>'Grid_Requirement'!BP15</f>
        <v/>
      </c>
      <c r="BS10">
        <f>'Grid_Requirement'!BQ15</f>
        <v/>
      </c>
      <c r="BT10">
        <f>'Grid_Requirement'!BR15</f>
        <v/>
      </c>
      <c r="BU10">
        <f>'Grid_Requirement'!BS15</f>
        <v/>
      </c>
      <c r="BV10">
        <f>'Grid_Requirement'!BT15</f>
        <v/>
      </c>
      <c r="BW10">
        <f>'Grid_Requirement'!BU15</f>
        <v/>
      </c>
      <c r="BX10">
        <f>'Grid_Requirement'!BV15</f>
        <v/>
      </c>
      <c r="BY10">
        <f>'Grid_Requirement'!BW15</f>
        <v/>
      </c>
      <c r="BZ10">
        <f>'Grid_Requirement'!BX15</f>
        <v/>
      </c>
      <c r="CA10">
        <f>'Grid_Requirement'!BY15</f>
        <v/>
      </c>
      <c r="CB10">
        <f>'Grid_Requirement'!BZ15</f>
        <v/>
      </c>
      <c r="CC10">
        <f>'Grid_Requirement'!CA15</f>
        <v/>
      </c>
      <c r="CD10">
        <f>'Grid_Requirement'!CB15</f>
        <v/>
      </c>
      <c r="CE10">
        <f>'Grid_Requirement'!CC15</f>
        <v/>
      </c>
      <c r="CF10">
        <f>'Grid_Requirement'!CD15</f>
        <v/>
      </c>
      <c r="CG10">
        <f>'Grid_Requirement'!CE15</f>
        <v/>
      </c>
      <c r="CH10">
        <f>'Grid_Requirement'!CF15</f>
        <v/>
      </c>
      <c r="CI10">
        <f>'Grid_Requirement'!CG15</f>
        <v/>
      </c>
      <c r="CJ10">
        <f>'Grid_Requirement'!CH15</f>
        <v/>
      </c>
      <c r="CK10">
        <f>'Grid_Requirement'!CI15</f>
        <v/>
      </c>
      <c r="CL10">
        <f>'Grid_Requirement'!CJ15</f>
        <v/>
      </c>
      <c r="CM10">
        <f>'Grid_Requirement'!CK15</f>
        <v/>
      </c>
      <c r="CN10">
        <f>'Grid_Requirement'!CL15</f>
        <v/>
      </c>
      <c r="CO10">
        <f>'Grid_Requirement'!CM15</f>
        <v/>
      </c>
      <c r="CP10">
        <f>'Grid_Requirement'!CN15</f>
        <v/>
      </c>
      <c r="CQ10">
        <f>'Grid_Requirement'!CO15</f>
        <v/>
      </c>
      <c r="CR10">
        <f>'Grid_Requirement'!CP15</f>
        <v/>
      </c>
      <c r="CS10">
        <f>'Grid_Requirement'!CQ15</f>
        <v/>
      </c>
      <c r="CT10">
        <f>'Grid_Requirement'!CR15</f>
        <v/>
      </c>
      <c r="CU10">
        <f>'Grid_Requirement'!CS15</f>
        <v/>
      </c>
      <c r="CV10">
        <f>'Grid_Requirement'!CT15</f>
        <v/>
      </c>
      <c r="CW10">
        <f>'Grid_Requirement'!CU15</f>
        <v/>
      </c>
      <c r="CX10">
        <f>'Grid_Requirement'!CV15</f>
        <v/>
      </c>
      <c r="CY10">
        <f>'Grid_Requirement'!CW15</f>
        <v/>
      </c>
      <c r="CZ10">
        <f>'Grid_Requirement'!CX15</f>
        <v/>
      </c>
      <c r="DA10">
        <f>'Grid_Requirement'!CY15</f>
        <v/>
      </c>
      <c r="DB10">
        <f>'Grid_Requirement'!CZ15</f>
        <v/>
      </c>
      <c r="DC10">
        <f>'Grid_Requirement'!DA15</f>
        <v/>
      </c>
    </row>
    <row r="11">
      <c r="B11" t="inlineStr">
        <is>
          <t>TTAF在庫(実績,kg)</t>
        </is>
      </c>
      <c r="D11">
        <f>'T_TTAFStock'!B19</f>
        <v/>
      </c>
      <c r="E11">
        <f>'T_TTAFStock'!C19</f>
        <v/>
      </c>
      <c r="F11">
        <f>'T_TTAFStock'!D19</f>
        <v/>
      </c>
      <c r="G11">
        <f>'T_TTAFStock'!E19</f>
        <v/>
      </c>
      <c r="H11">
        <f>'T_TTAFStock'!F19</f>
        <v/>
      </c>
      <c r="I11">
        <f>'T_TTAFStock'!G19</f>
        <v/>
      </c>
      <c r="J11">
        <f>'T_TTAFStock'!H19</f>
        <v/>
      </c>
      <c r="K11">
        <f>'T_TTAFStock'!I19</f>
        <v/>
      </c>
      <c r="L11">
        <f>'T_TTAFStock'!J19</f>
        <v/>
      </c>
      <c r="M11">
        <f>'T_TTAFStock'!K19</f>
        <v/>
      </c>
      <c r="N11">
        <f>'T_TTAFStock'!L19</f>
        <v/>
      </c>
      <c r="O11">
        <f>'T_TTAFStock'!M19</f>
        <v/>
      </c>
      <c r="P11">
        <f>'T_TTAFStock'!N19</f>
        <v/>
      </c>
      <c r="Q11">
        <f>'T_TTAFStock'!O19</f>
        <v/>
      </c>
      <c r="R11">
        <f>'T_TTAFStock'!P19</f>
        <v/>
      </c>
      <c r="S11">
        <f>'T_TTAFStock'!Q19</f>
        <v/>
      </c>
      <c r="T11">
        <f>'T_TTAFStock'!R19</f>
        <v/>
      </c>
      <c r="U11">
        <f>'T_TTAFStock'!S19</f>
        <v/>
      </c>
      <c r="V11">
        <f>'T_TTAFStock'!T19</f>
        <v/>
      </c>
      <c r="W11">
        <f>'T_TTAFStock'!U19</f>
        <v/>
      </c>
      <c r="X11">
        <f>'T_TTAFStock'!V19</f>
        <v/>
      </c>
      <c r="Y11">
        <f>'T_TTAFStock'!W19</f>
        <v/>
      </c>
      <c r="Z11">
        <f>'T_TTAFStock'!X19</f>
        <v/>
      </c>
      <c r="AA11">
        <f>'T_TTAFStock'!Y19</f>
        <v/>
      </c>
      <c r="AB11">
        <f>'T_TTAFStock'!Z19</f>
        <v/>
      </c>
      <c r="AC11">
        <f>'T_TTAFStock'!AA19</f>
        <v/>
      </c>
      <c r="AD11">
        <f>'T_TTAFStock'!AB19</f>
        <v/>
      </c>
      <c r="AE11">
        <f>'T_TTAFStock'!AC19</f>
        <v/>
      </c>
      <c r="AF11">
        <f>'T_TTAFStock'!AD19</f>
        <v/>
      </c>
      <c r="AG11">
        <f>'T_TTAFStock'!AE19</f>
        <v/>
      </c>
      <c r="AH11">
        <f>'T_TTAFStock'!AF19</f>
        <v/>
      </c>
      <c r="AI11">
        <f>'T_TTAFStock'!AG19</f>
        <v/>
      </c>
      <c r="AJ11">
        <f>'T_TTAFStock'!AH19</f>
        <v/>
      </c>
      <c r="AK11">
        <f>'T_TTAFStock'!AI19</f>
        <v/>
      </c>
      <c r="AL11">
        <f>'T_TTAFStock'!AJ19</f>
        <v/>
      </c>
      <c r="AM11">
        <f>'T_TTAFStock'!AK19</f>
        <v/>
      </c>
      <c r="AN11">
        <f>'T_TTAFStock'!AL19</f>
        <v/>
      </c>
      <c r="AO11">
        <f>'T_TTAFStock'!AM19</f>
        <v/>
      </c>
      <c r="AP11">
        <f>'T_TTAFStock'!AN19</f>
        <v/>
      </c>
      <c r="AQ11">
        <f>'T_TTAFStock'!AO19</f>
        <v/>
      </c>
      <c r="AR11">
        <f>'T_TTAFStock'!AP19</f>
        <v/>
      </c>
      <c r="AS11">
        <f>'T_TTAFStock'!AQ19</f>
        <v/>
      </c>
      <c r="AT11">
        <f>'T_TTAFStock'!AR19</f>
        <v/>
      </c>
      <c r="AU11">
        <f>'T_TTAFStock'!AS19</f>
        <v/>
      </c>
      <c r="AV11">
        <f>'T_TTAFStock'!AT19</f>
        <v/>
      </c>
      <c r="AW11">
        <f>'T_TTAFStock'!AU19</f>
        <v/>
      </c>
      <c r="AX11">
        <f>'T_TTAFStock'!AV19</f>
        <v/>
      </c>
      <c r="AY11">
        <f>'T_TTAFStock'!AW19</f>
        <v/>
      </c>
      <c r="AZ11">
        <f>'T_TTAFStock'!AX19</f>
        <v/>
      </c>
      <c r="BA11">
        <f>'T_TTAFStock'!AY19</f>
        <v/>
      </c>
      <c r="BB11">
        <f>'T_TTAFStock'!AZ19</f>
        <v/>
      </c>
      <c r="BC11">
        <f>'T_TTAFStock'!BA19</f>
        <v/>
      </c>
      <c r="BD11">
        <f>'T_TTAFStock'!BB19</f>
        <v/>
      </c>
      <c r="BE11">
        <f>'T_TTAFStock'!BC19</f>
        <v/>
      </c>
      <c r="BF11">
        <f>'T_TTAFStock'!BD19</f>
        <v/>
      </c>
      <c r="BG11">
        <f>'T_TTAFStock'!BE19</f>
        <v/>
      </c>
      <c r="BH11">
        <f>'T_TTAFStock'!BF19</f>
        <v/>
      </c>
      <c r="BI11">
        <f>'T_TTAFStock'!BG19</f>
        <v/>
      </c>
      <c r="BJ11">
        <f>'T_TTAFStock'!BH19</f>
        <v/>
      </c>
      <c r="BK11">
        <f>'T_TTAFStock'!BI19</f>
        <v/>
      </c>
      <c r="BL11">
        <f>'T_TTAFStock'!BJ19</f>
        <v/>
      </c>
      <c r="BM11">
        <f>'T_TTAFStock'!BK19</f>
        <v/>
      </c>
      <c r="BN11">
        <f>'T_TTAFStock'!BL19</f>
        <v/>
      </c>
      <c r="BO11">
        <f>'T_TTAFStock'!BM19</f>
        <v/>
      </c>
      <c r="BP11">
        <f>'T_TTAFStock'!BN19</f>
        <v/>
      </c>
      <c r="BQ11">
        <f>'T_TTAFStock'!BO19</f>
        <v/>
      </c>
      <c r="BR11">
        <f>'T_TTAFStock'!BP19</f>
        <v/>
      </c>
      <c r="BS11">
        <f>'T_TTAFStock'!BQ19</f>
        <v/>
      </c>
      <c r="BT11">
        <f>'T_TTAFStock'!BR19</f>
        <v/>
      </c>
      <c r="BU11">
        <f>'T_TTAFStock'!BS19</f>
        <v/>
      </c>
      <c r="BV11">
        <f>'T_TTAFStock'!BT19</f>
        <v/>
      </c>
      <c r="BW11">
        <f>'T_TTAFStock'!BU19</f>
        <v/>
      </c>
      <c r="BX11">
        <f>'T_TTAFStock'!BV19</f>
        <v/>
      </c>
      <c r="BY11">
        <f>'T_TTAFStock'!BW19</f>
        <v/>
      </c>
      <c r="BZ11">
        <f>'T_TTAFStock'!BX19</f>
        <v/>
      </c>
      <c r="CA11">
        <f>'T_TTAFStock'!BY19</f>
        <v/>
      </c>
      <c r="CB11">
        <f>'T_TTAFStock'!BZ19</f>
        <v/>
      </c>
      <c r="CC11">
        <f>'T_TTAFStock'!CA19</f>
        <v/>
      </c>
      <c r="CD11">
        <f>'T_TTAFStock'!CB19</f>
        <v/>
      </c>
      <c r="CE11">
        <f>'T_TTAFStock'!CC19</f>
        <v/>
      </c>
      <c r="CF11">
        <f>'T_TTAFStock'!CD19</f>
        <v/>
      </c>
      <c r="CG11">
        <f>'T_TTAFStock'!CE19</f>
        <v/>
      </c>
      <c r="CH11">
        <f>'T_TTAFStock'!CF19</f>
        <v/>
      </c>
      <c r="CI11">
        <f>'T_TTAFStock'!CG19</f>
        <v/>
      </c>
      <c r="CJ11">
        <f>'T_TTAFStock'!CH19</f>
        <v/>
      </c>
      <c r="CK11">
        <f>'T_TTAFStock'!CI19</f>
        <v/>
      </c>
      <c r="CL11">
        <f>'T_TTAFStock'!CJ19</f>
        <v/>
      </c>
      <c r="CM11">
        <f>'T_TTAFStock'!CK19</f>
        <v/>
      </c>
      <c r="CN11">
        <f>'T_TTAFStock'!CL19</f>
        <v/>
      </c>
      <c r="CO11">
        <f>'T_TTAFStock'!CM19</f>
        <v/>
      </c>
      <c r="CP11">
        <f>'T_TTAFStock'!CN19</f>
        <v/>
      </c>
      <c r="CQ11">
        <f>'T_TTAFStock'!CO19</f>
        <v/>
      </c>
      <c r="CR11">
        <f>'T_TTAFStock'!CP19</f>
        <v/>
      </c>
      <c r="CS11">
        <f>'T_TTAFStock'!CQ19</f>
        <v/>
      </c>
      <c r="CT11">
        <f>'T_TTAFStock'!CR19</f>
        <v/>
      </c>
      <c r="CU11">
        <f>'T_TTAFStock'!CS19</f>
        <v/>
      </c>
      <c r="CV11">
        <f>'T_TTAFStock'!CT19</f>
        <v/>
      </c>
      <c r="CW11">
        <f>'T_TTAFStock'!CU19</f>
        <v/>
      </c>
      <c r="CX11">
        <f>'T_TTAFStock'!CV19</f>
        <v/>
      </c>
      <c r="CY11">
        <f>'T_TTAFStock'!CW19</f>
        <v/>
      </c>
      <c r="CZ11">
        <f>'T_TTAFStock'!CX19</f>
        <v/>
      </c>
      <c r="DA11">
        <f>'T_TTAFStock'!CY19</f>
        <v/>
      </c>
      <c r="DB11">
        <f>'T_TTAFStock'!CZ19</f>
        <v/>
      </c>
      <c r="DC11">
        <f>'T_TTAFStock'!DA19</f>
        <v/>
      </c>
    </row>
    <row r="12">
      <c r="B12" t="inlineStr">
        <is>
          <t>自社在庫(実績,kg)</t>
        </is>
      </c>
      <c r="D12">
        <f>'T_SelfStock'!B19</f>
        <v/>
      </c>
      <c r="E12">
        <f>'T_SelfStock'!C19</f>
        <v/>
      </c>
      <c r="F12">
        <f>'T_SelfStock'!D19</f>
        <v/>
      </c>
      <c r="G12">
        <f>'T_SelfStock'!E19</f>
        <v/>
      </c>
      <c r="H12">
        <f>'T_SelfStock'!F19</f>
        <v/>
      </c>
      <c r="I12">
        <f>'T_SelfStock'!G19</f>
        <v/>
      </c>
      <c r="J12">
        <f>'T_SelfStock'!H19</f>
        <v/>
      </c>
      <c r="K12">
        <f>'T_SelfStock'!I19</f>
        <v/>
      </c>
      <c r="L12">
        <f>'T_SelfStock'!J19</f>
        <v/>
      </c>
      <c r="M12">
        <f>'T_SelfStock'!K19</f>
        <v/>
      </c>
      <c r="N12">
        <f>'T_SelfStock'!L19</f>
        <v/>
      </c>
      <c r="O12">
        <f>'T_SelfStock'!M19</f>
        <v/>
      </c>
      <c r="P12">
        <f>'T_SelfStock'!N19</f>
        <v/>
      </c>
      <c r="Q12">
        <f>'T_SelfStock'!O19</f>
        <v/>
      </c>
      <c r="R12">
        <f>'T_SelfStock'!P19</f>
        <v/>
      </c>
      <c r="S12">
        <f>'T_SelfStock'!Q19</f>
        <v/>
      </c>
      <c r="T12">
        <f>'T_SelfStock'!R19</f>
        <v/>
      </c>
      <c r="U12">
        <f>'T_SelfStock'!S19</f>
        <v/>
      </c>
      <c r="V12">
        <f>'T_SelfStock'!T19</f>
        <v/>
      </c>
      <c r="W12">
        <f>'T_SelfStock'!U19</f>
        <v/>
      </c>
      <c r="X12">
        <f>'T_SelfStock'!V19</f>
        <v/>
      </c>
      <c r="Y12">
        <f>'T_SelfStock'!W19</f>
        <v/>
      </c>
      <c r="Z12">
        <f>'T_SelfStock'!X19</f>
        <v/>
      </c>
      <c r="AA12">
        <f>'T_SelfStock'!Y19</f>
        <v/>
      </c>
      <c r="AB12">
        <f>'T_SelfStock'!Z19</f>
        <v/>
      </c>
      <c r="AC12">
        <f>'T_SelfStock'!AA19</f>
        <v/>
      </c>
      <c r="AD12">
        <f>'T_SelfStock'!AB19</f>
        <v/>
      </c>
      <c r="AE12">
        <f>'T_SelfStock'!AC19</f>
        <v/>
      </c>
      <c r="AF12">
        <f>'T_SelfStock'!AD19</f>
        <v/>
      </c>
      <c r="AG12">
        <f>'T_SelfStock'!AE19</f>
        <v/>
      </c>
      <c r="AH12">
        <f>'T_SelfStock'!AF19</f>
        <v/>
      </c>
      <c r="AI12">
        <f>'T_SelfStock'!AG19</f>
        <v/>
      </c>
      <c r="AJ12">
        <f>'T_SelfStock'!AH19</f>
        <v/>
      </c>
      <c r="AK12">
        <f>'T_SelfStock'!AI19</f>
        <v/>
      </c>
      <c r="AL12">
        <f>'T_SelfStock'!AJ19</f>
        <v/>
      </c>
      <c r="AM12">
        <f>'T_SelfStock'!AK19</f>
        <v/>
      </c>
      <c r="AN12">
        <f>'T_SelfStock'!AL19</f>
        <v/>
      </c>
      <c r="AO12">
        <f>'T_SelfStock'!AM19</f>
        <v/>
      </c>
      <c r="AP12">
        <f>'T_SelfStock'!AN19</f>
        <v/>
      </c>
      <c r="AQ12">
        <f>'T_SelfStock'!AO19</f>
        <v/>
      </c>
      <c r="AR12">
        <f>'T_SelfStock'!AP19</f>
        <v/>
      </c>
      <c r="AS12">
        <f>'T_SelfStock'!AQ19</f>
        <v/>
      </c>
      <c r="AT12">
        <f>'T_SelfStock'!AR19</f>
        <v/>
      </c>
      <c r="AU12">
        <f>'T_SelfStock'!AS19</f>
        <v/>
      </c>
      <c r="AV12">
        <f>'T_SelfStock'!AT19</f>
        <v/>
      </c>
      <c r="AW12">
        <f>'T_SelfStock'!AU19</f>
        <v/>
      </c>
      <c r="AX12">
        <f>'T_SelfStock'!AV19</f>
        <v/>
      </c>
      <c r="AY12">
        <f>'T_SelfStock'!AW19</f>
        <v/>
      </c>
      <c r="AZ12">
        <f>'T_SelfStock'!AX19</f>
        <v/>
      </c>
      <c r="BA12">
        <f>'T_SelfStock'!AY19</f>
        <v/>
      </c>
      <c r="BB12">
        <f>'T_SelfStock'!AZ19</f>
        <v/>
      </c>
      <c r="BC12">
        <f>'T_SelfStock'!BA19</f>
        <v/>
      </c>
      <c r="BD12">
        <f>'T_SelfStock'!BB19</f>
        <v/>
      </c>
      <c r="BE12">
        <f>'T_SelfStock'!BC19</f>
        <v/>
      </c>
      <c r="BF12">
        <f>'T_SelfStock'!BD19</f>
        <v/>
      </c>
      <c r="BG12">
        <f>'T_SelfStock'!BE19</f>
        <v/>
      </c>
      <c r="BH12">
        <f>'T_SelfStock'!BF19</f>
        <v/>
      </c>
      <c r="BI12">
        <f>'T_SelfStock'!BG19</f>
        <v/>
      </c>
      <c r="BJ12">
        <f>'T_SelfStock'!BH19</f>
        <v/>
      </c>
      <c r="BK12">
        <f>'T_SelfStock'!BI19</f>
        <v/>
      </c>
      <c r="BL12">
        <f>'T_SelfStock'!BJ19</f>
        <v/>
      </c>
      <c r="BM12">
        <f>'T_SelfStock'!BK19</f>
        <v/>
      </c>
      <c r="BN12">
        <f>'T_SelfStock'!BL19</f>
        <v/>
      </c>
      <c r="BO12">
        <f>'T_SelfStock'!BM19</f>
        <v/>
      </c>
      <c r="BP12">
        <f>'T_SelfStock'!BN19</f>
        <v/>
      </c>
      <c r="BQ12">
        <f>'T_SelfStock'!BO19</f>
        <v/>
      </c>
      <c r="BR12">
        <f>'T_SelfStock'!BP19</f>
        <v/>
      </c>
      <c r="BS12">
        <f>'T_SelfStock'!BQ19</f>
        <v/>
      </c>
      <c r="BT12">
        <f>'T_SelfStock'!BR19</f>
        <v/>
      </c>
      <c r="BU12">
        <f>'T_SelfStock'!BS19</f>
        <v/>
      </c>
      <c r="BV12">
        <f>'T_SelfStock'!BT19</f>
        <v/>
      </c>
      <c r="BW12">
        <f>'T_SelfStock'!BU19</f>
        <v/>
      </c>
      <c r="BX12">
        <f>'T_SelfStock'!BV19</f>
        <v/>
      </c>
      <c r="BY12">
        <f>'T_SelfStock'!BW19</f>
        <v/>
      </c>
      <c r="BZ12">
        <f>'T_SelfStock'!BX19</f>
        <v/>
      </c>
      <c r="CA12">
        <f>'T_SelfStock'!BY19</f>
        <v/>
      </c>
      <c r="CB12">
        <f>'T_SelfStock'!BZ19</f>
        <v/>
      </c>
      <c r="CC12">
        <f>'T_SelfStock'!CA19</f>
        <v/>
      </c>
      <c r="CD12">
        <f>'T_SelfStock'!CB19</f>
        <v/>
      </c>
      <c r="CE12">
        <f>'T_SelfStock'!CC19</f>
        <v/>
      </c>
      <c r="CF12">
        <f>'T_SelfStock'!CD19</f>
        <v/>
      </c>
      <c r="CG12">
        <f>'T_SelfStock'!CE19</f>
        <v/>
      </c>
      <c r="CH12">
        <f>'T_SelfStock'!CF19</f>
        <v/>
      </c>
      <c r="CI12">
        <f>'T_SelfStock'!CG19</f>
        <v/>
      </c>
      <c r="CJ12">
        <f>'T_SelfStock'!CH19</f>
        <v/>
      </c>
      <c r="CK12">
        <f>'T_SelfStock'!CI19</f>
        <v/>
      </c>
      <c r="CL12">
        <f>'T_SelfStock'!CJ19</f>
        <v/>
      </c>
      <c r="CM12">
        <f>'T_SelfStock'!CK19</f>
        <v/>
      </c>
      <c r="CN12">
        <f>'T_SelfStock'!CL19</f>
        <v/>
      </c>
      <c r="CO12">
        <f>'T_SelfStock'!CM19</f>
        <v/>
      </c>
      <c r="CP12">
        <f>'T_SelfStock'!CN19</f>
        <v/>
      </c>
      <c r="CQ12">
        <f>'T_SelfStock'!CO19</f>
        <v/>
      </c>
      <c r="CR12">
        <f>'T_SelfStock'!CP19</f>
        <v/>
      </c>
      <c r="CS12">
        <f>'T_SelfStock'!CQ19</f>
        <v/>
      </c>
      <c r="CT12">
        <f>'T_SelfStock'!CR19</f>
        <v/>
      </c>
      <c r="CU12">
        <f>'T_SelfStock'!CS19</f>
        <v/>
      </c>
      <c r="CV12">
        <f>'T_SelfStock'!CT19</f>
        <v/>
      </c>
      <c r="CW12">
        <f>'T_SelfStock'!CU19</f>
        <v/>
      </c>
      <c r="CX12">
        <f>'T_SelfStock'!CV19</f>
        <v/>
      </c>
      <c r="CY12">
        <f>'T_SelfStock'!CW19</f>
        <v/>
      </c>
      <c r="CZ12">
        <f>'T_SelfStock'!CX19</f>
        <v/>
      </c>
      <c r="DA12">
        <f>'T_SelfStock'!CY19</f>
        <v/>
      </c>
      <c r="DB12">
        <f>'T_SelfStock'!CZ19</f>
        <v/>
      </c>
      <c r="DC12">
        <f>'T_SelfStock'!DA19</f>
        <v/>
      </c>
    </row>
    <row r="13">
      <c r="B13" t="inlineStr">
        <is>
          <t>Order(発注予定,kg)</t>
        </is>
      </c>
      <c r="D13">
        <f>IF(SUMIFS(T_PlannedOrders[EffectiveQty],T_PlannedOrders[Part Name],$A7,T_PlannedOrders[WeekIndex],1)=0,"",SUMIFS(T_PlannedOrders[EffectiveQty],T_PlannedOrders[Part Name],$A7,T_PlannedOrders[WeekIndex],1)&amp;" ("&amp;TEXT(SUMPRODUCT(MAX((T_PlannedOrders[Part Name]=$A7)*(T_PlannedOrders[WeekIndex]=1)*(T_PlannedOrders[EffectiveQty]&gt;0)*T_PlannedOrders[Order_Month])),"m月")&amp;"発注)")</f>
        <v/>
      </c>
      <c r="E13">
        <f>IF(SUMIFS(T_PlannedOrders[EffectiveQty],T_PlannedOrders[Part Name],$A7,T_PlannedOrders[WeekIndex],2)=0,"",SUMIFS(T_PlannedOrders[EffectiveQty],T_PlannedOrders[Part Name],$A7,T_PlannedOrders[WeekIndex],2)&amp;" ("&amp;TEXT(SUMPRODUCT(MAX((T_PlannedOrders[Part Name]=$A7)*(T_PlannedOrders[WeekIndex]=2)*(T_PlannedOrders[EffectiveQty]&gt;0)*T_PlannedOrders[Order_Month])),"m月")&amp;"発注)")</f>
        <v/>
      </c>
      <c r="F13">
        <f>IF(SUMIFS(T_PlannedOrders[EffectiveQty],T_PlannedOrders[Part Name],$A7,T_PlannedOrders[WeekIndex],3)=0,"",SUMIFS(T_PlannedOrders[EffectiveQty],T_PlannedOrders[Part Name],$A7,T_PlannedOrders[WeekIndex],3)&amp;" ("&amp;TEXT(SUMPRODUCT(MAX((T_PlannedOrders[Part Name]=$A7)*(T_PlannedOrders[WeekIndex]=3)*(T_PlannedOrders[EffectiveQty]&gt;0)*T_PlannedOrders[Order_Month])),"m月")&amp;"発注)")</f>
        <v/>
      </c>
      <c r="G13">
        <f>IF(SUMIFS(T_PlannedOrders[EffectiveQty],T_PlannedOrders[Part Name],$A7,T_PlannedOrders[WeekIndex],4)=0,"",SUMIFS(T_PlannedOrders[EffectiveQty],T_PlannedOrders[Part Name],$A7,T_PlannedOrders[WeekIndex],4)&amp;" ("&amp;TEXT(SUMPRODUCT(MAX((T_PlannedOrders[Part Name]=$A7)*(T_PlannedOrders[WeekIndex]=4)*(T_PlannedOrders[EffectiveQty]&gt;0)*T_PlannedOrders[Order_Month])),"m月")&amp;"発注)")</f>
        <v/>
      </c>
      <c r="H13">
        <f>IF(SUMIFS(T_PlannedOrders[EffectiveQty],T_PlannedOrders[Part Name],$A7,T_PlannedOrders[WeekIndex],5)=0,"",SUMIFS(T_PlannedOrders[EffectiveQty],T_PlannedOrders[Part Name],$A7,T_PlannedOrders[WeekIndex],5)&amp;" ("&amp;TEXT(SUMPRODUCT(MAX((T_PlannedOrders[Part Name]=$A7)*(T_PlannedOrders[WeekIndex]=5)*(T_PlannedOrders[EffectiveQty]&gt;0)*T_PlannedOrders[Order_Month])),"m月")&amp;"発注)")</f>
        <v/>
      </c>
      <c r="I13">
        <f>IF(SUMIFS(T_PlannedOrders[EffectiveQty],T_PlannedOrders[Part Name],$A7,T_PlannedOrders[WeekIndex],6)=0,"",SUMIFS(T_PlannedOrders[EffectiveQty],T_PlannedOrders[Part Name],$A7,T_PlannedOrders[WeekIndex],6)&amp;" ("&amp;TEXT(SUMPRODUCT(MAX((T_PlannedOrders[Part Name]=$A7)*(T_PlannedOrders[WeekIndex]=6)*(T_PlannedOrders[EffectiveQty]&gt;0)*T_PlannedOrders[Order_Month])),"m月")&amp;"発注)")</f>
        <v/>
      </c>
      <c r="J13">
        <f>IF(SUMIFS(T_PlannedOrders[EffectiveQty],T_PlannedOrders[Part Name],$A7,T_PlannedOrders[WeekIndex],7)=0,"",SUMIFS(T_PlannedOrders[EffectiveQty],T_PlannedOrders[Part Name],$A7,T_PlannedOrders[WeekIndex],7)&amp;" ("&amp;TEXT(SUMPRODUCT(MAX((T_PlannedOrders[Part Name]=$A7)*(T_PlannedOrders[WeekIndex]=7)*(T_PlannedOrders[EffectiveQty]&gt;0)*T_PlannedOrders[Order_Month])),"m月")&amp;"発注)")</f>
        <v/>
      </c>
      <c r="K13">
        <f>IF(SUMIFS(T_PlannedOrders[EffectiveQty],T_PlannedOrders[Part Name],$A7,T_PlannedOrders[WeekIndex],8)=0,"",SUMIFS(T_PlannedOrders[EffectiveQty],T_PlannedOrders[Part Name],$A7,T_PlannedOrders[WeekIndex],8)&amp;" ("&amp;TEXT(SUMPRODUCT(MAX((T_PlannedOrders[Part Name]=$A7)*(T_PlannedOrders[WeekIndex]=8)*(T_PlannedOrders[EffectiveQty]&gt;0)*T_PlannedOrders[Order_Month])),"m月")&amp;"発注)")</f>
        <v/>
      </c>
      <c r="L13">
        <f>IF(SUMIFS(T_PlannedOrders[EffectiveQty],T_PlannedOrders[Part Name],$A7,T_PlannedOrders[WeekIndex],9)=0,"",SUMIFS(T_PlannedOrders[EffectiveQty],T_PlannedOrders[Part Name],$A7,T_PlannedOrders[WeekIndex],9)&amp;" ("&amp;TEXT(SUMPRODUCT(MAX((T_PlannedOrders[Part Name]=$A7)*(T_PlannedOrders[WeekIndex]=9)*(T_PlannedOrders[EffectiveQty]&gt;0)*T_PlannedOrders[Order_Month])),"m月")&amp;"発注)")</f>
        <v/>
      </c>
      <c r="M13">
        <f>IF(SUMIFS(T_PlannedOrders[EffectiveQty],T_PlannedOrders[Part Name],$A7,T_PlannedOrders[WeekIndex],10)=0,"",SUMIFS(T_PlannedOrders[EffectiveQty],T_PlannedOrders[Part Name],$A7,T_PlannedOrders[WeekIndex],10)&amp;" ("&amp;TEXT(SUMPRODUCT(MAX((T_PlannedOrders[Part Name]=$A7)*(T_PlannedOrders[WeekIndex]=10)*(T_PlannedOrders[EffectiveQty]&gt;0)*T_PlannedOrders[Order_Month])),"m月")&amp;"発注)")</f>
        <v/>
      </c>
      <c r="N13">
        <f>IF(SUMIFS(T_PlannedOrders[EffectiveQty],T_PlannedOrders[Part Name],$A7,T_PlannedOrders[WeekIndex],11)=0,"",SUMIFS(T_PlannedOrders[EffectiveQty],T_PlannedOrders[Part Name],$A7,T_PlannedOrders[WeekIndex],11)&amp;" ("&amp;TEXT(SUMPRODUCT(MAX((T_PlannedOrders[Part Name]=$A7)*(T_PlannedOrders[WeekIndex]=11)*(T_PlannedOrders[EffectiveQty]&gt;0)*T_PlannedOrders[Order_Month])),"m月")&amp;"発注)")</f>
        <v/>
      </c>
      <c r="O13">
        <f>IF(SUMIFS(T_PlannedOrders[EffectiveQty],T_PlannedOrders[Part Name],$A7,T_PlannedOrders[WeekIndex],12)=0,"",SUMIFS(T_PlannedOrders[EffectiveQty],T_PlannedOrders[Part Name],$A7,T_PlannedOrders[WeekIndex],12)&amp;" ("&amp;TEXT(SUMPRODUCT(MAX((T_PlannedOrders[Part Name]=$A7)*(T_PlannedOrders[WeekIndex]=12)*(T_PlannedOrders[EffectiveQty]&gt;0)*T_PlannedOrders[Order_Month])),"m月")&amp;"発注)")</f>
        <v/>
      </c>
      <c r="P13">
        <f>IF(SUMIFS(T_PlannedOrders[EffectiveQty],T_PlannedOrders[Part Name],$A7,T_PlannedOrders[WeekIndex],13)=0,"",SUMIFS(T_PlannedOrders[EffectiveQty],T_PlannedOrders[Part Name],$A7,T_PlannedOrders[WeekIndex],13)&amp;" ("&amp;TEXT(SUMPRODUCT(MAX((T_PlannedOrders[Part Name]=$A7)*(T_PlannedOrders[WeekIndex]=13)*(T_PlannedOrders[EffectiveQty]&gt;0)*T_PlannedOrders[Order_Month])),"m月")&amp;"発注)")</f>
        <v/>
      </c>
      <c r="Q13">
        <f>IF(SUMIFS(T_PlannedOrders[EffectiveQty],T_PlannedOrders[Part Name],$A7,T_PlannedOrders[WeekIndex],14)=0,"",SUMIFS(T_PlannedOrders[EffectiveQty],T_PlannedOrders[Part Name],$A7,T_PlannedOrders[WeekIndex],14)&amp;" ("&amp;TEXT(SUMPRODUCT(MAX((T_PlannedOrders[Part Name]=$A7)*(T_PlannedOrders[WeekIndex]=14)*(T_PlannedOrders[EffectiveQty]&gt;0)*T_PlannedOrders[Order_Month])),"m月")&amp;"発注)")</f>
        <v/>
      </c>
      <c r="R13">
        <f>IF(SUMIFS(T_PlannedOrders[EffectiveQty],T_PlannedOrders[Part Name],$A7,T_PlannedOrders[WeekIndex],15)=0,"",SUMIFS(T_PlannedOrders[EffectiveQty],T_PlannedOrders[Part Name],$A7,T_PlannedOrders[WeekIndex],15)&amp;" ("&amp;TEXT(SUMPRODUCT(MAX((T_PlannedOrders[Part Name]=$A7)*(T_PlannedOrders[WeekIndex]=15)*(T_PlannedOrders[EffectiveQty]&gt;0)*T_PlannedOrders[Order_Month])),"m月")&amp;"発注)")</f>
        <v/>
      </c>
      <c r="S13">
        <f>IF(SUMIFS(T_PlannedOrders[EffectiveQty],T_PlannedOrders[Part Name],$A7,T_PlannedOrders[WeekIndex],16)=0,"",SUMIFS(T_PlannedOrders[EffectiveQty],T_PlannedOrders[Part Name],$A7,T_PlannedOrders[WeekIndex],16)&amp;" ("&amp;TEXT(SUMPRODUCT(MAX((T_PlannedOrders[Part Name]=$A7)*(T_PlannedOrders[WeekIndex]=16)*(T_PlannedOrders[EffectiveQty]&gt;0)*T_PlannedOrders[Order_Month])),"m月")&amp;"発注)")</f>
        <v/>
      </c>
      <c r="T13">
        <f>IF(SUMIFS(T_PlannedOrders[EffectiveQty],T_PlannedOrders[Part Name],$A7,T_PlannedOrders[WeekIndex],17)=0,"",SUMIFS(T_PlannedOrders[EffectiveQty],T_PlannedOrders[Part Name],$A7,T_PlannedOrders[WeekIndex],17)&amp;" ("&amp;TEXT(SUMPRODUCT(MAX((T_PlannedOrders[Part Name]=$A7)*(T_PlannedOrders[WeekIndex]=17)*(T_PlannedOrders[EffectiveQty]&gt;0)*T_PlannedOrders[Order_Month])),"m月")&amp;"発注)")</f>
        <v/>
      </c>
      <c r="U13">
        <f>IF(SUMIFS(T_PlannedOrders[EffectiveQty],T_PlannedOrders[Part Name],$A7,T_PlannedOrders[WeekIndex],18)=0,"",SUMIFS(T_PlannedOrders[EffectiveQty],T_PlannedOrders[Part Name],$A7,T_PlannedOrders[WeekIndex],18)&amp;" ("&amp;TEXT(SUMPRODUCT(MAX((T_PlannedOrders[Part Name]=$A7)*(T_PlannedOrders[WeekIndex]=18)*(T_PlannedOrders[EffectiveQty]&gt;0)*T_PlannedOrders[Order_Month])),"m月")&amp;"発注)")</f>
        <v/>
      </c>
      <c r="V13">
        <f>IF(SUMIFS(T_PlannedOrders[EffectiveQty],T_PlannedOrders[Part Name],$A7,T_PlannedOrders[WeekIndex],19)=0,"",SUMIFS(T_PlannedOrders[EffectiveQty],T_PlannedOrders[Part Name],$A7,T_PlannedOrders[WeekIndex],19)&amp;" ("&amp;TEXT(SUMPRODUCT(MAX((T_PlannedOrders[Part Name]=$A7)*(T_PlannedOrders[WeekIndex]=19)*(T_PlannedOrders[EffectiveQty]&gt;0)*T_PlannedOrders[Order_Month])),"m月")&amp;"発注)")</f>
        <v/>
      </c>
      <c r="W13">
        <f>IF(SUMIFS(T_PlannedOrders[EffectiveQty],T_PlannedOrders[Part Name],$A7,T_PlannedOrders[WeekIndex],20)=0,"",SUMIFS(T_PlannedOrders[EffectiveQty],T_PlannedOrders[Part Name],$A7,T_PlannedOrders[WeekIndex],20)&amp;" ("&amp;TEXT(SUMPRODUCT(MAX((T_PlannedOrders[Part Name]=$A7)*(T_PlannedOrders[WeekIndex]=20)*(T_PlannedOrders[EffectiveQty]&gt;0)*T_PlannedOrders[Order_Month])),"m月")&amp;"発注)")</f>
        <v/>
      </c>
      <c r="X13">
        <f>IF(SUMIFS(T_PlannedOrders[EffectiveQty],T_PlannedOrders[Part Name],$A7,T_PlannedOrders[WeekIndex],21)=0,"",SUMIFS(T_PlannedOrders[EffectiveQty],T_PlannedOrders[Part Name],$A7,T_PlannedOrders[WeekIndex],21)&amp;" ("&amp;TEXT(SUMPRODUCT(MAX((T_PlannedOrders[Part Name]=$A7)*(T_PlannedOrders[WeekIndex]=21)*(T_PlannedOrders[EffectiveQty]&gt;0)*T_PlannedOrders[Order_Month])),"m月")&amp;"発注)")</f>
        <v/>
      </c>
      <c r="Y13">
        <f>IF(SUMIFS(T_PlannedOrders[EffectiveQty],T_PlannedOrders[Part Name],$A7,T_PlannedOrders[WeekIndex],22)=0,"",SUMIFS(T_PlannedOrders[EffectiveQty],T_PlannedOrders[Part Name],$A7,T_PlannedOrders[WeekIndex],22)&amp;" ("&amp;TEXT(SUMPRODUCT(MAX((T_PlannedOrders[Part Name]=$A7)*(T_PlannedOrders[WeekIndex]=22)*(T_PlannedOrders[EffectiveQty]&gt;0)*T_PlannedOrders[Order_Month])),"m月")&amp;"発注)")</f>
        <v/>
      </c>
      <c r="Z13">
        <f>IF(SUMIFS(T_PlannedOrders[EffectiveQty],T_PlannedOrders[Part Name],$A7,T_PlannedOrders[WeekIndex],23)=0,"",SUMIFS(T_PlannedOrders[EffectiveQty],T_PlannedOrders[Part Name],$A7,T_PlannedOrders[WeekIndex],23)&amp;" ("&amp;TEXT(SUMPRODUCT(MAX((T_PlannedOrders[Part Name]=$A7)*(T_PlannedOrders[WeekIndex]=23)*(T_PlannedOrders[EffectiveQty]&gt;0)*T_PlannedOrders[Order_Month])),"m月")&amp;"発注)")</f>
        <v/>
      </c>
      <c r="AA13">
        <f>IF(SUMIFS(T_PlannedOrders[EffectiveQty],T_PlannedOrders[Part Name],$A7,T_PlannedOrders[WeekIndex],24)=0,"",SUMIFS(T_PlannedOrders[EffectiveQty],T_PlannedOrders[Part Name],$A7,T_PlannedOrders[WeekIndex],24)&amp;" ("&amp;TEXT(SUMPRODUCT(MAX((T_PlannedOrders[Part Name]=$A7)*(T_PlannedOrders[WeekIndex]=24)*(T_PlannedOrders[EffectiveQty]&gt;0)*T_PlannedOrders[Order_Month])),"m月")&amp;"発注)")</f>
        <v/>
      </c>
      <c r="AB13">
        <f>IF(SUMIFS(T_PlannedOrders[EffectiveQty],T_PlannedOrders[Part Name],$A7,T_PlannedOrders[WeekIndex],25)=0,"",SUMIFS(T_PlannedOrders[EffectiveQty],T_PlannedOrders[Part Name],$A7,T_PlannedOrders[WeekIndex],25)&amp;" ("&amp;TEXT(SUMPRODUCT(MAX((T_PlannedOrders[Part Name]=$A7)*(T_PlannedOrders[WeekIndex]=25)*(T_PlannedOrders[EffectiveQty]&gt;0)*T_PlannedOrders[Order_Month])),"m月")&amp;"発注)")</f>
        <v/>
      </c>
      <c r="AC13">
        <f>IF(SUMIFS(T_PlannedOrders[EffectiveQty],T_PlannedOrders[Part Name],$A7,T_PlannedOrders[WeekIndex],26)=0,"",SUMIFS(T_PlannedOrders[EffectiveQty],T_PlannedOrders[Part Name],$A7,T_PlannedOrders[WeekIndex],26)&amp;" ("&amp;TEXT(SUMPRODUCT(MAX((T_PlannedOrders[Part Name]=$A7)*(T_PlannedOrders[WeekIndex]=26)*(T_PlannedOrders[EffectiveQty]&gt;0)*T_PlannedOrders[Order_Month])),"m月")&amp;"発注)")</f>
        <v/>
      </c>
      <c r="AD13">
        <f>IF(SUMIFS(T_PlannedOrders[EffectiveQty],T_PlannedOrders[Part Name],$A7,T_PlannedOrders[WeekIndex],27)=0,"",SUMIFS(T_PlannedOrders[EffectiveQty],T_PlannedOrders[Part Name],$A7,T_PlannedOrders[WeekIndex],27)&amp;" ("&amp;TEXT(SUMPRODUCT(MAX((T_PlannedOrders[Part Name]=$A7)*(T_PlannedOrders[WeekIndex]=27)*(T_PlannedOrders[EffectiveQty]&gt;0)*T_PlannedOrders[Order_Month])),"m月")&amp;"発注)")</f>
        <v/>
      </c>
      <c r="AE13">
        <f>IF(SUMIFS(T_PlannedOrders[EffectiveQty],T_PlannedOrders[Part Name],$A7,T_PlannedOrders[WeekIndex],28)=0,"",SUMIFS(T_PlannedOrders[EffectiveQty],T_PlannedOrders[Part Name],$A7,T_PlannedOrders[WeekIndex],28)&amp;" ("&amp;TEXT(SUMPRODUCT(MAX((T_PlannedOrders[Part Name]=$A7)*(T_PlannedOrders[WeekIndex]=28)*(T_PlannedOrders[EffectiveQty]&gt;0)*T_PlannedOrders[Order_Month])),"m月")&amp;"発注)")</f>
        <v/>
      </c>
      <c r="AF13">
        <f>IF(SUMIFS(T_PlannedOrders[EffectiveQty],T_PlannedOrders[Part Name],$A7,T_PlannedOrders[WeekIndex],29)=0,"",SUMIFS(T_PlannedOrders[EffectiveQty],T_PlannedOrders[Part Name],$A7,T_PlannedOrders[WeekIndex],29)&amp;" ("&amp;TEXT(SUMPRODUCT(MAX((T_PlannedOrders[Part Name]=$A7)*(T_PlannedOrders[WeekIndex]=29)*(T_PlannedOrders[EffectiveQty]&gt;0)*T_PlannedOrders[Order_Month])),"m月")&amp;"発注)")</f>
        <v/>
      </c>
      <c r="AG13">
        <f>IF(SUMIFS(T_PlannedOrders[EffectiveQty],T_PlannedOrders[Part Name],$A7,T_PlannedOrders[WeekIndex],30)=0,"",SUMIFS(T_PlannedOrders[EffectiveQty],T_PlannedOrders[Part Name],$A7,T_PlannedOrders[WeekIndex],30)&amp;" ("&amp;TEXT(SUMPRODUCT(MAX((T_PlannedOrders[Part Name]=$A7)*(T_PlannedOrders[WeekIndex]=30)*(T_PlannedOrders[EffectiveQty]&gt;0)*T_PlannedOrders[Order_Month])),"m月")&amp;"発注)")</f>
        <v/>
      </c>
      <c r="AH13">
        <f>IF(SUMIFS(T_PlannedOrders[EffectiveQty],T_PlannedOrders[Part Name],$A7,T_PlannedOrders[WeekIndex],31)=0,"",SUMIFS(T_PlannedOrders[EffectiveQty],T_PlannedOrders[Part Name],$A7,T_PlannedOrders[WeekIndex],31)&amp;" ("&amp;TEXT(SUMPRODUCT(MAX((T_PlannedOrders[Part Name]=$A7)*(T_PlannedOrders[WeekIndex]=31)*(T_PlannedOrders[EffectiveQty]&gt;0)*T_PlannedOrders[Order_Month])),"m月")&amp;"発注)")</f>
        <v/>
      </c>
      <c r="AI13">
        <f>IF(SUMIFS(T_PlannedOrders[EffectiveQty],T_PlannedOrders[Part Name],$A7,T_PlannedOrders[WeekIndex],32)=0,"",SUMIFS(T_PlannedOrders[EffectiveQty],T_PlannedOrders[Part Name],$A7,T_PlannedOrders[WeekIndex],32)&amp;" ("&amp;TEXT(SUMPRODUCT(MAX((T_PlannedOrders[Part Name]=$A7)*(T_PlannedOrders[WeekIndex]=32)*(T_PlannedOrders[EffectiveQty]&gt;0)*T_PlannedOrders[Order_Month])),"m月")&amp;"発注)")</f>
        <v/>
      </c>
      <c r="AJ13">
        <f>IF(SUMIFS(T_PlannedOrders[EffectiveQty],T_PlannedOrders[Part Name],$A7,T_PlannedOrders[WeekIndex],33)=0,"",SUMIFS(T_PlannedOrders[EffectiveQty],T_PlannedOrders[Part Name],$A7,T_PlannedOrders[WeekIndex],33)&amp;" ("&amp;TEXT(SUMPRODUCT(MAX((T_PlannedOrders[Part Name]=$A7)*(T_PlannedOrders[WeekIndex]=33)*(T_PlannedOrders[EffectiveQty]&gt;0)*T_PlannedOrders[Order_Month])),"m月")&amp;"発注)")</f>
        <v/>
      </c>
      <c r="AK13">
        <f>IF(SUMIFS(T_PlannedOrders[EffectiveQty],T_PlannedOrders[Part Name],$A7,T_PlannedOrders[WeekIndex],34)=0,"",SUMIFS(T_PlannedOrders[EffectiveQty],T_PlannedOrders[Part Name],$A7,T_PlannedOrders[WeekIndex],34)&amp;" ("&amp;TEXT(SUMPRODUCT(MAX((T_PlannedOrders[Part Name]=$A7)*(T_PlannedOrders[WeekIndex]=34)*(T_PlannedOrders[EffectiveQty]&gt;0)*T_PlannedOrders[Order_Month])),"m月")&amp;"発注)")</f>
        <v/>
      </c>
      <c r="AL13">
        <f>IF(SUMIFS(T_PlannedOrders[EffectiveQty],T_PlannedOrders[Part Name],$A7,T_PlannedOrders[WeekIndex],35)=0,"",SUMIFS(T_PlannedOrders[EffectiveQty],T_PlannedOrders[Part Name],$A7,T_PlannedOrders[WeekIndex],35)&amp;" ("&amp;TEXT(SUMPRODUCT(MAX((T_PlannedOrders[Part Name]=$A7)*(T_PlannedOrders[WeekIndex]=35)*(T_PlannedOrders[EffectiveQty]&gt;0)*T_PlannedOrders[Order_Month])),"m月")&amp;"発注)")</f>
        <v/>
      </c>
      <c r="AM13">
        <f>IF(SUMIFS(T_PlannedOrders[EffectiveQty],T_PlannedOrders[Part Name],$A7,T_PlannedOrders[WeekIndex],36)=0,"",SUMIFS(T_PlannedOrders[EffectiveQty],T_PlannedOrders[Part Name],$A7,T_PlannedOrders[WeekIndex],36)&amp;" ("&amp;TEXT(SUMPRODUCT(MAX((T_PlannedOrders[Part Name]=$A7)*(T_PlannedOrders[WeekIndex]=36)*(T_PlannedOrders[EffectiveQty]&gt;0)*T_PlannedOrders[Order_Month])),"m月")&amp;"発注)")</f>
        <v/>
      </c>
      <c r="AN13">
        <f>IF(SUMIFS(T_PlannedOrders[EffectiveQty],T_PlannedOrders[Part Name],$A7,T_PlannedOrders[WeekIndex],37)=0,"",SUMIFS(T_PlannedOrders[EffectiveQty],T_PlannedOrders[Part Name],$A7,T_PlannedOrders[WeekIndex],37)&amp;" ("&amp;TEXT(SUMPRODUCT(MAX((T_PlannedOrders[Part Name]=$A7)*(T_PlannedOrders[WeekIndex]=37)*(T_PlannedOrders[EffectiveQty]&gt;0)*T_PlannedOrders[Order_Month])),"m月")&amp;"発注)")</f>
        <v/>
      </c>
      <c r="AO13">
        <f>IF(SUMIFS(T_PlannedOrders[EffectiveQty],T_PlannedOrders[Part Name],$A7,T_PlannedOrders[WeekIndex],38)=0,"",SUMIFS(T_PlannedOrders[EffectiveQty],T_PlannedOrders[Part Name],$A7,T_PlannedOrders[WeekIndex],38)&amp;" ("&amp;TEXT(SUMPRODUCT(MAX((T_PlannedOrders[Part Name]=$A7)*(T_PlannedOrders[WeekIndex]=38)*(T_PlannedOrders[EffectiveQty]&gt;0)*T_PlannedOrders[Order_Month])),"m月")&amp;"発注)")</f>
        <v/>
      </c>
      <c r="AP13">
        <f>IF(SUMIFS(T_PlannedOrders[EffectiveQty],T_PlannedOrders[Part Name],$A7,T_PlannedOrders[WeekIndex],39)=0,"",SUMIFS(T_PlannedOrders[EffectiveQty],T_PlannedOrders[Part Name],$A7,T_PlannedOrders[WeekIndex],39)&amp;" ("&amp;TEXT(SUMPRODUCT(MAX((T_PlannedOrders[Part Name]=$A7)*(T_PlannedOrders[WeekIndex]=39)*(T_PlannedOrders[EffectiveQty]&gt;0)*T_PlannedOrders[Order_Month])),"m月")&amp;"発注)")</f>
        <v/>
      </c>
      <c r="AQ13">
        <f>IF(SUMIFS(T_PlannedOrders[EffectiveQty],T_PlannedOrders[Part Name],$A7,T_PlannedOrders[WeekIndex],40)=0,"",SUMIFS(T_PlannedOrders[EffectiveQty],T_PlannedOrders[Part Name],$A7,T_PlannedOrders[WeekIndex],40)&amp;" ("&amp;TEXT(SUMPRODUCT(MAX((T_PlannedOrders[Part Name]=$A7)*(T_PlannedOrders[WeekIndex]=40)*(T_PlannedOrders[EffectiveQty]&gt;0)*T_PlannedOrders[Order_Month])),"m月")&amp;"発注)")</f>
        <v/>
      </c>
      <c r="AR13">
        <f>IF(SUMIFS(T_PlannedOrders[EffectiveQty],T_PlannedOrders[Part Name],$A7,T_PlannedOrders[WeekIndex],41)=0,"",SUMIFS(T_PlannedOrders[EffectiveQty],T_PlannedOrders[Part Name],$A7,T_PlannedOrders[WeekIndex],41)&amp;" ("&amp;TEXT(SUMPRODUCT(MAX((T_PlannedOrders[Part Name]=$A7)*(T_PlannedOrders[WeekIndex]=41)*(T_PlannedOrders[EffectiveQty]&gt;0)*T_PlannedOrders[Order_Month])),"m月")&amp;"発注)")</f>
        <v/>
      </c>
      <c r="AS13">
        <f>IF(SUMIFS(T_PlannedOrders[EffectiveQty],T_PlannedOrders[Part Name],$A7,T_PlannedOrders[WeekIndex],42)=0,"",SUMIFS(T_PlannedOrders[EffectiveQty],T_PlannedOrders[Part Name],$A7,T_PlannedOrders[WeekIndex],42)&amp;" ("&amp;TEXT(SUMPRODUCT(MAX((T_PlannedOrders[Part Name]=$A7)*(T_PlannedOrders[WeekIndex]=42)*(T_PlannedOrders[EffectiveQty]&gt;0)*T_PlannedOrders[Order_Month])),"m月")&amp;"発注)")</f>
        <v/>
      </c>
      <c r="AT13">
        <f>IF(SUMIFS(T_PlannedOrders[EffectiveQty],T_PlannedOrders[Part Name],$A7,T_PlannedOrders[WeekIndex],43)=0,"",SUMIFS(T_PlannedOrders[EffectiveQty],T_PlannedOrders[Part Name],$A7,T_PlannedOrders[WeekIndex],43)&amp;" ("&amp;TEXT(SUMPRODUCT(MAX((T_PlannedOrders[Part Name]=$A7)*(T_PlannedOrders[WeekIndex]=43)*(T_PlannedOrders[EffectiveQty]&gt;0)*T_PlannedOrders[Order_Month])),"m月")&amp;"発注)")</f>
        <v/>
      </c>
      <c r="AU13">
        <f>IF(SUMIFS(T_PlannedOrders[EffectiveQty],T_PlannedOrders[Part Name],$A7,T_PlannedOrders[WeekIndex],44)=0,"",SUMIFS(T_PlannedOrders[EffectiveQty],T_PlannedOrders[Part Name],$A7,T_PlannedOrders[WeekIndex],44)&amp;" ("&amp;TEXT(SUMPRODUCT(MAX((T_PlannedOrders[Part Name]=$A7)*(T_PlannedOrders[WeekIndex]=44)*(T_PlannedOrders[EffectiveQty]&gt;0)*T_PlannedOrders[Order_Month])),"m月")&amp;"発注)")</f>
        <v/>
      </c>
      <c r="AV13">
        <f>IF(SUMIFS(T_PlannedOrders[EffectiveQty],T_PlannedOrders[Part Name],$A7,T_PlannedOrders[WeekIndex],45)=0,"",SUMIFS(T_PlannedOrders[EffectiveQty],T_PlannedOrders[Part Name],$A7,T_PlannedOrders[WeekIndex],45)&amp;" ("&amp;TEXT(SUMPRODUCT(MAX((T_PlannedOrders[Part Name]=$A7)*(T_PlannedOrders[WeekIndex]=45)*(T_PlannedOrders[EffectiveQty]&gt;0)*T_PlannedOrders[Order_Month])),"m月")&amp;"発注)")</f>
        <v/>
      </c>
      <c r="AW13">
        <f>IF(SUMIFS(T_PlannedOrders[EffectiveQty],T_PlannedOrders[Part Name],$A7,T_PlannedOrders[WeekIndex],46)=0,"",SUMIFS(T_PlannedOrders[EffectiveQty],T_PlannedOrders[Part Name],$A7,T_PlannedOrders[WeekIndex],46)&amp;" ("&amp;TEXT(SUMPRODUCT(MAX((T_PlannedOrders[Part Name]=$A7)*(T_PlannedOrders[WeekIndex]=46)*(T_PlannedOrders[EffectiveQty]&gt;0)*T_PlannedOrders[Order_Month])),"m月")&amp;"発注)")</f>
        <v/>
      </c>
      <c r="AX13">
        <f>IF(SUMIFS(T_PlannedOrders[EffectiveQty],T_PlannedOrders[Part Name],$A7,T_PlannedOrders[WeekIndex],47)=0,"",SUMIFS(T_PlannedOrders[EffectiveQty],T_PlannedOrders[Part Name],$A7,T_PlannedOrders[WeekIndex],47)&amp;" ("&amp;TEXT(SUMPRODUCT(MAX((T_PlannedOrders[Part Name]=$A7)*(T_PlannedOrders[WeekIndex]=47)*(T_PlannedOrders[EffectiveQty]&gt;0)*T_PlannedOrders[Order_Month])),"m月")&amp;"発注)")</f>
        <v/>
      </c>
      <c r="AY13">
        <f>IF(SUMIFS(T_PlannedOrders[EffectiveQty],T_PlannedOrders[Part Name],$A7,T_PlannedOrders[WeekIndex],48)=0,"",SUMIFS(T_PlannedOrders[EffectiveQty],T_PlannedOrders[Part Name],$A7,T_PlannedOrders[WeekIndex],48)&amp;" ("&amp;TEXT(SUMPRODUCT(MAX((T_PlannedOrders[Part Name]=$A7)*(T_PlannedOrders[WeekIndex]=48)*(T_PlannedOrders[EffectiveQty]&gt;0)*T_PlannedOrders[Order_Month])),"m月")&amp;"発注)")</f>
        <v/>
      </c>
      <c r="AZ13">
        <f>IF(SUMIFS(T_PlannedOrders[EffectiveQty],T_PlannedOrders[Part Name],$A7,T_PlannedOrders[WeekIndex],49)=0,"",SUMIFS(T_PlannedOrders[EffectiveQty],T_PlannedOrders[Part Name],$A7,T_PlannedOrders[WeekIndex],49)&amp;" ("&amp;TEXT(SUMPRODUCT(MAX((T_PlannedOrders[Part Name]=$A7)*(T_PlannedOrders[WeekIndex]=49)*(T_PlannedOrders[EffectiveQty]&gt;0)*T_PlannedOrders[Order_Month])),"m月")&amp;"発注)")</f>
        <v/>
      </c>
      <c r="BA13">
        <f>IF(SUMIFS(T_PlannedOrders[EffectiveQty],T_PlannedOrders[Part Name],$A7,T_PlannedOrders[WeekIndex],50)=0,"",SUMIFS(T_PlannedOrders[EffectiveQty],T_PlannedOrders[Part Name],$A7,T_PlannedOrders[WeekIndex],50)&amp;" ("&amp;TEXT(SUMPRODUCT(MAX((T_PlannedOrders[Part Name]=$A7)*(T_PlannedOrders[WeekIndex]=50)*(T_PlannedOrders[EffectiveQty]&gt;0)*T_PlannedOrders[Order_Month])),"m月")&amp;"発注)")</f>
        <v/>
      </c>
      <c r="BB13">
        <f>IF(SUMIFS(T_PlannedOrders[EffectiveQty],T_PlannedOrders[Part Name],$A7,T_PlannedOrders[WeekIndex],51)=0,"",SUMIFS(T_PlannedOrders[EffectiveQty],T_PlannedOrders[Part Name],$A7,T_PlannedOrders[WeekIndex],51)&amp;" ("&amp;TEXT(SUMPRODUCT(MAX((T_PlannedOrders[Part Name]=$A7)*(T_PlannedOrders[WeekIndex]=51)*(T_PlannedOrders[EffectiveQty]&gt;0)*T_PlannedOrders[Order_Month])),"m月")&amp;"発注)")</f>
        <v/>
      </c>
      <c r="BC13">
        <f>IF(SUMIFS(T_PlannedOrders[EffectiveQty],T_PlannedOrders[Part Name],$A7,T_PlannedOrders[WeekIndex],52)=0,"",SUMIFS(T_PlannedOrders[EffectiveQty],T_PlannedOrders[Part Name],$A7,T_PlannedOrders[WeekIndex],52)&amp;" ("&amp;TEXT(SUMPRODUCT(MAX((T_PlannedOrders[Part Name]=$A7)*(T_PlannedOrders[WeekIndex]=52)*(T_PlannedOrders[EffectiveQty]&gt;0)*T_PlannedOrders[Order_Month])),"m月")&amp;"発注)")</f>
        <v/>
      </c>
      <c r="BD13">
        <f>IF(SUMIFS(T_PlannedOrders[EffectiveQty],T_PlannedOrders[Part Name],$A7,T_PlannedOrders[WeekIndex],53)=0,"",SUMIFS(T_PlannedOrders[EffectiveQty],T_PlannedOrders[Part Name],$A7,T_PlannedOrders[WeekIndex],53)&amp;" ("&amp;TEXT(SUMPRODUCT(MAX((T_PlannedOrders[Part Name]=$A7)*(T_PlannedOrders[WeekIndex]=53)*(T_PlannedOrders[EffectiveQty]&gt;0)*T_PlannedOrders[Order_Month])),"m月")&amp;"発注)")</f>
        <v/>
      </c>
      <c r="BE13">
        <f>IF(SUMIFS(T_PlannedOrders[EffectiveQty],T_PlannedOrders[Part Name],$A7,T_PlannedOrders[WeekIndex],54)=0,"",SUMIFS(T_PlannedOrders[EffectiveQty],T_PlannedOrders[Part Name],$A7,T_PlannedOrders[WeekIndex],54)&amp;" ("&amp;TEXT(SUMPRODUCT(MAX((T_PlannedOrders[Part Name]=$A7)*(T_PlannedOrders[WeekIndex]=54)*(T_PlannedOrders[EffectiveQty]&gt;0)*T_PlannedOrders[Order_Month])),"m月")&amp;"発注)")</f>
        <v/>
      </c>
      <c r="BF13">
        <f>IF(SUMIFS(T_PlannedOrders[EffectiveQty],T_PlannedOrders[Part Name],$A7,T_PlannedOrders[WeekIndex],55)=0,"",SUMIFS(T_PlannedOrders[EffectiveQty],T_PlannedOrders[Part Name],$A7,T_PlannedOrders[WeekIndex],55)&amp;" ("&amp;TEXT(SUMPRODUCT(MAX((T_PlannedOrders[Part Name]=$A7)*(T_PlannedOrders[WeekIndex]=55)*(T_PlannedOrders[EffectiveQty]&gt;0)*T_PlannedOrders[Order_Month])),"m月")&amp;"発注)")</f>
        <v/>
      </c>
      <c r="BG13">
        <f>IF(SUMIFS(T_PlannedOrders[EffectiveQty],T_PlannedOrders[Part Name],$A7,T_PlannedOrders[WeekIndex],56)=0,"",SUMIFS(T_PlannedOrders[EffectiveQty],T_PlannedOrders[Part Name],$A7,T_PlannedOrders[WeekIndex],56)&amp;" ("&amp;TEXT(SUMPRODUCT(MAX((T_PlannedOrders[Part Name]=$A7)*(T_PlannedOrders[WeekIndex]=56)*(T_PlannedOrders[EffectiveQty]&gt;0)*T_PlannedOrders[Order_Month])),"m月")&amp;"発注)")</f>
        <v/>
      </c>
      <c r="BH13">
        <f>IF(SUMIFS(T_PlannedOrders[EffectiveQty],T_PlannedOrders[Part Name],$A7,T_PlannedOrders[WeekIndex],57)=0,"",SUMIFS(T_PlannedOrders[EffectiveQty],T_PlannedOrders[Part Name],$A7,T_PlannedOrders[WeekIndex],57)&amp;" ("&amp;TEXT(SUMPRODUCT(MAX((T_PlannedOrders[Part Name]=$A7)*(T_PlannedOrders[WeekIndex]=57)*(T_PlannedOrders[EffectiveQty]&gt;0)*T_PlannedOrders[Order_Month])),"m月")&amp;"発注)")</f>
        <v/>
      </c>
      <c r="BI13">
        <f>IF(SUMIFS(T_PlannedOrders[EffectiveQty],T_PlannedOrders[Part Name],$A7,T_PlannedOrders[WeekIndex],58)=0,"",SUMIFS(T_PlannedOrders[EffectiveQty],T_PlannedOrders[Part Name],$A7,T_PlannedOrders[WeekIndex],58)&amp;" ("&amp;TEXT(SUMPRODUCT(MAX((T_PlannedOrders[Part Name]=$A7)*(T_PlannedOrders[WeekIndex]=58)*(T_PlannedOrders[EffectiveQty]&gt;0)*T_PlannedOrders[Order_Month])),"m月")&amp;"発注)")</f>
        <v/>
      </c>
      <c r="BJ13">
        <f>IF(SUMIFS(T_PlannedOrders[EffectiveQty],T_PlannedOrders[Part Name],$A7,T_PlannedOrders[WeekIndex],59)=0,"",SUMIFS(T_PlannedOrders[EffectiveQty],T_PlannedOrders[Part Name],$A7,T_PlannedOrders[WeekIndex],59)&amp;" ("&amp;TEXT(SUMPRODUCT(MAX((T_PlannedOrders[Part Name]=$A7)*(T_PlannedOrders[WeekIndex]=59)*(T_PlannedOrders[EffectiveQty]&gt;0)*T_PlannedOrders[Order_Month])),"m月")&amp;"発注)")</f>
        <v/>
      </c>
      <c r="BK13">
        <f>IF(SUMIFS(T_PlannedOrders[EffectiveQty],T_PlannedOrders[Part Name],$A7,T_PlannedOrders[WeekIndex],60)=0,"",SUMIFS(T_PlannedOrders[EffectiveQty],T_PlannedOrders[Part Name],$A7,T_PlannedOrders[WeekIndex],60)&amp;" ("&amp;TEXT(SUMPRODUCT(MAX((T_PlannedOrders[Part Name]=$A7)*(T_PlannedOrders[WeekIndex]=60)*(T_PlannedOrders[EffectiveQty]&gt;0)*T_PlannedOrders[Order_Month])),"m月")&amp;"発注)")</f>
        <v/>
      </c>
      <c r="BL13">
        <f>IF(SUMIFS(T_PlannedOrders[EffectiveQty],T_PlannedOrders[Part Name],$A7,T_PlannedOrders[WeekIndex],61)=0,"",SUMIFS(T_PlannedOrders[EffectiveQty],T_PlannedOrders[Part Name],$A7,T_PlannedOrders[WeekIndex],61)&amp;" ("&amp;TEXT(SUMPRODUCT(MAX((T_PlannedOrders[Part Name]=$A7)*(T_PlannedOrders[WeekIndex]=61)*(T_PlannedOrders[EffectiveQty]&gt;0)*T_PlannedOrders[Order_Month])),"m月")&amp;"発注)")</f>
        <v/>
      </c>
      <c r="BM13">
        <f>IF(SUMIFS(T_PlannedOrders[EffectiveQty],T_PlannedOrders[Part Name],$A7,T_PlannedOrders[WeekIndex],62)=0,"",SUMIFS(T_PlannedOrders[EffectiveQty],T_PlannedOrders[Part Name],$A7,T_PlannedOrders[WeekIndex],62)&amp;" ("&amp;TEXT(SUMPRODUCT(MAX((T_PlannedOrders[Part Name]=$A7)*(T_PlannedOrders[WeekIndex]=62)*(T_PlannedOrders[EffectiveQty]&gt;0)*T_PlannedOrders[Order_Month])),"m月")&amp;"発注)")</f>
        <v/>
      </c>
      <c r="BN13">
        <f>IF(SUMIFS(T_PlannedOrders[EffectiveQty],T_PlannedOrders[Part Name],$A7,T_PlannedOrders[WeekIndex],63)=0,"",SUMIFS(T_PlannedOrders[EffectiveQty],T_PlannedOrders[Part Name],$A7,T_PlannedOrders[WeekIndex],63)&amp;" ("&amp;TEXT(SUMPRODUCT(MAX((T_PlannedOrders[Part Name]=$A7)*(T_PlannedOrders[WeekIndex]=63)*(T_PlannedOrders[EffectiveQty]&gt;0)*T_PlannedOrders[Order_Month])),"m月")&amp;"発注)")</f>
        <v/>
      </c>
      <c r="BO13">
        <f>IF(SUMIFS(T_PlannedOrders[EffectiveQty],T_PlannedOrders[Part Name],$A7,T_PlannedOrders[WeekIndex],64)=0,"",SUMIFS(T_PlannedOrders[EffectiveQty],T_PlannedOrders[Part Name],$A7,T_PlannedOrders[WeekIndex],64)&amp;" ("&amp;TEXT(SUMPRODUCT(MAX((T_PlannedOrders[Part Name]=$A7)*(T_PlannedOrders[WeekIndex]=64)*(T_PlannedOrders[EffectiveQty]&gt;0)*T_PlannedOrders[Order_Month])),"m月")&amp;"発注)")</f>
        <v/>
      </c>
      <c r="BP13">
        <f>IF(SUMIFS(T_PlannedOrders[EffectiveQty],T_PlannedOrders[Part Name],$A7,T_PlannedOrders[WeekIndex],65)=0,"",SUMIFS(T_PlannedOrders[EffectiveQty],T_PlannedOrders[Part Name],$A7,T_PlannedOrders[WeekIndex],65)&amp;" ("&amp;TEXT(SUMPRODUCT(MAX((T_PlannedOrders[Part Name]=$A7)*(T_PlannedOrders[WeekIndex]=65)*(T_PlannedOrders[EffectiveQty]&gt;0)*T_PlannedOrders[Order_Month])),"m月")&amp;"発注)")</f>
        <v/>
      </c>
      <c r="BQ13">
        <f>IF(SUMIFS(T_PlannedOrders[EffectiveQty],T_PlannedOrders[Part Name],$A7,T_PlannedOrders[WeekIndex],66)=0,"",SUMIFS(T_PlannedOrders[EffectiveQty],T_PlannedOrders[Part Name],$A7,T_PlannedOrders[WeekIndex],66)&amp;" ("&amp;TEXT(SUMPRODUCT(MAX((T_PlannedOrders[Part Name]=$A7)*(T_PlannedOrders[WeekIndex]=66)*(T_PlannedOrders[EffectiveQty]&gt;0)*T_PlannedOrders[Order_Month])),"m月")&amp;"発注)")</f>
        <v/>
      </c>
      <c r="BR13">
        <f>IF(SUMIFS(T_PlannedOrders[EffectiveQty],T_PlannedOrders[Part Name],$A7,T_PlannedOrders[WeekIndex],67)=0,"",SUMIFS(T_PlannedOrders[EffectiveQty],T_PlannedOrders[Part Name],$A7,T_PlannedOrders[WeekIndex],67)&amp;" ("&amp;TEXT(SUMPRODUCT(MAX((T_PlannedOrders[Part Name]=$A7)*(T_PlannedOrders[WeekIndex]=67)*(T_PlannedOrders[EffectiveQty]&gt;0)*T_PlannedOrders[Order_Month])),"m月")&amp;"発注)")</f>
        <v/>
      </c>
      <c r="BS13">
        <f>IF(SUMIFS(T_PlannedOrders[EffectiveQty],T_PlannedOrders[Part Name],$A7,T_PlannedOrders[WeekIndex],68)=0,"",SUMIFS(T_PlannedOrders[EffectiveQty],T_PlannedOrders[Part Name],$A7,T_PlannedOrders[WeekIndex],68)&amp;" ("&amp;TEXT(SUMPRODUCT(MAX((T_PlannedOrders[Part Name]=$A7)*(T_PlannedOrders[WeekIndex]=68)*(T_PlannedOrders[EffectiveQty]&gt;0)*T_PlannedOrders[Order_Month])),"m月")&amp;"発注)")</f>
        <v/>
      </c>
      <c r="BT13">
        <f>IF(SUMIFS(T_PlannedOrders[EffectiveQty],T_PlannedOrders[Part Name],$A7,T_PlannedOrders[WeekIndex],69)=0,"",SUMIFS(T_PlannedOrders[EffectiveQty],T_PlannedOrders[Part Name],$A7,T_PlannedOrders[WeekIndex],69)&amp;" ("&amp;TEXT(SUMPRODUCT(MAX((T_PlannedOrders[Part Name]=$A7)*(T_PlannedOrders[WeekIndex]=69)*(T_PlannedOrders[EffectiveQty]&gt;0)*T_PlannedOrders[Order_Month])),"m月")&amp;"発注)")</f>
        <v/>
      </c>
      <c r="BU13">
        <f>IF(SUMIFS(T_PlannedOrders[EffectiveQty],T_PlannedOrders[Part Name],$A7,T_PlannedOrders[WeekIndex],70)=0,"",SUMIFS(T_PlannedOrders[EffectiveQty],T_PlannedOrders[Part Name],$A7,T_PlannedOrders[WeekIndex],70)&amp;" ("&amp;TEXT(SUMPRODUCT(MAX((T_PlannedOrders[Part Name]=$A7)*(T_PlannedOrders[WeekIndex]=70)*(T_PlannedOrders[EffectiveQty]&gt;0)*T_PlannedOrders[Order_Month])),"m月")&amp;"発注)")</f>
        <v/>
      </c>
      <c r="BV13">
        <f>IF(SUMIFS(T_PlannedOrders[EffectiveQty],T_PlannedOrders[Part Name],$A7,T_PlannedOrders[WeekIndex],71)=0,"",SUMIFS(T_PlannedOrders[EffectiveQty],T_PlannedOrders[Part Name],$A7,T_PlannedOrders[WeekIndex],71)&amp;" ("&amp;TEXT(SUMPRODUCT(MAX((T_PlannedOrders[Part Name]=$A7)*(T_PlannedOrders[WeekIndex]=71)*(T_PlannedOrders[EffectiveQty]&gt;0)*T_PlannedOrders[Order_Month])),"m月")&amp;"発注)")</f>
        <v/>
      </c>
      <c r="BW13">
        <f>IF(SUMIFS(T_PlannedOrders[EffectiveQty],T_PlannedOrders[Part Name],$A7,T_PlannedOrders[WeekIndex],72)=0,"",SUMIFS(T_PlannedOrders[EffectiveQty],T_PlannedOrders[Part Name],$A7,T_PlannedOrders[WeekIndex],72)&amp;" ("&amp;TEXT(SUMPRODUCT(MAX((T_PlannedOrders[Part Name]=$A7)*(T_PlannedOrders[WeekIndex]=72)*(T_PlannedOrders[EffectiveQty]&gt;0)*T_PlannedOrders[Order_Month])),"m月")&amp;"発注)")</f>
        <v/>
      </c>
      <c r="BX13">
        <f>IF(SUMIFS(T_PlannedOrders[EffectiveQty],T_PlannedOrders[Part Name],$A7,T_PlannedOrders[WeekIndex],73)=0,"",SUMIFS(T_PlannedOrders[EffectiveQty],T_PlannedOrders[Part Name],$A7,T_PlannedOrders[WeekIndex],73)&amp;" ("&amp;TEXT(SUMPRODUCT(MAX((T_PlannedOrders[Part Name]=$A7)*(T_PlannedOrders[WeekIndex]=73)*(T_PlannedOrders[EffectiveQty]&gt;0)*T_PlannedOrders[Order_Month])),"m月")&amp;"発注)")</f>
        <v/>
      </c>
      <c r="BY13">
        <f>IF(SUMIFS(T_PlannedOrders[EffectiveQty],T_PlannedOrders[Part Name],$A7,T_PlannedOrders[WeekIndex],74)=0,"",SUMIFS(T_PlannedOrders[EffectiveQty],T_PlannedOrders[Part Name],$A7,T_PlannedOrders[WeekIndex],74)&amp;" ("&amp;TEXT(SUMPRODUCT(MAX((T_PlannedOrders[Part Name]=$A7)*(T_PlannedOrders[WeekIndex]=74)*(T_PlannedOrders[EffectiveQty]&gt;0)*T_PlannedOrders[Order_Month])),"m月")&amp;"発注)")</f>
        <v/>
      </c>
      <c r="BZ13">
        <f>IF(SUMIFS(T_PlannedOrders[EffectiveQty],T_PlannedOrders[Part Name],$A7,T_PlannedOrders[WeekIndex],75)=0,"",SUMIFS(T_PlannedOrders[EffectiveQty],T_PlannedOrders[Part Name],$A7,T_PlannedOrders[WeekIndex],75)&amp;" ("&amp;TEXT(SUMPRODUCT(MAX((T_PlannedOrders[Part Name]=$A7)*(T_PlannedOrders[WeekIndex]=75)*(T_PlannedOrders[EffectiveQty]&gt;0)*T_PlannedOrders[Order_Month])),"m月")&amp;"発注)")</f>
        <v/>
      </c>
      <c r="CA13">
        <f>IF(SUMIFS(T_PlannedOrders[EffectiveQty],T_PlannedOrders[Part Name],$A7,T_PlannedOrders[WeekIndex],76)=0,"",SUMIFS(T_PlannedOrders[EffectiveQty],T_PlannedOrders[Part Name],$A7,T_PlannedOrders[WeekIndex],76)&amp;" ("&amp;TEXT(SUMPRODUCT(MAX((T_PlannedOrders[Part Name]=$A7)*(T_PlannedOrders[WeekIndex]=76)*(T_PlannedOrders[EffectiveQty]&gt;0)*T_PlannedOrders[Order_Month])),"m月")&amp;"発注)")</f>
        <v/>
      </c>
      <c r="CB13">
        <f>IF(SUMIFS(T_PlannedOrders[EffectiveQty],T_PlannedOrders[Part Name],$A7,T_PlannedOrders[WeekIndex],77)=0,"",SUMIFS(T_PlannedOrders[EffectiveQty],T_PlannedOrders[Part Name],$A7,T_PlannedOrders[WeekIndex],77)&amp;" ("&amp;TEXT(SUMPRODUCT(MAX((T_PlannedOrders[Part Name]=$A7)*(T_PlannedOrders[WeekIndex]=77)*(T_PlannedOrders[EffectiveQty]&gt;0)*T_PlannedOrders[Order_Month])),"m月")&amp;"発注)")</f>
        <v/>
      </c>
      <c r="CC13">
        <f>IF(SUMIFS(T_PlannedOrders[EffectiveQty],T_PlannedOrders[Part Name],$A7,T_PlannedOrders[WeekIndex],78)=0,"",SUMIFS(T_PlannedOrders[EffectiveQty],T_PlannedOrders[Part Name],$A7,T_PlannedOrders[WeekIndex],78)&amp;" ("&amp;TEXT(SUMPRODUCT(MAX((T_PlannedOrders[Part Name]=$A7)*(T_PlannedOrders[WeekIndex]=78)*(T_PlannedOrders[EffectiveQty]&gt;0)*T_PlannedOrders[Order_Month])),"m月")&amp;"発注)")</f>
        <v/>
      </c>
      <c r="CD13">
        <f>IF(SUMIFS(T_PlannedOrders[EffectiveQty],T_PlannedOrders[Part Name],$A7,T_PlannedOrders[WeekIndex],79)=0,"",SUMIFS(T_PlannedOrders[EffectiveQty],T_PlannedOrders[Part Name],$A7,T_PlannedOrders[WeekIndex],79)&amp;" ("&amp;TEXT(SUMPRODUCT(MAX((T_PlannedOrders[Part Name]=$A7)*(T_PlannedOrders[WeekIndex]=79)*(T_PlannedOrders[EffectiveQty]&gt;0)*T_PlannedOrders[Order_Month])),"m月")&amp;"発注)")</f>
        <v/>
      </c>
      <c r="CE13">
        <f>IF(SUMIFS(T_PlannedOrders[EffectiveQty],T_PlannedOrders[Part Name],$A7,T_PlannedOrders[WeekIndex],80)=0,"",SUMIFS(T_PlannedOrders[EffectiveQty],T_PlannedOrders[Part Name],$A7,T_PlannedOrders[WeekIndex],80)&amp;" ("&amp;TEXT(SUMPRODUCT(MAX((T_PlannedOrders[Part Name]=$A7)*(T_PlannedOrders[WeekIndex]=80)*(T_PlannedOrders[EffectiveQty]&gt;0)*T_PlannedOrders[Order_Month])),"m月")&amp;"発注)")</f>
        <v/>
      </c>
      <c r="CF13">
        <f>IF(SUMIFS(T_PlannedOrders[EffectiveQty],T_PlannedOrders[Part Name],$A7,T_PlannedOrders[WeekIndex],81)=0,"",SUMIFS(T_PlannedOrders[EffectiveQty],T_PlannedOrders[Part Name],$A7,T_PlannedOrders[WeekIndex],81)&amp;" ("&amp;TEXT(SUMPRODUCT(MAX((T_PlannedOrders[Part Name]=$A7)*(T_PlannedOrders[WeekIndex]=81)*(T_PlannedOrders[EffectiveQty]&gt;0)*T_PlannedOrders[Order_Month])),"m月")&amp;"発注)")</f>
        <v/>
      </c>
      <c r="CG13">
        <f>IF(SUMIFS(T_PlannedOrders[EffectiveQty],T_PlannedOrders[Part Name],$A7,T_PlannedOrders[WeekIndex],82)=0,"",SUMIFS(T_PlannedOrders[EffectiveQty],T_PlannedOrders[Part Name],$A7,T_PlannedOrders[WeekIndex],82)&amp;" ("&amp;TEXT(SUMPRODUCT(MAX((T_PlannedOrders[Part Name]=$A7)*(T_PlannedOrders[WeekIndex]=82)*(T_PlannedOrders[EffectiveQty]&gt;0)*T_PlannedOrders[Order_Month])),"m月")&amp;"発注)")</f>
        <v/>
      </c>
      <c r="CH13">
        <f>IF(SUMIFS(T_PlannedOrders[EffectiveQty],T_PlannedOrders[Part Name],$A7,T_PlannedOrders[WeekIndex],83)=0,"",SUMIFS(T_PlannedOrders[EffectiveQty],T_PlannedOrders[Part Name],$A7,T_PlannedOrders[WeekIndex],83)&amp;" ("&amp;TEXT(SUMPRODUCT(MAX((T_PlannedOrders[Part Name]=$A7)*(T_PlannedOrders[WeekIndex]=83)*(T_PlannedOrders[EffectiveQty]&gt;0)*T_PlannedOrders[Order_Month])),"m月")&amp;"発注)")</f>
        <v/>
      </c>
      <c r="CI13">
        <f>IF(SUMIFS(T_PlannedOrders[EffectiveQty],T_PlannedOrders[Part Name],$A7,T_PlannedOrders[WeekIndex],84)=0,"",SUMIFS(T_PlannedOrders[EffectiveQty],T_PlannedOrders[Part Name],$A7,T_PlannedOrders[WeekIndex],84)&amp;" ("&amp;TEXT(SUMPRODUCT(MAX((T_PlannedOrders[Part Name]=$A7)*(T_PlannedOrders[WeekIndex]=84)*(T_PlannedOrders[EffectiveQty]&gt;0)*T_PlannedOrders[Order_Month])),"m月")&amp;"発注)")</f>
        <v/>
      </c>
      <c r="CJ13">
        <f>IF(SUMIFS(T_PlannedOrders[EffectiveQty],T_PlannedOrders[Part Name],$A7,T_PlannedOrders[WeekIndex],85)=0,"",SUMIFS(T_PlannedOrders[EffectiveQty],T_PlannedOrders[Part Name],$A7,T_PlannedOrders[WeekIndex],85)&amp;" ("&amp;TEXT(SUMPRODUCT(MAX((T_PlannedOrders[Part Name]=$A7)*(T_PlannedOrders[WeekIndex]=85)*(T_PlannedOrders[EffectiveQty]&gt;0)*T_PlannedOrders[Order_Month])),"m月")&amp;"発注)")</f>
        <v/>
      </c>
      <c r="CK13">
        <f>IF(SUMIFS(T_PlannedOrders[EffectiveQty],T_PlannedOrders[Part Name],$A7,T_PlannedOrders[WeekIndex],86)=0,"",SUMIFS(T_PlannedOrders[EffectiveQty],T_PlannedOrders[Part Name],$A7,T_PlannedOrders[WeekIndex],86)&amp;" ("&amp;TEXT(SUMPRODUCT(MAX((T_PlannedOrders[Part Name]=$A7)*(T_PlannedOrders[WeekIndex]=86)*(T_PlannedOrders[EffectiveQty]&gt;0)*T_PlannedOrders[Order_Month])),"m月")&amp;"発注)")</f>
        <v/>
      </c>
      <c r="CL13">
        <f>IF(SUMIFS(T_PlannedOrders[EffectiveQty],T_PlannedOrders[Part Name],$A7,T_PlannedOrders[WeekIndex],87)=0,"",SUMIFS(T_PlannedOrders[EffectiveQty],T_PlannedOrders[Part Name],$A7,T_PlannedOrders[WeekIndex],87)&amp;" ("&amp;TEXT(SUMPRODUCT(MAX((T_PlannedOrders[Part Name]=$A7)*(T_PlannedOrders[WeekIndex]=87)*(T_PlannedOrders[EffectiveQty]&gt;0)*T_PlannedOrders[Order_Month])),"m月")&amp;"発注)")</f>
        <v/>
      </c>
      <c r="CM13">
        <f>IF(SUMIFS(T_PlannedOrders[EffectiveQty],T_PlannedOrders[Part Name],$A7,T_PlannedOrders[WeekIndex],88)=0,"",SUMIFS(T_PlannedOrders[EffectiveQty],T_PlannedOrders[Part Name],$A7,T_PlannedOrders[WeekIndex],88)&amp;" ("&amp;TEXT(SUMPRODUCT(MAX((T_PlannedOrders[Part Name]=$A7)*(T_PlannedOrders[WeekIndex]=88)*(T_PlannedOrders[EffectiveQty]&gt;0)*T_PlannedOrders[Order_Month])),"m月")&amp;"発注)")</f>
        <v/>
      </c>
      <c r="CN13">
        <f>IF(SUMIFS(T_PlannedOrders[EffectiveQty],T_PlannedOrders[Part Name],$A7,T_PlannedOrders[WeekIndex],89)=0,"",SUMIFS(T_PlannedOrders[EffectiveQty],T_PlannedOrders[Part Name],$A7,T_PlannedOrders[WeekIndex],89)&amp;" ("&amp;TEXT(SUMPRODUCT(MAX((T_PlannedOrders[Part Name]=$A7)*(T_PlannedOrders[WeekIndex]=89)*(T_PlannedOrders[EffectiveQty]&gt;0)*T_PlannedOrders[Order_Month])),"m月")&amp;"発注)")</f>
        <v/>
      </c>
      <c r="CO13">
        <f>IF(SUMIFS(T_PlannedOrders[EffectiveQty],T_PlannedOrders[Part Name],$A7,T_PlannedOrders[WeekIndex],90)=0,"",SUMIFS(T_PlannedOrders[EffectiveQty],T_PlannedOrders[Part Name],$A7,T_PlannedOrders[WeekIndex],90)&amp;" ("&amp;TEXT(SUMPRODUCT(MAX((T_PlannedOrders[Part Name]=$A7)*(T_PlannedOrders[WeekIndex]=90)*(T_PlannedOrders[EffectiveQty]&gt;0)*T_PlannedOrders[Order_Month])),"m月")&amp;"発注)")</f>
        <v/>
      </c>
      <c r="CP13">
        <f>IF(SUMIFS(T_PlannedOrders[EffectiveQty],T_PlannedOrders[Part Name],$A7,T_PlannedOrders[WeekIndex],91)=0,"",SUMIFS(T_PlannedOrders[EffectiveQty],T_PlannedOrders[Part Name],$A7,T_PlannedOrders[WeekIndex],91)&amp;" ("&amp;TEXT(SUMPRODUCT(MAX((T_PlannedOrders[Part Name]=$A7)*(T_PlannedOrders[WeekIndex]=91)*(T_PlannedOrders[EffectiveQty]&gt;0)*T_PlannedOrders[Order_Month])),"m月")&amp;"発注)")</f>
        <v/>
      </c>
      <c r="CQ13">
        <f>IF(SUMIFS(T_PlannedOrders[EffectiveQty],T_PlannedOrders[Part Name],$A7,T_PlannedOrders[WeekIndex],92)=0,"",SUMIFS(T_PlannedOrders[EffectiveQty],T_PlannedOrders[Part Name],$A7,T_PlannedOrders[WeekIndex],92)&amp;" ("&amp;TEXT(SUMPRODUCT(MAX((T_PlannedOrders[Part Name]=$A7)*(T_PlannedOrders[WeekIndex]=92)*(T_PlannedOrders[EffectiveQty]&gt;0)*T_PlannedOrders[Order_Month])),"m月")&amp;"発注)")</f>
        <v/>
      </c>
      <c r="CR13">
        <f>IF(SUMIFS(T_PlannedOrders[EffectiveQty],T_PlannedOrders[Part Name],$A7,T_PlannedOrders[WeekIndex],93)=0,"",SUMIFS(T_PlannedOrders[EffectiveQty],T_PlannedOrders[Part Name],$A7,T_PlannedOrders[WeekIndex],93)&amp;" ("&amp;TEXT(SUMPRODUCT(MAX((T_PlannedOrders[Part Name]=$A7)*(T_PlannedOrders[WeekIndex]=93)*(T_PlannedOrders[EffectiveQty]&gt;0)*T_PlannedOrders[Order_Month])),"m月")&amp;"発注)")</f>
        <v/>
      </c>
      <c r="CS13">
        <f>IF(SUMIFS(T_PlannedOrders[EffectiveQty],T_PlannedOrders[Part Name],$A7,T_PlannedOrders[WeekIndex],94)=0,"",SUMIFS(T_PlannedOrders[EffectiveQty],T_PlannedOrders[Part Name],$A7,T_PlannedOrders[WeekIndex],94)&amp;" ("&amp;TEXT(SUMPRODUCT(MAX((T_PlannedOrders[Part Name]=$A7)*(T_PlannedOrders[WeekIndex]=94)*(T_PlannedOrders[EffectiveQty]&gt;0)*T_PlannedOrders[Order_Month])),"m月")&amp;"発注)")</f>
        <v/>
      </c>
      <c r="CT13">
        <f>IF(SUMIFS(T_PlannedOrders[EffectiveQty],T_PlannedOrders[Part Name],$A7,T_PlannedOrders[WeekIndex],95)=0,"",SUMIFS(T_PlannedOrders[EffectiveQty],T_PlannedOrders[Part Name],$A7,T_PlannedOrders[WeekIndex],95)&amp;" ("&amp;TEXT(SUMPRODUCT(MAX((T_PlannedOrders[Part Name]=$A7)*(T_PlannedOrders[WeekIndex]=95)*(T_PlannedOrders[EffectiveQty]&gt;0)*T_PlannedOrders[Order_Month])),"m月")&amp;"発注)")</f>
        <v/>
      </c>
      <c r="CU13">
        <f>IF(SUMIFS(T_PlannedOrders[EffectiveQty],T_PlannedOrders[Part Name],$A7,T_PlannedOrders[WeekIndex],96)=0,"",SUMIFS(T_PlannedOrders[EffectiveQty],T_PlannedOrders[Part Name],$A7,T_PlannedOrders[WeekIndex],96)&amp;" ("&amp;TEXT(SUMPRODUCT(MAX((T_PlannedOrders[Part Name]=$A7)*(T_PlannedOrders[WeekIndex]=96)*(T_PlannedOrders[EffectiveQty]&gt;0)*T_PlannedOrders[Order_Month])),"m月")&amp;"発注)")</f>
        <v/>
      </c>
      <c r="CV13">
        <f>IF(SUMIFS(T_PlannedOrders[EffectiveQty],T_PlannedOrders[Part Name],$A7,T_PlannedOrders[WeekIndex],97)=0,"",SUMIFS(T_PlannedOrders[EffectiveQty],T_PlannedOrders[Part Name],$A7,T_PlannedOrders[WeekIndex],97)&amp;" ("&amp;TEXT(SUMPRODUCT(MAX((T_PlannedOrders[Part Name]=$A7)*(T_PlannedOrders[WeekIndex]=97)*(T_PlannedOrders[EffectiveQty]&gt;0)*T_PlannedOrders[Order_Month])),"m月")&amp;"発注)")</f>
        <v/>
      </c>
      <c r="CW13">
        <f>IF(SUMIFS(T_PlannedOrders[EffectiveQty],T_PlannedOrders[Part Name],$A7,T_PlannedOrders[WeekIndex],98)=0,"",SUMIFS(T_PlannedOrders[EffectiveQty],T_PlannedOrders[Part Name],$A7,T_PlannedOrders[WeekIndex],98)&amp;" ("&amp;TEXT(SUMPRODUCT(MAX((T_PlannedOrders[Part Name]=$A7)*(T_PlannedOrders[WeekIndex]=98)*(T_PlannedOrders[EffectiveQty]&gt;0)*T_PlannedOrders[Order_Month])),"m月")&amp;"発注)")</f>
        <v/>
      </c>
      <c r="CX13">
        <f>IF(SUMIFS(T_PlannedOrders[EffectiveQty],T_PlannedOrders[Part Name],$A7,T_PlannedOrders[WeekIndex],99)=0,"",SUMIFS(T_PlannedOrders[EffectiveQty],T_PlannedOrders[Part Name],$A7,T_PlannedOrders[WeekIndex],99)&amp;" ("&amp;TEXT(SUMPRODUCT(MAX((T_PlannedOrders[Part Name]=$A7)*(T_PlannedOrders[WeekIndex]=99)*(T_PlannedOrders[EffectiveQty]&gt;0)*T_PlannedOrders[Order_Month])),"m月")&amp;"発注)")</f>
        <v/>
      </c>
      <c r="CY13">
        <f>IF(SUMIFS(T_PlannedOrders[EffectiveQty],T_PlannedOrders[Part Name],$A7,T_PlannedOrders[WeekIndex],100)=0,"",SUMIFS(T_PlannedOrders[EffectiveQty],T_PlannedOrders[Part Name],$A7,T_PlannedOrders[WeekIndex],100)&amp;" ("&amp;TEXT(SUMPRODUCT(MAX((T_PlannedOrders[Part Name]=$A7)*(T_PlannedOrders[WeekIndex]=100)*(T_PlannedOrders[EffectiveQty]&gt;0)*T_PlannedOrders[Order_Month])),"m月")&amp;"発注)")</f>
        <v/>
      </c>
      <c r="CZ13">
        <f>IF(SUMIFS(T_PlannedOrders[EffectiveQty],T_PlannedOrders[Part Name],$A7,T_PlannedOrders[WeekIndex],101)=0,"",SUMIFS(T_PlannedOrders[EffectiveQty],T_PlannedOrders[Part Name],$A7,T_PlannedOrders[WeekIndex],101)&amp;" ("&amp;TEXT(SUMPRODUCT(MAX((T_PlannedOrders[Part Name]=$A7)*(T_PlannedOrders[WeekIndex]=101)*(T_PlannedOrders[EffectiveQty]&gt;0)*T_PlannedOrders[Order_Month])),"m月")&amp;"発注)")</f>
        <v/>
      </c>
      <c r="DA13">
        <f>IF(SUMIFS(T_PlannedOrders[EffectiveQty],T_PlannedOrders[Part Name],$A7,T_PlannedOrders[WeekIndex],102)=0,"",SUMIFS(T_PlannedOrders[EffectiveQty],T_PlannedOrders[Part Name],$A7,T_PlannedOrders[WeekIndex],102)&amp;" ("&amp;TEXT(SUMPRODUCT(MAX((T_PlannedOrders[Part Name]=$A7)*(T_PlannedOrders[WeekIndex]=102)*(T_PlannedOrders[EffectiveQty]&gt;0)*T_PlannedOrders[Order_Month])),"m月")&amp;"発注)")</f>
        <v/>
      </c>
      <c r="DB13">
        <f>IF(SUMIFS(T_PlannedOrders[EffectiveQty],T_PlannedOrders[Part Name],$A7,T_PlannedOrders[WeekIndex],103)=0,"",SUMIFS(T_PlannedOrders[EffectiveQty],T_PlannedOrders[Part Name],$A7,T_PlannedOrders[WeekIndex],103)&amp;" ("&amp;TEXT(SUMPRODUCT(MAX((T_PlannedOrders[Part Name]=$A7)*(T_PlannedOrders[WeekIndex]=103)*(T_PlannedOrders[EffectiveQty]&gt;0)*T_PlannedOrders[Order_Month])),"m月")&amp;"発注)")</f>
        <v/>
      </c>
      <c r="DC13">
        <f>IF(SUMIFS(T_PlannedOrders[EffectiveQty],T_PlannedOrders[Part Name],$A7,T_PlannedOrders[WeekIndex],104)=0,"",SUMIFS(T_PlannedOrders[EffectiveQty],T_PlannedOrders[Part Name],$A7,T_PlannedOrders[WeekIndex],104)&amp;" ("&amp;TEXT(SUMPRODUCT(MAX((T_PlannedOrders[Part Name]=$A7)*(T_PlannedOrders[WeekIndex]=104)*(T_PlannedOrders[EffectiveQty]&gt;0)*T_PlannedOrders[Order_Month])),"m月")&amp;"発注)")</f>
        <v/>
      </c>
    </row>
    <row r="14">
      <c r="B14" s="5" t="inlineStr">
        <is>
          <t>合計在庫(週末時点,kg)</t>
        </is>
      </c>
      <c r="D14">
        <f>'Grid_Stock'!B15</f>
        <v/>
      </c>
      <c r="E14">
        <f>'Grid_Stock'!C15</f>
        <v/>
      </c>
      <c r="F14">
        <f>'Grid_Stock'!D15</f>
        <v/>
      </c>
      <c r="G14">
        <f>'Grid_Stock'!E15</f>
        <v/>
      </c>
      <c r="H14">
        <f>'Grid_Stock'!F15</f>
        <v/>
      </c>
      <c r="I14">
        <f>'Grid_Stock'!G15</f>
        <v/>
      </c>
      <c r="J14">
        <f>'Grid_Stock'!H15</f>
        <v/>
      </c>
      <c r="K14">
        <f>'Grid_Stock'!I15</f>
        <v/>
      </c>
      <c r="L14">
        <f>'Grid_Stock'!J15</f>
        <v/>
      </c>
      <c r="M14">
        <f>'Grid_Stock'!K15</f>
        <v/>
      </c>
      <c r="N14">
        <f>'Grid_Stock'!L15</f>
        <v/>
      </c>
      <c r="O14">
        <f>'Grid_Stock'!M15</f>
        <v/>
      </c>
      <c r="P14">
        <f>'Grid_Stock'!N15</f>
        <v/>
      </c>
      <c r="Q14">
        <f>'Grid_Stock'!O15</f>
        <v/>
      </c>
      <c r="R14">
        <f>'Grid_Stock'!P15</f>
        <v/>
      </c>
      <c r="S14">
        <f>'Grid_Stock'!Q15</f>
        <v/>
      </c>
      <c r="T14">
        <f>'Grid_Stock'!R15</f>
        <v/>
      </c>
      <c r="U14">
        <f>'Grid_Stock'!S15</f>
        <v/>
      </c>
      <c r="V14">
        <f>'Grid_Stock'!T15</f>
        <v/>
      </c>
      <c r="W14">
        <f>'Grid_Stock'!U15</f>
        <v/>
      </c>
      <c r="X14">
        <f>'Grid_Stock'!V15</f>
        <v/>
      </c>
      <c r="Y14">
        <f>'Grid_Stock'!W15</f>
        <v/>
      </c>
      <c r="Z14">
        <f>'Grid_Stock'!X15</f>
        <v/>
      </c>
      <c r="AA14">
        <f>'Grid_Stock'!Y15</f>
        <v/>
      </c>
      <c r="AB14">
        <f>'Grid_Stock'!Z15</f>
        <v/>
      </c>
      <c r="AC14">
        <f>'Grid_Stock'!AA15</f>
        <v/>
      </c>
      <c r="AD14">
        <f>'Grid_Stock'!AB15</f>
        <v/>
      </c>
      <c r="AE14">
        <f>'Grid_Stock'!AC15</f>
        <v/>
      </c>
      <c r="AF14">
        <f>'Grid_Stock'!AD15</f>
        <v/>
      </c>
      <c r="AG14">
        <f>'Grid_Stock'!AE15</f>
        <v/>
      </c>
      <c r="AH14">
        <f>'Grid_Stock'!AF15</f>
        <v/>
      </c>
      <c r="AI14">
        <f>'Grid_Stock'!AG15</f>
        <v/>
      </c>
      <c r="AJ14">
        <f>'Grid_Stock'!AH15</f>
        <v/>
      </c>
      <c r="AK14">
        <f>'Grid_Stock'!AI15</f>
        <v/>
      </c>
      <c r="AL14">
        <f>'Grid_Stock'!AJ15</f>
        <v/>
      </c>
      <c r="AM14">
        <f>'Grid_Stock'!AK15</f>
        <v/>
      </c>
      <c r="AN14">
        <f>'Grid_Stock'!AL15</f>
        <v/>
      </c>
      <c r="AO14">
        <f>'Grid_Stock'!AM15</f>
        <v/>
      </c>
      <c r="AP14">
        <f>'Grid_Stock'!AN15</f>
        <v/>
      </c>
      <c r="AQ14">
        <f>'Grid_Stock'!AO15</f>
        <v/>
      </c>
      <c r="AR14">
        <f>'Grid_Stock'!AP15</f>
        <v/>
      </c>
      <c r="AS14">
        <f>'Grid_Stock'!AQ15</f>
        <v/>
      </c>
      <c r="AT14">
        <f>'Grid_Stock'!AR15</f>
        <v/>
      </c>
      <c r="AU14">
        <f>'Grid_Stock'!AS15</f>
        <v/>
      </c>
      <c r="AV14">
        <f>'Grid_Stock'!AT15</f>
        <v/>
      </c>
      <c r="AW14">
        <f>'Grid_Stock'!AU15</f>
        <v/>
      </c>
      <c r="AX14">
        <f>'Grid_Stock'!AV15</f>
        <v/>
      </c>
      <c r="AY14">
        <f>'Grid_Stock'!AW15</f>
        <v/>
      </c>
      <c r="AZ14">
        <f>'Grid_Stock'!AX15</f>
        <v/>
      </c>
      <c r="BA14">
        <f>'Grid_Stock'!AY15</f>
        <v/>
      </c>
      <c r="BB14">
        <f>'Grid_Stock'!AZ15</f>
        <v/>
      </c>
      <c r="BC14">
        <f>'Grid_Stock'!BA15</f>
        <v/>
      </c>
      <c r="BD14">
        <f>'Grid_Stock'!BB15</f>
        <v/>
      </c>
      <c r="BE14">
        <f>'Grid_Stock'!BC15</f>
        <v/>
      </c>
      <c r="BF14">
        <f>'Grid_Stock'!BD15</f>
        <v/>
      </c>
      <c r="BG14">
        <f>'Grid_Stock'!BE15</f>
        <v/>
      </c>
      <c r="BH14">
        <f>'Grid_Stock'!BF15</f>
        <v/>
      </c>
      <c r="BI14">
        <f>'Grid_Stock'!BG15</f>
        <v/>
      </c>
      <c r="BJ14">
        <f>'Grid_Stock'!BH15</f>
        <v/>
      </c>
      <c r="BK14">
        <f>'Grid_Stock'!BI15</f>
        <v/>
      </c>
      <c r="BL14">
        <f>'Grid_Stock'!BJ15</f>
        <v/>
      </c>
      <c r="BM14">
        <f>'Grid_Stock'!BK15</f>
        <v/>
      </c>
      <c r="BN14">
        <f>'Grid_Stock'!BL15</f>
        <v/>
      </c>
      <c r="BO14">
        <f>'Grid_Stock'!BM15</f>
        <v/>
      </c>
      <c r="BP14">
        <f>'Grid_Stock'!BN15</f>
        <v/>
      </c>
      <c r="BQ14">
        <f>'Grid_Stock'!BO15</f>
        <v/>
      </c>
      <c r="BR14">
        <f>'Grid_Stock'!BP15</f>
        <v/>
      </c>
      <c r="BS14">
        <f>'Grid_Stock'!BQ15</f>
        <v/>
      </c>
      <c r="BT14">
        <f>'Grid_Stock'!BR15</f>
        <v/>
      </c>
      <c r="BU14">
        <f>'Grid_Stock'!BS15</f>
        <v/>
      </c>
      <c r="BV14">
        <f>'Grid_Stock'!BT15</f>
        <v/>
      </c>
      <c r="BW14">
        <f>'Grid_Stock'!BU15</f>
        <v/>
      </c>
      <c r="BX14">
        <f>'Grid_Stock'!BV15</f>
        <v/>
      </c>
      <c r="BY14">
        <f>'Grid_Stock'!BW15</f>
        <v/>
      </c>
      <c r="BZ14">
        <f>'Grid_Stock'!BX15</f>
        <v/>
      </c>
      <c r="CA14">
        <f>'Grid_Stock'!BY15</f>
        <v/>
      </c>
      <c r="CB14">
        <f>'Grid_Stock'!BZ15</f>
        <v/>
      </c>
      <c r="CC14">
        <f>'Grid_Stock'!CA15</f>
        <v/>
      </c>
      <c r="CD14">
        <f>'Grid_Stock'!CB15</f>
        <v/>
      </c>
      <c r="CE14">
        <f>'Grid_Stock'!CC15</f>
        <v/>
      </c>
      <c r="CF14">
        <f>'Grid_Stock'!CD15</f>
        <v/>
      </c>
      <c r="CG14">
        <f>'Grid_Stock'!CE15</f>
        <v/>
      </c>
      <c r="CH14">
        <f>'Grid_Stock'!CF15</f>
        <v/>
      </c>
      <c r="CI14">
        <f>'Grid_Stock'!CG15</f>
        <v/>
      </c>
      <c r="CJ14">
        <f>'Grid_Stock'!CH15</f>
        <v/>
      </c>
      <c r="CK14">
        <f>'Grid_Stock'!CI15</f>
        <v/>
      </c>
      <c r="CL14">
        <f>'Grid_Stock'!CJ15</f>
        <v/>
      </c>
      <c r="CM14">
        <f>'Grid_Stock'!CK15</f>
        <v/>
      </c>
      <c r="CN14">
        <f>'Grid_Stock'!CL15</f>
        <v/>
      </c>
      <c r="CO14">
        <f>'Grid_Stock'!CM15</f>
        <v/>
      </c>
      <c r="CP14">
        <f>'Grid_Stock'!CN15</f>
        <v/>
      </c>
      <c r="CQ14">
        <f>'Grid_Stock'!CO15</f>
        <v/>
      </c>
      <c r="CR14">
        <f>'Grid_Stock'!CP15</f>
        <v/>
      </c>
      <c r="CS14">
        <f>'Grid_Stock'!CQ15</f>
        <v/>
      </c>
      <c r="CT14">
        <f>'Grid_Stock'!CR15</f>
        <v/>
      </c>
      <c r="CU14">
        <f>'Grid_Stock'!CS15</f>
        <v/>
      </c>
      <c r="CV14">
        <f>'Grid_Stock'!CT15</f>
        <v/>
      </c>
      <c r="CW14">
        <f>'Grid_Stock'!CU15</f>
        <v/>
      </c>
      <c r="CX14">
        <f>'Grid_Stock'!CV15</f>
        <v/>
      </c>
      <c r="CY14">
        <f>'Grid_Stock'!CW15</f>
        <v/>
      </c>
      <c r="CZ14">
        <f>'Grid_Stock'!CX15</f>
        <v/>
      </c>
      <c r="DA14">
        <f>'Grid_Stock'!CY15</f>
        <v/>
      </c>
      <c r="DB14">
        <f>'Grid_Stock'!CZ15</f>
        <v/>
      </c>
      <c r="DC14">
        <f>'Grid_Stock'!DA15</f>
        <v/>
      </c>
    </row>
    <row r="15">
      <c r="B15" s="23" t="inlineStr">
        <is>
          <t>（発注の目安はDashboardの基準在庫[下限/上限]と色分けを参照）</t>
        </is>
      </c>
    </row>
    <row r="17">
      <c r="A17" s="21" t="inlineStr">
        <is>
          <t>7EP</t>
        </is>
      </c>
      <c r="B17" s="21" t="inlineStr">
        <is>
          <t>TTAF 44FK13093100</t>
        </is>
      </c>
      <c r="C17" s="22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  <c r="CA17" s="21" t="n"/>
      <c r="CB17" s="21" t="n"/>
      <c r="CC17" s="21" t="n"/>
      <c r="CD17" s="21" t="n"/>
      <c r="CE17" s="21" t="n"/>
      <c r="CF17" s="21" t="n"/>
      <c r="CG17" s="21" t="n"/>
      <c r="CH17" s="21" t="n"/>
      <c r="CI17" s="21" t="n"/>
      <c r="CJ17" s="21" t="n"/>
      <c r="CK17" s="21" t="n"/>
      <c r="CL17" s="21" t="n"/>
      <c r="CM17" s="21" t="n"/>
      <c r="CN17" s="21" t="n"/>
      <c r="CO17" s="21" t="n"/>
      <c r="CP17" s="21" t="n"/>
      <c r="CQ17" s="21" t="n"/>
      <c r="CR17" s="21" t="n"/>
      <c r="CS17" s="21" t="n"/>
      <c r="CT17" s="21" t="n"/>
      <c r="CU17" s="21" t="n"/>
      <c r="CV17" s="21" t="n"/>
      <c r="CW17" s="21" t="n"/>
      <c r="CX17" s="21" t="n"/>
      <c r="CY17" s="21" t="n"/>
      <c r="CZ17" s="21" t="n"/>
      <c r="DA17" s="21" t="n"/>
      <c r="DB17" s="21" t="n"/>
      <c r="DC17" s="21" t="n"/>
    </row>
    <row r="18">
      <c r="B18" t="inlineStr">
        <is>
          <t>0Q120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12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Name],$A17)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s="5" t="inlineStr">
        <is>
          <t>合計使用量(kg)/週</t>
        </is>
      </c>
      <c r="D20">
        <f>'Grid_Requirement'!B2</f>
        <v/>
      </c>
      <c r="E20">
        <f>'Grid_Requirement'!C2</f>
        <v/>
      </c>
      <c r="F20">
        <f>'Grid_Requirement'!D2</f>
        <v/>
      </c>
      <c r="G20">
        <f>'Grid_Requirement'!E2</f>
        <v/>
      </c>
      <c r="H20">
        <f>'Grid_Requirement'!F2</f>
        <v/>
      </c>
      <c r="I20">
        <f>'Grid_Requirement'!G2</f>
        <v/>
      </c>
      <c r="J20">
        <f>'Grid_Requirement'!H2</f>
        <v/>
      </c>
      <c r="K20">
        <f>'Grid_Requirement'!I2</f>
        <v/>
      </c>
      <c r="L20">
        <f>'Grid_Requirement'!J2</f>
        <v/>
      </c>
      <c r="M20">
        <f>'Grid_Requirement'!K2</f>
        <v/>
      </c>
      <c r="N20">
        <f>'Grid_Requirement'!L2</f>
        <v/>
      </c>
      <c r="O20">
        <f>'Grid_Requirement'!M2</f>
        <v/>
      </c>
      <c r="P20">
        <f>'Grid_Requirement'!N2</f>
        <v/>
      </c>
      <c r="Q20">
        <f>'Grid_Requirement'!O2</f>
        <v/>
      </c>
      <c r="R20">
        <f>'Grid_Requirement'!P2</f>
        <v/>
      </c>
      <c r="S20">
        <f>'Grid_Requirement'!Q2</f>
        <v/>
      </c>
      <c r="T20">
        <f>'Grid_Requirement'!R2</f>
        <v/>
      </c>
      <c r="U20">
        <f>'Grid_Requirement'!S2</f>
        <v/>
      </c>
      <c r="V20">
        <f>'Grid_Requirement'!T2</f>
        <v/>
      </c>
      <c r="W20">
        <f>'Grid_Requirement'!U2</f>
        <v/>
      </c>
      <c r="X20">
        <f>'Grid_Requirement'!V2</f>
        <v/>
      </c>
      <c r="Y20">
        <f>'Grid_Requirement'!W2</f>
        <v/>
      </c>
      <c r="Z20">
        <f>'Grid_Requirement'!X2</f>
        <v/>
      </c>
      <c r="AA20">
        <f>'Grid_Requirement'!Y2</f>
        <v/>
      </c>
      <c r="AB20">
        <f>'Grid_Requirement'!Z2</f>
        <v/>
      </c>
      <c r="AC20">
        <f>'Grid_Requirement'!AA2</f>
        <v/>
      </c>
      <c r="AD20">
        <f>'Grid_Requirement'!AB2</f>
        <v/>
      </c>
      <c r="AE20">
        <f>'Grid_Requirement'!AC2</f>
        <v/>
      </c>
      <c r="AF20">
        <f>'Grid_Requirement'!AD2</f>
        <v/>
      </c>
      <c r="AG20">
        <f>'Grid_Requirement'!AE2</f>
        <v/>
      </c>
      <c r="AH20">
        <f>'Grid_Requirement'!AF2</f>
        <v/>
      </c>
      <c r="AI20">
        <f>'Grid_Requirement'!AG2</f>
        <v/>
      </c>
      <c r="AJ20">
        <f>'Grid_Requirement'!AH2</f>
        <v/>
      </c>
      <c r="AK20">
        <f>'Grid_Requirement'!AI2</f>
        <v/>
      </c>
      <c r="AL20">
        <f>'Grid_Requirement'!AJ2</f>
        <v/>
      </c>
      <c r="AM20">
        <f>'Grid_Requirement'!AK2</f>
        <v/>
      </c>
      <c r="AN20">
        <f>'Grid_Requirement'!AL2</f>
        <v/>
      </c>
      <c r="AO20">
        <f>'Grid_Requirement'!AM2</f>
        <v/>
      </c>
      <c r="AP20">
        <f>'Grid_Requirement'!AN2</f>
        <v/>
      </c>
      <c r="AQ20">
        <f>'Grid_Requirement'!AO2</f>
        <v/>
      </c>
      <c r="AR20">
        <f>'Grid_Requirement'!AP2</f>
        <v/>
      </c>
      <c r="AS20">
        <f>'Grid_Requirement'!AQ2</f>
        <v/>
      </c>
      <c r="AT20">
        <f>'Grid_Requirement'!AR2</f>
        <v/>
      </c>
      <c r="AU20">
        <f>'Grid_Requirement'!AS2</f>
        <v/>
      </c>
      <c r="AV20">
        <f>'Grid_Requirement'!AT2</f>
        <v/>
      </c>
      <c r="AW20">
        <f>'Grid_Requirement'!AU2</f>
        <v/>
      </c>
      <c r="AX20">
        <f>'Grid_Requirement'!AV2</f>
        <v/>
      </c>
      <c r="AY20">
        <f>'Grid_Requirement'!AW2</f>
        <v/>
      </c>
      <c r="AZ20">
        <f>'Grid_Requirement'!AX2</f>
        <v/>
      </c>
      <c r="BA20">
        <f>'Grid_Requirement'!AY2</f>
        <v/>
      </c>
      <c r="BB20">
        <f>'Grid_Requirement'!AZ2</f>
        <v/>
      </c>
      <c r="BC20">
        <f>'Grid_Requirement'!BA2</f>
        <v/>
      </c>
      <c r="BD20">
        <f>'Grid_Requirement'!BB2</f>
        <v/>
      </c>
      <c r="BE20">
        <f>'Grid_Requirement'!BC2</f>
        <v/>
      </c>
      <c r="BF20">
        <f>'Grid_Requirement'!BD2</f>
        <v/>
      </c>
      <c r="BG20">
        <f>'Grid_Requirement'!BE2</f>
        <v/>
      </c>
      <c r="BH20">
        <f>'Grid_Requirement'!BF2</f>
        <v/>
      </c>
      <c r="BI20">
        <f>'Grid_Requirement'!BG2</f>
        <v/>
      </c>
      <c r="BJ20">
        <f>'Grid_Requirement'!BH2</f>
        <v/>
      </c>
      <c r="BK20">
        <f>'Grid_Requirement'!BI2</f>
        <v/>
      </c>
      <c r="BL20">
        <f>'Grid_Requirement'!BJ2</f>
        <v/>
      </c>
      <c r="BM20">
        <f>'Grid_Requirement'!BK2</f>
        <v/>
      </c>
      <c r="BN20">
        <f>'Grid_Requirement'!BL2</f>
        <v/>
      </c>
      <c r="BO20">
        <f>'Grid_Requirement'!BM2</f>
        <v/>
      </c>
      <c r="BP20">
        <f>'Grid_Requirement'!BN2</f>
        <v/>
      </c>
      <c r="BQ20">
        <f>'Grid_Requirement'!BO2</f>
        <v/>
      </c>
      <c r="BR20">
        <f>'Grid_Requirement'!BP2</f>
        <v/>
      </c>
      <c r="BS20">
        <f>'Grid_Requirement'!BQ2</f>
        <v/>
      </c>
      <c r="BT20">
        <f>'Grid_Requirement'!BR2</f>
        <v/>
      </c>
      <c r="BU20">
        <f>'Grid_Requirement'!BS2</f>
        <v/>
      </c>
      <c r="BV20">
        <f>'Grid_Requirement'!BT2</f>
        <v/>
      </c>
      <c r="BW20">
        <f>'Grid_Requirement'!BU2</f>
        <v/>
      </c>
      <c r="BX20">
        <f>'Grid_Requirement'!BV2</f>
        <v/>
      </c>
      <c r="BY20">
        <f>'Grid_Requirement'!BW2</f>
        <v/>
      </c>
      <c r="BZ20">
        <f>'Grid_Requirement'!BX2</f>
        <v/>
      </c>
      <c r="CA20">
        <f>'Grid_Requirement'!BY2</f>
        <v/>
      </c>
      <c r="CB20">
        <f>'Grid_Requirement'!BZ2</f>
        <v/>
      </c>
      <c r="CC20">
        <f>'Grid_Requirement'!CA2</f>
        <v/>
      </c>
      <c r="CD20">
        <f>'Grid_Requirement'!CB2</f>
        <v/>
      </c>
      <c r="CE20">
        <f>'Grid_Requirement'!CC2</f>
        <v/>
      </c>
      <c r="CF20">
        <f>'Grid_Requirement'!CD2</f>
        <v/>
      </c>
      <c r="CG20">
        <f>'Grid_Requirement'!CE2</f>
        <v/>
      </c>
      <c r="CH20">
        <f>'Grid_Requirement'!CF2</f>
        <v/>
      </c>
      <c r="CI20">
        <f>'Grid_Requirement'!CG2</f>
        <v/>
      </c>
      <c r="CJ20">
        <f>'Grid_Requirement'!CH2</f>
        <v/>
      </c>
      <c r="CK20">
        <f>'Grid_Requirement'!CI2</f>
        <v/>
      </c>
      <c r="CL20">
        <f>'Grid_Requirement'!CJ2</f>
        <v/>
      </c>
      <c r="CM20">
        <f>'Grid_Requirement'!CK2</f>
        <v/>
      </c>
      <c r="CN20">
        <f>'Grid_Requirement'!CL2</f>
        <v/>
      </c>
      <c r="CO20">
        <f>'Grid_Requirement'!CM2</f>
        <v/>
      </c>
      <c r="CP20">
        <f>'Grid_Requirement'!CN2</f>
        <v/>
      </c>
      <c r="CQ20">
        <f>'Grid_Requirement'!CO2</f>
        <v/>
      </c>
      <c r="CR20">
        <f>'Grid_Requirement'!CP2</f>
        <v/>
      </c>
      <c r="CS20">
        <f>'Grid_Requirement'!CQ2</f>
        <v/>
      </c>
      <c r="CT20">
        <f>'Grid_Requirement'!CR2</f>
        <v/>
      </c>
      <c r="CU20">
        <f>'Grid_Requirement'!CS2</f>
        <v/>
      </c>
      <c r="CV20">
        <f>'Grid_Requirement'!CT2</f>
        <v/>
      </c>
      <c r="CW20">
        <f>'Grid_Requirement'!CU2</f>
        <v/>
      </c>
      <c r="CX20">
        <f>'Grid_Requirement'!CV2</f>
        <v/>
      </c>
      <c r="CY20">
        <f>'Grid_Requirement'!CW2</f>
        <v/>
      </c>
      <c r="CZ20">
        <f>'Grid_Requirement'!CX2</f>
        <v/>
      </c>
      <c r="DA20">
        <f>'Grid_Requirement'!CY2</f>
        <v/>
      </c>
      <c r="DB20">
        <f>'Grid_Requirement'!CZ2</f>
        <v/>
      </c>
      <c r="DC20">
        <f>'Grid_Requirement'!DA2</f>
        <v/>
      </c>
    </row>
    <row r="21">
      <c r="B21" t="inlineStr">
        <is>
          <t>TTAF在庫(実績,kg)</t>
        </is>
      </c>
      <c r="D21">
        <f>'T_TTAFStock'!B6</f>
        <v/>
      </c>
      <c r="E21">
        <f>'T_TTAFStock'!C6</f>
        <v/>
      </c>
      <c r="F21">
        <f>'T_TTAFStock'!D6</f>
        <v/>
      </c>
      <c r="G21">
        <f>'T_TTAFStock'!E6</f>
        <v/>
      </c>
      <c r="H21">
        <f>'T_TTAFStock'!F6</f>
        <v/>
      </c>
      <c r="I21">
        <f>'T_TTAFStock'!G6</f>
        <v/>
      </c>
      <c r="J21">
        <f>'T_TTAFStock'!H6</f>
        <v/>
      </c>
      <c r="K21">
        <f>'T_TTAFStock'!I6</f>
        <v/>
      </c>
      <c r="L21">
        <f>'T_TTAFStock'!J6</f>
        <v/>
      </c>
      <c r="M21">
        <f>'T_TTAFStock'!K6</f>
        <v/>
      </c>
      <c r="N21">
        <f>'T_TTAFStock'!L6</f>
        <v/>
      </c>
      <c r="O21">
        <f>'T_TTAFStock'!M6</f>
        <v/>
      </c>
      <c r="P21">
        <f>'T_TTAFStock'!N6</f>
        <v/>
      </c>
      <c r="Q21">
        <f>'T_TTAFStock'!O6</f>
        <v/>
      </c>
      <c r="R21">
        <f>'T_TTAFStock'!P6</f>
        <v/>
      </c>
      <c r="S21">
        <f>'T_TTAFStock'!Q6</f>
        <v/>
      </c>
      <c r="T21">
        <f>'T_TTAFStock'!R6</f>
        <v/>
      </c>
      <c r="U21">
        <f>'T_TTAFStock'!S6</f>
        <v/>
      </c>
      <c r="V21">
        <f>'T_TTAFStock'!T6</f>
        <v/>
      </c>
      <c r="W21">
        <f>'T_TTAFStock'!U6</f>
        <v/>
      </c>
      <c r="X21">
        <f>'T_TTAFStock'!V6</f>
        <v/>
      </c>
      <c r="Y21">
        <f>'T_TTAFStock'!W6</f>
        <v/>
      </c>
      <c r="Z21">
        <f>'T_TTAFStock'!X6</f>
        <v/>
      </c>
      <c r="AA21">
        <f>'T_TTAFStock'!Y6</f>
        <v/>
      </c>
      <c r="AB21">
        <f>'T_TTAFStock'!Z6</f>
        <v/>
      </c>
      <c r="AC21">
        <f>'T_TTAFStock'!AA6</f>
        <v/>
      </c>
      <c r="AD21">
        <f>'T_TTAFStock'!AB6</f>
        <v/>
      </c>
      <c r="AE21">
        <f>'T_TTAFStock'!AC6</f>
        <v/>
      </c>
      <c r="AF21">
        <f>'T_TTAFStock'!AD6</f>
        <v/>
      </c>
      <c r="AG21">
        <f>'T_TTAFStock'!AE6</f>
        <v/>
      </c>
      <c r="AH21">
        <f>'T_TTAFStock'!AF6</f>
        <v/>
      </c>
      <c r="AI21">
        <f>'T_TTAFStock'!AG6</f>
        <v/>
      </c>
      <c r="AJ21">
        <f>'T_TTAFStock'!AH6</f>
        <v/>
      </c>
      <c r="AK21">
        <f>'T_TTAFStock'!AI6</f>
        <v/>
      </c>
      <c r="AL21">
        <f>'T_TTAFStock'!AJ6</f>
        <v/>
      </c>
      <c r="AM21">
        <f>'T_TTAFStock'!AK6</f>
        <v/>
      </c>
      <c r="AN21">
        <f>'T_TTAFStock'!AL6</f>
        <v/>
      </c>
      <c r="AO21">
        <f>'T_TTAFStock'!AM6</f>
        <v/>
      </c>
      <c r="AP21">
        <f>'T_TTAFStock'!AN6</f>
        <v/>
      </c>
      <c r="AQ21">
        <f>'T_TTAFStock'!AO6</f>
        <v/>
      </c>
      <c r="AR21">
        <f>'T_TTAFStock'!AP6</f>
        <v/>
      </c>
      <c r="AS21">
        <f>'T_TTAFStock'!AQ6</f>
        <v/>
      </c>
      <c r="AT21">
        <f>'T_TTAFStock'!AR6</f>
        <v/>
      </c>
      <c r="AU21">
        <f>'T_TTAFStock'!AS6</f>
        <v/>
      </c>
      <c r="AV21">
        <f>'T_TTAFStock'!AT6</f>
        <v/>
      </c>
      <c r="AW21">
        <f>'T_TTAFStock'!AU6</f>
        <v/>
      </c>
      <c r="AX21">
        <f>'T_TTAFStock'!AV6</f>
        <v/>
      </c>
      <c r="AY21">
        <f>'T_TTAFStock'!AW6</f>
        <v/>
      </c>
      <c r="AZ21">
        <f>'T_TTAFStock'!AX6</f>
        <v/>
      </c>
      <c r="BA21">
        <f>'T_TTAFStock'!AY6</f>
        <v/>
      </c>
      <c r="BB21">
        <f>'T_TTAFStock'!AZ6</f>
        <v/>
      </c>
      <c r="BC21">
        <f>'T_TTAFStock'!BA6</f>
        <v/>
      </c>
      <c r="BD21">
        <f>'T_TTAFStock'!BB6</f>
        <v/>
      </c>
      <c r="BE21">
        <f>'T_TTAFStock'!BC6</f>
        <v/>
      </c>
      <c r="BF21">
        <f>'T_TTAFStock'!BD6</f>
        <v/>
      </c>
      <c r="BG21">
        <f>'T_TTAFStock'!BE6</f>
        <v/>
      </c>
      <c r="BH21">
        <f>'T_TTAFStock'!BF6</f>
        <v/>
      </c>
      <c r="BI21">
        <f>'T_TTAFStock'!BG6</f>
        <v/>
      </c>
      <c r="BJ21">
        <f>'T_TTAFStock'!BH6</f>
        <v/>
      </c>
      <c r="BK21">
        <f>'T_TTAFStock'!BI6</f>
        <v/>
      </c>
      <c r="BL21">
        <f>'T_TTAFStock'!BJ6</f>
        <v/>
      </c>
      <c r="BM21">
        <f>'T_TTAFStock'!BK6</f>
        <v/>
      </c>
      <c r="BN21">
        <f>'T_TTAFStock'!BL6</f>
        <v/>
      </c>
      <c r="BO21">
        <f>'T_TTAFStock'!BM6</f>
        <v/>
      </c>
      <c r="BP21">
        <f>'T_TTAFStock'!BN6</f>
        <v/>
      </c>
      <c r="BQ21">
        <f>'T_TTAFStock'!BO6</f>
        <v/>
      </c>
      <c r="BR21">
        <f>'T_TTAFStock'!BP6</f>
        <v/>
      </c>
      <c r="BS21">
        <f>'T_TTAFStock'!BQ6</f>
        <v/>
      </c>
      <c r="BT21">
        <f>'T_TTAFStock'!BR6</f>
        <v/>
      </c>
      <c r="BU21">
        <f>'T_TTAFStock'!BS6</f>
        <v/>
      </c>
      <c r="BV21">
        <f>'T_TTAFStock'!BT6</f>
        <v/>
      </c>
      <c r="BW21">
        <f>'T_TTAFStock'!BU6</f>
        <v/>
      </c>
      <c r="BX21">
        <f>'T_TTAFStock'!BV6</f>
        <v/>
      </c>
      <c r="BY21">
        <f>'T_TTAFStock'!BW6</f>
        <v/>
      </c>
      <c r="BZ21">
        <f>'T_TTAFStock'!BX6</f>
        <v/>
      </c>
      <c r="CA21">
        <f>'T_TTAFStock'!BY6</f>
        <v/>
      </c>
      <c r="CB21">
        <f>'T_TTAFStock'!BZ6</f>
        <v/>
      </c>
      <c r="CC21">
        <f>'T_TTAFStock'!CA6</f>
        <v/>
      </c>
      <c r="CD21">
        <f>'T_TTAFStock'!CB6</f>
        <v/>
      </c>
      <c r="CE21">
        <f>'T_TTAFStock'!CC6</f>
        <v/>
      </c>
      <c r="CF21">
        <f>'T_TTAFStock'!CD6</f>
        <v/>
      </c>
      <c r="CG21">
        <f>'T_TTAFStock'!CE6</f>
        <v/>
      </c>
      <c r="CH21">
        <f>'T_TTAFStock'!CF6</f>
        <v/>
      </c>
      <c r="CI21">
        <f>'T_TTAFStock'!CG6</f>
        <v/>
      </c>
      <c r="CJ21">
        <f>'T_TTAFStock'!CH6</f>
        <v/>
      </c>
      <c r="CK21">
        <f>'T_TTAFStock'!CI6</f>
        <v/>
      </c>
      <c r="CL21">
        <f>'T_TTAFStock'!CJ6</f>
        <v/>
      </c>
      <c r="CM21">
        <f>'T_TTAFStock'!CK6</f>
        <v/>
      </c>
      <c r="CN21">
        <f>'T_TTAFStock'!CL6</f>
        <v/>
      </c>
      <c r="CO21">
        <f>'T_TTAFStock'!CM6</f>
        <v/>
      </c>
      <c r="CP21">
        <f>'T_TTAFStock'!CN6</f>
        <v/>
      </c>
      <c r="CQ21">
        <f>'T_TTAFStock'!CO6</f>
        <v/>
      </c>
      <c r="CR21">
        <f>'T_TTAFStock'!CP6</f>
        <v/>
      </c>
      <c r="CS21">
        <f>'T_TTAFStock'!CQ6</f>
        <v/>
      </c>
      <c r="CT21">
        <f>'T_TTAFStock'!CR6</f>
        <v/>
      </c>
      <c r="CU21">
        <f>'T_TTAFStock'!CS6</f>
        <v/>
      </c>
      <c r="CV21">
        <f>'T_TTAFStock'!CT6</f>
        <v/>
      </c>
      <c r="CW21">
        <f>'T_TTAFStock'!CU6</f>
        <v/>
      </c>
      <c r="CX21">
        <f>'T_TTAFStock'!CV6</f>
        <v/>
      </c>
      <c r="CY21">
        <f>'T_TTAFStock'!CW6</f>
        <v/>
      </c>
      <c r="CZ21">
        <f>'T_TTAFStock'!CX6</f>
        <v/>
      </c>
      <c r="DA21">
        <f>'T_TTAFStock'!CY6</f>
        <v/>
      </c>
      <c r="DB21">
        <f>'T_TTAFStock'!CZ6</f>
        <v/>
      </c>
      <c r="DC21">
        <f>'T_TTAFStock'!DA6</f>
        <v/>
      </c>
    </row>
    <row r="22">
      <c r="B22" t="inlineStr">
        <is>
          <t>自社在庫(実績,kg)</t>
        </is>
      </c>
      <c r="D22">
        <f>'T_SelfStock'!B6</f>
        <v/>
      </c>
      <c r="E22">
        <f>'T_SelfStock'!C6</f>
        <v/>
      </c>
      <c r="F22">
        <f>'T_SelfStock'!D6</f>
        <v/>
      </c>
      <c r="G22">
        <f>'T_SelfStock'!E6</f>
        <v/>
      </c>
      <c r="H22">
        <f>'T_SelfStock'!F6</f>
        <v/>
      </c>
      <c r="I22">
        <f>'T_SelfStock'!G6</f>
        <v/>
      </c>
      <c r="J22">
        <f>'T_SelfStock'!H6</f>
        <v/>
      </c>
      <c r="K22">
        <f>'T_SelfStock'!I6</f>
        <v/>
      </c>
      <c r="L22">
        <f>'T_SelfStock'!J6</f>
        <v/>
      </c>
      <c r="M22">
        <f>'T_SelfStock'!K6</f>
        <v/>
      </c>
      <c r="N22">
        <f>'T_SelfStock'!L6</f>
        <v/>
      </c>
      <c r="O22">
        <f>'T_SelfStock'!M6</f>
        <v/>
      </c>
      <c r="P22">
        <f>'T_SelfStock'!N6</f>
        <v/>
      </c>
      <c r="Q22">
        <f>'T_SelfStock'!O6</f>
        <v/>
      </c>
      <c r="R22">
        <f>'T_SelfStock'!P6</f>
        <v/>
      </c>
      <c r="S22">
        <f>'T_SelfStock'!Q6</f>
        <v/>
      </c>
      <c r="T22">
        <f>'T_SelfStock'!R6</f>
        <v/>
      </c>
      <c r="U22">
        <f>'T_SelfStock'!S6</f>
        <v/>
      </c>
      <c r="V22">
        <f>'T_SelfStock'!T6</f>
        <v/>
      </c>
      <c r="W22">
        <f>'T_SelfStock'!U6</f>
        <v/>
      </c>
      <c r="X22">
        <f>'T_SelfStock'!V6</f>
        <v/>
      </c>
      <c r="Y22">
        <f>'T_SelfStock'!W6</f>
        <v/>
      </c>
      <c r="Z22">
        <f>'T_SelfStock'!X6</f>
        <v/>
      </c>
      <c r="AA22">
        <f>'T_SelfStock'!Y6</f>
        <v/>
      </c>
      <c r="AB22">
        <f>'T_SelfStock'!Z6</f>
        <v/>
      </c>
      <c r="AC22">
        <f>'T_SelfStock'!AA6</f>
        <v/>
      </c>
      <c r="AD22">
        <f>'T_SelfStock'!AB6</f>
        <v/>
      </c>
      <c r="AE22">
        <f>'T_SelfStock'!AC6</f>
        <v/>
      </c>
      <c r="AF22">
        <f>'T_SelfStock'!AD6</f>
        <v/>
      </c>
      <c r="AG22">
        <f>'T_SelfStock'!AE6</f>
        <v/>
      </c>
      <c r="AH22">
        <f>'T_SelfStock'!AF6</f>
        <v/>
      </c>
      <c r="AI22">
        <f>'T_SelfStock'!AG6</f>
        <v/>
      </c>
      <c r="AJ22">
        <f>'T_SelfStock'!AH6</f>
        <v/>
      </c>
      <c r="AK22">
        <f>'T_SelfStock'!AI6</f>
        <v/>
      </c>
      <c r="AL22">
        <f>'T_SelfStock'!AJ6</f>
        <v/>
      </c>
      <c r="AM22">
        <f>'T_SelfStock'!AK6</f>
        <v/>
      </c>
      <c r="AN22">
        <f>'T_SelfStock'!AL6</f>
        <v/>
      </c>
      <c r="AO22">
        <f>'T_SelfStock'!AM6</f>
        <v/>
      </c>
      <c r="AP22">
        <f>'T_SelfStock'!AN6</f>
        <v/>
      </c>
      <c r="AQ22">
        <f>'T_SelfStock'!AO6</f>
        <v/>
      </c>
      <c r="AR22">
        <f>'T_SelfStock'!AP6</f>
        <v/>
      </c>
      <c r="AS22">
        <f>'T_SelfStock'!AQ6</f>
        <v/>
      </c>
      <c r="AT22">
        <f>'T_SelfStock'!AR6</f>
        <v/>
      </c>
      <c r="AU22">
        <f>'T_SelfStock'!AS6</f>
        <v/>
      </c>
      <c r="AV22">
        <f>'T_SelfStock'!AT6</f>
        <v/>
      </c>
      <c r="AW22">
        <f>'T_SelfStock'!AU6</f>
        <v/>
      </c>
      <c r="AX22">
        <f>'T_SelfStock'!AV6</f>
        <v/>
      </c>
      <c r="AY22">
        <f>'T_SelfStock'!AW6</f>
        <v/>
      </c>
      <c r="AZ22">
        <f>'T_SelfStock'!AX6</f>
        <v/>
      </c>
      <c r="BA22">
        <f>'T_SelfStock'!AY6</f>
        <v/>
      </c>
      <c r="BB22">
        <f>'T_SelfStock'!AZ6</f>
        <v/>
      </c>
      <c r="BC22">
        <f>'T_SelfStock'!BA6</f>
        <v/>
      </c>
      <c r="BD22">
        <f>'T_SelfStock'!BB6</f>
        <v/>
      </c>
      <c r="BE22">
        <f>'T_SelfStock'!BC6</f>
        <v/>
      </c>
      <c r="BF22">
        <f>'T_SelfStock'!BD6</f>
        <v/>
      </c>
      <c r="BG22">
        <f>'T_SelfStock'!BE6</f>
        <v/>
      </c>
      <c r="BH22">
        <f>'T_SelfStock'!BF6</f>
        <v/>
      </c>
      <c r="BI22">
        <f>'T_SelfStock'!BG6</f>
        <v/>
      </c>
      <c r="BJ22">
        <f>'T_SelfStock'!BH6</f>
        <v/>
      </c>
      <c r="BK22">
        <f>'T_SelfStock'!BI6</f>
        <v/>
      </c>
      <c r="BL22">
        <f>'T_SelfStock'!BJ6</f>
        <v/>
      </c>
      <c r="BM22">
        <f>'T_SelfStock'!BK6</f>
        <v/>
      </c>
      <c r="BN22">
        <f>'T_SelfStock'!BL6</f>
        <v/>
      </c>
      <c r="BO22">
        <f>'T_SelfStock'!BM6</f>
        <v/>
      </c>
      <c r="BP22">
        <f>'T_SelfStock'!BN6</f>
        <v/>
      </c>
      <c r="BQ22">
        <f>'T_SelfStock'!BO6</f>
        <v/>
      </c>
      <c r="BR22">
        <f>'T_SelfStock'!BP6</f>
        <v/>
      </c>
      <c r="BS22">
        <f>'T_SelfStock'!BQ6</f>
        <v/>
      </c>
      <c r="BT22">
        <f>'T_SelfStock'!BR6</f>
        <v/>
      </c>
      <c r="BU22">
        <f>'T_SelfStock'!BS6</f>
        <v/>
      </c>
      <c r="BV22">
        <f>'T_SelfStock'!BT6</f>
        <v/>
      </c>
      <c r="BW22">
        <f>'T_SelfStock'!BU6</f>
        <v/>
      </c>
      <c r="BX22">
        <f>'T_SelfStock'!BV6</f>
        <v/>
      </c>
      <c r="BY22">
        <f>'T_SelfStock'!BW6</f>
        <v/>
      </c>
      <c r="BZ22">
        <f>'T_SelfStock'!BX6</f>
        <v/>
      </c>
      <c r="CA22">
        <f>'T_SelfStock'!BY6</f>
        <v/>
      </c>
      <c r="CB22">
        <f>'T_SelfStock'!BZ6</f>
        <v/>
      </c>
      <c r="CC22">
        <f>'T_SelfStock'!CA6</f>
        <v/>
      </c>
      <c r="CD22">
        <f>'T_SelfStock'!CB6</f>
        <v/>
      </c>
      <c r="CE22">
        <f>'T_SelfStock'!CC6</f>
        <v/>
      </c>
      <c r="CF22">
        <f>'T_SelfStock'!CD6</f>
        <v/>
      </c>
      <c r="CG22">
        <f>'T_SelfStock'!CE6</f>
        <v/>
      </c>
      <c r="CH22">
        <f>'T_SelfStock'!CF6</f>
        <v/>
      </c>
      <c r="CI22">
        <f>'T_SelfStock'!CG6</f>
        <v/>
      </c>
      <c r="CJ22">
        <f>'T_SelfStock'!CH6</f>
        <v/>
      </c>
      <c r="CK22">
        <f>'T_SelfStock'!CI6</f>
        <v/>
      </c>
      <c r="CL22">
        <f>'T_SelfStock'!CJ6</f>
        <v/>
      </c>
      <c r="CM22">
        <f>'T_SelfStock'!CK6</f>
        <v/>
      </c>
      <c r="CN22">
        <f>'T_SelfStock'!CL6</f>
        <v/>
      </c>
      <c r="CO22">
        <f>'T_SelfStock'!CM6</f>
        <v/>
      </c>
      <c r="CP22">
        <f>'T_SelfStock'!CN6</f>
        <v/>
      </c>
      <c r="CQ22">
        <f>'T_SelfStock'!CO6</f>
        <v/>
      </c>
      <c r="CR22">
        <f>'T_SelfStock'!CP6</f>
        <v/>
      </c>
      <c r="CS22">
        <f>'T_SelfStock'!CQ6</f>
        <v/>
      </c>
      <c r="CT22">
        <f>'T_SelfStock'!CR6</f>
        <v/>
      </c>
      <c r="CU22">
        <f>'T_SelfStock'!CS6</f>
        <v/>
      </c>
      <c r="CV22">
        <f>'T_SelfStock'!CT6</f>
        <v/>
      </c>
      <c r="CW22">
        <f>'T_SelfStock'!CU6</f>
        <v/>
      </c>
      <c r="CX22">
        <f>'T_SelfStock'!CV6</f>
        <v/>
      </c>
      <c r="CY22">
        <f>'T_SelfStock'!CW6</f>
        <v/>
      </c>
      <c r="CZ22">
        <f>'T_SelfStock'!CX6</f>
        <v/>
      </c>
      <c r="DA22">
        <f>'T_SelfStock'!CY6</f>
        <v/>
      </c>
      <c r="DB22">
        <f>'T_SelfStock'!CZ6</f>
        <v/>
      </c>
      <c r="DC22">
        <f>'T_SelfStock'!DA6</f>
        <v/>
      </c>
    </row>
    <row r="23">
      <c r="B23" t="inlineStr">
        <is>
          <t>Order(発注予定,kg)</t>
        </is>
      </c>
      <c r="D23">
        <f>IF(SUMIFS(T_PlannedOrders[EffectiveQty],T_PlannedOrders[Part Name],$A17,T_PlannedOrders[WeekIndex],1)=0,"",SUMIFS(T_PlannedOrders[EffectiveQty],T_PlannedOrders[Part Name],$A17,T_PlannedOrders[WeekIndex],1)&amp;" ("&amp;TEXT(SUMPRODUCT(MAX((T_PlannedOrders[Part Name]=$A17)*(T_PlannedOrders[WeekIndex]=1)*(T_PlannedOrders[EffectiveQty]&gt;0)*T_PlannedOrders[Order_Month])),"m月")&amp;"発注)")</f>
        <v/>
      </c>
      <c r="E23">
        <f>IF(SUMIFS(T_PlannedOrders[EffectiveQty],T_PlannedOrders[Part Name],$A17,T_PlannedOrders[WeekIndex],2)=0,"",SUMIFS(T_PlannedOrders[EffectiveQty],T_PlannedOrders[Part Name],$A17,T_PlannedOrders[WeekIndex],2)&amp;" ("&amp;TEXT(SUMPRODUCT(MAX((T_PlannedOrders[Part Name]=$A17)*(T_PlannedOrders[WeekIndex]=2)*(T_PlannedOrders[EffectiveQty]&gt;0)*T_PlannedOrders[Order_Month])),"m月")&amp;"発注)")</f>
        <v/>
      </c>
      <c r="F23">
        <f>IF(SUMIFS(T_PlannedOrders[EffectiveQty],T_PlannedOrders[Part Name],$A17,T_PlannedOrders[WeekIndex],3)=0,"",SUMIFS(T_PlannedOrders[EffectiveQty],T_PlannedOrders[Part Name],$A17,T_PlannedOrders[WeekIndex],3)&amp;" ("&amp;TEXT(SUMPRODUCT(MAX((T_PlannedOrders[Part Name]=$A17)*(T_PlannedOrders[WeekIndex]=3)*(T_PlannedOrders[EffectiveQty]&gt;0)*T_PlannedOrders[Order_Month])),"m月")&amp;"発注)")</f>
        <v/>
      </c>
      <c r="G23">
        <f>IF(SUMIFS(T_PlannedOrders[EffectiveQty],T_PlannedOrders[Part Name],$A17,T_PlannedOrders[WeekIndex],4)=0,"",SUMIFS(T_PlannedOrders[EffectiveQty],T_PlannedOrders[Part Name],$A17,T_PlannedOrders[WeekIndex],4)&amp;" ("&amp;TEXT(SUMPRODUCT(MAX((T_PlannedOrders[Part Name]=$A17)*(T_PlannedOrders[WeekIndex]=4)*(T_PlannedOrders[EffectiveQty]&gt;0)*T_PlannedOrders[Order_Month])),"m月")&amp;"発注)")</f>
        <v/>
      </c>
      <c r="H23">
        <f>IF(SUMIFS(T_PlannedOrders[EffectiveQty],T_PlannedOrders[Part Name],$A17,T_PlannedOrders[WeekIndex],5)=0,"",SUMIFS(T_PlannedOrders[EffectiveQty],T_PlannedOrders[Part Name],$A17,T_PlannedOrders[WeekIndex],5)&amp;" ("&amp;TEXT(SUMPRODUCT(MAX((T_PlannedOrders[Part Name]=$A17)*(T_PlannedOrders[WeekIndex]=5)*(T_PlannedOrders[EffectiveQty]&gt;0)*T_PlannedOrders[Order_Month])),"m月")&amp;"発注)")</f>
        <v/>
      </c>
      <c r="I23">
        <f>IF(SUMIFS(T_PlannedOrders[EffectiveQty],T_PlannedOrders[Part Name],$A17,T_PlannedOrders[WeekIndex],6)=0,"",SUMIFS(T_PlannedOrders[EffectiveQty],T_PlannedOrders[Part Name],$A17,T_PlannedOrders[WeekIndex],6)&amp;" ("&amp;TEXT(SUMPRODUCT(MAX((T_PlannedOrders[Part Name]=$A17)*(T_PlannedOrders[WeekIndex]=6)*(T_PlannedOrders[EffectiveQty]&gt;0)*T_PlannedOrders[Order_Month])),"m月")&amp;"発注)")</f>
        <v/>
      </c>
      <c r="J23">
        <f>IF(SUMIFS(T_PlannedOrders[EffectiveQty],T_PlannedOrders[Part Name],$A17,T_PlannedOrders[WeekIndex],7)=0,"",SUMIFS(T_PlannedOrders[EffectiveQty],T_PlannedOrders[Part Name],$A17,T_PlannedOrders[WeekIndex],7)&amp;" ("&amp;TEXT(SUMPRODUCT(MAX((T_PlannedOrders[Part Name]=$A17)*(T_PlannedOrders[WeekIndex]=7)*(T_PlannedOrders[EffectiveQty]&gt;0)*T_PlannedOrders[Order_Month])),"m月")&amp;"発注)")</f>
        <v/>
      </c>
      <c r="K23">
        <f>IF(SUMIFS(T_PlannedOrders[EffectiveQty],T_PlannedOrders[Part Name],$A17,T_PlannedOrders[WeekIndex],8)=0,"",SUMIFS(T_PlannedOrders[EffectiveQty],T_PlannedOrders[Part Name],$A17,T_PlannedOrders[WeekIndex],8)&amp;" ("&amp;TEXT(SUMPRODUCT(MAX((T_PlannedOrders[Part Name]=$A17)*(T_PlannedOrders[WeekIndex]=8)*(T_PlannedOrders[EffectiveQty]&gt;0)*T_PlannedOrders[Order_Month])),"m月")&amp;"発注)")</f>
        <v/>
      </c>
      <c r="L23">
        <f>IF(SUMIFS(T_PlannedOrders[EffectiveQty],T_PlannedOrders[Part Name],$A17,T_PlannedOrders[WeekIndex],9)=0,"",SUMIFS(T_PlannedOrders[EffectiveQty],T_PlannedOrders[Part Name],$A17,T_PlannedOrders[WeekIndex],9)&amp;" ("&amp;TEXT(SUMPRODUCT(MAX((T_PlannedOrders[Part Name]=$A17)*(T_PlannedOrders[WeekIndex]=9)*(T_PlannedOrders[EffectiveQty]&gt;0)*T_PlannedOrders[Order_Month])),"m月")&amp;"発注)")</f>
        <v/>
      </c>
      <c r="M23">
        <f>IF(SUMIFS(T_PlannedOrders[EffectiveQty],T_PlannedOrders[Part Name],$A17,T_PlannedOrders[WeekIndex],10)=0,"",SUMIFS(T_PlannedOrders[EffectiveQty],T_PlannedOrders[Part Name],$A17,T_PlannedOrders[WeekIndex],10)&amp;" ("&amp;TEXT(SUMPRODUCT(MAX((T_PlannedOrders[Part Name]=$A17)*(T_PlannedOrders[WeekIndex]=10)*(T_PlannedOrders[EffectiveQty]&gt;0)*T_PlannedOrders[Order_Month])),"m月")&amp;"発注)")</f>
        <v/>
      </c>
      <c r="N23">
        <f>IF(SUMIFS(T_PlannedOrders[EffectiveQty],T_PlannedOrders[Part Name],$A17,T_PlannedOrders[WeekIndex],11)=0,"",SUMIFS(T_PlannedOrders[EffectiveQty],T_PlannedOrders[Part Name],$A17,T_PlannedOrders[WeekIndex],11)&amp;" ("&amp;TEXT(SUMPRODUCT(MAX((T_PlannedOrders[Part Name]=$A17)*(T_PlannedOrders[WeekIndex]=11)*(T_PlannedOrders[EffectiveQty]&gt;0)*T_PlannedOrders[Order_Month])),"m月")&amp;"発注)")</f>
        <v/>
      </c>
      <c r="O23">
        <f>IF(SUMIFS(T_PlannedOrders[EffectiveQty],T_PlannedOrders[Part Name],$A17,T_PlannedOrders[WeekIndex],12)=0,"",SUMIFS(T_PlannedOrders[EffectiveQty],T_PlannedOrders[Part Name],$A17,T_PlannedOrders[WeekIndex],12)&amp;" ("&amp;TEXT(SUMPRODUCT(MAX((T_PlannedOrders[Part Name]=$A17)*(T_PlannedOrders[WeekIndex]=12)*(T_PlannedOrders[EffectiveQty]&gt;0)*T_PlannedOrders[Order_Month])),"m月")&amp;"発注)")</f>
        <v/>
      </c>
      <c r="P23">
        <f>IF(SUMIFS(T_PlannedOrders[EffectiveQty],T_PlannedOrders[Part Name],$A17,T_PlannedOrders[WeekIndex],13)=0,"",SUMIFS(T_PlannedOrders[EffectiveQty],T_PlannedOrders[Part Name],$A17,T_PlannedOrders[WeekIndex],13)&amp;" ("&amp;TEXT(SUMPRODUCT(MAX((T_PlannedOrders[Part Name]=$A17)*(T_PlannedOrders[WeekIndex]=13)*(T_PlannedOrders[EffectiveQty]&gt;0)*T_PlannedOrders[Order_Month])),"m月")&amp;"発注)")</f>
        <v/>
      </c>
      <c r="Q23">
        <f>IF(SUMIFS(T_PlannedOrders[EffectiveQty],T_PlannedOrders[Part Name],$A17,T_PlannedOrders[WeekIndex],14)=0,"",SUMIFS(T_PlannedOrders[EffectiveQty],T_PlannedOrders[Part Name],$A17,T_PlannedOrders[WeekIndex],14)&amp;" ("&amp;TEXT(SUMPRODUCT(MAX((T_PlannedOrders[Part Name]=$A17)*(T_PlannedOrders[WeekIndex]=14)*(T_PlannedOrders[EffectiveQty]&gt;0)*T_PlannedOrders[Order_Month])),"m月")&amp;"発注)")</f>
        <v/>
      </c>
      <c r="R23">
        <f>IF(SUMIFS(T_PlannedOrders[EffectiveQty],T_PlannedOrders[Part Name],$A17,T_PlannedOrders[WeekIndex],15)=0,"",SUMIFS(T_PlannedOrders[EffectiveQty],T_PlannedOrders[Part Name],$A17,T_PlannedOrders[WeekIndex],15)&amp;" ("&amp;TEXT(SUMPRODUCT(MAX((T_PlannedOrders[Part Name]=$A17)*(T_PlannedOrders[WeekIndex]=15)*(T_PlannedOrders[EffectiveQty]&gt;0)*T_PlannedOrders[Order_Month])),"m月")&amp;"発注)")</f>
        <v/>
      </c>
      <c r="S23">
        <f>IF(SUMIFS(T_PlannedOrders[EffectiveQty],T_PlannedOrders[Part Name],$A17,T_PlannedOrders[WeekIndex],16)=0,"",SUMIFS(T_PlannedOrders[EffectiveQty],T_PlannedOrders[Part Name],$A17,T_PlannedOrders[WeekIndex],16)&amp;" ("&amp;TEXT(SUMPRODUCT(MAX((T_PlannedOrders[Part Name]=$A17)*(T_PlannedOrders[WeekIndex]=16)*(T_PlannedOrders[EffectiveQty]&gt;0)*T_PlannedOrders[Order_Month])),"m月")&amp;"発注)")</f>
        <v/>
      </c>
      <c r="T23">
        <f>IF(SUMIFS(T_PlannedOrders[EffectiveQty],T_PlannedOrders[Part Name],$A17,T_PlannedOrders[WeekIndex],17)=0,"",SUMIFS(T_PlannedOrders[EffectiveQty],T_PlannedOrders[Part Name],$A17,T_PlannedOrders[WeekIndex],17)&amp;" ("&amp;TEXT(SUMPRODUCT(MAX((T_PlannedOrders[Part Name]=$A17)*(T_PlannedOrders[WeekIndex]=17)*(T_PlannedOrders[EffectiveQty]&gt;0)*T_PlannedOrders[Order_Month])),"m月")&amp;"発注)")</f>
        <v/>
      </c>
      <c r="U23">
        <f>IF(SUMIFS(T_PlannedOrders[EffectiveQty],T_PlannedOrders[Part Name],$A17,T_PlannedOrders[WeekIndex],18)=0,"",SUMIFS(T_PlannedOrders[EffectiveQty],T_PlannedOrders[Part Name],$A17,T_PlannedOrders[WeekIndex],18)&amp;" ("&amp;TEXT(SUMPRODUCT(MAX((T_PlannedOrders[Part Name]=$A17)*(T_PlannedOrders[WeekIndex]=18)*(T_PlannedOrders[EffectiveQty]&gt;0)*T_PlannedOrders[Order_Month])),"m月")&amp;"発注)")</f>
        <v/>
      </c>
      <c r="V23">
        <f>IF(SUMIFS(T_PlannedOrders[EffectiveQty],T_PlannedOrders[Part Name],$A17,T_PlannedOrders[WeekIndex],19)=0,"",SUMIFS(T_PlannedOrders[EffectiveQty],T_PlannedOrders[Part Name],$A17,T_PlannedOrders[WeekIndex],19)&amp;" ("&amp;TEXT(SUMPRODUCT(MAX((T_PlannedOrders[Part Name]=$A17)*(T_PlannedOrders[WeekIndex]=19)*(T_PlannedOrders[EffectiveQty]&gt;0)*T_PlannedOrders[Order_Month])),"m月")&amp;"発注)")</f>
        <v/>
      </c>
      <c r="W23">
        <f>IF(SUMIFS(T_PlannedOrders[EffectiveQty],T_PlannedOrders[Part Name],$A17,T_PlannedOrders[WeekIndex],20)=0,"",SUMIFS(T_PlannedOrders[EffectiveQty],T_PlannedOrders[Part Name],$A17,T_PlannedOrders[WeekIndex],20)&amp;" ("&amp;TEXT(SUMPRODUCT(MAX((T_PlannedOrders[Part Name]=$A17)*(T_PlannedOrders[WeekIndex]=20)*(T_PlannedOrders[EffectiveQty]&gt;0)*T_PlannedOrders[Order_Month])),"m月")&amp;"発注)")</f>
        <v/>
      </c>
      <c r="X23">
        <f>IF(SUMIFS(T_PlannedOrders[EffectiveQty],T_PlannedOrders[Part Name],$A17,T_PlannedOrders[WeekIndex],21)=0,"",SUMIFS(T_PlannedOrders[EffectiveQty],T_PlannedOrders[Part Name],$A17,T_PlannedOrders[WeekIndex],21)&amp;" ("&amp;TEXT(SUMPRODUCT(MAX((T_PlannedOrders[Part Name]=$A17)*(T_PlannedOrders[WeekIndex]=21)*(T_PlannedOrders[EffectiveQty]&gt;0)*T_PlannedOrders[Order_Month])),"m月")&amp;"発注)")</f>
        <v/>
      </c>
      <c r="Y23">
        <f>IF(SUMIFS(T_PlannedOrders[EffectiveQty],T_PlannedOrders[Part Name],$A17,T_PlannedOrders[WeekIndex],22)=0,"",SUMIFS(T_PlannedOrders[EffectiveQty],T_PlannedOrders[Part Name],$A17,T_PlannedOrders[WeekIndex],22)&amp;" ("&amp;TEXT(SUMPRODUCT(MAX((T_PlannedOrders[Part Name]=$A17)*(T_PlannedOrders[WeekIndex]=22)*(T_PlannedOrders[EffectiveQty]&gt;0)*T_PlannedOrders[Order_Month])),"m月")&amp;"発注)")</f>
        <v/>
      </c>
      <c r="Z23">
        <f>IF(SUMIFS(T_PlannedOrders[EffectiveQty],T_PlannedOrders[Part Name],$A17,T_PlannedOrders[WeekIndex],23)=0,"",SUMIFS(T_PlannedOrders[EffectiveQty],T_PlannedOrders[Part Name],$A17,T_PlannedOrders[WeekIndex],23)&amp;" ("&amp;TEXT(SUMPRODUCT(MAX((T_PlannedOrders[Part Name]=$A17)*(T_PlannedOrders[WeekIndex]=23)*(T_PlannedOrders[EffectiveQty]&gt;0)*T_PlannedOrders[Order_Month])),"m月")&amp;"発注)")</f>
        <v/>
      </c>
      <c r="AA23">
        <f>IF(SUMIFS(T_PlannedOrders[EffectiveQty],T_PlannedOrders[Part Name],$A17,T_PlannedOrders[WeekIndex],24)=0,"",SUMIFS(T_PlannedOrders[EffectiveQty],T_PlannedOrders[Part Name],$A17,T_PlannedOrders[WeekIndex],24)&amp;" ("&amp;TEXT(SUMPRODUCT(MAX((T_PlannedOrders[Part Name]=$A17)*(T_PlannedOrders[WeekIndex]=24)*(T_PlannedOrders[EffectiveQty]&gt;0)*T_PlannedOrders[Order_Month])),"m月")&amp;"発注)")</f>
        <v/>
      </c>
      <c r="AB23">
        <f>IF(SUMIFS(T_PlannedOrders[EffectiveQty],T_PlannedOrders[Part Name],$A17,T_PlannedOrders[WeekIndex],25)=0,"",SUMIFS(T_PlannedOrders[EffectiveQty],T_PlannedOrders[Part Name],$A17,T_PlannedOrders[WeekIndex],25)&amp;" ("&amp;TEXT(SUMPRODUCT(MAX((T_PlannedOrders[Part Name]=$A17)*(T_PlannedOrders[WeekIndex]=25)*(T_PlannedOrders[EffectiveQty]&gt;0)*T_PlannedOrders[Order_Month])),"m月")&amp;"発注)")</f>
        <v/>
      </c>
      <c r="AC23">
        <f>IF(SUMIFS(T_PlannedOrders[EffectiveQty],T_PlannedOrders[Part Name],$A17,T_PlannedOrders[WeekIndex],26)=0,"",SUMIFS(T_PlannedOrders[EffectiveQty],T_PlannedOrders[Part Name],$A17,T_PlannedOrders[WeekIndex],26)&amp;" ("&amp;TEXT(SUMPRODUCT(MAX((T_PlannedOrders[Part Name]=$A17)*(T_PlannedOrders[WeekIndex]=26)*(T_PlannedOrders[EffectiveQty]&gt;0)*T_PlannedOrders[Order_Month])),"m月")&amp;"発注)")</f>
        <v/>
      </c>
      <c r="AD23">
        <f>IF(SUMIFS(T_PlannedOrders[EffectiveQty],T_PlannedOrders[Part Name],$A17,T_PlannedOrders[WeekIndex],27)=0,"",SUMIFS(T_PlannedOrders[EffectiveQty],T_PlannedOrders[Part Name],$A17,T_PlannedOrders[WeekIndex],27)&amp;" ("&amp;TEXT(SUMPRODUCT(MAX((T_PlannedOrders[Part Name]=$A17)*(T_PlannedOrders[WeekIndex]=27)*(T_PlannedOrders[EffectiveQty]&gt;0)*T_PlannedOrders[Order_Month])),"m月")&amp;"発注)")</f>
        <v/>
      </c>
      <c r="AE23">
        <f>IF(SUMIFS(T_PlannedOrders[EffectiveQty],T_PlannedOrders[Part Name],$A17,T_PlannedOrders[WeekIndex],28)=0,"",SUMIFS(T_PlannedOrders[EffectiveQty],T_PlannedOrders[Part Name],$A17,T_PlannedOrders[WeekIndex],28)&amp;" ("&amp;TEXT(SUMPRODUCT(MAX((T_PlannedOrders[Part Name]=$A17)*(T_PlannedOrders[WeekIndex]=28)*(T_PlannedOrders[EffectiveQty]&gt;0)*T_PlannedOrders[Order_Month])),"m月")&amp;"発注)")</f>
        <v/>
      </c>
      <c r="AF23">
        <f>IF(SUMIFS(T_PlannedOrders[EffectiveQty],T_PlannedOrders[Part Name],$A17,T_PlannedOrders[WeekIndex],29)=0,"",SUMIFS(T_PlannedOrders[EffectiveQty],T_PlannedOrders[Part Name],$A17,T_PlannedOrders[WeekIndex],29)&amp;" ("&amp;TEXT(SUMPRODUCT(MAX((T_PlannedOrders[Part Name]=$A17)*(T_PlannedOrders[WeekIndex]=29)*(T_PlannedOrders[EffectiveQty]&gt;0)*T_PlannedOrders[Order_Month])),"m月")&amp;"発注)")</f>
        <v/>
      </c>
      <c r="AG23">
        <f>IF(SUMIFS(T_PlannedOrders[EffectiveQty],T_PlannedOrders[Part Name],$A17,T_PlannedOrders[WeekIndex],30)=0,"",SUMIFS(T_PlannedOrders[EffectiveQty],T_PlannedOrders[Part Name],$A17,T_PlannedOrders[WeekIndex],30)&amp;" ("&amp;TEXT(SUMPRODUCT(MAX((T_PlannedOrders[Part Name]=$A17)*(T_PlannedOrders[WeekIndex]=30)*(T_PlannedOrders[EffectiveQty]&gt;0)*T_PlannedOrders[Order_Month])),"m月")&amp;"発注)")</f>
        <v/>
      </c>
      <c r="AH23">
        <f>IF(SUMIFS(T_PlannedOrders[EffectiveQty],T_PlannedOrders[Part Name],$A17,T_PlannedOrders[WeekIndex],31)=0,"",SUMIFS(T_PlannedOrders[EffectiveQty],T_PlannedOrders[Part Name],$A17,T_PlannedOrders[WeekIndex],31)&amp;" ("&amp;TEXT(SUMPRODUCT(MAX((T_PlannedOrders[Part Name]=$A17)*(T_PlannedOrders[WeekIndex]=31)*(T_PlannedOrders[EffectiveQty]&gt;0)*T_PlannedOrders[Order_Month])),"m月")&amp;"発注)")</f>
        <v/>
      </c>
      <c r="AI23">
        <f>IF(SUMIFS(T_PlannedOrders[EffectiveQty],T_PlannedOrders[Part Name],$A17,T_PlannedOrders[WeekIndex],32)=0,"",SUMIFS(T_PlannedOrders[EffectiveQty],T_PlannedOrders[Part Name],$A17,T_PlannedOrders[WeekIndex],32)&amp;" ("&amp;TEXT(SUMPRODUCT(MAX((T_PlannedOrders[Part Name]=$A17)*(T_PlannedOrders[WeekIndex]=32)*(T_PlannedOrders[EffectiveQty]&gt;0)*T_PlannedOrders[Order_Month])),"m月")&amp;"発注)")</f>
        <v/>
      </c>
      <c r="AJ23">
        <f>IF(SUMIFS(T_PlannedOrders[EffectiveQty],T_PlannedOrders[Part Name],$A17,T_PlannedOrders[WeekIndex],33)=0,"",SUMIFS(T_PlannedOrders[EffectiveQty],T_PlannedOrders[Part Name],$A17,T_PlannedOrders[WeekIndex],33)&amp;" ("&amp;TEXT(SUMPRODUCT(MAX((T_PlannedOrders[Part Name]=$A17)*(T_PlannedOrders[WeekIndex]=33)*(T_PlannedOrders[EffectiveQty]&gt;0)*T_PlannedOrders[Order_Month])),"m月")&amp;"発注)")</f>
        <v/>
      </c>
      <c r="AK23">
        <f>IF(SUMIFS(T_PlannedOrders[EffectiveQty],T_PlannedOrders[Part Name],$A17,T_PlannedOrders[WeekIndex],34)=0,"",SUMIFS(T_PlannedOrders[EffectiveQty],T_PlannedOrders[Part Name],$A17,T_PlannedOrders[WeekIndex],34)&amp;" ("&amp;TEXT(SUMPRODUCT(MAX((T_PlannedOrders[Part Name]=$A17)*(T_PlannedOrders[WeekIndex]=34)*(T_PlannedOrders[EffectiveQty]&gt;0)*T_PlannedOrders[Order_Month])),"m月")&amp;"発注)")</f>
        <v/>
      </c>
      <c r="AL23">
        <f>IF(SUMIFS(T_PlannedOrders[EffectiveQty],T_PlannedOrders[Part Name],$A17,T_PlannedOrders[WeekIndex],35)=0,"",SUMIFS(T_PlannedOrders[EffectiveQty],T_PlannedOrders[Part Name],$A17,T_PlannedOrders[WeekIndex],35)&amp;" ("&amp;TEXT(SUMPRODUCT(MAX((T_PlannedOrders[Part Name]=$A17)*(T_PlannedOrders[WeekIndex]=35)*(T_PlannedOrders[EffectiveQty]&gt;0)*T_PlannedOrders[Order_Month])),"m月")&amp;"発注)")</f>
        <v/>
      </c>
      <c r="AM23">
        <f>IF(SUMIFS(T_PlannedOrders[EffectiveQty],T_PlannedOrders[Part Name],$A17,T_PlannedOrders[WeekIndex],36)=0,"",SUMIFS(T_PlannedOrders[EffectiveQty],T_PlannedOrders[Part Name],$A17,T_PlannedOrders[WeekIndex],36)&amp;" ("&amp;TEXT(SUMPRODUCT(MAX((T_PlannedOrders[Part Name]=$A17)*(T_PlannedOrders[WeekIndex]=36)*(T_PlannedOrders[EffectiveQty]&gt;0)*T_PlannedOrders[Order_Month])),"m月")&amp;"発注)")</f>
        <v/>
      </c>
      <c r="AN23">
        <f>IF(SUMIFS(T_PlannedOrders[EffectiveQty],T_PlannedOrders[Part Name],$A17,T_PlannedOrders[WeekIndex],37)=0,"",SUMIFS(T_PlannedOrders[EffectiveQty],T_PlannedOrders[Part Name],$A17,T_PlannedOrders[WeekIndex],37)&amp;" ("&amp;TEXT(SUMPRODUCT(MAX((T_PlannedOrders[Part Name]=$A17)*(T_PlannedOrders[WeekIndex]=37)*(T_PlannedOrders[EffectiveQty]&gt;0)*T_PlannedOrders[Order_Month])),"m月")&amp;"発注)")</f>
        <v/>
      </c>
      <c r="AO23">
        <f>IF(SUMIFS(T_PlannedOrders[EffectiveQty],T_PlannedOrders[Part Name],$A17,T_PlannedOrders[WeekIndex],38)=0,"",SUMIFS(T_PlannedOrders[EffectiveQty],T_PlannedOrders[Part Name],$A17,T_PlannedOrders[WeekIndex],38)&amp;" ("&amp;TEXT(SUMPRODUCT(MAX((T_PlannedOrders[Part Name]=$A17)*(T_PlannedOrders[WeekIndex]=38)*(T_PlannedOrders[EffectiveQty]&gt;0)*T_PlannedOrders[Order_Month])),"m月")&amp;"発注)")</f>
        <v/>
      </c>
      <c r="AP23">
        <f>IF(SUMIFS(T_PlannedOrders[EffectiveQty],T_PlannedOrders[Part Name],$A17,T_PlannedOrders[WeekIndex],39)=0,"",SUMIFS(T_PlannedOrders[EffectiveQty],T_PlannedOrders[Part Name],$A17,T_PlannedOrders[WeekIndex],39)&amp;" ("&amp;TEXT(SUMPRODUCT(MAX((T_PlannedOrders[Part Name]=$A17)*(T_PlannedOrders[WeekIndex]=39)*(T_PlannedOrders[EffectiveQty]&gt;0)*T_PlannedOrders[Order_Month])),"m月")&amp;"発注)")</f>
        <v/>
      </c>
      <c r="AQ23">
        <f>IF(SUMIFS(T_PlannedOrders[EffectiveQty],T_PlannedOrders[Part Name],$A17,T_PlannedOrders[WeekIndex],40)=0,"",SUMIFS(T_PlannedOrders[EffectiveQty],T_PlannedOrders[Part Name],$A17,T_PlannedOrders[WeekIndex],40)&amp;" ("&amp;TEXT(SUMPRODUCT(MAX((T_PlannedOrders[Part Name]=$A17)*(T_PlannedOrders[WeekIndex]=40)*(T_PlannedOrders[EffectiveQty]&gt;0)*T_PlannedOrders[Order_Month])),"m月")&amp;"発注)")</f>
        <v/>
      </c>
      <c r="AR23">
        <f>IF(SUMIFS(T_PlannedOrders[EffectiveQty],T_PlannedOrders[Part Name],$A17,T_PlannedOrders[WeekIndex],41)=0,"",SUMIFS(T_PlannedOrders[EffectiveQty],T_PlannedOrders[Part Name],$A17,T_PlannedOrders[WeekIndex],41)&amp;" ("&amp;TEXT(SUMPRODUCT(MAX((T_PlannedOrders[Part Name]=$A17)*(T_PlannedOrders[WeekIndex]=41)*(T_PlannedOrders[EffectiveQty]&gt;0)*T_PlannedOrders[Order_Month])),"m月")&amp;"発注)")</f>
        <v/>
      </c>
      <c r="AS23">
        <f>IF(SUMIFS(T_PlannedOrders[EffectiveQty],T_PlannedOrders[Part Name],$A17,T_PlannedOrders[WeekIndex],42)=0,"",SUMIFS(T_PlannedOrders[EffectiveQty],T_PlannedOrders[Part Name],$A17,T_PlannedOrders[WeekIndex],42)&amp;" ("&amp;TEXT(SUMPRODUCT(MAX((T_PlannedOrders[Part Name]=$A17)*(T_PlannedOrders[WeekIndex]=42)*(T_PlannedOrders[EffectiveQty]&gt;0)*T_PlannedOrders[Order_Month])),"m月")&amp;"発注)")</f>
        <v/>
      </c>
      <c r="AT23">
        <f>IF(SUMIFS(T_PlannedOrders[EffectiveQty],T_PlannedOrders[Part Name],$A17,T_PlannedOrders[WeekIndex],43)=0,"",SUMIFS(T_PlannedOrders[EffectiveQty],T_PlannedOrders[Part Name],$A17,T_PlannedOrders[WeekIndex],43)&amp;" ("&amp;TEXT(SUMPRODUCT(MAX((T_PlannedOrders[Part Name]=$A17)*(T_PlannedOrders[WeekIndex]=43)*(T_PlannedOrders[EffectiveQty]&gt;0)*T_PlannedOrders[Order_Month])),"m月")&amp;"発注)")</f>
        <v/>
      </c>
      <c r="AU23">
        <f>IF(SUMIFS(T_PlannedOrders[EffectiveQty],T_PlannedOrders[Part Name],$A17,T_PlannedOrders[WeekIndex],44)=0,"",SUMIFS(T_PlannedOrders[EffectiveQty],T_PlannedOrders[Part Name],$A17,T_PlannedOrders[WeekIndex],44)&amp;" ("&amp;TEXT(SUMPRODUCT(MAX((T_PlannedOrders[Part Name]=$A17)*(T_PlannedOrders[WeekIndex]=44)*(T_PlannedOrders[EffectiveQty]&gt;0)*T_PlannedOrders[Order_Month])),"m月")&amp;"発注)")</f>
        <v/>
      </c>
      <c r="AV23">
        <f>IF(SUMIFS(T_PlannedOrders[EffectiveQty],T_PlannedOrders[Part Name],$A17,T_PlannedOrders[WeekIndex],45)=0,"",SUMIFS(T_PlannedOrders[EffectiveQty],T_PlannedOrders[Part Name],$A17,T_PlannedOrders[WeekIndex],45)&amp;" ("&amp;TEXT(SUMPRODUCT(MAX((T_PlannedOrders[Part Name]=$A17)*(T_PlannedOrders[WeekIndex]=45)*(T_PlannedOrders[EffectiveQty]&gt;0)*T_PlannedOrders[Order_Month])),"m月")&amp;"発注)")</f>
        <v/>
      </c>
      <c r="AW23">
        <f>IF(SUMIFS(T_PlannedOrders[EffectiveQty],T_PlannedOrders[Part Name],$A17,T_PlannedOrders[WeekIndex],46)=0,"",SUMIFS(T_PlannedOrders[EffectiveQty],T_PlannedOrders[Part Name],$A17,T_PlannedOrders[WeekIndex],46)&amp;" ("&amp;TEXT(SUMPRODUCT(MAX((T_PlannedOrders[Part Name]=$A17)*(T_PlannedOrders[WeekIndex]=46)*(T_PlannedOrders[EffectiveQty]&gt;0)*T_PlannedOrders[Order_Month])),"m月")&amp;"発注)")</f>
        <v/>
      </c>
      <c r="AX23">
        <f>IF(SUMIFS(T_PlannedOrders[EffectiveQty],T_PlannedOrders[Part Name],$A17,T_PlannedOrders[WeekIndex],47)=0,"",SUMIFS(T_PlannedOrders[EffectiveQty],T_PlannedOrders[Part Name],$A17,T_PlannedOrders[WeekIndex],47)&amp;" ("&amp;TEXT(SUMPRODUCT(MAX((T_PlannedOrders[Part Name]=$A17)*(T_PlannedOrders[WeekIndex]=47)*(T_PlannedOrders[EffectiveQty]&gt;0)*T_PlannedOrders[Order_Month])),"m月")&amp;"発注)")</f>
        <v/>
      </c>
      <c r="AY23">
        <f>IF(SUMIFS(T_PlannedOrders[EffectiveQty],T_PlannedOrders[Part Name],$A17,T_PlannedOrders[WeekIndex],48)=0,"",SUMIFS(T_PlannedOrders[EffectiveQty],T_PlannedOrders[Part Name],$A17,T_PlannedOrders[WeekIndex],48)&amp;" ("&amp;TEXT(SUMPRODUCT(MAX((T_PlannedOrders[Part Name]=$A17)*(T_PlannedOrders[WeekIndex]=48)*(T_PlannedOrders[EffectiveQty]&gt;0)*T_PlannedOrders[Order_Month])),"m月")&amp;"発注)")</f>
        <v/>
      </c>
      <c r="AZ23">
        <f>IF(SUMIFS(T_PlannedOrders[EffectiveQty],T_PlannedOrders[Part Name],$A17,T_PlannedOrders[WeekIndex],49)=0,"",SUMIFS(T_PlannedOrders[EffectiveQty],T_PlannedOrders[Part Name],$A17,T_PlannedOrders[WeekIndex],49)&amp;" ("&amp;TEXT(SUMPRODUCT(MAX((T_PlannedOrders[Part Name]=$A17)*(T_PlannedOrders[WeekIndex]=49)*(T_PlannedOrders[EffectiveQty]&gt;0)*T_PlannedOrders[Order_Month])),"m月")&amp;"発注)")</f>
        <v/>
      </c>
      <c r="BA23">
        <f>IF(SUMIFS(T_PlannedOrders[EffectiveQty],T_PlannedOrders[Part Name],$A17,T_PlannedOrders[WeekIndex],50)=0,"",SUMIFS(T_PlannedOrders[EffectiveQty],T_PlannedOrders[Part Name],$A17,T_PlannedOrders[WeekIndex],50)&amp;" ("&amp;TEXT(SUMPRODUCT(MAX((T_PlannedOrders[Part Name]=$A17)*(T_PlannedOrders[WeekIndex]=50)*(T_PlannedOrders[EffectiveQty]&gt;0)*T_PlannedOrders[Order_Month])),"m月")&amp;"発注)")</f>
        <v/>
      </c>
      <c r="BB23">
        <f>IF(SUMIFS(T_PlannedOrders[EffectiveQty],T_PlannedOrders[Part Name],$A17,T_PlannedOrders[WeekIndex],51)=0,"",SUMIFS(T_PlannedOrders[EffectiveQty],T_PlannedOrders[Part Name],$A17,T_PlannedOrders[WeekIndex],51)&amp;" ("&amp;TEXT(SUMPRODUCT(MAX((T_PlannedOrders[Part Name]=$A17)*(T_PlannedOrders[WeekIndex]=51)*(T_PlannedOrders[EffectiveQty]&gt;0)*T_PlannedOrders[Order_Month])),"m月")&amp;"発注)")</f>
        <v/>
      </c>
      <c r="BC23">
        <f>IF(SUMIFS(T_PlannedOrders[EffectiveQty],T_PlannedOrders[Part Name],$A17,T_PlannedOrders[WeekIndex],52)=0,"",SUMIFS(T_PlannedOrders[EffectiveQty],T_PlannedOrders[Part Name],$A17,T_PlannedOrders[WeekIndex],52)&amp;" ("&amp;TEXT(SUMPRODUCT(MAX((T_PlannedOrders[Part Name]=$A17)*(T_PlannedOrders[WeekIndex]=52)*(T_PlannedOrders[EffectiveQty]&gt;0)*T_PlannedOrders[Order_Month])),"m月")&amp;"発注)")</f>
        <v/>
      </c>
      <c r="BD23">
        <f>IF(SUMIFS(T_PlannedOrders[EffectiveQty],T_PlannedOrders[Part Name],$A17,T_PlannedOrders[WeekIndex],53)=0,"",SUMIFS(T_PlannedOrders[EffectiveQty],T_PlannedOrders[Part Name],$A17,T_PlannedOrders[WeekIndex],53)&amp;" ("&amp;TEXT(SUMPRODUCT(MAX((T_PlannedOrders[Part Name]=$A17)*(T_PlannedOrders[WeekIndex]=53)*(T_PlannedOrders[EffectiveQty]&gt;0)*T_PlannedOrders[Order_Month])),"m月")&amp;"発注)")</f>
        <v/>
      </c>
      <c r="BE23">
        <f>IF(SUMIFS(T_PlannedOrders[EffectiveQty],T_PlannedOrders[Part Name],$A17,T_PlannedOrders[WeekIndex],54)=0,"",SUMIFS(T_PlannedOrders[EffectiveQty],T_PlannedOrders[Part Name],$A17,T_PlannedOrders[WeekIndex],54)&amp;" ("&amp;TEXT(SUMPRODUCT(MAX((T_PlannedOrders[Part Name]=$A17)*(T_PlannedOrders[WeekIndex]=54)*(T_PlannedOrders[EffectiveQty]&gt;0)*T_PlannedOrders[Order_Month])),"m月")&amp;"発注)")</f>
        <v/>
      </c>
      <c r="BF23">
        <f>IF(SUMIFS(T_PlannedOrders[EffectiveQty],T_PlannedOrders[Part Name],$A17,T_PlannedOrders[WeekIndex],55)=0,"",SUMIFS(T_PlannedOrders[EffectiveQty],T_PlannedOrders[Part Name],$A17,T_PlannedOrders[WeekIndex],55)&amp;" ("&amp;TEXT(SUMPRODUCT(MAX((T_PlannedOrders[Part Name]=$A17)*(T_PlannedOrders[WeekIndex]=55)*(T_PlannedOrders[EffectiveQty]&gt;0)*T_PlannedOrders[Order_Month])),"m月")&amp;"発注)")</f>
        <v/>
      </c>
      <c r="BG23">
        <f>IF(SUMIFS(T_PlannedOrders[EffectiveQty],T_PlannedOrders[Part Name],$A17,T_PlannedOrders[WeekIndex],56)=0,"",SUMIFS(T_PlannedOrders[EffectiveQty],T_PlannedOrders[Part Name],$A17,T_PlannedOrders[WeekIndex],56)&amp;" ("&amp;TEXT(SUMPRODUCT(MAX((T_PlannedOrders[Part Name]=$A17)*(T_PlannedOrders[WeekIndex]=56)*(T_PlannedOrders[EffectiveQty]&gt;0)*T_PlannedOrders[Order_Month])),"m月")&amp;"発注)")</f>
        <v/>
      </c>
      <c r="BH23">
        <f>IF(SUMIFS(T_PlannedOrders[EffectiveQty],T_PlannedOrders[Part Name],$A17,T_PlannedOrders[WeekIndex],57)=0,"",SUMIFS(T_PlannedOrders[EffectiveQty],T_PlannedOrders[Part Name],$A17,T_PlannedOrders[WeekIndex],57)&amp;" ("&amp;TEXT(SUMPRODUCT(MAX((T_PlannedOrders[Part Name]=$A17)*(T_PlannedOrders[WeekIndex]=57)*(T_PlannedOrders[EffectiveQty]&gt;0)*T_PlannedOrders[Order_Month])),"m月")&amp;"発注)")</f>
        <v/>
      </c>
      <c r="BI23">
        <f>IF(SUMIFS(T_PlannedOrders[EffectiveQty],T_PlannedOrders[Part Name],$A17,T_PlannedOrders[WeekIndex],58)=0,"",SUMIFS(T_PlannedOrders[EffectiveQty],T_PlannedOrders[Part Name],$A17,T_PlannedOrders[WeekIndex],58)&amp;" ("&amp;TEXT(SUMPRODUCT(MAX((T_PlannedOrders[Part Name]=$A17)*(T_PlannedOrders[WeekIndex]=58)*(T_PlannedOrders[EffectiveQty]&gt;0)*T_PlannedOrders[Order_Month])),"m月")&amp;"発注)")</f>
        <v/>
      </c>
      <c r="BJ23">
        <f>IF(SUMIFS(T_PlannedOrders[EffectiveQty],T_PlannedOrders[Part Name],$A17,T_PlannedOrders[WeekIndex],59)=0,"",SUMIFS(T_PlannedOrders[EffectiveQty],T_PlannedOrders[Part Name],$A17,T_PlannedOrders[WeekIndex],59)&amp;" ("&amp;TEXT(SUMPRODUCT(MAX((T_PlannedOrders[Part Name]=$A17)*(T_PlannedOrders[WeekIndex]=59)*(T_PlannedOrders[EffectiveQty]&gt;0)*T_PlannedOrders[Order_Month])),"m月")&amp;"発注)")</f>
        <v/>
      </c>
      <c r="BK23">
        <f>IF(SUMIFS(T_PlannedOrders[EffectiveQty],T_PlannedOrders[Part Name],$A17,T_PlannedOrders[WeekIndex],60)=0,"",SUMIFS(T_PlannedOrders[EffectiveQty],T_PlannedOrders[Part Name],$A17,T_PlannedOrders[WeekIndex],60)&amp;" ("&amp;TEXT(SUMPRODUCT(MAX((T_PlannedOrders[Part Name]=$A17)*(T_PlannedOrders[WeekIndex]=60)*(T_PlannedOrders[EffectiveQty]&gt;0)*T_PlannedOrders[Order_Month])),"m月")&amp;"発注)")</f>
        <v/>
      </c>
      <c r="BL23">
        <f>IF(SUMIFS(T_PlannedOrders[EffectiveQty],T_PlannedOrders[Part Name],$A17,T_PlannedOrders[WeekIndex],61)=0,"",SUMIFS(T_PlannedOrders[EffectiveQty],T_PlannedOrders[Part Name],$A17,T_PlannedOrders[WeekIndex],61)&amp;" ("&amp;TEXT(SUMPRODUCT(MAX((T_PlannedOrders[Part Name]=$A17)*(T_PlannedOrders[WeekIndex]=61)*(T_PlannedOrders[EffectiveQty]&gt;0)*T_PlannedOrders[Order_Month])),"m月")&amp;"発注)")</f>
        <v/>
      </c>
      <c r="BM23">
        <f>IF(SUMIFS(T_PlannedOrders[EffectiveQty],T_PlannedOrders[Part Name],$A17,T_PlannedOrders[WeekIndex],62)=0,"",SUMIFS(T_PlannedOrders[EffectiveQty],T_PlannedOrders[Part Name],$A17,T_PlannedOrders[WeekIndex],62)&amp;" ("&amp;TEXT(SUMPRODUCT(MAX((T_PlannedOrders[Part Name]=$A17)*(T_PlannedOrders[WeekIndex]=62)*(T_PlannedOrders[EffectiveQty]&gt;0)*T_PlannedOrders[Order_Month])),"m月")&amp;"発注)")</f>
        <v/>
      </c>
      <c r="BN23">
        <f>IF(SUMIFS(T_PlannedOrders[EffectiveQty],T_PlannedOrders[Part Name],$A17,T_PlannedOrders[WeekIndex],63)=0,"",SUMIFS(T_PlannedOrders[EffectiveQty],T_PlannedOrders[Part Name],$A17,T_PlannedOrders[WeekIndex],63)&amp;" ("&amp;TEXT(SUMPRODUCT(MAX((T_PlannedOrders[Part Name]=$A17)*(T_PlannedOrders[WeekIndex]=63)*(T_PlannedOrders[EffectiveQty]&gt;0)*T_PlannedOrders[Order_Month])),"m月")&amp;"発注)")</f>
        <v/>
      </c>
      <c r="BO23">
        <f>IF(SUMIFS(T_PlannedOrders[EffectiveQty],T_PlannedOrders[Part Name],$A17,T_PlannedOrders[WeekIndex],64)=0,"",SUMIFS(T_PlannedOrders[EffectiveQty],T_PlannedOrders[Part Name],$A17,T_PlannedOrders[WeekIndex],64)&amp;" ("&amp;TEXT(SUMPRODUCT(MAX((T_PlannedOrders[Part Name]=$A17)*(T_PlannedOrders[WeekIndex]=64)*(T_PlannedOrders[EffectiveQty]&gt;0)*T_PlannedOrders[Order_Month])),"m月")&amp;"発注)")</f>
        <v/>
      </c>
      <c r="BP23">
        <f>IF(SUMIFS(T_PlannedOrders[EffectiveQty],T_PlannedOrders[Part Name],$A17,T_PlannedOrders[WeekIndex],65)=0,"",SUMIFS(T_PlannedOrders[EffectiveQty],T_PlannedOrders[Part Name],$A17,T_PlannedOrders[WeekIndex],65)&amp;" ("&amp;TEXT(SUMPRODUCT(MAX((T_PlannedOrders[Part Name]=$A17)*(T_PlannedOrders[WeekIndex]=65)*(T_PlannedOrders[EffectiveQty]&gt;0)*T_PlannedOrders[Order_Month])),"m月")&amp;"発注)")</f>
        <v/>
      </c>
      <c r="BQ23">
        <f>IF(SUMIFS(T_PlannedOrders[EffectiveQty],T_PlannedOrders[Part Name],$A17,T_PlannedOrders[WeekIndex],66)=0,"",SUMIFS(T_PlannedOrders[EffectiveQty],T_PlannedOrders[Part Name],$A17,T_PlannedOrders[WeekIndex],66)&amp;" ("&amp;TEXT(SUMPRODUCT(MAX((T_PlannedOrders[Part Name]=$A17)*(T_PlannedOrders[WeekIndex]=66)*(T_PlannedOrders[EffectiveQty]&gt;0)*T_PlannedOrders[Order_Month])),"m月")&amp;"発注)")</f>
        <v/>
      </c>
      <c r="BR23">
        <f>IF(SUMIFS(T_PlannedOrders[EffectiveQty],T_PlannedOrders[Part Name],$A17,T_PlannedOrders[WeekIndex],67)=0,"",SUMIFS(T_PlannedOrders[EffectiveQty],T_PlannedOrders[Part Name],$A17,T_PlannedOrders[WeekIndex],67)&amp;" ("&amp;TEXT(SUMPRODUCT(MAX((T_PlannedOrders[Part Name]=$A17)*(T_PlannedOrders[WeekIndex]=67)*(T_PlannedOrders[EffectiveQty]&gt;0)*T_PlannedOrders[Order_Month])),"m月")&amp;"発注)")</f>
        <v/>
      </c>
      <c r="BS23">
        <f>IF(SUMIFS(T_PlannedOrders[EffectiveQty],T_PlannedOrders[Part Name],$A17,T_PlannedOrders[WeekIndex],68)=0,"",SUMIFS(T_PlannedOrders[EffectiveQty],T_PlannedOrders[Part Name],$A17,T_PlannedOrders[WeekIndex],68)&amp;" ("&amp;TEXT(SUMPRODUCT(MAX((T_PlannedOrders[Part Name]=$A17)*(T_PlannedOrders[WeekIndex]=68)*(T_PlannedOrders[EffectiveQty]&gt;0)*T_PlannedOrders[Order_Month])),"m月")&amp;"発注)")</f>
        <v/>
      </c>
      <c r="BT23">
        <f>IF(SUMIFS(T_PlannedOrders[EffectiveQty],T_PlannedOrders[Part Name],$A17,T_PlannedOrders[WeekIndex],69)=0,"",SUMIFS(T_PlannedOrders[EffectiveQty],T_PlannedOrders[Part Name],$A17,T_PlannedOrders[WeekIndex],69)&amp;" ("&amp;TEXT(SUMPRODUCT(MAX((T_PlannedOrders[Part Name]=$A17)*(T_PlannedOrders[WeekIndex]=69)*(T_PlannedOrders[EffectiveQty]&gt;0)*T_PlannedOrders[Order_Month])),"m月")&amp;"発注)")</f>
        <v/>
      </c>
      <c r="BU23">
        <f>IF(SUMIFS(T_PlannedOrders[EffectiveQty],T_PlannedOrders[Part Name],$A17,T_PlannedOrders[WeekIndex],70)=0,"",SUMIFS(T_PlannedOrders[EffectiveQty],T_PlannedOrders[Part Name],$A17,T_PlannedOrders[WeekIndex],70)&amp;" ("&amp;TEXT(SUMPRODUCT(MAX((T_PlannedOrders[Part Name]=$A17)*(T_PlannedOrders[WeekIndex]=70)*(T_PlannedOrders[EffectiveQty]&gt;0)*T_PlannedOrders[Order_Month])),"m月")&amp;"発注)")</f>
        <v/>
      </c>
      <c r="BV23">
        <f>IF(SUMIFS(T_PlannedOrders[EffectiveQty],T_PlannedOrders[Part Name],$A17,T_PlannedOrders[WeekIndex],71)=0,"",SUMIFS(T_PlannedOrders[EffectiveQty],T_PlannedOrders[Part Name],$A17,T_PlannedOrders[WeekIndex],71)&amp;" ("&amp;TEXT(SUMPRODUCT(MAX((T_PlannedOrders[Part Name]=$A17)*(T_PlannedOrders[WeekIndex]=71)*(T_PlannedOrders[EffectiveQty]&gt;0)*T_PlannedOrders[Order_Month])),"m月")&amp;"発注)")</f>
        <v/>
      </c>
      <c r="BW23">
        <f>IF(SUMIFS(T_PlannedOrders[EffectiveQty],T_PlannedOrders[Part Name],$A17,T_PlannedOrders[WeekIndex],72)=0,"",SUMIFS(T_PlannedOrders[EffectiveQty],T_PlannedOrders[Part Name],$A17,T_PlannedOrders[WeekIndex],72)&amp;" ("&amp;TEXT(SUMPRODUCT(MAX((T_PlannedOrders[Part Name]=$A17)*(T_PlannedOrders[WeekIndex]=72)*(T_PlannedOrders[EffectiveQty]&gt;0)*T_PlannedOrders[Order_Month])),"m月")&amp;"発注)")</f>
        <v/>
      </c>
      <c r="BX23">
        <f>IF(SUMIFS(T_PlannedOrders[EffectiveQty],T_PlannedOrders[Part Name],$A17,T_PlannedOrders[WeekIndex],73)=0,"",SUMIFS(T_PlannedOrders[EffectiveQty],T_PlannedOrders[Part Name],$A17,T_PlannedOrders[WeekIndex],73)&amp;" ("&amp;TEXT(SUMPRODUCT(MAX((T_PlannedOrders[Part Name]=$A17)*(T_PlannedOrders[WeekIndex]=73)*(T_PlannedOrders[EffectiveQty]&gt;0)*T_PlannedOrders[Order_Month])),"m月")&amp;"発注)")</f>
        <v/>
      </c>
      <c r="BY23">
        <f>IF(SUMIFS(T_PlannedOrders[EffectiveQty],T_PlannedOrders[Part Name],$A17,T_PlannedOrders[WeekIndex],74)=0,"",SUMIFS(T_PlannedOrders[EffectiveQty],T_PlannedOrders[Part Name],$A17,T_PlannedOrders[WeekIndex],74)&amp;" ("&amp;TEXT(SUMPRODUCT(MAX((T_PlannedOrders[Part Name]=$A17)*(T_PlannedOrders[WeekIndex]=74)*(T_PlannedOrders[EffectiveQty]&gt;0)*T_PlannedOrders[Order_Month])),"m月")&amp;"発注)")</f>
        <v/>
      </c>
      <c r="BZ23">
        <f>IF(SUMIFS(T_PlannedOrders[EffectiveQty],T_PlannedOrders[Part Name],$A17,T_PlannedOrders[WeekIndex],75)=0,"",SUMIFS(T_PlannedOrders[EffectiveQty],T_PlannedOrders[Part Name],$A17,T_PlannedOrders[WeekIndex],75)&amp;" ("&amp;TEXT(SUMPRODUCT(MAX((T_PlannedOrders[Part Name]=$A17)*(T_PlannedOrders[WeekIndex]=75)*(T_PlannedOrders[EffectiveQty]&gt;0)*T_PlannedOrders[Order_Month])),"m月")&amp;"発注)")</f>
        <v/>
      </c>
      <c r="CA23">
        <f>IF(SUMIFS(T_PlannedOrders[EffectiveQty],T_PlannedOrders[Part Name],$A17,T_PlannedOrders[WeekIndex],76)=0,"",SUMIFS(T_PlannedOrders[EffectiveQty],T_PlannedOrders[Part Name],$A17,T_PlannedOrders[WeekIndex],76)&amp;" ("&amp;TEXT(SUMPRODUCT(MAX((T_PlannedOrders[Part Name]=$A17)*(T_PlannedOrders[WeekIndex]=76)*(T_PlannedOrders[EffectiveQty]&gt;0)*T_PlannedOrders[Order_Month])),"m月")&amp;"発注)")</f>
        <v/>
      </c>
      <c r="CB23">
        <f>IF(SUMIFS(T_PlannedOrders[EffectiveQty],T_PlannedOrders[Part Name],$A17,T_PlannedOrders[WeekIndex],77)=0,"",SUMIFS(T_PlannedOrders[EffectiveQty],T_PlannedOrders[Part Name],$A17,T_PlannedOrders[WeekIndex],77)&amp;" ("&amp;TEXT(SUMPRODUCT(MAX((T_PlannedOrders[Part Name]=$A17)*(T_PlannedOrders[WeekIndex]=77)*(T_PlannedOrders[EffectiveQty]&gt;0)*T_PlannedOrders[Order_Month])),"m月")&amp;"発注)")</f>
        <v/>
      </c>
      <c r="CC23">
        <f>IF(SUMIFS(T_PlannedOrders[EffectiveQty],T_PlannedOrders[Part Name],$A17,T_PlannedOrders[WeekIndex],78)=0,"",SUMIFS(T_PlannedOrders[EffectiveQty],T_PlannedOrders[Part Name],$A17,T_PlannedOrders[WeekIndex],78)&amp;" ("&amp;TEXT(SUMPRODUCT(MAX((T_PlannedOrders[Part Name]=$A17)*(T_PlannedOrders[WeekIndex]=78)*(T_PlannedOrders[EffectiveQty]&gt;0)*T_PlannedOrders[Order_Month])),"m月")&amp;"発注)")</f>
        <v/>
      </c>
      <c r="CD23">
        <f>IF(SUMIFS(T_PlannedOrders[EffectiveQty],T_PlannedOrders[Part Name],$A17,T_PlannedOrders[WeekIndex],79)=0,"",SUMIFS(T_PlannedOrders[EffectiveQty],T_PlannedOrders[Part Name],$A17,T_PlannedOrders[WeekIndex],79)&amp;" ("&amp;TEXT(SUMPRODUCT(MAX((T_PlannedOrders[Part Name]=$A17)*(T_PlannedOrders[WeekIndex]=79)*(T_PlannedOrders[EffectiveQty]&gt;0)*T_PlannedOrders[Order_Month])),"m月")&amp;"発注)")</f>
        <v/>
      </c>
      <c r="CE23">
        <f>IF(SUMIFS(T_PlannedOrders[EffectiveQty],T_PlannedOrders[Part Name],$A17,T_PlannedOrders[WeekIndex],80)=0,"",SUMIFS(T_PlannedOrders[EffectiveQty],T_PlannedOrders[Part Name],$A17,T_PlannedOrders[WeekIndex],80)&amp;" ("&amp;TEXT(SUMPRODUCT(MAX((T_PlannedOrders[Part Name]=$A17)*(T_PlannedOrders[WeekIndex]=80)*(T_PlannedOrders[EffectiveQty]&gt;0)*T_PlannedOrders[Order_Month])),"m月")&amp;"発注)")</f>
        <v/>
      </c>
      <c r="CF23">
        <f>IF(SUMIFS(T_PlannedOrders[EffectiveQty],T_PlannedOrders[Part Name],$A17,T_PlannedOrders[WeekIndex],81)=0,"",SUMIFS(T_PlannedOrders[EffectiveQty],T_PlannedOrders[Part Name],$A17,T_PlannedOrders[WeekIndex],81)&amp;" ("&amp;TEXT(SUMPRODUCT(MAX((T_PlannedOrders[Part Name]=$A17)*(T_PlannedOrders[WeekIndex]=81)*(T_PlannedOrders[EffectiveQty]&gt;0)*T_PlannedOrders[Order_Month])),"m月")&amp;"発注)")</f>
        <v/>
      </c>
      <c r="CG23">
        <f>IF(SUMIFS(T_PlannedOrders[EffectiveQty],T_PlannedOrders[Part Name],$A17,T_PlannedOrders[WeekIndex],82)=0,"",SUMIFS(T_PlannedOrders[EffectiveQty],T_PlannedOrders[Part Name],$A17,T_PlannedOrders[WeekIndex],82)&amp;" ("&amp;TEXT(SUMPRODUCT(MAX((T_PlannedOrders[Part Name]=$A17)*(T_PlannedOrders[WeekIndex]=82)*(T_PlannedOrders[EffectiveQty]&gt;0)*T_PlannedOrders[Order_Month])),"m月")&amp;"発注)")</f>
        <v/>
      </c>
      <c r="CH23">
        <f>IF(SUMIFS(T_PlannedOrders[EffectiveQty],T_PlannedOrders[Part Name],$A17,T_PlannedOrders[WeekIndex],83)=0,"",SUMIFS(T_PlannedOrders[EffectiveQty],T_PlannedOrders[Part Name],$A17,T_PlannedOrders[WeekIndex],83)&amp;" ("&amp;TEXT(SUMPRODUCT(MAX((T_PlannedOrders[Part Name]=$A17)*(T_PlannedOrders[WeekIndex]=83)*(T_PlannedOrders[EffectiveQty]&gt;0)*T_PlannedOrders[Order_Month])),"m月")&amp;"発注)")</f>
        <v/>
      </c>
      <c r="CI23">
        <f>IF(SUMIFS(T_PlannedOrders[EffectiveQty],T_PlannedOrders[Part Name],$A17,T_PlannedOrders[WeekIndex],84)=0,"",SUMIFS(T_PlannedOrders[EffectiveQty],T_PlannedOrders[Part Name],$A17,T_PlannedOrders[WeekIndex],84)&amp;" ("&amp;TEXT(SUMPRODUCT(MAX((T_PlannedOrders[Part Name]=$A17)*(T_PlannedOrders[WeekIndex]=84)*(T_PlannedOrders[EffectiveQty]&gt;0)*T_PlannedOrders[Order_Month])),"m月")&amp;"発注)")</f>
        <v/>
      </c>
      <c r="CJ23">
        <f>IF(SUMIFS(T_PlannedOrders[EffectiveQty],T_PlannedOrders[Part Name],$A17,T_PlannedOrders[WeekIndex],85)=0,"",SUMIFS(T_PlannedOrders[EffectiveQty],T_PlannedOrders[Part Name],$A17,T_PlannedOrders[WeekIndex],85)&amp;" ("&amp;TEXT(SUMPRODUCT(MAX((T_PlannedOrders[Part Name]=$A17)*(T_PlannedOrders[WeekIndex]=85)*(T_PlannedOrders[EffectiveQty]&gt;0)*T_PlannedOrders[Order_Month])),"m月")&amp;"発注)")</f>
        <v/>
      </c>
      <c r="CK23">
        <f>IF(SUMIFS(T_PlannedOrders[EffectiveQty],T_PlannedOrders[Part Name],$A17,T_PlannedOrders[WeekIndex],86)=0,"",SUMIFS(T_PlannedOrders[EffectiveQty],T_PlannedOrders[Part Name],$A17,T_PlannedOrders[WeekIndex],86)&amp;" ("&amp;TEXT(SUMPRODUCT(MAX((T_PlannedOrders[Part Name]=$A17)*(T_PlannedOrders[WeekIndex]=86)*(T_PlannedOrders[EffectiveQty]&gt;0)*T_PlannedOrders[Order_Month])),"m月")&amp;"発注)")</f>
        <v/>
      </c>
      <c r="CL23">
        <f>IF(SUMIFS(T_PlannedOrders[EffectiveQty],T_PlannedOrders[Part Name],$A17,T_PlannedOrders[WeekIndex],87)=0,"",SUMIFS(T_PlannedOrders[EffectiveQty],T_PlannedOrders[Part Name],$A17,T_PlannedOrders[WeekIndex],87)&amp;" ("&amp;TEXT(SUMPRODUCT(MAX((T_PlannedOrders[Part Name]=$A17)*(T_PlannedOrders[WeekIndex]=87)*(T_PlannedOrders[EffectiveQty]&gt;0)*T_PlannedOrders[Order_Month])),"m月")&amp;"発注)")</f>
        <v/>
      </c>
      <c r="CM23">
        <f>IF(SUMIFS(T_PlannedOrders[EffectiveQty],T_PlannedOrders[Part Name],$A17,T_PlannedOrders[WeekIndex],88)=0,"",SUMIFS(T_PlannedOrders[EffectiveQty],T_PlannedOrders[Part Name],$A17,T_PlannedOrders[WeekIndex],88)&amp;" ("&amp;TEXT(SUMPRODUCT(MAX((T_PlannedOrders[Part Name]=$A17)*(T_PlannedOrders[WeekIndex]=88)*(T_PlannedOrders[EffectiveQty]&gt;0)*T_PlannedOrders[Order_Month])),"m月")&amp;"発注)")</f>
        <v/>
      </c>
      <c r="CN23">
        <f>IF(SUMIFS(T_PlannedOrders[EffectiveQty],T_PlannedOrders[Part Name],$A17,T_PlannedOrders[WeekIndex],89)=0,"",SUMIFS(T_PlannedOrders[EffectiveQty],T_PlannedOrders[Part Name],$A17,T_PlannedOrders[WeekIndex],89)&amp;" ("&amp;TEXT(SUMPRODUCT(MAX((T_PlannedOrders[Part Name]=$A17)*(T_PlannedOrders[WeekIndex]=89)*(T_PlannedOrders[EffectiveQty]&gt;0)*T_PlannedOrders[Order_Month])),"m月")&amp;"発注)")</f>
        <v/>
      </c>
      <c r="CO23">
        <f>IF(SUMIFS(T_PlannedOrders[EffectiveQty],T_PlannedOrders[Part Name],$A17,T_PlannedOrders[WeekIndex],90)=0,"",SUMIFS(T_PlannedOrders[EffectiveQty],T_PlannedOrders[Part Name],$A17,T_PlannedOrders[WeekIndex],90)&amp;" ("&amp;TEXT(SUMPRODUCT(MAX((T_PlannedOrders[Part Name]=$A17)*(T_PlannedOrders[WeekIndex]=90)*(T_PlannedOrders[EffectiveQty]&gt;0)*T_PlannedOrders[Order_Month])),"m月")&amp;"発注)")</f>
        <v/>
      </c>
      <c r="CP23">
        <f>IF(SUMIFS(T_PlannedOrders[EffectiveQty],T_PlannedOrders[Part Name],$A17,T_PlannedOrders[WeekIndex],91)=0,"",SUMIFS(T_PlannedOrders[EffectiveQty],T_PlannedOrders[Part Name],$A17,T_PlannedOrders[WeekIndex],91)&amp;" ("&amp;TEXT(SUMPRODUCT(MAX((T_PlannedOrders[Part Name]=$A17)*(T_PlannedOrders[WeekIndex]=91)*(T_PlannedOrders[EffectiveQty]&gt;0)*T_PlannedOrders[Order_Month])),"m月")&amp;"発注)")</f>
        <v/>
      </c>
      <c r="CQ23">
        <f>IF(SUMIFS(T_PlannedOrders[EffectiveQty],T_PlannedOrders[Part Name],$A17,T_PlannedOrders[WeekIndex],92)=0,"",SUMIFS(T_PlannedOrders[EffectiveQty],T_PlannedOrders[Part Name],$A17,T_PlannedOrders[WeekIndex],92)&amp;" ("&amp;TEXT(SUMPRODUCT(MAX((T_PlannedOrders[Part Name]=$A17)*(T_PlannedOrders[WeekIndex]=92)*(T_PlannedOrders[EffectiveQty]&gt;0)*T_PlannedOrders[Order_Month])),"m月")&amp;"発注)")</f>
        <v/>
      </c>
      <c r="CR23">
        <f>IF(SUMIFS(T_PlannedOrders[EffectiveQty],T_PlannedOrders[Part Name],$A17,T_PlannedOrders[WeekIndex],93)=0,"",SUMIFS(T_PlannedOrders[EffectiveQty],T_PlannedOrders[Part Name],$A17,T_PlannedOrders[WeekIndex],93)&amp;" ("&amp;TEXT(SUMPRODUCT(MAX((T_PlannedOrders[Part Name]=$A17)*(T_PlannedOrders[WeekIndex]=93)*(T_PlannedOrders[EffectiveQty]&gt;0)*T_PlannedOrders[Order_Month])),"m月")&amp;"発注)")</f>
        <v/>
      </c>
      <c r="CS23">
        <f>IF(SUMIFS(T_PlannedOrders[EffectiveQty],T_PlannedOrders[Part Name],$A17,T_PlannedOrders[WeekIndex],94)=0,"",SUMIFS(T_PlannedOrders[EffectiveQty],T_PlannedOrders[Part Name],$A17,T_PlannedOrders[WeekIndex],94)&amp;" ("&amp;TEXT(SUMPRODUCT(MAX((T_PlannedOrders[Part Name]=$A17)*(T_PlannedOrders[WeekIndex]=94)*(T_PlannedOrders[EffectiveQty]&gt;0)*T_PlannedOrders[Order_Month])),"m月")&amp;"発注)")</f>
        <v/>
      </c>
      <c r="CT23">
        <f>IF(SUMIFS(T_PlannedOrders[EffectiveQty],T_PlannedOrders[Part Name],$A17,T_PlannedOrders[WeekIndex],95)=0,"",SUMIFS(T_PlannedOrders[EffectiveQty],T_PlannedOrders[Part Name],$A17,T_PlannedOrders[WeekIndex],95)&amp;" ("&amp;TEXT(SUMPRODUCT(MAX((T_PlannedOrders[Part Name]=$A17)*(T_PlannedOrders[WeekIndex]=95)*(T_PlannedOrders[EffectiveQty]&gt;0)*T_PlannedOrders[Order_Month])),"m月")&amp;"発注)")</f>
        <v/>
      </c>
      <c r="CU23">
        <f>IF(SUMIFS(T_PlannedOrders[EffectiveQty],T_PlannedOrders[Part Name],$A17,T_PlannedOrders[WeekIndex],96)=0,"",SUMIFS(T_PlannedOrders[EffectiveQty],T_PlannedOrders[Part Name],$A17,T_PlannedOrders[WeekIndex],96)&amp;" ("&amp;TEXT(SUMPRODUCT(MAX((T_PlannedOrders[Part Name]=$A17)*(T_PlannedOrders[WeekIndex]=96)*(T_PlannedOrders[EffectiveQty]&gt;0)*T_PlannedOrders[Order_Month])),"m月")&amp;"発注)")</f>
        <v/>
      </c>
      <c r="CV23">
        <f>IF(SUMIFS(T_PlannedOrders[EffectiveQty],T_PlannedOrders[Part Name],$A17,T_PlannedOrders[WeekIndex],97)=0,"",SUMIFS(T_PlannedOrders[EffectiveQty],T_PlannedOrders[Part Name],$A17,T_PlannedOrders[WeekIndex],97)&amp;" ("&amp;TEXT(SUMPRODUCT(MAX((T_PlannedOrders[Part Name]=$A17)*(T_PlannedOrders[WeekIndex]=97)*(T_PlannedOrders[EffectiveQty]&gt;0)*T_PlannedOrders[Order_Month])),"m月")&amp;"発注)")</f>
        <v/>
      </c>
      <c r="CW23">
        <f>IF(SUMIFS(T_PlannedOrders[EffectiveQty],T_PlannedOrders[Part Name],$A17,T_PlannedOrders[WeekIndex],98)=0,"",SUMIFS(T_PlannedOrders[EffectiveQty],T_PlannedOrders[Part Name],$A17,T_PlannedOrders[WeekIndex],98)&amp;" ("&amp;TEXT(SUMPRODUCT(MAX((T_PlannedOrders[Part Name]=$A17)*(T_PlannedOrders[WeekIndex]=98)*(T_PlannedOrders[EffectiveQty]&gt;0)*T_PlannedOrders[Order_Month])),"m月")&amp;"発注)")</f>
        <v/>
      </c>
      <c r="CX23">
        <f>IF(SUMIFS(T_PlannedOrders[EffectiveQty],T_PlannedOrders[Part Name],$A17,T_PlannedOrders[WeekIndex],99)=0,"",SUMIFS(T_PlannedOrders[EffectiveQty],T_PlannedOrders[Part Name],$A17,T_PlannedOrders[WeekIndex],99)&amp;" ("&amp;TEXT(SUMPRODUCT(MAX((T_PlannedOrders[Part Name]=$A17)*(T_PlannedOrders[WeekIndex]=99)*(T_PlannedOrders[EffectiveQty]&gt;0)*T_PlannedOrders[Order_Month])),"m月")&amp;"発注)")</f>
        <v/>
      </c>
      <c r="CY23">
        <f>IF(SUMIFS(T_PlannedOrders[EffectiveQty],T_PlannedOrders[Part Name],$A17,T_PlannedOrders[WeekIndex],100)=0,"",SUMIFS(T_PlannedOrders[EffectiveQty],T_PlannedOrders[Part Name],$A17,T_PlannedOrders[WeekIndex],100)&amp;" ("&amp;TEXT(SUMPRODUCT(MAX((T_PlannedOrders[Part Name]=$A17)*(T_PlannedOrders[WeekIndex]=100)*(T_PlannedOrders[EffectiveQty]&gt;0)*T_PlannedOrders[Order_Month])),"m月")&amp;"発注)")</f>
        <v/>
      </c>
      <c r="CZ23">
        <f>IF(SUMIFS(T_PlannedOrders[EffectiveQty],T_PlannedOrders[Part Name],$A17,T_PlannedOrders[WeekIndex],101)=0,"",SUMIFS(T_PlannedOrders[EffectiveQty],T_PlannedOrders[Part Name],$A17,T_PlannedOrders[WeekIndex],101)&amp;" ("&amp;TEXT(SUMPRODUCT(MAX((T_PlannedOrders[Part Name]=$A17)*(T_PlannedOrders[WeekIndex]=101)*(T_PlannedOrders[EffectiveQty]&gt;0)*T_PlannedOrders[Order_Month])),"m月")&amp;"発注)")</f>
        <v/>
      </c>
      <c r="DA23">
        <f>IF(SUMIFS(T_PlannedOrders[EffectiveQty],T_PlannedOrders[Part Name],$A17,T_PlannedOrders[WeekIndex],102)=0,"",SUMIFS(T_PlannedOrders[EffectiveQty],T_PlannedOrders[Part Name],$A17,T_PlannedOrders[WeekIndex],102)&amp;" ("&amp;TEXT(SUMPRODUCT(MAX((T_PlannedOrders[Part Name]=$A17)*(T_PlannedOrders[WeekIndex]=102)*(T_PlannedOrders[EffectiveQty]&gt;0)*T_PlannedOrders[Order_Month])),"m月")&amp;"発注)")</f>
        <v/>
      </c>
      <c r="DB23">
        <f>IF(SUMIFS(T_PlannedOrders[EffectiveQty],T_PlannedOrders[Part Name],$A17,T_PlannedOrders[WeekIndex],103)=0,"",SUMIFS(T_PlannedOrders[EffectiveQty],T_PlannedOrders[Part Name],$A17,T_PlannedOrders[WeekIndex],103)&amp;" ("&amp;TEXT(SUMPRODUCT(MAX((T_PlannedOrders[Part Name]=$A17)*(T_PlannedOrders[WeekIndex]=103)*(T_PlannedOrders[EffectiveQty]&gt;0)*T_PlannedOrders[Order_Month])),"m月")&amp;"発注)")</f>
        <v/>
      </c>
      <c r="DC23">
        <f>IF(SUMIFS(T_PlannedOrders[EffectiveQty],T_PlannedOrders[Part Name],$A17,T_PlannedOrders[WeekIndex],104)=0,"",SUMIFS(T_PlannedOrders[EffectiveQty],T_PlannedOrders[Part Name],$A17,T_PlannedOrders[WeekIndex],104)&amp;" ("&amp;TEXT(SUMPRODUCT(MAX((T_PlannedOrders[Part Name]=$A17)*(T_PlannedOrders[WeekIndex]=104)*(T_PlannedOrders[EffectiveQty]&gt;0)*T_PlannedOrders[Order_Month])),"m月")&amp;"発注)")</f>
        <v/>
      </c>
    </row>
    <row r="24">
      <c r="B24" s="5" t="inlineStr">
        <is>
          <t>合計在庫(週末時点,kg)</t>
        </is>
      </c>
      <c r="D24">
        <f>'Grid_Stock'!B2</f>
        <v/>
      </c>
      <c r="E24">
        <f>'Grid_Stock'!C2</f>
        <v/>
      </c>
      <c r="F24">
        <f>'Grid_Stock'!D2</f>
        <v/>
      </c>
      <c r="G24">
        <f>'Grid_Stock'!E2</f>
        <v/>
      </c>
      <c r="H24">
        <f>'Grid_Stock'!F2</f>
        <v/>
      </c>
      <c r="I24">
        <f>'Grid_Stock'!G2</f>
        <v/>
      </c>
      <c r="J24">
        <f>'Grid_Stock'!H2</f>
        <v/>
      </c>
      <c r="K24">
        <f>'Grid_Stock'!I2</f>
        <v/>
      </c>
      <c r="L24">
        <f>'Grid_Stock'!J2</f>
        <v/>
      </c>
      <c r="M24">
        <f>'Grid_Stock'!K2</f>
        <v/>
      </c>
      <c r="N24">
        <f>'Grid_Stock'!L2</f>
        <v/>
      </c>
      <c r="O24">
        <f>'Grid_Stock'!M2</f>
        <v/>
      </c>
      <c r="P24">
        <f>'Grid_Stock'!N2</f>
        <v/>
      </c>
      <c r="Q24">
        <f>'Grid_Stock'!O2</f>
        <v/>
      </c>
      <c r="R24">
        <f>'Grid_Stock'!P2</f>
        <v/>
      </c>
      <c r="S24">
        <f>'Grid_Stock'!Q2</f>
        <v/>
      </c>
      <c r="T24">
        <f>'Grid_Stock'!R2</f>
        <v/>
      </c>
      <c r="U24">
        <f>'Grid_Stock'!S2</f>
        <v/>
      </c>
      <c r="V24">
        <f>'Grid_Stock'!T2</f>
        <v/>
      </c>
      <c r="W24">
        <f>'Grid_Stock'!U2</f>
        <v/>
      </c>
      <c r="X24">
        <f>'Grid_Stock'!V2</f>
        <v/>
      </c>
      <c r="Y24">
        <f>'Grid_Stock'!W2</f>
        <v/>
      </c>
      <c r="Z24">
        <f>'Grid_Stock'!X2</f>
        <v/>
      </c>
      <c r="AA24">
        <f>'Grid_Stock'!Y2</f>
        <v/>
      </c>
      <c r="AB24">
        <f>'Grid_Stock'!Z2</f>
        <v/>
      </c>
      <c r="AC24">
        <f>'Grid_Stock'!AA2</f>
        <v/>
      </c>
      <c r="AD24">
        <f>'Grid_Stock'!AB2</f>
        <v/>
      </c>
      <c r="AE24">
        <f>'Grid_Stock'!AC2</f>
        <v/>
      </c>
      <c r="AF24">
        <f>'Grid_Stock'!AD2</f>
        <v/>
      </c>
      <c r="AG24">
        <f>'Grid_Stock'!AE2</f>
        <v/>
      </c>
      <c r="AH24">
        <f>'Grid_Stock'!AF2</f>
        <v/>
      </c>
      <c r="AI24">
        <f>'Grid_Stock'!AG2</f>
        <v/>
      </c>
      <c r="AJ24">
        <f>'Grid_Stock'!AH2</f>
        <v/>
      </c>
      <c r="AK24">
        <f>'Grid_Stock'!AI2</f>
        <v/>
      </c>
      <c r="AL24">
        <f>'Grid_Stock'!AJ2</f>
        <v/>
      </c>
      <c r="AM24">
        <f>'Grid_Stock'!AK2</f>
        <v/>
      </c>
      <c r="AN24">
        <f>'Grid_Stock'!AL2</f>
        <v/>
      </c>
      <c r="AO24">
        <f>'Grid_Stock'!AM2</f>
        <v/>
      </c>
      <c r="AP24">
        <f>'Grid_Stock'!AN2</f>
        <v/>
      </c>
      <c r="AQ24">
        <f>'Grid_Stock'!AO2</f>
        <v/>
      </c>
      <c r="AR24">
        <f>'Grid_Stock'!AP2</f>
        <v/>
      </c>
      <c r="AS24">
        <f>'Grid_Stock'!AQ2</f>
        <v/>
      </c>
      <c r="AT24">
        <f>'Grid_Stock'!AR2</f>
        <v/>
      </c>
      <c r="AU24">
        <f>'Grid_Stock'!AS2</f>
        <v/>
      </c>
      <c r="AV24">
        <f>'Grid_Stock'!AT2</f>
        <v/>
      </c>
      <c r="AW24">
        <f>'Grid_Stock'!AU2</f>
        <v/>
      </c>
      <c r="AX24">
        <f>'Grid_Stock'!AV2</f>
        <v/>
      </c>
      <c r="AY24">
        <f>'Grid_Stock'!AW2</f>
        <v/>
      </c>
      <c r="AZ24">
        <f>'Grid_Stock'!AX2</f>
        <v/>
      </c>
      <c r="BA24">
        <f>'Grid_Stock'!AY2</f>
        <v/>
      </c>
      <c r="BB24">
        <f>'Grid_Stock'!AZ2</f>
        <v/>
      </c>
      <c r="BC24">
        <f>'Grid_Stock'!BA2</f>
        <v/>
      </c>
      <c r="BD24">
        <f>'Grid_Stock'!BB2</f>
        <v/>
      </c>
      <c r="BE24">
        <f>'Grid_Stock'!BC2</f>
        <v/>
      </c>
      <c r="BF24">
        <f>'Grid_Stock'!BD2</f>
        <v/>
      </c>
      <c r="BG24">
        <f>'Grid_Stock'!BE2</f>
        <v/>
      </c>
      <c r="BH24">
        <f>'Grid_Stock'!BF2</f>
        <v/>
      </c>
      <c r="BI24">
        <f>'Grid_Stock'!BG2</f>
        <v/>
      </c>
      <c r="BJ24">
        <f>'Grid_Stock'!BH2</f>
        <v/>
      </c>
      <c r="BK24">
        <f>'Grid_Stock'!BI2</f>
        <v/>
      </c>
      <c r="BL24">
        <f>'Grid_Stock'!BJ2</f>
        <v/>
      </c>
      <c r="BM24">
        <f>'Grid_Stock'!BK2</f>
        <v/>
      </c>
      <c r="BN24">
        <f>'Grid_Stock'!BL2</f>
        <v/>
      </c>
      <c r="BO24">
        <f>'Grid_Stock'!BM2</f>
        <v/>
      </c>
      <c r="BP24">
        <f>'Grid_Stock'!BN2</f>
        <v/>
      </c>
      <c r="BQ24">
        <f>'Grid_Stock'!BO2</f>
        <v/>
      </c>
      <c r="BR24">
        <f>'Grid_Stock'!BP2</f>
        <v/>
      </c>
      <c r="BS24">
        <f>'Grid_Stock'!BQ2</f>
        <v/>
      </c>
      <c r="BT24">
        <f>'Grid_Stock'!BR2</f>
        <v/>
      </c>
      <c r="BU24">
        <f>'Grid_Stock'!BS2</f>
        <v/>
      </c>
      <c r="BV24">
        <f>'Grid_Stock'!BT2</f>
        <v/>
      </c>
      <c r="BW24">
        <f>'Grid_Stock'!BU2</f>
        <v/>
      </c>
      <c r="BX24">
        <f>'Grid_Stock'!BV2</f>
        <v/>
      </c>
      <c r="BY24">
        <f>'Grid_Stock'!BW2</f>
        <v/>
      </c>
      <c r="BZ24">
        <f>'Grid_Stock'!BX2</f>
        <v/>
      </c>
      <c r="CA24">
        <f>'Grid_Stock'!BY2</f>
        <v/>
      </c>
      <c r="CB24">
        <f>'Grid_Stock'!BZ2</f>
        <v/>
      </c>
      <c r="CC24">
        <f>'Grid_Stock'!CA2</f>
        <v/>
      </c>
      <c r="CD24">
        <f>'Grid_Stock'!CB2</f>
        <v/>
      </c>
      <c r="CE24">
        <f>'Grid_Stock'!CC2</f>
        <v/>
      </c>
      <c r="CF24">
        <f>'Grid_Stock'!CD2</f>
        <v/>
      </c>
      <c r="CG24">
        <f>'Grid_Stock'!CE2</f>
        <v/>
      </c>
      <c r="CH24">
        <f>'Grid_Stock'!CF2</f>
        <v/>
      </c>
      <c r="CI24">
        <f>'Grid_Stock'!CG2</f>
        <v/>
      </c>
      <c r="CJ24">
        <f>'Grid_Stock'!CH2</f>
        <v/>
      </c>
      <c r="CK24">
        <f>'Grid_Stock'!CI2</f>
        <v/>
      </c>
      <c r="CL24">
        <f>'Grid_Stock'!CJ2</f>
        <v/>
      </c>
      <c r="CM24">
        <f>'Grid_Stock'!CK2</f>
        <v/>
      </c>
      <c r="CN24">
        <f>'Grid_Stock'!CL2</f>
        <v/>
      </c>
      <c r="CO24">
        <f>'Grid_Stock'!CM2</f>
        <v/>
      </c>
      <c r="CP24">
        <f>'Grid_Stock'!CN2</f>
        <v/>
      </c>
      <c r="CQ24">
        <f>'Grid_Stock'!CO2</f>
        <v/>
      </c>
      <c r="CR24">
        <f>'Grid_Stock'!CP2</f>
        <v/>
      </c>
      <c r="CS24">
        <f>'Grid_Stock'!CQ2</f>
        <v/>
      </c>
      <c r="CT24">
        <f>'Grid_Stock'!CR2</f>
        <v/>
      </c>
      <c r="CU24">
        <f>'Grid_Stock'!CS2</f>
        <v/>
      </c>
      <c r="CV24">
        <f>'Grid_Stock'!CT2</f>
        <v/>
      </c>
      <c r="CW24">
        <f>'Grid_Stock'!CU2</f>
        <v/>
      </c>
      <c r="CX24">
        <f>'Grid_Stock'!CV2</f>
        <v/>
      </c>
      <c r="CY24">
        <f>'Grid_Stock'!CW2</f>
        <v/>
      </c>
      <c r="CZ24">
        <f>'Grid_Stock'!CX2</f>
        <v/>
      </c>
      <c r="DA24">
        <f>'Grid_Stock'!CY2</f>
        <v/>
      </c>
      <c r="DB24">
        <f>'Grid_Stock'!CZ2</f>
        <v/>
      </c>
      <c r="DC24">
        <f>'Grid_Stock'!DA2</f>
        <v/>
      </c>
    </row>
    <row r="25">
      <c r="B25" s="23" t="inlineStr">
        <is>
          <t>（発注の目安はDashboardの基準在庫[下限/上限]と色分けを参照）</t>
        </is>
      </c>
    </row>
    <row r="27">
      <c r="A27" s="21" t="inlineStr">
        <is>
          <t>OLJ</t>
        </is>
      </c>
      <c r="B27" s="21" t="inlineStr">
        <is>
          <t>Substrate NGK N126-103-105xT5</t>
        </is>
      </c>
      <c r="C27" s="22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1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</row>
    <row r="28">
      <c r="B28" t="inlineStr">
        <is>
          <t>0T150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12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Name],$A27)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0T410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12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Name],$A27)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0T420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12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Name],$A27)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0T470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12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Name],$A27)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t="inlineStr">
        <is>
          <t>0T490</t>
        </is>
      </c>
      <c r="C36" t="inlineStr">
        <is>
          <t>No. of batches</t>
        </is>
      </c>
      <c r="D36">
        <f>IFERROR(INDEX(PP_Grid[#Data],$DD36,2),0)</f>
        <v/>
      </c>
      <c r="E36">
        <f>IFERROR(INDEX(PP_Grid[#Data],$DD36,3),0)</f>
        <v/>
      </c>
      <c r="F36">
        <f>IFERROR(INDEX(PP_Grid[#Data],$DD36,4),0)</f>
        <v/>
      </c>
      <c r="G36">
        <f>IFERROR(INDEX(PP_Grid[#Data],$DD36,5),0)</f>
        <v/>
      </c>
      <c r="H36">
        <f>IFERROR(INDEX(PP_Grid[#Data],$DD36,6),0)</f>
        <v/>
      </c>
      <c r="I36">
        <f>IFERROR(INDEX(PP_Grid[#Data],$DD36,7),0)</f>
        <v/>
      </c>
      <c r="J36">
        <f>IFERROR(INDEX(PP_Grid[#Data],$DD36,8),0)</f>
        <v/>
      </c>
      <c r="K36">
        <f>IFERROR(INDEX(PP_Grid[#Data],$DD36,9),0)</f>
        <v/>
      </c>
      <c r="L36">
        <f>IFERROR(INDEX(PP_Grid[#Data],$DD36,10),0)</f>
        <v/>
      </c>
      <c r="M36">
        <f>IFERROR(INDEX(PP_Grid[#Data],$DD36,11),0)</f>
        <v/>
      </c>
      <c r="N36">
        <f>IFERROR(INDEX(PP_Grid[#Data],$DD36,12),0)</f>
        <v/>
      </c>
      <c r="O36">
        <f>IFERROR(INDEX(PP_Grid[#Data],$DD36,13),0)</f>
        <v/>
      </c>
      <c r="P36">
        <f>IFERROR(INDEX(PP_Grid[#Data],$DD36,14),0)</f>
        <v/>
      </c>
      <c r="Q36">
        <f>IFERROR(INDEX(PP_Grid[#Data],$DD36,15),0)</f>
        <v/>
      </c>
      <c r="R36">
        <f>IFERROR(INDEX(PP_Grid[#Data],$DD36,16),0)</f>
        <v/>
      </c>
      <c r="S36">
        <f>IFERROR(INDEX(PP_Grid[#Data],$DD36,17),0)</f>
        <v/>
      </c>
      <c r="T36">
        <f>IFERROR(INDEX(PP_Grid[#Data],$DD36,18),0)</f>
        <v/>
      </c>
      <c r="U36">
        <f>IFERROR(INDEX(PP_Grid[#Data],$DD36,19),0)</f>
        <v/>
      </c>
      <c r="V36">
        <f>IFERROR(INDEX(PP_Grid[#Data],$DD36,20),0)</f>
        <v/>
      </c>
      <c r="W36">
        <f>IFERROR(INDEX(PP_Grid[#Data],$DD36,21),0)</f>
        <v/>
      </c>
      <c r="X36">
        <f>IFERROR(INDEX(PP_Grid[#Data],$DD36,22),0)</f>
        <v/>
      </c>
      <c r="Y36">
        <f>IFERROR(INDEX(PP_Grid[#Data],$DD36,23),0)</f>
        <v/>
      </c>
      <c r="Z36">
        <f>IFERROR(INDEX(PP_Grid[#Data],$DD36,24),0)</f>
        <v/>
      </c>
      <c r="AA36">
        <f>IFERROR(INDEX(PP_Grid[#Data],$DD36,25),0)</f>
        <v/>
      </c>
      <c r="AB36">
        <f>IFERROR(INDEX(PP_Grid[#Data],$DD36,26),0)</f>
        <v/>
      </c>
      <c r="AC36">
        <f>IFERROR(INDEX(PP_Grid[#Data],$DD36,27),0)</f>
        <v/>
      </c>
      <c r="AD36">
        <f>IFERROR(INDEX(PP_Grid[#Data],$DD36,28),0)</f>
        <v/>
      </c>
      <c r="AE36">
        <f>IFERROR(INDEX(PP_Grid[#Data],$DD36,29),0)</f>
        <v/>
      </c>
      <c r="AF36">
        <f>IFERROR(INDEX(PP_Grid[#Data],$DD36,30),0)</f>
        <v/>
      </c>
      <c r="AG36">
        <f>IFERROR(INDEX(PP_Grid[#Data],$DD36,31),0)</f>
        <v/>
      </c>
      <c r="AH36">
        <f>IFERROR(INDEX(PP_Grid[#Data],$DD36,32),0)</f>
        <v/>
      </c>
      <c r="AI36">
        <f>IFERROR(INDEX(PP_Grid[#Data],$DD36,33),0)</f>
        <v/>
      </c>
      <c r="AJ36">
        <f>IFERROR(INDEX(PP_Grid[#Data],$DD36,34),0)</f>
        <v/>
      </c>
      <c r="AK36">
        <f>IFERROR(INDEX(PP_Grid[#Data],$DD36,35),0)</f>
        <v/>
      </c>
      <c r="AL36">
        <f>IFERROR(INDEX(PP_Grid[#Data],$DD36,36),0)</f>
        <v/>
      </c>
      <c r="AM36">
        <f>IFERROR(INDEX(PP_Grid[#Data],$DD36,37),0)</f>
        <v/>
      </c>
      <c r="AN36">
        <f>IFERROR(INDEX(PP_Grid[#Data],$DD36,38),0)</f>
        <v/>
      </c>
      <c r="AO36">
        <f>IFERROR(INDEX(PP_Grid[#Data],$DD36,39),0)</f>
        <v/>
      </c>
      <c r="AP36">
        <f>IFERROR(INDEX(PP_Grid[#Data],$DD36,40),0)</f>
        <v/>
      </c>
      <c r="AQ36">
        <f>IFERROR(INDEX(PP_Grid[#Data],$DD36,41),0)</f>
        <v/>
      </c>
      <c r="AR36">
        <f>IFERROR(INDEX(PP_Grid[#Data],$DD36,42),0)</f>
        <v/>
      </c>
      <c r="AS36">
        <f>IFERROR(INDEX(PP_Grid[#Data],$DD36,43),0)</f>
        <v/>
      </c>
      <c r="AT36">
        <f>IFERROR(INDEX(PP_Grid[#Data],$DD36,44),0)</f>
        <v/>
      </c>
      <c r="AU36">
        <f>IFERROR(INDEX(PP_Grid[#Data],$DD36,45),0)</f>
        <v/>
      </c>
      <c r="AV36">
        <f>IFERROR(INDEX(PP_Grid[#Data],$DD36,46),0)</f>
        <v/>
      </c>
      <c r="AW36">
        <f>IFERROR(INDEX(PP_Grid[#Data],$DD36,47),0)</f>
        <v/>
      </c>
      <c r="AX36">
        <f>IFERROR(INDEX(PP_Grid[#Data],$DD36,48),0)</f>
        <v/>
      </c>
      <c r="AY36">
        <f>IFERROR(INDEX(PP_Grid[#Data],$DD36,49),0)</f>
        <v/>
      </c>
      <c r="AZ36">
        <f>IFERROR(INDEX(PP_Grid[#Data],$DD36,50),0)</f>
        <v/>
      </c>
      <c r="BA36">
        <f>IFERROR(INDEX(PP_Grid[#Data],$DD36,51),0)</f>
        <v/>
      </c>
      <c r="BB36">
        <f>IFERROR(INDEX(PP_Grid[#Data],$DD36,52),0)</f>
        <v/>
      </c>
      <c r="BC36">
        <f>IFERROR(INDEX(PP_Grid[#Data],$DD36,53),0)</f>
        <v/>
      </c>
      <c r="BD36">
        <f>IFERROR(INDEX(PP_Grid[#Data],$DD36,54),0)</f>
        <v/>
      </c>
      <c r="BE36">
        <f>IFERROR(INDEX(PP_Grid[#Data],$DD36,55),0)</f>
        <v/>
      </c>
      <c r="BF36">
        <f>IFERROR(INDEX(PP_Grid[#Data],$DD36,56),0)</f>
        <v/>
      </c>
      <c r="BG36">
        <f>IFERROR(INDEX(PP_Grid[#Data],$DD36,57),0)</f>
        <v/>
      </c>
      <c r="BH36">
        <f>IFERROR(INDEX(PP_Grid[#Data],$DD36,58),0)</f>
        <v/>
      </c>
      <c r="BI36">
        <f>IFERROR(INDEX(PP_Grid[#Data],$DD36,59),0)</f>
        <v/>
      </c>
      <c r="BJ36">
        <f>IFERROR(INDEX(PP_Grid[#Data],$DD36,60),0)</f>
        <v/>
      </c>
      <c r="BK36">
        <f>IFERROR(INDEX(PP_Grid[#Data],$DD36,61),0)</f>
        <v/>
      </c>
      <c r="BL36">
        <f>IFERROR(INDEX(PP_Grid[#Data],$DD36,62),0)</f>
        <v/>
      </c>
      <c r="BM36">
        <f>IFERROR(INDEX(PP_Grid[#Data],$DD36,63),0)</f>
        <v/>
      </c>
      <c r="BN36">
        <f>IFERROR(INDEX(PP_Grid[#Data],$DD36,64),0)</f>
        <v/>
      </c>
      <c r="BO36">
        <f>IFERROR(INDEX(PP_Grid[#Data],$DD36,65),0)</f>
        <v/>
      </c>
      <c r="BP36">
        <f>IFERROR(INDEX(PP_Grid[#Data],$DD36,66),0)</f>
        <v/>
      </c>
      <c r="BQ36">
        <f>IFERROR(INDEX(PP_Grid[#Data],$DD36,67),0)</f>
        <v/>
      </c>
      <c r="BR36">
        <f>IFERROR(INDEX(PP_Grid[#Data],$DD36,68),0)</f>
        <v/>
      </c>
      <c r="BS36">
        <f>IFERROR(INDEX(PP_Grid[#Data],$DD36,69),0)</f>
        <v/>
      </c>
      <c r="BT36">
        <f>IFERROR(INDEX(PP_Grid[#Data],$DD36,70),0)</f>
        <v/>
      </c>
      <c r="BU36">
        <f>IFERROR(INDEX(PP_Grid[#Data],$DD36,71),0)</f>
        <v/>
      </c>
      <c r="BV36">
        <f>IFERROR(INDEX(PP_Grid[#Data],$DD36,72),0)</f>
        <v/>
      </c>
      <c r="BW36">
        <f>IFERROR(INDEX(PP_Grid[#Data],$DD36,73),0)</f>
        <v/>
      </c>
      <c r="BX36">
        <f>IFERROR(INDEX(PP_Grid[#Data],$DD36,74),0)</f>
        <v/>
      </c>
      <c r="BY36">
        <f>IFERROR(INDEX(PP_Grid[#Data],$DD36,75),0)</f>
        <v/>
      </c>
      <c r="BZ36">
        <f>IFERROR(INDEX(PP_Grid[#Data],$DD36,76),0)</f>
        <v/>
      </c>
      <c r="CA36">
        <f>IFERROR(INDEX(PP_Grid[#Data],$DD36,77),0)</f>
        <v/>
      </c>
      <c r="CB36">
        <f>IFERROR(INDEX(PP_Grid[#Data],$DD36,78),0)</f>
        <v/>
      </c>
      <c r="CC36">
        <f>IFERROR(INDEX(PP_Grid[#Data],$DD36,79),0)</f>
        <v/>
      </c>
      <c r="CD36">
        <f>IFERROR(INDEX(PP_Grid[#Data],$DD36,80),0)</f>
        <v/>
      </c>
      <c r="CE36">
        <f>IFERROR(INDEX(PP_Grid[#Data],$DD36,81),0)</f>
        <v/>
      </c>
      <c r="CF36">
        <f>IFERROR(INDEX(PP_Grid[#Data],$DD36,82),0)</f>
        <v/>
      </c>
      <c r="CG36">
        <f>IFERROR(INDEX(PP_Grid[#Data],$DD36,83),0)</f>
        <v/>
      </c>
      <c r="CH36">
        <f>IFERROR(INDEX(PP_Grid[#Data],$DD36,84),0)</f>
        <v/>
      </c>
      <c r="CI36">
        <f>IFERROR(INDEX(PP_Grid[#Data],$DD36,85),0)</f>
        <v/>
      </c>
      <c r="CJ36">
        <f>IFERROR(INDEX(PP_Grid[#Data],$DD36,86),0)</f>
        <v/>
      </c>
      <c r="CK36">
        <f>IFERROR(INDEX(PP_Grid[#Data],$DD36,87),0)</f>
        <v/>
      </c>
      <c r="CL36">
        <f>IFERROR(INDEX(PP_Grid[#Data],$DD36,88),0)</f>
        <v/>
      </c>
      <c r="CM36">
        <f>IFERROR(INDEX(PP_Grid[#Data],$DD36,89),0)</f>
        <v/>
      </c>
      <c r="CN36">
        <f>IFERROR(INDEX(PP_Grid[#Data],$DD36,90),0)</f>
        <v/>
      </c>
      <c r="CO36">
        <f>IFERROR(INDEX(PP_Grid[#Data],$DD36,91),0)</f>
        <v/>
      </c>
      <c r="CP36">
        <f>IFERROR(INDEX(PP_Grid[#Data],$DD36,92),0)</f>
        <v/>
      </c>
      <c r="CQ36">
        <f>IFERROR(INDEX(PP_Grid[#Data],$DD36,93),0)</f>
        <v/>
      </c>
      <c r="CR36">
        <f>IFERROR(INDEX(PP_Grid[#Data],$DD36,94),0)</f>
        <v/>
      </c>
      <c r="CS36">
        <f>IFERROR(INDEX(PP_Grid[#Data],$DD36,95),0)</f>
        <v/>
      </c>
      <c r="CT36">
        <f>IFERROR(INDEX(PP_Grid[#Data],$DD36,96),0)</f>
        <v/>
      </c>
      <c r="CU36">
        <f>IFERROR(INDEX(PP_Grid[#Data],$DD36,97),0)</f>
        <v/>
      </c>
      <c r="CV36">
        <f>IFERROR(INDEX(PP_Grid[#Data],$DD36,98),0)</f>
        <v/>
      </c>
      <c r="CW36">
        <f>IFERROR(INDEX(PP_Grid[#Data],$DD36,99),0)</f>
        <v/>
      </c>
      <c r="CX36">
        <f>IFERROR(INDEX(PP_Grid[#Data],$DD36,100),0)</f>
        <v/>
      </c>
      <c r="CY36">
        <f>IFERROR(INDEX(PP_Grid[#Data],$DD36,101),0)</f>
        <v/>
      </c>
      <c r="CZ36">
        <f>IFERROR(INDEX(PP_Grid[#Data],$DD36,102),0)</f>
        <v/>
      </c>
      <c r="DA36">
        <f>IFERROR(INDEX(PP_Grid[#Data],$DD36,103),0)</f>
        <v/>
      </c>
      <c r="DB36">
        <f>IFERROR(INDEX(PP_Grid[#Data],$DD36,104),0)</f>
        <v/>
      </c>
      <c r="DC36">
        <f>IFERROR(INDEX(PP_Grid[#Data],$DD36,105),0)</f>
        <v/>
      </c>
      <c r="DD36" s="12">
        <f>IFERROR(MATCH($B36,PP_Grid[Intermediate],0),99999)</f>
        <v/>
      </c>
    </row>
    <row r="37">
      <c r="B37" t="inlineStr">
        <is>
          <t>使用量(kg)</t>
        </is>
      </c>
      <c r="C37">
        <f>SUMIFS(M_BOM[RM_Qty_Per_Batch],M_BOM[Intermediate],$B36,M_BOM[Part Name],$A27)</f>
        <v/>
      </c>
      <c r="D37">
        <f>$C37*D36</f>
        <v/>
      </c>
      <c r="E37">
        <f>$C37*E36</f>
        <v/>
      </c>
      <c r="F37">
        <f>$C37*F36</f>
        <v/>
      </c>
      <c r="G37">
        <f>$C37*G36</f>
        <v/>
      </c>
      <c r="H37">
        <f>$C37*H36</f>
        <v/>
      </c>
      <c r="I37">
        <f>$C37*I36</f>
        <v/>
      </c>
      <c r="J37">
        <f>$C37*J36</f>
        <v/>
      </c>
      <c r="K37">
        <f>$C37*K36</f>
        <v/>
      </c>
      <c r="L37">
        <f>$C37*L36</f>
        <v/>
      </c>
      <c r="M37">
        <f>$C37*M36</f>
        <v/>
      </c>
      <c r="N37">
        <f>$C37*N36</f>
        <v/>
      </c>
      <c r="O37">
        <f>$C37*O36</f>
        <v/>
      </c>
      <c r="P37">
        <f>$C37*P36</f>
        <v/>
      </c>
      <c r="Q37">
        <f>$C37*Q36</f>
        <v/>
      </c>
      <c r="R37">
        <f>$C37*R36</f>
        <v/>
      </c>
      <c r="S37">
        <f>$C37*S36</f>
        <v/>
      </c>
      <c r="T37">
        <f>$C37*T36</f>
        <v/>
      </c>
      <c r="U37">
        <f>$C37*U36</f>
        <v/>
      </c>
      <c r="V37">
        <f>$C37*V36</f>
        <v/>
      </c>
      <c r="W37">
        <f>$C37*W36</f>
        <v/>
      </c>
      <c r="X37">
        <f>$C37*X36</f>
        <v/>
      </c>
      <c r="Y37">
        <f>$C37*Y36</f>
        <v/>
      </c>
      <c r="Z37">
        <f>$C37*Z36</f>
        <v/>
      </c>
      <c r="AA37">
        <f>$C37*AA36</f>
        <v/>
      </c>
      <c r="AB37">
        <f>$C37*AB36</f>
        <v/>
      </c>
      <c r="AC37">
        <f>$C37*AC36</f>
        <v/>
      </c>
      <c r="AD37">
        <f>$C37*AD36</f>
        <v/>
      </c>
      <c r="AE37">
        <f>$C37*AE36</f>
        <v/>
      </c>
      <c r="AF37">
        <f>$C37*AF36</f>
        <v/>
      </c>
      <c r="AG37">
        <f>$C37*AG36</f>
        <v/>
      </c>
      <c r="AH37">
        <f>$C37*AH36</f>
        <v/>
      </c>
      <c r="AI37">
        <f>$C37*AI36</f>
        <v/>
      </c>
      <c r="AJ37">
        <f>$C37*AJ36</f>
        <v/>
      </c>
      <c r="AK37">
        <f>$C37*AK36</f>
        <v/>
      </c>
      <c r="AL37">
        <f>$C37*AL36</f>
        <v/>
      </c>
      <c r="AM37">
        <f>$C37*AM36</f>
        <v/>
      </c>
      <c r="AN37">
        <f>$C37*AN36</f>
        <v/>
      </c>
      <c r="AO37">
        <f>$C37*AO36</f>
        <v/>
      </c>
      <c r="AP37">
        <f>$C37*AP36</f>
        <v/>
      </c>
      <c r="AQ37">
        <f>$C37*AQ36</f>
        <v/>
      </c>
      <c r="AR37">
        <f>$C37*AR36</f>
        <v/>
      </c>
      <c r="AS37">
        <f>$C37*AS36</f>
        <v/>
      </c>
      <c r="AT37">
        <f>$C37*AT36</f>
        <v/>
      </c>
      <c r="AU37">
        <f>$C37*AU36</f>
        <v/>
      </c>
      <c r="AV37">
        <f>$C37*AV36</f>
        <v/>
      </c>
      <c r="AW37">
        <f>$C37*AW36</f>
        <v/>
      </c>
      <c r="AX37">
        <f>$C37*AX36</f>
        <v/>
      </c>
      <c r="AY37">
        <f>$C37*AY36</f>
        <v/>
      </c>
      <c r="AZ37">
        <f>$C37*AZ36</f>
        <v/>
      </c>
      <c r="BA37">
        <f>$C37*BA36</f>
        <v/>
      </c>
      <c r="BB37">
        <f>$C37*BB36</f>
        <v/>
      </c>
      <c r="BC37">
        <f>$C37*BC36</f>
        <v/>
      </c>
      <c r="BD37">
        <f>$C37*BD36</f>
        <v/>
      </c>
      <c r="BE37">
        <f>$C37*BE36</f>
        <v/>
      </c>
      <c r="BF37">
        <f>$C37*BF36</f>
        <v/>
      </c>
      <c r="BG37">
        <f>$C37*BG36</f>
        <v/>
      </c>
      <c r="BH37">
        <f>$C37*BH36</f>
        <v/>
      </c>
      <c r="BI37">
        <f>$C37*BI36</f>
        <v/>
      </c>
      <c r="BJ37">
        <f>$C37*BJ36</f>
        <v/>
      </c>
      <c r="BK37">
        <f>$C37*BK36</f>
        <v/>
      </c>
      <c r="BL37">
        <f>$C37*BL36</f>
        <v/>
      </c>
      <c r="BM37">
        <f>$C37*BM36</f>
        <v/>
      </c>
      <c r="BN37">
        <f>$C37*BN36</f>
        <v/>
      </c>
      <c r="BO37">
        <f>$C37*BO36</f>
        <v/>
      </c>
      <c r="BP37">
        <f>$C37*BP36</f>
        <v/>
      </c>
      <c r="BQ37">
        <f>$C37*BQ36</f>
        <v/>
      </c>
      <c r="BR37">
        <f>$C37*BR36</f>
        <v/>
      </c>
      <c r="BS37">
        <f>$C37*BS36</f>
        <v/>
      </c>
      <c r="BT37">
        <f>$C37*BT36</f>
        <v/>
      </c>
      <c r="BU37">
        <f>$C37*BU36</f>
        <v/>
      </c>
      <c r="BV37">
        <f>$C37*BV36</f>
        <v/>
      </c>
      <c r="BW37">
        <f>$C37*BW36</f>
        <v/>
      </c>
      <c r="BX37">
        <f>$C37*BX36</f>
        <v/>
      </c>
      <c r="BY37">
        <f>$C37*BY36</f>
        <v/>
      </c>
      <c r="BZ37">
        <f>$C37*BZ36</f>
        <v/>
      </c>
      <c r="CA37">
        <f>$C37*CA36</f>
        <v/>
      </c>
      <c r="CB37">
        <f>$C37*CB36</f>
        <v/>
      </c>
      <c r="CC37">
        <f>$C37*CC36</f>
        <v/>
      </c>
      <c r="CD37">
        <f>$C37*CD36</f>
        <v/>
      </c>
      <c r="CE37">
        <f>$C37*CE36</f>
        <v/>
      </c>
      <c r="CF37">
        <f>$C37*CF36</f>
        <v/>
      </c>
      <c r="CG37">
        <f>$C37*CG36</f>
        <v/>
      </c>
      <c r="CH37">
        <f>$C37*CH36</f>
        <v/>
      </c>
      <c r="CI37">
        <f>$C37*CI36</f>
        <v/>
      </c>
      <c r="CJ37">
        <f>$C37*CJ36</f>
        <v/>
      </c>
      <c r="CK37">
        <f>$C37*CK36</f>
        <v/>
      </c>
      <c r="CL37">
        <f>$C37*CL36</f>
        <v/>
      </c>
      <c r="CM37">
        <f>$C37*CM36</f>
        <v/>
      </c>
      <c r="CN37">
        <f>$C37*CN36</f>
        <v/>
      </c>
      <c r="CO37">
        <f>$C37*CO36</f>
        <v/>
      </c>
      <c r="CP37">
        <f>$C37*CP36</f>
        <v/>
      </c>
      <c r="CQ37">
        <f>$C37*CQ36</f>
        <v/>
      </c>
      <c r="CR37">
        <f>$C37*CR36</f>
        <v/>
      </c>
      <c r="CS37">
        <f>$C37*CS36</f>
        <v/>
      </c>
      <c r="CT37">
        <f>$C37*CT36</f>
        <v/>
      </c>
      <c r="CU37">
        <f>$C37*CU36</f>
        <v/>
      </c>
      <c r="CV37">
        <f>$C37*CV36</f>
        <v/>
      </c>
      <c r="CW37">
        <f>$C37*CW36</f>
        <v/>
      </c>
      <c r="CX37">
        <f>$C37*CX36</f>
        <v/>
      </c>
      <c r="CY37">
        <f>$C37*CY36</f>
        <v/>
      </c>
      <c r="CZ37">
        <f>$C37*CZ36</f>
        <v/>
      </c>
      <c r="DA37">
        <f>$C37*DA36</f>
        <v/>
      </c>
      <c r="DB37">
        <f>$C37*DB36</f>
        <v/>
      </c>
      <c r="DC37">
        <f>$C37*DC36</f>
        <v/>
      </c>
    </row>
    <row r="38">
      <c r="B38" t="inlineStr">
        <is>
          <t>0W750</t>
        </is>
      </c>
      <c r="C38" t="inlineStr">
        <is>
          <t>No. of batches</t>
        </is>
      </c>
      <c r="D38">
        <f>IFERROR(INDEX(PP_Grid[#Data],$DD38,2),0)</f>
        <v/>
      </c>
      <c r="E38">
        <f>IFERROR(INDEX(PP_Grid[#Data],$DD38,3),0)</f>
        <v/>
      </c>
      <c r="F38">
        <f>IFERROR(INDEX(PP_Grid[#Data],$DD38,4),0)</f>
        <v/>
      </c>
      <c r="G38">
        <f>IFERROR(INDEX(PP_Grid[#Data],$DD38,5),0)</f>
        <v/>
      </c>
      <c r="H38">
        <f>IFERROR(INDEX(PP_Grid[#Data],$DD38,6),0)</f>
        <v/>
      </c>
      <c r="I38">
        <f>IFERROR(INDEX(PP_Grid[#Data],$DD38,7),0)</f>
        <v/>
      </c>
      <c r="J38">
        <f>IFERROR(INDEX(PP_Grid[#Data],$DD38,8),0)</f>
        <v/>
      </c>
      <c r="K38">
        <f>IFERROR(INDEX(PP_Grid[#Data],$DD38,9),0)</f>
        <v/>
      </c>
      <c r="L38">
        <f>IFERROR(INDEX(PP_Grid[#Data],$DD38,10),0)</f>
        <v/>
      </c>
      <c r="M38">
        <f>IFERROR(INDEX(PP_Grid[#Data],$DD38,11),0)</f>
        <v/>
      </c>
      <c r="N38">
        <f>IFERROR(INDEX(PP_Grid[#Data],$DD38,12),0)</f>
        <v/>
      </c>
      <c r="O38">
        <f>IFERROR(INDEX(PP_Grid[#Data],$DD38,13),0)</f>
        <v/>
      </c>
      <c r="P38">
        <f>IFERROR(INDEX(PP_Grid[#Data],$DD38,14),0)</f>
        <v/>
      </c>
      <c r="Q38">
        <f>IFERROR(INDEX(PP_Grid[#Data],$DD38,15),0)</f>
        <v/>
      </c>
      <c r="R38">
        <f>IFERROR(INDEX(PP_Grid[#Data],$DD38,16),0)</f>
        <v/>
      </c>
      <c r="S38">
        <f>IFERROR(INDEX(PP_Grid[#Data],$DD38,17),0)</f>
        <v/>
      </c>
      <c r="T38">
        <f>IFERROR(INDEX(PP_Grid[#Data],$DD38,18),0)</f>
        <v/>
      </c>
      <c r="U38">
        <f>IFERROR(INDEX(PP_Grid[#Data],$DD38,19),0)</f>
        <v/>
      </c>
      <c r="V38">
        <f>IFERROR(INDEX(PP_Grid[#Data],$DD38,20),0)</f>
        <v/>
      </c>
      <c r="W38">
        <f>IFERROR(INDEX(PP_Grid[#Data],$DD38,21),0)</f>
        <v/>
      </c>
      <c r="X38">
        <f>IFERROR(INDEX(PP_Grid[#Data],$DD38,22),0)</f>
        <v/>
      </c>
      <c r="Y38">
        <f>IFERROR(INDEX(PP_Grid[#Data],$DD38,23),0)</f>
        <v/>
      </c>
      <c r="Z38">
        <f>IFERROR(INDEX(PP_Grid[#Data],$DD38,24),0)</f>
        <v/>
      </c>
      <c r="AA38">
        <f>IFERROR(INDEX(PP_Grid[#Data],$DD38,25),0)</f>
        <v/>
      </c>
      <c r="AB38">
        <f>IFERROR(INDEX(PP_Grid[#Data],$DD38,26),0)</f>
        <v/>
      </c>
      <c r="AC38">
        <f>IFERROR(INDEX(PP_Grid[#Data],$DD38,27),0)</f>
        <v/>
      </c>
      <c r="AD38">
        <f>IFERROR(INDEX(PP_Grid[#Data],$DD38,28),0)</f>
        <v/>
      </c>
      <c r="AE38">
        <f>IFERROR(INDEX(PP_Grid[#Data],$DD38,29),0)</f>
        <v/>
      </c>
      <c r="AF38">
        <f>IFERROR(INDEX(PP_Grid[#Data],$DD38,30),0)</f>
        <v/>
      </c>
      <c r="AG38">
        <f>IFERROR(INDEX(PP_Grid[#Data],$DD38,31),0)</f>
        <v/>
      </c>
      <c r="AH38">
        <f>IFERROR(INDEX(PP_Grid[#Data],$DD38,32),0)</f>
        <v/>
      </c>
      <c r="AI38">
        <f>IFERROR(INDEX(PP_Grid[#Data],$DD38,33),0)</f>
        <v/>
      </c>
      <c r="AJ38">
        <f>IFERROR(INDEX(PP_Grid[#Data],$DD38,34),0)</f>
        <v/>
      </c>
      <c r="AK38">
        <f>IFERROR(INDEX(PP_Grid[#Data],$DD38,35),0)</f>
        <v/>
      </c>
      <c r="AL38">
        <f>IFERROR(INDEX(PP_Grid[#Data],$DD38,36),0)</f>
        <v/>
      </c>
      <c r="AM38">
        <f>IFERROR(INDEX(PP_Grid[#Data],$DD38,37),0)</f>
        <v/>
      </c>
      <c r="AN38">
        <f>IFERROR(INDEX(PP_Grid[#Data],$DD38,38),0)</f>
        <v/>
      </c>
      <c r="AO38">
        <f>IFERROR(INDEX(PP_Grid[#Data],$DD38,39),0)</f>
        <v/>
      </c>
      <c r="AP38">
        <f>IFERROR(INDEX(PP_Grid[#Data],$DD38,40),0)</f>
        <v/>
      </c>
      <c r="AQ38">
        <f>IFERROR(INDEX(PP_Grid[#Data],$DD38,41),0)</f>
        <v/>
      </c>
      <c r="AR38">
        <f>IFERROR(INDEX(PP_Grid[#Data],$DD38,42),0)</f>
        <v/>
      </c>
      <c r="AS38">
        <f>IFERROR(INDEX(PP_Grid[#Data],$DD38,43),0)</f>
        <v/>
      </c>
      <c r="AT38">
        <f>IFERROR(INDEX(PP_Grid[#Data],$DD38,44),0)</f>
        <v/>
      </c>
      <c r="AU38">
        <f>IFERROR(INDEX(PP_Grid[#Data],$DD38,45),0)</f>
        <v/>
      </c>
      <c r="AV38">
        <f>IFERROR(INDEX(PP_Grid[#Data],$DD38,46),0)</f>
        <v/>
      </c>
      <c r="AW38">
        <f>IFERROR(INDEX(PP_Grid[#Data],$DD38,47),0)</f>
        <v/>
      </c>
      <c r="AX38">
        <f>IFERROR(INDEX(PP_Grid[#Data],$DD38,48),0)</f>
        <v/>
      </c>
      <c r="AY38">
        <f>IFERROR(INDEX(PP_Grid[#Data],$DD38,49),0)</f>
        <v/>
      </c>
      <c r="AZ38">
        <f>IFERROR(INDEX(PP_Grid[#Data],$DD38,50),0)</f>
        <v/>
      </c>
      <c r="BA38">
        <f>IFERROR(INDEX(PP_Grid[#Data],$DD38,51),0)</f>
        <v/>
      </c>
      <c r="BB38">
        <f>IFERROR(INDEX(PP_Grid[#Data],$DD38,52),0)</f>
        <v/>
      </c>
      <c r="BC38">
        <f>IFERROR(INDEX(PP_Grid[#Data],$DD38,53),0)</f>
        <v/>
      </c>
      <c r="BD38">
        <f>IFERROR(INDEX(PP_Grid[#Data],$DD38,54),0)</f>
        <v/>
      </c>
      <c r="BE38">
        <f>IFERROR(INDEX(PP_Grid[#Data],$DD38,55),0)</f>
        <v/>
      </c>
      <c r="BF38">
        <f>IFERROR(INDEX(PP_Grid[#Data],$DD38,56),0)</f>
        <v/>
      </c>
      <c r="BG38">
        <f>IFERROR(INDEX(PP_Grid[#Data],$DD38,57),0)</f>
        <v/>
      </c>
      <c r="BH38">
        <f>IFERROR(INDEX(PP_Grid[#Data],$DD38,58),0)</f>
        <v/>
      </c>
      <c r="BI38">
        <f>IFERROR(INDEX(PP_Grid[#Data],$DD38,59),0)</f>
        <v/>
      </c>
      <c r="BJ38">
        <f>IFERROR(INDEX(PP_Grid[#Data],$DD38,60),0)</f>
        <v/>
      </c>
      <c r="BK38">
        <f>IFERROR(INDEX(PP_Grid[#Data],$DD38,61),0)</f>
        <v/>
      </c>
      <c r="BL38">
        <f>IFERROR(INDEX(PP_Grid[#Data],$DD38,62),0)</f>
        <v/>
      </c>
      <c r="BM38">
        <f>IFERROR(INDEX(PP_Grid[#Data],$DD38,63),0)</f>
        <v/>
      </c>
      <c r="BN38">
        <f>IFERROR(INDEX(PP_Grid[#Data],$DD38,64),0)</f>
        <v/>
      </c>
      <c r="BO38">
        <f>IFERROR(INDEX(PP_Grid[#Data],$DD38,65),0)</f>
        <v/>
      </c>
      <c r="BP38">
        <f>IFERROR(INDEX(PP_Grid[#Data],$DD38,66),0)</f>
        <v/>
      </c>
      <c r="BQ38">
        <f>IFERROR(INDEX(PP_Grid[#Data],$DD38,67),0)</f>
        <v/>
      </c>
      <c r="BR38">
        <f>IFERROR(INDEX(PP_Grid[#Data],$DD38,68),0)</f>
        <v/>
      </c>
      <c r="BS38">
        <f>IFERROR(INDEX(PP_Grid[#Data],$DD38,69),0)</f>
        <v/>
      </c>
      <c r="BT38">
        <f>IFERROR(INDEX(PP_Grid[#Data],$DD38,70),0)</f>
        <v/>
      </c>
      <c r="BU38">
        <f>IFERROR(INDEX(PP_Grid[#Data],$DD38,71),0)</f>
        <v/>
      </c>
      <c r="BV38">
        <f>IFERROR(INDEX(PP_Grid[#Data],$DD38,72),0)</f>
        <v/>
      </c>
      <c r="BW38">
        <f>IFERROR(INDEX(PP_Grid[#Data],$DD38,73),0)</f>
        <v/>
      </c>
      <c r="BX38">
        <f>IFERROR(INDEX(PP_Grid[#Data],$DD38,74),0)</f>
        <v/>
      </c>
      <c r="BY38">
        <f>IFERROR(INDEX(PP_Grid[#Data],$DD38,75),0)</f>
        <v/>
      </c>
      <c r="BZ38">
        <f>IFERROR(INDEX(PP_Grid[#Data],$DD38,76),0)</f>
        <v/>
      </c>
      <c r="CA38">
        <f>IFERROR(INDEX(PP_Grid[#Data],$DD38,77),0)</f>
        <v/>
      </c>
      <c r="CB38">
        <f>IFERROR(INDEX(PP_Grid[#Data],$DD38,78),0)</f>
        <v/>
      </c>
      <c r="CC38">
        <f>IFERROR(INDEX(PP_Grid[#Data],$DD38,79),0)</f>
        <v/>
      </c>
      <c r="CD38">
        <f>IFERROR(INDEX(PP_Grid[#Data],$DD38,80),0)</f>
        <v/>
      </c>
      <c r="CE38">
        <f>IFERROR(INDEX(PP_Grid[#Data],$DD38,81),0)</f>
        <v/>
      </c>
      <c r="CF38">
        <f>IFERROR(INDEX(PP_Grid[#Data],$DD38,82),0)</f>
        <v/>
      </c>
      <c r="CG38">
        <f>IFERROR(INDEX(PP_Grid[#Data],$DD38,83),0)</f>
        <v/>
      </c>
      <c r="CH38">
        <f>IFERROR(INDEX(PP_Grid[#Data],$DD38,84),0)</f>
        <v/>
      </c>
      <c r="CI38">
        <f>IFERROR(INDEX(PP_Grid[#Data],$DD38,85),0)</f>
        <v/>
      </c>
      <c r="CJ38">
        <f>IFERROR(INDEX(PP_Grid[#Data],$DD38,86),0)</f>
        <v/>
      </c>
      <c r="CK38">
        <f>IFERROR(INDEX(PP_Grid[#Data],$DD38,87),0)</f>
        <v/>
      </c>
      <c r="CL38">
        <f>IFERROR(INDEX(PP_Grid[#Data],$DD38,88),0)</f>
        <v/>
      </c>
      <c r="CM38">
        <f>IFERROR(INDEX(PP_Grid[#Data],$DD38,89),0)</f>
        <v/>
      </c>
      <c r="CN38">
        <f>IFERROR(INDEX(PP_Grid[#Data],$DD38,90),0)</f>
        <v/>
      </c>
      <c r="CO38">
        <f>IFERROR(INDEX(PP_Grid[#Data],$DD38,91),0)</f>
        <v/>
      </c>
      <c r="CP38">
        <f>IFERROR(INDEX(PP_Grid[#Data],$DD38,92),0)</f>
        <v/>
      </c>
      <c r="CQ38">
        <f>IFERROR(INDEX(PP_Grid[#Data],$DD38,93),0)</f>
        <v/>
      </c>
      <c r="CR38">
        <f>IFERROR(INDEX(PP_Grid[#Data],$DD38,94),0)</f>
        <v/>
      </c>
      <c r="CS38">
        <f>IFERROR(INDEX(PP_Grid[#Data],$DD38,95),0)</f>
        <v/>
      </c>
      <c r="CT38">
        <f>IFERROR(INDEX(PP_Grid[#Data],$DD38,96),0)</f>
        <v/>
      </c>
      <c r="CU38">
        <f>IFERROR(INDEX(PP_Grid[#Data],$DD38,97),0)</f>
        <v/>
      </c>
      <c r="CV38">
        <f>IFERROR(INDEX(PP_Grid[#Data],$DD38,98),0)</f>
        <v/>
      </c>
      <c r="CW38">
        <f>IFERROR(INDEX(PP_Grid[#Data],$DD38,99),0)</f>
        <v/>
      </c>
      <c r="CX38">
        <f>IFERROR(INDEX(PP_Grid[#Data],$DD38,100),0)</f>
        <v/>
      </c>
      <c r="CY38">
        <f>IFERROR(INDEX(PP_Grid[#Data],$DD38,101),0)</f>
        <v/>
      </c>
      <c r="CZ38">
        <f>IFERROR(INDEX(PP_Grid[#Data],$DD38,102),0)</f>
        <v/>
      </c>
      <c r="DA38">
        <f>IFERROR(INDEX(PP_Grid[#Data],$DD38,103),0)</f>
        <v/>
      </c>
      <c r="DB38">
        <f>IFERROR(INDEX(PP_Grid[#Data],$DD38,104),0)</f>
        <v/>
      </c>
      <c r="DC38">
        <f>IFERROR(INDEX(PP_Grid[#Data],$DD38,105),0)</f>
        <v/>
      </c>
      <c r="DD38" s="12">
        <f>IFERROR(MATCH($B38,PP_Grid[Intermediate],0),99999)</f>
        <v/>
      </c>
    </row>
    <row r="39">
      <c r="B39" t="inlineStr">
        <is>
          <t>使用量(kg)</t>
        </is>
      </c>
      <c r="C39">
        <f>SUMIFS(M_BOM[RM_Qty_Per_Batch],M_BOM[Intermediate],$B38,M_BOM[Part Name],$A27)</f>
        <v/>
      </c>
      <c r="D39">
        <f>$C39*D38</f>
        <v/>
      </c>
      <c r="E39">
        <f>$C39*E38</f>
        <v/>
      </c>
      <c r="F39">
        <f>$C39*F38</f>
        <v/>
      </c>
      <c r="G39">
        <f>$C39*G38</f>
        <v/>
      </c>
      <c r="H39">
        <f>$C39*H38</f>
        <v/>
      </c>
      <c r="I39">
        <f>$C39*I38</f>
        <v/>
      </c>
      <c r="J39">
        <f>$C39*J38</f>
        <v/>
      </c>
      <c r="K39">
        <f>$C39*K38</f>
        <v/>
      </c>
      <c r="L39">
        <f>$C39*L38</f>
        <v/>
      </c>
      <c r="M39">
        <f>$C39*M38</f>
        <v/>
      </c>
      <c r="N39">
        <f>$C39*N38</f>
        <v/>
      </c>
      <c r="O39">
        <f>$C39*O38</f>
        <v/>
      </c>
      <c r="P39">
        <f>$C39*P38</f>
        <v/>
      </c>
      <c r="Q39">
        <f>$C39*Q38</f>
        <v/>
      </c>
      <c r="R39">
        <f>$C39*R38</f>
        <v/>
      </c>
      <c r="S39">
        <f>$C39*S38</f>
        <v/>
      </c>
      <c r="T39">
        <f>$C39*T38</f>
        <v/>
      </c>
      <c r="U39">
        <f>$C39*U38</f>
        <v/>
      </c>
      <c r="V39">
        <f>$C39*V38</f>
        <v/>
      </c>
      <c r="W39">
        <f>$C39*W38</f>
        <v/>
      </c>
      <c r="X39">
        <f>$C39*X38</f>
        <v/>
      </c>
      <c r="Y39">
        <f>$C39*Y38</f>
        <v/>
      </c>
      <c r="Z39">
        <f>$C39*Z38</f>
        <v/>
      </c>
      <c r="AA39">
        <f>$C39*AA38</f>
        <v/>
      </c>
      <c r="AB39">
        <f>$C39*AB38</f>
        <v/>
      </c>
      <c r="AC39">
        <f>$C39*AC38</f>
        <v/>
      </c>
      <c r="AD39">
        <f>$C39*AD38</f>
        <v/>
      </c>
      <c r="AE39">
        <f>$C39*AE38</f>
        <v/>
      </c>
      <c r="AF39">
        <f>$C39*AF38</f>
        <v/>
      </c>
      <c r="AG39">
        <f>$C39*AG38</f>
        <v/>
      </c>
      <c r="AH39">
        <f>$C39*AH38</f>
        <v/>
      </c>
      <c r="AI39">
        <f>$C39*AI38</f>
        <v/>
      </c>
      <c r="AJ39">
        <f>$C39*AJ38</f>
        <v/>
      </c>
      <c r="AK39">
        <f>$C39*AK38</f>
        <v/>
      </c>
      <c r="AL39">
        <f>$C39*AL38</f>
        <v/>
      </c>
      <c r="AM39">
        <f>$C39*AM38</f>
        <v/>
      </c>
      <c r="AN39">
        <f>$C39*AN38</f>
        <v/>
      </c>
      <c r="AO39">
        <f>$C39*AO38</f>
        <v/>
      </c>
      <c r="AP39">
        <f>$C39*AP38</f>
        <v/>
      </c>
      <c r="AQ39">
        <f>$C39*AQ38</f>
        <v/>
      </c>
      <c r="AR39">
        <f>$C39*AR38</f>
        <v/>
      </c>
      <c r="AS39">
        <f>$C39*AS38</f>
        <v/>
      </c>
      <c r="AT39">
        <f>$C39*AT38</f>
        <v/>
      </c>
      <c r="AU39">
        <f>$C39*AU38</f>
        <v/>
      </c>
      <c r="AV39">
        <f>$C39*AV38</f>
        <v/>
      </c>
      <c r="AW39">
        <f>$C39*AW38</f>
        <v/>
      </c>
      <c r="AX39">
        <f>$C39*AX38</f>
        <v/>
      </c>
      <c r="AY39">
        <f>$C39*AY38</f>
        <v/>
      </c>
      <c r="AZ39">
        <f>$C39*AZ38</f>
        <v/>
      </c>
      <c r="BA39">
        <f>$C39*BA38</f>
        <v/>
      </c>
      <c r="BB39">
        <f>$C39*BB38</f>
        <v/>
      </c>
      <c r="BC39">
        <f>$C39*BC38</f>
        <v/>
      </c>
      <c r="BD39">
        <f>$C39*BD38</f>
        <v/>
      </c>
      <c r="BE39">
        <f>$C39*BE38</f>
        <v/>
      </c>
      <c r="BF39">
        <f>$C39*BF38</f>
        <v/>
      </c>
      <c r="BG39">
        <f>$C39*BG38</f>
        <v/>
      </c>
      <c r="BH39">
        <f>$C39*BH38</f>
        <v/>
      </c>
      <c r="BI39">
        <f>$C39*BI38</f>
        <v/>
      </c>
      <c r="BJ39">
        <f>$C39*BJ38</f>
        <v/>
      </c>
      <c r="BK39">
        <f>$C39*BK38</f>
        <v/>
      </c>
      <c r="BL39">
        <f>$C39*BL38</f>
        <v/>
      </c>
      <c r="BM39">
        <f>$C39*BM38</f>
        <v/>
      </c>
      <c r="BN39">
        <f>$C39*BN38</f>
        <v/>
      </c>
      <c r="BO39">
        <f>$C39*BO38</f>
        <v/>
      </c>
      <c r="BP39">
        <f>$C39*BP38</f>
        <v/>
      </c>
      <c r="BQ39">
        <f>$C39*BQ38</f>
        <v/>
      </c>
      <c r="BR39">
        <f>$C39*BR38</f>
        <v/>
      </c>
      <c r="BS39">
        <f>$C39*BS38</f>
        <v/>
      </c>
      <c r="BT39">
        <f>$C39*BT38</f>
        <v/>
      </c>
      <c r="BU39">
        <f>$C39*BU38</f>
        <v/>
      </c>
      <c r="BV39">
        <f>$C39*BV38</f>
        <v/>
      </c>
      <c r="BW39">
        <f>$C39*BW38</f>
        <v/>
      </c>
      <c r="BX39">
        <f>$C39*BX38</f>
        <v/>
      </c>
      <c r="BY39">
        <f>$C39*BY38</f>
        <v/>
      </c>
      <c r="BZ39">
        <f>$C39*BZ38</f>
        <v/>
      </c>
      <c r="CA39">
        <f>$C39*CA38</f>
        <v/>
      </c>
      <c r="CB39">
        <f>$C39*CB38</f>
        <v/>
      </c>
      <c r="CC39">
        <f>$C39*CC38</f>
        <v/>
      </c>
      <c r="CD39">
        <f>$C39*CD38</f>
        <v/>
      </c>
      <c r="CE39">
        <f>$C39*CE38</f>
        <v/>
      </c>
      <c r="CF39">
        <f>$C39*CF38</f>
        <v/>
      </c>
      <c r="CG39">
        <f>$C39*CG38</f>
        <v/>
      </c>
      <c r="CH39">
        <f>$C39*CH38</f>
        <v/>
      </c>
      <c r="CI39">
        <f>$C39*CI38</f>
        <v/>
      </c>
      <c r="CJ39">
        <f>$C39*CJ38</f>
        <v/>
      </c>
      <c r="CK39">
        <f>$C39*CK38</f>
        <v/>
      </c>
      <c r="CL39">
        <f>$C39*CL38</f>
        <v/>
      </c>
      <c r="CM39">
        <f>$C39*CM38</f>
        <v/>
      </c>
      <c r="CN39">
        <f>$C39*CN38</f>
        <v/>
      </c>
      <c r="CO39">
        <f>$C39*CO38</f>
        <v/>
      </c>
      <c r="CP39">
        <f>$C39*CP38</f>
        <v/>
      </c>
      <c r="CQ39">
        <f>$C39*CQ38</f>
        <v/>
      </c>
      <c r="CR39">
        <f>$C39*CR38</f>
        <v/>
      </c>
      <c r="CS39">
        <f>$C39*CS38</f>
        <v/>
      </c>
      <c r="CT39">
        <f>$C39*CT38</f>
        <v/>
      </c>
      <c r="CU39">
        <f>$C39*CU38</f>
        <v/>
      </c>
      <c r="CV39">
        <f>$C39*CV38</f>
        <v/>
      </c>
      <c r="CW39">
        <f>$C39*CW38</f>
        <v/>
      </c>
      <c r="CX39">
        <f>$C39*CX38</f>
        <v/>
      </c>
      <c r="CY39">
        <f>$C39*CY38</f>
        <v/>
      </c>
      <c r="CZ39">
        <f>$C39*CZ38</f>
        <v/>
      </c>
      <c r="DA39">
        <f>$C39*DA38</f>
        <v/>
      </c>
      <c r="DB39">
        <f>$C39*DB38</f>
        <v/>
      </c>
      <c r="DC39">
        <f>$C39*DC38</f>
        <v/>
      </c>
    </row>
    <row r="40">
      <c r="B40" t="inlineStr">
        <is>
          <t>0W780</t>
        </is>
      </c>
      <c r="C40" t="inlineStr">
        <is>
          <t>No. of batches</t>
        </is>
      </c>
      <c r="D40">
        <f>IFERROR(INDEX(PP_Grid[#Data],$DD40,2),0)</f>
        <v/>
      </c>
      <c r="E40">
        <f>IFERROR(INDEX(PP_Grid[#Data],$DD40,3),0)</f>
        <v/>
      </c>
      <c r="F40">
        <f>IFERROR(INDEX(PP_Grid[#Data],$DD40,4),0)</f>
        <v/>
      </c>
      <c r="G40">
        <f>IFERROR(INDEX(PP_Grid[#Data],$DD40,5),0)</f>
        <v/>
      </c>
      <c r="H40">
        <f>IFERROR(INDEX(PP_Grid[#Data],$DD40,6),0)</f>
        <v/>
      </c>
      <c r="I40">
        <f>IFERROR(INDEX(PP_Grid[#Data],$DD40,7),0)</f>
        <v/>
      </c>
      <c r="J40">
        <f>IFERROR(INDEX(PP_Grid[#Data],$DD40,8),0)</f>
        <v/>
      </c>
      <c r="K40">
        <f>IFERROR(INDEX(PP_Grid[#Data],$DD40,9),0)</f>
        <v/>
      </c>
      <c r="L40">
        <f>IFERROR(INDEX(PP_Grid[#Data],$DD40,10),0)</f>
        <v/>
      </c>
      <c r="M40">
        <f>IFERROR(INDEX(PP_Grid[#Data],$DD40,11),0)</f>
        <v/>
      </c>
      <c r="N40">
        <f>IFERROR(INDEX(PP_Grid[#Data],$DD40,12),0)</f>
        <v/>
      </c>
      <c r="O40">
        <f>IFERROR(INDEX(PP_Grid[#Data],$DD40,13),0)</f>
        <v/>
      </c>
      <c r="P40">
        <f>IFERROR(INDEX(PP_Grid[#Data],$DD40,14),0)</f>
        <v/>
      </c>
      <c r="Q40">
        <f>IFERROR(INDEX(PP_Grid[#Data],$DD40,15),0)</f>
        <v/>
      </c>
      <c r="R40">
        <f>IFERROR(INDEX(PP_Grid[#Data],$DD40,16),0)</f>
        <v/>
      </c>
      <c r="S40">
        <f>IFERROR(INDEX(PP_Grid[#Data],$DD40,17),0)</f>
        <v/>
      </c>
      <c r="T40">
        <f>IFERROR(INDEX(PP_Grid[#Data],$DD40,18),0)</f>
        <v/>
      </c>
      <c r="U40">
        <f>IFERROR(INDEX(PP_Grid[#Data],$DD40,19),0)</f>
        <v/>
      </c>
      <c r="V40">
        <f>IFERROR(INDEX(PP_Grid[#Data],$DD40,20),0)</f>
        <v/>
      </c>
      <c r="W40">
        <f>IFERROR(INDEX(PP_Grid[#Data],$DD40,21),0)</f>
        <v/>
      </c>
      <c r="X40">
        <f>IFERROR(INDEX(PP_Grid[#Data],$DD40,22),0)</f>
        <v/>
      </c>
      <c r="Y40">
        <f>IFERROR(INDEX(PP_Grid[#Data],$DD40,23),0)</f>
        <v/>
      </c>
      <c r="Z40">
        <f>IFERROR(INDEX(PP_Grid[#Data],$DD40,24),0)</f>
        <v/>
      </c>
      <c r="AA40">
        <f>IFERROR(INDEX(PP_Grid[#Data],$DD40,25),0)</f>
        <v/>
      </c>
      <c r="AB40">
        <f>IFERROR(INDEX(PP_Grid[#Data],$DD40,26),0)</f>
        <v/>
      </c>
      <c r="AC40">
        <f>IFERROR(INDEX(PP_Grid[#Data],$DD40,27),0)</f>
        <v/>
      </c>
      <c r="AD40">
        <f>IFERROR(INDEX(PP_Grid[#Data],$DD40,28),0)</f>
        <v/>
      </c>
      <c r="AE40">
        <f>IFERROR(INDEX(PP_Grid[#Data],$DD40,29),0)</f>
        <v/>
      </c>
      <c r="AF40">
        <f>IFERROR(INDEX(PP_Grid[#Data],$DD40,30),0)</f>
        <v/>
      </c>
      <c r="AG40">
        <f>IFERROR(INDEX(PP_Grid[#Data],$DD40,31),0)</f>
        <v/>
      </c>
      <c r="AH40">
        <f>IFERROR(INDEX(PP_Grid[#Data],$DD40,32),0)</f>
        <v/>
      </c>
      <c r="AI40">
        <f>IFERROR(INDEX(PP_Grid[#Data],$DD40,33),0)</f>
        <v/>
      </c>
      <c r="AJ40">
        <f>IFERROR(INDEX(PP_Grid[#Data],$DD40,34),0)</f>
        <v/>
      </c>
      <c r="AK40">
        <f>IFERROR(INDEX(PP_Grid[#Data],$DD40,35),0)</f>
        <v/>
      </c>
      <c r="AL40">
        <f>IFERROR(INDEX(PP_Grid[#Data],$DD40,36),0)</f>
        <v/>
      </c>
      <c r="AM40">
        <f>IFERROR(INDEX(PP_Grid[#Data],$DD40,37),0)</f>
        <v/>
      </c>
      <c r="AN40">
        <f>IFERROR(INDEX(PP_Grid[#Data],$DD40,38),0)</f>
        <v/>
      </c>
      <c r="AO40">
        <f>IFERROR(INDEX(PP_Grid[#Data],$DD40,39),0)</f>
        <v/>
      </c>
      <c r="AP40">
        <f>IFERROR(INDEX(PP_Grid[#Data],$DD40,40),0)</f>
        <v/>
      </c>
      <c r="AQ40">
        <f>IFERROR(INDEX(PP_Grid[#Data],$DD40,41),0)</f>
        <v/>
      </c>
      <c r="AR40">
        <f>IFERROR(INDEX(PP_Grid[#Data],$DD40,42),0)</f>
        <v/>
      </c>
      <c r="AS40">
        <f>IFERROR(INDEX(PP_Grid[#Data],$DD40,43),0)</f>
        <v/>
      </c>
      <c r="AT40">
        <f>IFERROR(INDEX(PP_Grid[#Data],$DD40,44),0)</f>
        <v/>
      </c>
      <c r="AU40">
        <f>IFERROR(INDEX(PP_Grid[#Data],$DD40,45),0)</f>
        <v/>
      </c>
      <c r="AV40">
        <f>IFERROR(INDEX(PP_Grid[#Data],$DD40,46),0)</f>
        <v/>
      </c>
      <c r="AW40">
        <f>IFERROR(INDEX(PP_Grid[#Data],$DD40,47),0)</f>
        <v/>
      </c>
      <c r="AX40">
        <f>IFERROR(INDEX(PP_Grid[#Data],$DD40,48),0)</f>
        <v/>
      </c>
      <c r="AY40">
        <f>IFERROR(INDEX(PP_Grid[#Data],$DD40,49),0)</f>
        <v/>
      </c>
      <c r="AZ40">
        <f>IFERROR(INDEX(PP_Grid[#Data],$DD40,50),0)</f>
        <v/>
      </c>
      <c r="BA40">
        <f>IFERROR(INDEX(PP_Grid[#Data],$DD40,51),0)</f>
        <v/>
      </c>
      <c r="BB40">
        <f>IFERROR(INDEX(PP_Grid[#Data],$DD40,52),0)</f>
        <v/>
      </c>
      <c r="BC40">
        <f>IFERROR(INDEX(PP_Grid[#Data],$DD40,53),0)</f>
        <v/>
      </c>
      <c r="BD40">
        <f>IFERROR(INDEX(PP_Grid[#Data],$DD40,54),0)</f>
        <v/>
      </c>
      <c r="BE40">
        <f>IFERROR(INDEX(PP_Grid[#Data],$DD40,55),0)</f>
        <v/>
      </c>
      <c r="BF40">
        <f>IFERROR(INDEX(PP_Grid[#Data],$DD40,56),0)</f>
        <v/>
      </c>
      <c r="BG40">
        <f>IFERROR(INDEX(PP_Grid[#Data],$DD40,57),0)</f>
        <v/>
      </c>
      <c r="BH40">
        <f>IFERROR(INDEX(PP_Grid[#Data],$DD40,58),0)</f>
        <v/>
      </c>
      <c r="BI40">
        <f>IFERROR(INDEX(PP_Grid[#Data],$DD40,59),0)</f>
        <v/>
      </c>
      <c r="BJ40">
        <f>IFERROR(INDEX(PP_Grid[#Data],$DD40,60),0)</f>
        <v/>
      </c>
      <c r="BK40">
        <f>IFERROR(INDEX(PP_Grid[#Data],$DD40,61),0)</f>
        <v/>
      </c>
      <c r="BL40">
        <f>IFERROR(INDEX(PP_Grid[#Data],$DD40,62),0)</f>
        <v/>
      </c>
      <c r="BM40">
        <f>IFERROR(INDEX(PP_Grid[#Data],$DD40,63),0)</f>
        <v/>
      </c>
      <c r="BN40">
        <f>IFERROR(INDEX(PP_Grid[#Data],$DD40,64),0)</f>
        <v/>
      </c>
      <c r="BO40">
        <f>IFERROR(INDEX(PP_Grid[#Data],$DD40,65),0)</f>
        <v/>
      </c>
      <c r="BP40">
        <f>IFERROR(INDEX(PP_Grid[#Data],$DD40,66),0)</f>
        <v/>
      </c>
      <c r="BQ40">
        <f>IFERROR(INDEX(PP_Grid[#Data],$DD40,67),0)</f>
        <v/>
      </c>
      <c r="BR40">
        <f>IFERROR(INDEX(PP_Grid[#Data],$DD40,68),0)</f>
        <v/>
      </c>
      <c r="BS40">
        <f>IFERROR(INDEX(PP_Grid[#Data],$DD40,69),0)</f>
        <v/>
      </c>
      <c r="BT40">
        <f>IFERROR(INDEX(PP_Grid[#Data],$DD40,70),0)</f>
        <v/>
      </c>
      <c r="BU40">
        <f>IFERROR(INDEX(PP_Grid[#Data],$DD40,71),0)</f>
        <v/>
      </c>
      <c r="BV40">
        <f>IFERROR(INDEX(PP_Grid[#Data],$DD40,72),0)</f>
        <v/>
      </c>
      <c r="BW40">
        <f>IFERROR(INDEX(PP_Grid[#Data],$DD40,73),0)</f>
        <v/>
      </c>
      <c r="BX40">
        <f>IFERROR(INDEX(PP_Grid[#Data],$DD40,74),0)</f>
        <v/>
      </c>
      <c r="BY40">
        <f>IFERROR(INDEX(PP_Grid[#Data],$DD40,75),0)</f>
        <v/>
      </c>
      <c r="BZ40">
        <f>IFERROR(INDEX(PP_Grid[#Data],$DD40,76),0)</f>
        <v/>
      </c>
      <c r="CA40">
        <f>IFERROR(INDEX(PP_Grid[#Data],$DD40,77),0)</f>
        <v/>
      </c>
      <c r="CB40">
        <f>IFERROR(INDEX(PP_Grid[#Data],$DD40,78),0)</f>
        <v/>
      </c>
      <c r="CC40">
        <f>IFERROR(INDEX(PP_Grid[#Data],$DD40,79),0)</f>
        <v/>
      </c>
      <c r="CD40">
        <f>IFERROR(INDEX(PP_Grid[#Data],$DD40,80),0)</f>
        <v/>
      </c>
      <c r="CE40">
        <f>IFERROR(INDEX(PP_Grid[#Data],$DD40,81),0)</f>
        <v/>
      </c>
      <c r="CF40">
        <f>IFERROR(INDEX(PP_Grid[#Data],$DD40,82),0)</f>
        <v/>
      </c>
      <c r="CG40">
        <f>IFERROR(INDEX(PP_Grid[#Data],$DD40,83),0)</f>
        <v/>
      </c>
      <c r="CH40">
        <f>IFERROR(INDEX(PP_Grid[#Data],$DD40,84),0)</f>
        <v/>
      </c>
      <c r="CI40">
        <f>IFERROR(INDEX(PP_Grid[#Data],$DD40,85),0)</f>
        <v/>
      </c>
      <c r="CJ40">
        <f>IFERROR(INDEX(PP_Grid[#Data],$DD40,86),0)</f>
        <v/>
      </c>
      <c r="CK40">
        <f>IFERROR(INDEX(PP_Grid[#Data],$DD40,87),0)</f>
        <v/>
      </c>
      <c r="CL40">
        <f>IFERROR(INDEX(PP_Grid[#Data],$DD40,88),0)</f>
        <v/>
      </c>
      <c r="CM40">
        <f>IFERROR(INDEX(PP_Grid[#Data],$DD40,89),0)</f>
        <v/>
      </c>
      <c r="CN40">
        <f>IFERROR(INDEX(PP_Grid[#Data],$DD40,90),0)</f>
        <v/>
      </c>
      <c r="CO40">
        <f>IFERROR(INDEX(PP_Grid[#Data],$DD40,91),0)</f>
        <v/>
      </c>
      <c r="CP40">
        <f>IFERROR(INDEX(PP_Grid[#Data],$DD40,92),0)</f>
        <v/>
      </c>
      <c r="CQ40">
        <f>IFERROR(INDEX(PP_Grid[#Data],$DD40,93),0)</f>
        <v/>
      </c>
      <c r="CR40">
        <f>IFERROR(INDEX(PP_Grid[#Data],$DD40,94),0)</f>
        <v/>
      </c>
      <c r="CS40">
        <f>IFERROR(INDEX(PP_Grid[#Data],$DD40,95),0)</f>
        <v/>
      </c>
      <c r="CT40">
        <f>IFERROR(INDEX(PP_Grid[#Data],$DD40,96),0)</f>
        <v/>
      </c>
      <c r="CU40">
        <f>IFERROR(INDEX(PP_Grid[#Data],$DD40,97),0)</f>
        <v/>
      </c>
      <c r="CV40">
        <f>IFERROR(INDEX(PP_Grid[#Data],$DD40,98),0)</f>
        <v/>
      </c>
      <c r="CW40">
        <f>IFERROR(INDEX(PP_Grid[#Data],$DD40,99),0)</f>
        <v/>
      </c>
      <c r="CX40">
        <f>IFERROR(INDEX(PP_Grid[#Data],$DD40,100),0)</f>
        <v/>
      </c>
      <c r="CY40">
        <f>IFERROR(INDEX(PP_Grid[#Data],$DD40,101),0)</f>
        <v/>
      </c>
      <c r="CZ40">
        <f>IFERROR(INDEX(PP_Grid[#Data],$DD40,102),0)</f>
        <v/>
      </c>
      <c r="DA40">
        <f>IFERROR(INDEX(PP_Grid[#Data],$DD40,103),0)</f>
        <v/>
      </c>
      <c r="DB40">
        <f>IFERROR(INDEX(PP_Grid[#Data],$DD40,104),0)</f>
        <v/>
      </c>
      <c r="DC40">
        <f>IFERROR(INDEX(PP_Grid[#Data],$DD40,105),0)</f>
        <v/>
      </c>
      <c r="DD40" s="12">
        <f>IFERROR(MATCH($B40,PP_Grid[Intermediate],0),99999)</f>
        <v/>
      </c>
    </row>
    <row r="41">
      <c r="B41" t="inlineStr">
        <is>
          <t>使用量(kg)</t>
        </is>
      </c>
      <c r="C41">
        <f>SUMIFS(M_BOM[RM_Qty_Per_Batch],M_BOM[Intermediate],$B40,M_BOM[Part Name],$A27)</f>
        <v/>
      </c>
      <c r="D41">
        <f>$C41*D40</f>
        <v/>
      </c>
      <c r="E41">
        <f>$C41*E40</f>
        <v/>
      </c>
      <c r="F41">
        <f>$C41*F40</f>
        <v/>
      </c>
      <c r="G41">
        <f>$C41*G40</f>
        <v/>
      </c>
      <c r="H41">
        <f>$C41*H40</f>
        <v/>
      </c>
      <c r="I41">
        <f>$C41*I40</f>
        <v/>
      </c>
      <c r="J41">
        <f>$C41*J40</f>
        <v/>
      </c>
      <c r="K41">
        <f>$C41*K40</f>
        <v/>
      </c>
      <c r="L41">
        <f>$C41*L40</f>
        <v/>
      </c>
      <c r="M41">
        <f>$C41*M40</f>
        <v/>
      </c>
      <c r="N41">
        <f>$C41*N40</f>
        <v/>
      </c>
      <c r="O41">
        <f>$C41*O40</f>
        <v/>
      </c>
      <c r="P41">
        <f>$C41*P40</f>
        <v/>
      </c>
      <c r="Q41">
        <f>$C41*Q40</f>
        <v/>
      </c>
      <c r="R41">
        <f>$C41*R40</f>
        <v/>
      </c>
      <c r="S41">
        <f>$C41*S40</f>
        <v/>
      </c>
      <c r="T41">
        <f>$C41*T40</f>
        <v/>
      </c>
      <c r="U41">
        <f>$C41*U40</f>
        <v/>
      </c>
      <c r="V41">
        <f>$C41*V40</f>
        <v/>
      </c>
      <c r="W41">
        <f>$C41*W40</f>
        <v/>
      </c>
      <c r="X41">
        <f>$C41*X40</f>
        <v/>
      </c>
      <c r="Y41">
        <f>$C41*Y40</f>
        <v/>
      </c>
      <c r="Z41">
        <f>$C41*Z40</f>
        <v/>
      </c>
      <c r="AA41">
        <f>$C41*AA40</f>
        <v/>
      </c>
      <c r="AB41">
        <f>$C41*AB40</f>
        <v/>
      </c>
      <c r="AC41">
        <f>$C41*AC40</f>
        <v/>
      </c>
      <c r="AD41">
        <f>$C41*AD40</f>
        <v/>
      </c>
      <c r="AE41">
        <f>$C41*AE40</f>
        <v/>
      </c>
      <c r="AF41">
        <f>$C41*AF40</f>
        <v/>
      </c>
      <c r="AG41">
        <f>$C41*AG40</f>
        <v/>
      </c>
      <c r="AH41">
        <f>$C41*AH40</f>
        <v/>
      </c>
      <c r="AI41">
        <f>$C41*AI40</f>
        <v/>
      </c>
      <c r="AJ41">
        <f>$C41*AJ40</f>
        <v/>
      </c>
      <c r="AK41">
        <f>$C41*AK40</f>
        <v/>
      </c>
      <c r="AL41">
        <f>$C41*AL40</f>
        <v/>
      </c>
      <c r="AM41">
        <f>$C41*AM40</f>
        <v/>
      </c>
      <c r="AN41">
        <f>$C41*AN40</f>
        <v/>
      </c>
      <c r="AO41">
        <f>$C41*AO40</f>
        <v/>
      </c>
      <c r="AP41">
        <f>$C41*AP40</f>
        <v/>
      </c>
      <c r="AQ41">
        <f>$C41*AQ40</f>
        <v/>
      </c>
      <c r="AR41">
        <f>$C41*AR40</f>
        <v/>
      </c>
      <c r="AS41">
        <f>$C41*AS40</f>
        <v/>
      </c>
      <c r="AT41">
        <f>$C41*AT40</f>
        <v/>
      </c>
      <c r="AU41">
        <f>$C41*AU40</f>
        <v/>
      </c>
      <c r="AV41">
        <f>$C41*AV40</f>
        <v/>
      </c>
      <c r="AW41">
        <f>$C41*AW40</f>
        <v/>
      </c>
      <c r="AX41">
        <f>$C41*AX40</f>
        <v/>
      </c>
      <c r="AY41">
        <f>$C41*AY40</f>
        <v/>
      </c>
      <c r="AZ41">
        <f>$C41*AZ40</f>
        <v/>
      </c>
      <c r="BA41">
        <f>$C41*BA40</f>
        <v/>
      </c>
      <c r="BB41">
        <f>$C41*BB40</f>
        <v/>
      </c>
      <c r="BC41">
        <f>$C41*BC40</f>
        <v/>
      </c>
      <c r="BD41">
        <f>$C41*BD40</f>
        <v/>
      </c>
      <c r="BE41">
        <f>$C41*BE40</f>
        <v/>
      </c>
      <c r="BF41">
        <f>$C41*BF40</f>
        <v/>
      </c>
      <c r="BG41">
        <f>$C41*BG40</f>
        <v/>
      </c>
      <c r="BH41">
        <f>$C41*BH40</f>
        <v/>
      </c>
      <c r="BI41">
        <f>$C41*BI40</f>
        <v/>
      </c>
      <c r="BJ41">
        <f>$C41*BJ40</f>
        <v/>
      </c>
      <c r="BK41">
        <f>$C41*BK40</f>
        <v/>
      </c>
      <c r="BL41">
        <f>$C41*BL40</f>
        <v/>
      </c>
      <c r="BM41">
        <f>$C41*BM40</f>
        <v/>
      </c>
      <c r="BN41">
        <f>$C41*BN40</f>
        <v/>
      </c>
      <c r="BO41">
        <f>$C41*BO40</f>
        <v/>
      </c>
      <c r="BP41">
        <f>$C41*BP40</f>
        <v/>
      </c>
      <c r="BQ41">
        <f>$C41*BQ40</f>
        <v/>
      </c>
      <c r="BR41">
        <f>$C41*BR40</f>
        <v/>
      </c>
      <c r="BS41">
        <f>$C41*BS40</f>
        <v/>
      </c>
      <c r="BT41">
        <f>$C41*BT40</f>
        <v/>
      </c>
      <c r="BU41">
        <f>$C41*BU40</f>
        <v/>
      </c>
      <c r="BV41">
        <f>$C41*BV40</f>
        <v/>
      </c>
      <c r="BW41">
        <f>$C41*BW40</f>
        <v/>
      </c>
      <c r="BX41">
        <f>$C41*BX40</f>
        <v/>
      </c>
      <c r="BY41">
        <f>$C41*BY40</f>
        <v/>
      </c>
      <c r="BZ41">
        <f>$C41*BZ40</f>
        <v/>
      </c>
      <c r="CA41">
        <f>$C41*CA40</f>
        <v/>
      </c>
      <c r="CB41">
        <f>$C41*CB40</f>
        <v/>
      </c>
      <c r="CC41">
        <f>$C41*CC40</f>
        <v/>
      </c>
      <c r="CD41">
        <f>$C41*CD40</f>
        <v/>
      </c>
      <c r="CE41">
        <f>$C41*CE40</f>
        <v/>
      </c>
      <c r="CF41">
        <f>$C41*CF40</f>
        <v/>
      </c>
      <c r="CG41">
        <f>$C41*CG40</f>
        <v/>
      </c>
      <c r="CH41">
        <f>$C41*CH40</f>
        <v/>
      </c>
      <c r="CI41">
        <f>$C41*CI40</f>
        <v/>
      </c>
      <c r="CJ41">
        <f>$C41*CJ40</f>
        <v/>
      </c>
      <c r="CK41">
        <f>$C41*CK40</f>
        <v/>
      </c>
      <c r="CL41">
        <f>$C41*CL40</f>
        <v/>
      </c>
      <c r="CM41">
        <f>$C41*CM40</f>
        <v/>
      </c>
      <c r="CN41">
        <f>$C41*CN40</f>
        <v/>
      </c>
      <c r="CO41">
        <f>$C41*CO40</f>
        <v/>
      </c>
      <c r="CP41">
        <f>$C41*CP40</f>
        <v/>
      </c>
      <c r="CQ41">
        <f>$C41*CQ40</f>
        <v/>
      </c>
      <c r="CR41">
        <f>$C41*CR40</f>
        <v/>
      </c>
      <c r="CS41">
        <f>$C41*CS40</f>
        <v/>
      </c>
      <c r="CT41">
        <f>$C41*CT40</f>
        <v/>
      </c>
      <c r="CU41">
        <f>$C41*CU40</f>
        <v/>
      </c>
      <c r="CV41">
        <f>$C41*CV40</f>
        <v/>
      </c>
      <c r="CW41">
        <f>$C41*CW40</f>
        <v/>
      </c>
      <c r="CX41">
        <f>$C41*CX40</f>
        <v/>
      </c>
      <c r="CY41">
        <f>$C41*CY40</f>
        <v/>
      </c>
      <c r="CZ41">
        <f>$C41*CZ40</f>
        <v/>
      </c>
      <c r="DA41">
        <f>$C41*DA40</f>
        <v/>
      </c>
      <c r="DB41">
        <f>$C41*DB40</f>
        <v/>
      </c>
      <c r="DC41">
        <f>$C41*DC40</f>
        <v/>
      </c>
    </row>
    <row r="42">
      <c r="B42" s="5" t="inlineStr">
        <is>
          <t>合計使用量(kg)/週</t>
        </is>
      </c>
      <c r="D42">
        <f>'Grid_Requirement'!B14</f>
        <v/>
      </c>
      <c r="E42">
        <f>'Grid_Requirement'!C14</f>
        <v/>
      </c>
      <c r="F42">
        <f>'Grid_Requirement'!D14</f>
        <v/>
      </c>
      <c r="G42">
        <f>'Grid_Requirement'!E14</f>
        <v/>
      </c>
      <c r="H42">
        <f>'Grid_Requirement'!F14</f>
        <v/>
      </c>
      <c r="I42">
        <f>'Grid_Requirement'!G14</f>
        <v/>
      </c>
      <c r="J42">
        <f>'Grid_Requirement'!H14</f>
        <v/>
      </c>
      <c r="K42">
        <f>'Grid_Requirement'!I14</f>
        <v/>
      </c>
      <c r="L42">
        <f>'Grid_Requirement'!J14</f>
        <v/>
      </c>
      <c r="M42">
        <f>'Grid_Requirement'!K14</f>
        <v/>
      </c>
      <c r="N42">
        <f>'Grid_Requirement'!L14</f>
        <v/>
      </c>
      <c r="O42">
        <f>'Grid_Requirement'!M14</f>
        <v/>
      </c>
      <c r="P42">
        <f>'Grid_Requirement'!N14</f>
        <v/>
      </c>
      <c r="Q42">
        <f>'Grid_Requirement'!O14</f>
        <v/>
      </c>
      <c r="R42">
        <f>'Grid_Requirement'!P14</f>
        <v/>
      </c>
      <c r="S42">
        <f>'Grid_Requirement'!Q14</f>
        <v/>
      </c>
      <c r="T42">
        <f>'Grid_Requirement'!R14</f>
        <v/>
      </c>
      <c r="U42">
        <f>'Grid_Requirement'!S14</f>
        <v/>
      </c>
      <c r="V42">
        <f>'Grid_Requirement'!T14</f>
        <v/>
      </c>
      <c r="W42">
        <f>'Grid_Requirement'!U14</f>
        <v/>
      </c>
      <c r="X42">
        <f>'Grid_Requirement'!V14</f>
        <v/>
      </c>
      <c r="Y42">
        <f>'Grid_Requirement'!W14</f>
        <v/>
      </c>
      <c r="Z42">
        <f>'Grid_Requirement'!X14</f>
        <v/>
      </c>
      <c r="AA42">
        <f>'Grid_Requirement'!Y14</f>
        <v/>
      </c>
      <c r="AB42">
        <f>'Grid_Requirement'!Z14</f>
        <v/>
      </c>
      <c r="AC42">
        <f>'Grid_Requirement'!AA14</f>
        <v/>
      </c>
      <c r="AD42">
        <f>'Grid_Requirement'!AB14</f>
        <v/>
      </c>
      <c r="AE42">
        <f>'Grid_Requirement'!AC14</f>
        <v/>
      </c>
      <c r="AF42">
        <f>'Grid_Requirement'!AD14</f>
        <v/>
      </c>
      <c r="AG42">
        <f>'Grid_Requirement'!AE14</f>
        <v/>
      </c>
      <c r="AH42">
        <f>'Grid_Requirement'!AF14</f>
        <v/>
      </c>
      <c r="AI42">
        <f>'Grid_Requirement'!AG14</f>
        <v/>
      </c>
      <c r="AJ42">
        <f>'Grid_Requirement'!AH14</f>
        <v/>
      </c>
      <c r="AK42">
        <f>'Grid_Requirement'!AI14</f>
        <v/>
      </c>
      <c r="AL42">
        <f>'Grid_Requirement'!AJ14</f>
        <v/>
      </c>
      <c r="AM42">
        <f>'Grid_Requirement'!AK14</f>
        <v/>
      </c>
      <c r="AN42">
        <f>'Grid_Requirement'!AL14</f>
        <v/>
      </c>
      <c r="AO42">
        <f>'Grid_Requirement'!AM14</f>
        <v/>
      </c>
      <c r="AP42">
        <f>'Grid_Requirement'!AN14</f>
        <v/>
      </c>
      <c r="AQ42">
        <f>'Grid_Requirement'!AO14</f>
        <v/>
      </c>
      <c r="AR42">
        <f>'Grid_Requirement'!AP14</f>
        <v/>
      </c>
      <c r="AS42">
        <f>'Grid_Requirement'!AQ14</f>
        <v/>
      </c>
      <c r="AT42">
        <f>'Grid_Requirement'!AR14</f>
        <v/>
      </c>
      <c r="AU42">
        <f>'Grid_Requirement'!AS14</f>
        <v/>
      </c>
      <c r="AV42">
        <f>'Grid_Requirement'!AT14</f>
        <v/>
      </c>
      <c r="AW42">
        <f>'Grid_Requirement'!AU14</f>
        <v/>
      </c>
      <c r="AX42">
        <f>'Grid_Requirement'!AV14</f>
        <v/>
      </c>
      <c r="AY42">
        <f>'Grid_Requirement'!AW14</f>
        <v/>
      </c>
      <c r="AZ42">
        <f>'Grid_Requirement'!AX14</f>
        <v/>
      </c>
      <c r="BA42">
        <f>'Grid_Requirement'!AY14</f>
        <v/>
      </c>
      <c r="BB42">
        <f>'Grid_Requirement'!AZ14</f>
        <v/>
      </c>
      <c r="BC42">
        <f>'Grid_Requirement'!BA14</f>
        <v/>
      </c>
      <c r="BD42">
        <f>'Grid_Requirement'!BB14</f>
        <v/>
      </c>
      <c r="BE42">
        <f>'Grid_Requirement'!BC14</f>
        <v/>
      </c>
      <c r="BF42">
        <f>'Grid_Requirement'!BD14</f>
        <v/>
      </c>
      <c r="BG42">
        <f>'Grid_Requirement'!BE14</f>
        <v/>
      </c>
      <c r="BH42">
        <f>'Grid_Requirement'!BF14</f>
        <v/>
      </c>
      <c r="BI42">
        <f>'Grid_Requirement'!BG14</f>
        <v/>
      </c>
      <c r="BJ42">
        <f>'Grid_Requirement'!BH14</f>
        <v/>
      </c>
      <c r="BK42">
        <f>'Grid_Requirement'!BI14</f>
        <v/>
      </c>
      <c r="BL42">
        <f>'Grid_Requirement'!BJ14</f>
        <v/>
      </c>
      <c r="BM42">
        <f>'Grid_Requirement'!BK14</f>
        <v/>
      </c>
      <c r="BN42">
        <f>'Grid_Requirement'!BL14</f>
        <v/>
      </c>
      <c r="BO42">
        <f>'Grid_Requirement'!BM14</f>
        <v/>
      </c>
      <c r="BP42">
        <f>'Grid_Requirement'!BN14</f>
        <v/>
      </c>
      <c r="BQ42">
        <f>'Grid_Requirement'!BO14</f>
        <v/>
      </c>
      <c r="BR42">
        <f>'Grid_Requirement'!BP14</f>
        <v/>
      </c>
      <c r="BS42">
        <f>'Grid_Requirement'!BQ14</f>
        <v/>
      </c>
      <c r="BT42">
        <f>'Grid_Requirement'!BR14</f>
        <v/>
      </c>
      <c r="BU42">
        <f>'Grid_Requirement'!BS14</f>
        <v/>
      </c>
      <c r="BV42">
        <f>'Grid_Requirement'!BT14</f>
        <v/>
      </c>
      <c r="BW42">
        <f>'Grid_Requirement'!BU14</f>
        <v/>
      </c>
      <c r="BX42">
        <f>'Grid_Requirement'!BV14</f>
        <v/>
      </c>
      <c r="BY42">
        <f>'Grid_Requirement'!BW14</f>
        <v/>
      </c>
      <c r="BZ42">
        <f>'Grid_Requirement'!BX14</f>
        <v/>
      </c>
      <c r="CA42">
        <f>'Grid_Requirement'!BY14</f>
        <v/>
      </c>
      <c r="CB42">
        <f>'Grid_Requirement'!BZ14</f>
        <v/>
      </c>
      <c r="CC42">
        <f>'Grid_Requirement'!CA14</f>
        <v/>
      </c>
      <c r="CD42">
        <f>'Grid_Requirement'!CB14</f>
        <v/>
      </c>
      <c r="CE42">
        <f>'Grid_Requirement'!CC14</f>
        <v/>
      </c>
      <c r="CF42">
        <f>'Grid_Requirement'!CD14</f>
        <v/>
      </c>
      <c r="CG42">
        <f>'Grid_Requirement'!CE14</f>
        <v/>
      </c>
      <c r="CH42">
        <f>'Grid_Requirement'!CF14</f>
        <v/>
      </c>
      <c r="CI42">
        <f>'Grid_Requirement'!CG14</f>
        <v/>
      </c>
      <c r="CJ42">
        <f>'Grid_Requirement'!CH14</f>
        <v/>
      </c>
      <c r="CK42">
        <f>'Grid_Requirement'!CI14</f>
        <v/>
      </c>
      <c r="CL42">
        <f>'Grid_Requirement'!CJ14</f>
        <v/>
      </c>
      <c r="CM42">
        <f>'Grid_Requirement'!CK14</f>
        <v/>
      </c>
      <c r="CN42">
        <f>'Grid_Requirement'!CL14</f>
        <v/>
      </c>
      <c r="CO42">
        <f>'Grid_Requirement'!CM14</f>
        <v/>
      </c>
      <c r="CP42">
        <f>'Grid_Requirement'!CN14</f>
        <v/>
      </c>
      <c r="CQ42">
        <f>'Grid_Requirement'!CO14</f>
        <v/>
      </c>
      <c r="CR42">
        <f>'Grid_Requirement'!CP14</f>
        <v/>
      </c>
      <c r="CS42">
        <f>'Grid_Requirement'!CQ14</f>
        <v/>
      </c>
      <c r="CT42">
        <f>'Grid_Requirement'!CR14</f>
        <v/>
      </c>
      <c r="CU42">
        <f>'Grid_Requirement'!CS14</f>
        <v/>
      </c>
      <c r="CV42">
        <f>'Grid_Requirement'!CT14</f>
        <v/>
      </c>
      <c r="CW42">
        <f>'Grid_Requirement'!CU14</f>
        <v/>
      </c>
      <c r="CX42">
        <f>'Grid_Requirement'!CV14</f>
        <v/>
      </c>
      <c r="CY42">
        <f>'Grid_Requirement'!CW14</f>
        <v/>
      </c>
      <c r="CZ42">
        <f>'Grid_Requirement'!CX14</f>
        <v/>
      </c>
      <c r="DA42">
        <f>'Grid_Requirement'!CY14</f>
        <v/>
      </c>
      <c r="DB42">
        <f>'Grid_Requirement'!CZ14</f>
        <v/>
      </c>
      <c r="DC42">
        <f>'Grid_Requirement'!DA14</f>
        <v/>
      </c>
    </row>
    <row r="43">
      <c r="B43" t="inlineStr">
        <is>
          <t>TTAF在庫(実績,kg)</t>
        </is>
      </c>
      <c r="D43">
        <f>'T_TTAFStock'!B18</f>
        <v/>
      </c>
      <c r="E43">
        <f>'T_TTAFStock'!C18</f>
        <v/>
      </c>
      <c r="F43">
        <f>'T_TTAFStock'!D18</f>
        <v/>
      </c>
      <c r="G43">
        <f>'T_TTAFStock'!E18</f>
        <v/>
      </c>
      <c r="H43">
        <f>'T_TTAFStock'!F18</f>
        <v/>
      </c>
      <c r="I43">
        <f>'T_TTAFStock'!G18</f>
        <v/>
      </c>
      <c r="J43">
        <f>'T_TTAFStock'!H18</f>
        <v/>
      </c>
      <c r="K43">
        <f>'T_TTAFStock'!I18</f>
        <v/>
      </c>
      <c r="L43">
        <f>'T_TTAFStock'!J18</f>
        <v/>
      </c>
      <c r="M43">
        <f>'T_TTAFStock'!K18</f>
        <v/>
      </c>
      <c r="N43">
        <f>'T_TTAFStock'!L18</f>
        <v/>
      </c>
      <c r="O43">
        <f>'T_TTAFStock'!M18</f>
        <v/>
      </c>
      <c r="P43">
        <f>'T_TTAFStock'!N18</f>
        <v/>
      </c>
      <c r="Q43">
        <f>'T_TTAFStock'!O18</f>
        <v/>
      </c>
      <c r="R43">
        <f>'T_TTAFStock'!P18</f>
        <v/>
      </c>
      <c r="S43">
        <f>'T_TTAFStock'!Q18</f>
        <v/>
      </c>
      <c r="T43">
        <f>'T_TTAFStock'!R18</f>
        <v/>
      </c>
      <c r="U43">
        <f>'T_TTAFStock'!S18</f>
        <v/>
      </c>
      <c r="V43">
        <f>'T_TTAFStock'!T18</f>
        <v/>
      </c>
      <c r="W43">
        <f>'T_TTAFStock'!U18</f>
        <v/>
      </c>
      <c r="X43">
        <f>'T_TTAFStock'!V18</f>
        <v/>
      </c>
      <c r="Y43">
        <f>'T_TTAFStock'!W18</f>
        <v/>
      </c>
      <c r="Z43">
        <f>'T_TTAFStock'!X18</f>
        <v/>
      </c>
      <c r="AA43">
        <f>'T_TTAFStock'!Y18</f>
        <v/>
      </c>
      <c r="AB43">
        <f>'T_TTAFStock'!Z18</f>
        <v/>
      </c>
      <c r="AC43">
        <f>'T_TTAFStock'!AA18</f>
        <v/>
      </c>
      <c r="AD43">
        <f>'T_TTAFStock'!AB18</f>
        <v/>
      </c>
      <c r="AE43">
        <f>'T_TTAFStock'!AC18</f>
        <v/>
      </c>
      <c r="AF43">
        <f>'T_TTAFStock'!AD18</f>
        <v/>
      </c>
      <c r="AG43">
        <f>'T_TTAFStock'!AE18</f>
        <v/>
      </c>
      <c r="AH43">
        <f>'T_TTAFStock'!AF18</f>
        <v/>
      </c>
      <c r="AI43">
        <f>'T_TTAFStock'!AG18</f>
        <v/>
      </c>
      <c r="AJ43">
        <f>'T_TTAFStock'!AH18</f>
        <v/>
      </c>
      <c r="AK43">
        <f>'T_TTAFStock'!AI18</f>
        <v/>
      </c>
      <c r="AL43">
        <f>'T_TTAFStock'!AJ18</f>
        <v/>
      </c>
      <c r="AM43">
        <f>'T_TTAFStock'!AK18</f>
        <v/>
      </c>
      <c r="AN43">
        <f>'T_TTAFStock'!AL18</f>
        <v/>
      </c>
      <c r="AO43">
        <f>'T_TTAFStock'!AM18</f>
        <v/>
      </c>
      <c r="AP43">
        <f>'T_TTAFStock'!AN18</f>
        <v/>
      </c>
      <c r="AQ43">
        <f>'T_TTAFStock'!AO18</f>
        <v/>
      </c>
      <c r="AR43">
        <f>'T_TTAFStock'!AP18</f>
        <v/>
      </c>
      <c r="AS43">
        <f>'T_TTAFStock'!AQ18</f>
        <v/>
      </c>
      <c r="AT43">
        <f>'T_TTAFStock'!AR18</f>
        <v/>
      </c>
      <c r="AU43">
        <f>'T_TTAFStock'!AS18</f>
        <v/>
      </c>
      <c r="AV43">
        <f>'T_TTAFStock'!AT18</f>
        <v/>
      </c>
      <c r="AW43">
        <f>'T_TTAFStock'!AU18</f>
        <v/>
      </c>
      <c r="AX43">
        <f>'T_TTAFStock'!AV18</f>
        <v/>
      </c>
      <c r="AY43">
        <f>'T_TTAFStock'!AW18</f>
        <v/>
      </c>
      <c r="AZ43">
        <f>'T_TTAFStock'!AX18</f>
        <v/>
      </c>
      <c r="BA43">
        <f>'T_TTAFStock'!AY18</f>
        <v/>
      </c>
      <c r="BB43">
        <f>'T_TTAFStock'!AZ18</f>
        <v/>
      </c>
      <c r="BC43">
        <f>'T_TTAFStock'!BA18</f>
        <v/>
      </c>
      <c r="BD43">
        <f>'T_TTAFStock'!BB18</f>
        <v/>
      </c>
      <c r="BE43">
        <f>'T_TTAFStock'!BC18</f>
        <v/>
      </c>
      <c r="BF43">
        <f>'T_TTAFStock'!BD18</f>
        <v/>
      </c>
      <c r="BG43">
        <f>'T_TTAFStock'!BE18</f>
        <v/>
      </c>
      <c r="BH43">
        <f>'T_TTAFStock'!BF18</f>
        <v/>
      </c>
      <c r="BI43">
        <f>'T_TTAFStock'!BG18</f>
        <v/>
      </c>
      <c r="BJ43">
        <f>'T_TTAFStock'!BH18</f>
        <v/>
      </c>
      <c r="BK43">
        <f>'T_TTAFStock'!BI18</f>
        <v/>
      </c>
      <c r="BL43">
        <f>'T_TTAFStock'!BJ18</f>
        <v/>
      </c>
      <c r="BM43">
        <f>'T_TTAFStock'!BK18</f>
        <v/>
      </c>
      <c r="BN43">
        <f>'T_TTAFStock'!BL18</f>
        <v/>
      </c>
      <c r="BO43">
        <f>'T_TTAFStock'!BM18</f>
        <v/>
      </c>
      <c r="BP43">
        <f>'T_TTAFStock'!BN18</f>
        <v/>
      </c>
      <c r="BQ43">
        <f>'T_TTAFStock'!BO18</f>
        <v/>
      </c>
      <c r="BR43">
        <f>'T_TTAFStock'!BP18</f>
        <v/>
      </c>
      <c r="BS43">
        <f>'T_TTAFStock'!BQ18</f>
        <v/>
      </c>
      <c r="BT43">
        <f>'T_TTAFStock'!BR18</f>
        <v/>
      </c>
      <c r="BU43">
        <f>'T_TTAFStock'!BS18</f>
        <v/>
      </c>
      <c r="BV43">
        <f>'T_TTAFStock'!BT18</f>
        <v/>
      </c>
      <c r="BW43">
        <f>'T_TTAFStock'!BU18</f>
        <v/>
      </c>
      <c r="BX43">
        <f>'T_TTAFStock'!BV18</f>
        <v/>
      </c>
      <c r="BY43">
        <f>'T_TTAFStock'!BW18</f>
        <v/>
      </c>
      <c r="BZ43">
        <f>'T_TTAFStock'!BX18</f>
        <v/>
      </c>
      <c r="CA43">
        <f>'T_TTAFStock'!BY18</f>
        <v/>
      </c>
      <c r="CB43">
        <f>'T_TTAFStock'!BZ18</f>
        <v/>
      </c>
      <c r="CC43">
        <f>'T_TTAFStock'!CA18</f>
        <v/>
      </c>
      <c r="CD43">
        <f>'T_TTAFStock'!CB18</f>
        <v/>
      </c>
      <c r="CE43">
        <f>'T_TTAFStock'!CC18</f>
        <v/>
      </c>
      <c r="CF43">
        <f>'T_TTAFStock'!CD18</f>
        <v/>
      </c>
      <c r="CG43">
        <f>'T_TTAFStock'!CE18</f>
        <v/>
      </c>
      <c r="CH43">
        <f>'T_TTAFStock'!CF18</f>
        <v/>
      </c>
      <c r="CI43">
        <f>'T_TTAFStock'!CG18</f>
        <v/>
      </c>
      <c r="CJ43">
        <f>'T_TTAFStock'!CH18</f>
        <v/>
      </c>
      <c r="CK43">
        <f>'T_TTAFStock'!CI18</f>
        <v/>
      </c>
      <c r="CL43">
        <f>'T_TTAFStock'!CJ18</f>
        <v/>
      </c>
      <c r="CM43">
        <f>'T_TTAFStock'!CK18</f>
        <v/>
      </c>
      <c r="CN43">
        <f>'T_TTAFStock'!CL18</f>
        <v/>
      </c>
      <c r="CO43">
        <f>'T_TTAFStock'!CM18</f>
        <v/>
      </c>
      <c r="CP43">
        <f>'T_TTAFStock'!CN18</f>
        <v/>
      </c>
      <c r="CQ43">
        <f>'T_TTAFStock'!CO18</f>
        <v/>
      </c>
      <c r="CR43">
        <f>'T_TTAFStock'!CP18</f>
        <v/>
      </c>
      <c r="CS43">
        <f>'T_TTAFStock'!CQ18</f>
        <v/>
      </c>
      <c r="CT43">
        <f>'T_TTAFStock'!CR18</f>
        <v/>
      </c>
      <c r="CU43">
        <f>'T_TTAFStock'!CS18</f>
        <v/>
      </c>
      <c r="CV43">
        <f>'T_TTAFStock'!CT18</f>
        <v/>
      </c>
      <c r="CW43">
        <f>'T_TTAFStock'!CU18</f>
        <v/>
      </c>
      <c r="CX43">
        <f>'T_TTAFStock'!CV18</f>
        <v/>
      </c>
      <c r="CY43">
        <f>'T_TTAFStock'!CW18</f>
        <v/>
      </c>
      <c r="CZ43">
        <f>'T_TTAFStock'!CX18</f>
        <v/>
      </c>
      <c r="DA43">
        <f>'T_TTAFStock'!CY18</f>
        <v/>
      </c>
      <c r="DB43">
        <f>'T_TTAFStock'!CZ18</f>
        <v/>
      </c>
      <c r="DC43">
        <f>'T_TTAFStock'!DA18</f>
        <v/>
      </c>
    </row>
    <row r="44">
      <c r="B44" t="inlineStr">
        <is>
          <t>自社在庫(実績,kg)</t>
        </is>
      </c>
      <c r="D44">
        <f>'T_SelfStock'!B18</f>
        <v/>
      </c>
      <c r="E44">
        <f>'T_SelfStock'!C18</f>
        <v/>
      </c>
      <c r="F44">
        <f>'T_SelfStock'!D18</f>
        <v/>
      </c>
      <c r="G44">
        <f>'T_SelfStock'!E18</f>
        <v/>
      </c>
      <c r="H44">
        <f>'T_SelfStock'!F18</f>
        <v/>
      </c>
      <c r="I44">
        <f>'T_SelfStock'!G18</f>
        <v/>
      </c>
      <c r="J44">
        <f>'T_SelfStock'!H18</f>
        <v/>
      </c>
      <c r="K44">
        <f>'T_SelfStock'!I18</f>
        <v/>
      </c>
      <c r="L44">
        <f>'T_SelfStock'!J18</f>
        <v/>
      </c>
      <c r="M44">
        <f>'T_SelfStock'!K18</f>
        <v/>
      </c>
      <c r="N44">
        <f>'T_SelfStock'!L18</f>
        <v/>
      </c>
      <c r="O44">
        <f>'T_SelfStock'!M18</f>
        <v/>
      </c>
      <c r="P44">
        <f>'T_SelfStock'!N18</f>
        <v/>
      </c>
      <c r="Q44">
        <f>'T_SelfStock'!O18</f>
        <v/>
      </c>
      <c r="R44">
        <f>'T_SelfStock'!P18</f>
        <v/>
      </c>
      <c r="S44">
        <f>'T_SelfStock'!Q18</f>
        <v/>
      </c>
      <c r="T44">
        <f>'T_SelfStock'!R18</f>
        <v/>
      </c>
      <c r="U44">
        <f>'T_SelfStock'!S18</f>
        <v/>
      </c>
      <c r="V44">
        <f>'T_SelfStock'!T18</f>
        <v/>
      </c>
      <c r="W44">
        <f>'T_SelfStock'!U18</f>
        <v/>
      </c>
      <c r="X44">
        <f>'T_SelfStock'!V18</f>
        <v/>
      </c>
      <c r="Y44">
        <f>'T_SelfStock'!W18</f>
        <v/>
      </c>
      <c r="Z44">
        <f>'T_SelfStock'!X18</f>
        <v/>
      </c>
      <c r="AA44">
        <f>'T_SelfStock'!Y18</f>
        <v/>
      </c>
      <c r="AB44">
        <f>'T_SelfStock'!Z18</f>
        <v/>
      </c>
      <c r="AC44">
        <f>'T_SelfStock'!AA18</f>
        <v/>
      </c>
      <c r="AD44">
        <f>'T_SelfStock'!AB18</f>
        <v/>
      </c>
      <c r="AE44">
        <f>'T_SelfStock'!AC18</f>
        <v/>
      </c>
      <c r="AF44">
        <f>'T_SelfStock'!AD18</f>
        <v/>
      </c>
      <c r="AG44">
        <f>'T_SelfStock'!AE18</f>
        <v/>
      </c>
      <c r="AH44">
        <f>'T_SelfStock'!AF18</f>
        <v/>
      </c>
      <c r="AI44">
        <f>'T_SelfStock'!AG18</f>
        <v/>
      </c>
      <c r="AJ44">
        <f>'T_SelfStock'!AH18</f>
        <v/>
      </c>
      <c r="AK44">
        <f>'T_SelfStock'!AI18</f>
        <v/>
      </c>
      <c r="AL44">
        <f>'T_SelfStock'!AJ18</f>
        <v/>
      </c>
      <c r="AM44">
        <f>'T_SelfStock'!AK18</f>
        <v/>
      </c>
      <c r="AN44">
        <f>'T_SelfStock'!AL18</f>
        <v/>
      </c>
      <c r="AO44">
        <f>'T_SelfStock'!AM18</f>
        <v/>
      </c>
      <c r="AP44">
        <f>'T_SelfStock'!AN18</f>
        <v/>
      </c>
      <c r="AQ44">
        <f>'T_SelfStock'!AO18</f>
        <v/>
      </c>
      <c r="AR44">
        <f>'T_SelfStock'!AP18</f>
        <v/>
      </c>
      <c r="AS44">
        <f>'T_SelfStock'!AQ18</f>
        <v/>
      </c>
      <c r="AT44">
        <f>'T_SelfStock'!AR18</f>
        <v/>
      </c>
      <c r="AU44">
        <f>'T_SelfStock'!AS18</f>
        <v/>
      </c>
      <c r="AV44">
        <f>'T_SelfStock'!AT18</f>
        <v/>
      </c>
      <c r="AW44">
        <f>'T_SelfStock'!AU18</f>
        <v/>
      </c>
      <c r="AX44">
        <f>'T_SelfStock'!AV18</f>
        <v/>
      </c>
      <c r="AY44">
        <f>'T_SelfStock'!AW18</f>
        <v/>
      </c>
      <c r="AZ44">
        <f>'T_SelfStock'!AX18</f>
        <v/>
      </c>
      <c r="BA44">
        <f>'T_SelfStock'!AY18</f>
        <v/>
      </c>
      <c r="BB44">
        <f>'T_SelfStock'!AZ18</f>
        <v/>
      </c>
      <c r="BC44">
        <f>'T_SelfStock'!BA18</f>
        <v/>
      </c>
      <c r="BD44">
        <f>'T_SelfStock'!BB18</f>
        <v/>
      </c>
      <c r="BE44">
        <f>'T_SelfStock'!BC18</f>
        <v/>
      </c>
      <c r="BF44">
        <f>'T_SelfStock'!BD18</f>
        <v/>
      </c>
      <c r="BG44">
        <f>'T_SelfStock'!BE18</f>
        <v/>
      </c>
      <c r="BH44">
        <f>'T_SelfStock'!BF18</f>
        <v/>
      </c>
      <c r="BI44">
        <f>'T_SelfStock'!BG18</f>
        <v/>
      </c>
      <c r="BJ44">
        <f>'T_SelfStock'!BH18</f>
        <v/>
      </c>
      <c r="BK44">
        <f>'T_SelfStock'!BI18</f>
        <v/>
      </c>
      <c r="BL44">
        <f>'T_SelfStock'!BJ18</f>
        <v/>
      </c>
      <c r="BM44">
        <f>'T_SelfStock'!BK18</f>
        <v/>
      </c>
      <c r="BN44">
        <f>'T_SelfStock'!BL18</f>
        <v/>
      </c>
      <c r="BO44">
        <f>'T_SelfStock'!BM18</f>
        <v/>
      </c>
      <c r="BP44">
        <f>'T_SelfStock'!BN18</f>
        <v/>
      </c>
      <c r="BQ44">
        <f>'T_SelfStock'!BO18</f>
        <v/>
      </c>
      <c r="BR44">
        <f>'T_SelfStock'!BP18</f>
        <v/>
      </c>
      <c r="BS44">
        <f>'T_SelfStock'!BQ18</f>
        <v/>
      </c>
      <c r="BT44">
        <f>'T_SelfStock'!BR18</f>
        <v/>
      </c>
      <c r="BU44">
        <f>'T_SelfStock'!BS18</f>
        <v/>
      </c>
      <c r="BV44">
        <f>'T_SelfStock'!BT18</f>
        <v/>
      </c>
      <c r="BW44">
        <f>'T_SelfStock'!BU18</f>
        <v/>
      </c>
      <c r="BX44">
        <f>'T_SelfStock'!BV18</f>
        <v/>
      </c>
      <c r="BY44">
        <f>'T_SelfStock'!BW18</f>
        <v/>
      </c>
      <c r="BZ44">
        <f>'T_SelfStock'!BX18</f>
        <v/>
      </c>
      <c r="CA44">
        <f>'T_SelfStock'!BY18</f>
        <v/>
      </c>
      <c r="CB44">
        <f>'T_SelfStock'!BZ18</f>
        <v/>
      </c>
      <c r="CC44">
        <f>'T_SelfStock'!CA18</f>
        <v/>
      </c>
      <c r="CD44">
        <f>'T_SelfStock'!CB18</f>
        <v/>
      </c>
      <c r="CE44">
        <f>'T_SelfStock'!CC18</f>
        <v/>
      </c>
      <c r="CF44">
        <f>'T_SelfStock'!CD18</f>
        <v/>
      </c>
      <c r="CG44">
        <f>'T_SelfStock'!CE18</f>
        <v/>
      </c>
      <c r="CH44">
        <f>'T_SelfStock'!CF18</f>
        <v/>
      </c>
      <c r="CI44">
        <f>'T_SelfStock'!CG18</f>
        <v/>
      </c>
      <c r="CJ44">
        <f>'T_SelfStock'!CH18</f>
        <v/>
      </c>
      <c r="CK44">
        <f>'T_SelfStock'!CI18</f>
        <v/>
      </c>
      <c r="CL44">
        <f>'T_SelfStock'!CJ18</f>
        <v/>
      </c>
      <c r="CM44">
        <f>'T_SelfStock'!CK18</f>
        <v/>
      </c>
      <c r="CN44">
        <f>'T_SelfStock'!CL18</f>
        <v/>
      </c>
      <c r="CO44">
        <f>'T_SelfStock'!CM18</f>
        <v/>
      </c>
      <c r="CP44">
        <f>'T_SelfStock'!CN18</f>
        <v/>
      </c>
      <c r="CQ44">
        <f>'T_SelfStock'!CO18</f>
        <v/>
      </c>
      <c r="CR44">
        <f>'T_SelfStock'!CP18</f>
        <v/>
      </c>
      <c r="CS44">
        <f>'T_SelfStock'!CQ18</f>
        <v/>
      </c>
      <c r="CT44">
        <f>'T_SelfStock'!CR18</f>
        <v/>
      </c>
      <c r="CU44">
        <f>'T_SelfStock'!CS18</f>
        <v/>
      </c>
      <c r="CV44">
        <f>'T_SelfStock'!CT18</f>
        <v/>
      </c>
      <c r="CW44">
        <f>'T_SelfStock'!CU18</f>
        <v/>
      </c>
      <c r="CX44">
        <f>'T_SelfStock'!CV18</f>
        <v/>
      </c>
      <c r="CY44">
        <f>'T_SelfStock'!CW18</f>
        <v/>
      </c>
      <c r="CZ44">
        <f>'T_SelfStock'!CX18</f>
        <v/>
      </c>
      <c r="DA44">
        <f>'T_SelfStock'!CY18</f>
        <v/>
      </c>
      <c r="DB44">
        <f>'T_SelfStock'!CZ18</f>
        <v/>
      </c>
      <c r="DC44">
        <f>'T_SelfStock'!DA18</f>
        <v/>
      </c>
    </row>
    <row r="45">
      <c r="B45" t="inlineStr">
        <is>
          <t>Order(発注予定,kg)</t>
        </is>
      </c>
      <c r="D45">
        <f>IF(SUMIFS(T_PlannedOrders[EffectiveQty],T_PlannedOrders[Part Name],$A27,T_PlannedOrders[WeekIndex],1)=0,"",SUMIFS(T_PlannedOrders[EffectiveQty],T_PlannedOrders[Part Name],$A27,T_PlannedOrders[WeekIndex],1)&amp;" ("&amp;TEXT(SUMPRODUCT(MAX((T_PlannedOrders[Part Name]=$A27)*(T_PlannedOrders[WeekIndex]=1)*(T_PlannedOrders[EffectiveQty]&gt;0)*T_PlannedOrders[Order_Month])),"m月")&amp;"発注)")</f>
        <v/>
      </c>
      <c r="E45">
        <f>IF(SUMIFS(T_PlannedOrders[EffectiveQty],T_PlannedOrders[Part Name],$A27,T_PlannedOrders[WeekIndex],2)=0,"",SUMIFS(T_PlannedOrders[EffectiveQty],T_PlannedOrders[Part Name],$A27,T_PlannedOrders[WeekIndex],2)&amp;" ("&amp;TEXT(SUMPRODUCT(MAX((T_PlannedOrders[Part Name]=$A27)*(T_PlannedOrders[WeekIndex]=2)*(T_PlannedOrders[EffectiveQty]&gt;0)*T_PlannedOrders[Order_Month])),"m月")&amp;"発注)")</f>
        <v/>
      </c>
      <c r="F45">
        <f>IF(SUMIFS(T_PlannedOrders[EffectiveQty],T_PlannedOrders[Part Name],$A27,T_PlannedOrders[WeekIndex],3)=0,"",SUMIFS(T_PlannedOrders[EffectiveQty],T_PlannedOrders[Part Name],$A27,T_PlannedOrders[WeekIndex],3)&amp;" ("&amp;TEXT(SUMPRODUCT(MAX((T_PlannedOrders[Part Name]=$A27)*(T_PlannedOrders[WeekIndex]=3)*(T_PlannedOrders[EffectiveQty]&gt;0)*T_PlannedOrders[Order_Month])),"m月")&amp;"発注)")</f>
        <v/>
      </c>
      <c r="G45">
        <f>IF(SUMIFS(T_PlannedOrders[EffectiveQty],T_PlannedOrders[Part Name],$A27,T_PlannedOrders[WeekIndex],4)=0,"",SUMIFS(T_PlannedOrders[EffectiveQty],T_PlannedOrders[Part Name],$A27,T_PlannedOrders[WeekIndex],4)&amp;" ("&amp;TEXT(SUMPRODUCT(MAX((T_PlannedOrders[Part Name]=$A27)*(T_PlannedOrders[WeekIndex]=4)*(T_PlannedOrders[EffectiveQty]&gt;0)*T_PlannedOrders[Order_Month])),"m月")&amp;"発注)")</f>
        <v/>
      </c>
      <c r="H45">
        <f>IF(SUMIFS(T_PlannedOrders[EffectiveQty],T_PlannedOrders[Part Name],$A27,T_PlannedOrders[WeekIndex],5)=0,"",SUMIFS(T_PlannedOrders[EffectiveQty],T_PlannedOrders[Part Name],$A27,T_PlannedOrders[WeekIndex],5)&amp;" ("&amp;TEXT(SUMPRODUCT(MAX((T_PlannedOrders[Part Name]=$A27)*(T_PlannedOrders[WeekIndex]=5)*(T_PlannedOrders[EffectiveQty]&gt;0)*T_PlannedOrders[Order_Month])),"m月")&amp;"発注)")</f>
        <v/>
      </c>
      <c r="I45">
        <f>IF(SUMIFS(T_PlannedOrders[EffectiveQty],T_PlannedOrders[Part Name],$A27,T_PlannedOrders[WeekIndex],6)=0,"",SUMIFS(T_PlannedOrders[EffectiveQty],T_PlannedOrders[Part Name],$A27,T_PlannedOrders[WeekIndex],6)&amp;" ("&amp;TEXT(SUMPRODUCT(MAX((T_PlannedOrders[Part Name]=$A27)*(T_PlannedOrders[WeekIndex]=6)*(T_PlannedOrders[EffectiveQty]&gt;0)*T_PlannedOrders[Order_Month])),"m月")&amp;"発注)")</f>
        <v/>
      </c>
      <c r="J45">
        <f>IF(SUMIFS(T_PlannedOrders[EffectiveQty],T_PlannedOrders[Part Name],$A27,T_PlannedOrders[WeekIndex],7)=0,"",SUMIFS(T_PlannedOrders[EffectiveQty],T_PlannedOrders[Part Name],$A27,T_PlannedOrders[WeekIndex],7)&amp;" ("&amp;TEXT(SUMPRODUCT(MAX((T_PlannedOrders[Part Name]=$A27)*(T_PlannedOrders[WeekIndex]=7)*(T_PlannedOrders[EffectiveQty]&gt;0)*T_PlannedOrders[Order_Month])),"m月")&amp;"発注)")</f>
        <v/>
      </c>
      <c r="K45">
        <f>IF(SUMIFS(T_PlannedOrders[EffectiveQty],T_PlannedOrders[Part Name],$A27,T_PlannedOrders[WeekIndex],8)=0,"",SUMIFS(T_PlannedOrders[EffectiveQty],T_PlannedOrders[Part Name],$A27,T_PlannedOrders[WeekIndex],8)&amp;" ("&amp;TEXT(SUMPRODUCT(MAX((T_PlannedOrders[Part Name]=$A27)*(T_PlannedOrders[WeekIndex]=8)*(T_PlannedOrders[EffectiveQty]&gt;0)*T_PlannedOrders[Order_Month])),"m月")&amp;"発注)")</f>
        <v/>
      </c>
      <c r="L45">
        <f>IF(SUMIFS(T_PlannedOrders[EffectiveQty],T_PlannedOrders[Part Name],$A27,T_PlannedOrders[WeekIndex],9)=0,"",SUMIFS(T_PlannedOrders[EffectiveQty],T_PlannedOrders[Part Name],$A27,T_PlannedOrders[WeekIndex],9)&amp;" ("&amp;TEXT(SUMPRODUCT(MAX((T_PlannedOrders[Part Name]=$A27)*(T_PlannedOrders[WeekIndex]=9)*(T_PlannedOrders[EffectiveQty]&gt;0)*T_PlannedOrders[Order_Month])),"m月")&amp;"発注)")</f>
        <v/>
      </c>
      <c r="M45">
        <f>IF(SUMIFS(T_PlannedOrders[EffectiveQty],T_PlannedOrders[Part Name],$A27,T_PlannedOrders[WeekIndex],10)=0,"",SUMIFS(T_PlannedOrders[EffectiveQty],T_PlannedOrders[Part Name],$A27,T_PlannedOrders[WeekIndex],10)&amp;" ("&amp;TEXT(SUMPRODUCT(MAX((T_PlannedOrders[Part Name]=$A27)*(T_PlannedOrders[WeekIndex]=10)*(T_PlannedOrders[EffectiveQty]&gt;0)*T_PlannedOrders[Order_Month])),"m月")&amp;"発注)")</f>
        <v/>
      </c>
      <c r="N45">
        <f>IF(SUMIFS(T_PlannedOrders[EffectiveQty],T_PlannedOrders[Part Name],$A27,T_PlannedOrders[WeekIndex],11)=0,"",SUMIFS(T_PlannedOrders[EffectiveQty],T_PlannedOrders[Part Name],$A27,T_PlannedOrders[WeekIndex],11)&amp;" ("&amp;TEXT(SUMPRODUCT(MAX((T_PlannedOrders[Part Name]=$A27)*(T_PlannedOrders[WeekIndex]=11)*(T_PlannedOrders[EffectiveQty]&gt;0)*T_PlannedOrders[Order_Month])),"m月")&amp;"発注)")</f>
        <v/>
      </c>
      <c r="O45">
        <f>IF(SUMIFS(T_PlannedOrders[EffectiveQty],T_PlannedOrders[Part Name],$A27,T_PlannedOrders[WeekIndex],12)=0,"",SUMIFS(T_PlannedOrders[EffectiveQty],T_PlannedOrders[Part Name],$A27,T_PlannedOrders[WeekIndex],12)&amp;" ("&amp;TEXT(SUMPRODUCT(MAX((T_PlannedOrders[Part Name]=$A27)*(T_PlannedOrders[WeekIndex]=12)*(T_PlannedOrders[EffectiveQty]&gt;0)*T_PlannedOrders[Order_Month])),"m月")&amp;"発注)")</f>
        <v/>
      </c>
      <c r="P45">
        <f>IF(SUMIFS(T_PlannedOrders[EffectiveQty],T_PlannedOrders[Part Name],$A27,T_PlannedOrders[WeekIndex],13)=0,"",SUMIFS(T_PlannedOrders[EffectiveQty],T_PlannedOrders[Part Name],$A27,T_PlannedOrders[WeekIndex],13)&amp;" ("&amp;TEXT(SUMPRODUCT(MAX((T_PlannedOrders[Part Name]=$A27)*(T_PlannedOrders[WeekIndex]=13)*(T_PlannedOrders[EffectiveQty]&gt;0)*T_PlannedOrders[Order_Month])),"m月")&amp;"発注)")</f>
        <v/>
      </c>
      <c r="Q45">
        <f>IF(SUMIFS(T_PlannedOrders[EffectiveQty],T_PlannedOrders[Part Name],$A27,T_PlannedOrders[WeekIndex],14)=0,"",SUMIFS(T_PlannedOrders[EffectiveQty],T_PlannedOrders[Part Name],$A27,T_PlannedOrders[WeekIndex],14)&amp;" ("&amp;TEXT(SUMPRODUCT(MAX((T_PlannedOrders[Part Name]=$A27)*(T_PlannedOrders[WeekIndex]=14)*(T_PlannedOrders[EffectiveQty]&gt;0)*T_PlannedOrders[Order_Month])),"m月")&amp;"発注)")</f>
        <v/>
      </c>
      <c r="R45">
        <f>IF(SUMIFS(T_PlannedOrders[EffectiveQty],T_PlannedOrders[Part Name],$A27,T_PlannedOrders[WeekIndex],15)=0,"",SUMIFS(T_PlannedOrders[EffectiveQty],T_PlannedOrders[Part Name],$A27,T_PlannedOrders[WeekIndex],15)&amp;" ("&amp;TEXT(SUMPRODUCT(MAX((T_PlannedOrders[Part Name]=$A27)*(T_PlannedOrders[WeekIndex]=15)*(T_PlannedOrders[EffectiveQty]&gt;0)*T_PlannedOrders[Order_Month])),"m月")&amp;"発注)")</f>
        <v/>
      </c>
      <c r="S45">
        <f>IF(SUMIFS(T_PlannedOrders[EffectiveQty],T_PlannedOrders[Part Name],$A27,T_PlannedOrders[WeekIndex],16)=0,"",SUMIFS(T_PlannedOrders[EffectiveQty],T_PlannedOrders[Part Name],$A27,T_PlannedOrders[WeekIndex],16)&amp;" ("&amp;TEXT(SUMPRODUCT(MAX((T_PlannedOrders[Part Name]=$A27)*(T_PlannedOrders[WeekIndex]=16)*(T_PlannedOrders[EffectiveQty]&gt;0)*T_PlannedOrders[Order_Month])),"m月")&amp;"発注)")</f>
        <v/>
      </c>
      <c r="T45">
        <f>IF(SUMIFS(T_PlannedOrders[EffectiveQty],T_PlannedOrders[Part Name],$A27,T_PlannedOrders[WeekIndex],17)=0,"",SUMIFS(T_PlannedOrders[EffectiveQty],T_PlannedOrders[Part Name],$A27,T_PlannedOrders[WeekIndex],17)&amp;" ("&amp;TEXT(SUMPRODUCT(MAX((T_PlannedOrders[Part Name]=$A27)*(T_PlannedOrders[WeekIndex]=17)*(T_PlannedOrders[EffectiveQty]&gt;0)*T_PlannedOrders[Order_Month])),"m月")&amp;"発注)")</f>
        <v/>
      </c>
      <c r="U45">
        <f>IF(SUMIFS(T_PlannedOrders[EffectiveQty],T_PlannedOrders[Part Name],$A27,T_PlannedOrders[WeekIndex],18)=0,"",SUMIFS(T_PlannedOrders[EffectiveQty],T_PlannedOrders[Part Name],$A27,T_PlannedOrders[WeekIndex],18)&amp;" ("&amp;TEXT(SUMPRODUCT(MAX((T_PlannedOrders[Part Name]=$A27)*(T_PlannedOrders[WeekIndex]=18)*(T_PlannedOrders[EffectiveQty]&gt;0)*T_PlannedOrders[Order_Month])),"m月")&amp;"発注)")</f>
        <v/>
      </c>
      <c r="V45">
        <f>IF(SUMIFS(T_PlannedOrders[EffectiveQty],T_PlannedOrders[Part Name],$A27,T_PlannedOrders[WeekIndex],19)=0,"",SUMIFS(T_PlannedOrders[EffectiveQty],T_PlannedOrders[Part Name],$A27,T_PlannedOrders[WeekIndex],19)&amp;" ("&amp;TEXT(SUMPRODUCT(MAX((T_PlannedOrders[Part Name]=$A27)*(T_PlannedOrders[WeekIndex]=19)*(T_PlannedOrders[EffectiveQty]&gt;0)*T_PlannedOrders[Order_Month])),"m月")&amp;"発注)")</f>
        <v/>
      </c>
      <c r="W45">
        <f>IF(SUMIFS(T_PlannedOrders[EffectiveQty],T_PlannedOrders[Part Name],$A27,T_PlannedOrders[WeekIndex],20)=0,"",SUMIFS(T_PlannedOrders[EffectiveQty],T_PlannedOrders[Part Name],$A27,T_PlannedOrders[WeekIndex],20)&amp;" ("&amp;TEXT(SUMPRODUCT(MAX((T_PlannedOrders[Part Name]=$A27)*(T_PlannedOrders[WeekIndex]=20)*(T_PlannedOrders[EffectiveQty]&gt;0)*T_PlannedOrders[Order_Month])),"m月")&amp;"発注)")</f>
        <v/>
      </c>
      <c r="X45">
        <f>IF(SUMIFS(T_PlannedOrders[EffectiveQty],T_PlannedOrders[Part Name],$A27,T_PlannedOrders[WeekIndex],21)=0,"",SUMIFS(T_PlannedOrders[EffectiveQty],T_PlannedOrders[Part Name],$A27,T_PlannedOrders[WeekIndex],21)&amp;" ("&amp;TEXT(SUMPRODUCT(MAX((T_PlannedOrders[Part Name]=$A27)*(T_PlannedOrders[WeekIndex]=21)*(T_PlannedOrders[EffectiveQty]&gt;0)*T_PlannedOrders[Order_Month])),"m月")&amp;"発注)")</f>
        <v/>
      </c>
      <c r="Y45">
        <f>IF(SUMIFS(T_PlannedOrders[EffectiveQty],T_PlannedOrders[Part Name],$A27,T_PlannedOrders[WeekIndex],22)=0,"",SUMIFS(T_PlannedOrders[EffectiveQty],T_PlannedOrders[Part Name],$A27,T_PlannedOrders[WeekIndex],22)&amp;" ("&amp;TEXT(SUMPRODUCT(MAX((T_PlannedOrders[Part Name]=$A27)*(T_PlannedOrders[WeekIndex]=22)*(T_PlannedOrders[EffectiveQty]&gt;0)*T_PlannedOrders[Order_Month])),"m月")&amp;"発注)")</f>
        <v/>
      </c>
      <c r="Z45">
        <f>IF(SUMIFS(T_PlannedOrders[EffectiveQty],T_PlannedOrders[Part Name],$A27,T_PlannedOrders[WeekIndex],23)=0,"",SUMIFS(T_PlannedOrders[EffectiveQty],T_PlannedOrders[Part Name],$A27,T_PlannedOrders[WeekIndex],23)&amp;" ("&amp;TEXT(SUMPRODUCT(MAX((T_PlannedOrders[Part Name]=$A27)*(T_PlannedOrders[WeekIndex]=23)*(T_PlannedOrders[EffectiveQty]&gt;0)*T_PlannedOrders[Order_Month])),"m月")&amp;"発注)")</f>
        <v/>
      </c>
      <c r="AA45">
        <f>IF(SUMIFS(T_PlannedOrders[EffectiveQty],T_PlannedOrders[Part Name],$A27,T_PlannedOrders[WeekIndex],24)=0,"",SUMIFS(T_PlannedOrders[EffectiveQty],T_PlannedOrders[Part Name],$A27,T_PlannedOrders[WeekIndex],24)&amp;" ("&amp;TEXT(SUMPRODUCT(MAX((T_PlannedOrders[Part Name]=$A27)*(T_PlannedOrders[WeekIndex]=24)*(T_PlannedOrders[EffectiveQty]&gt;0)*T_PlannedOrders[Order_Month])),"m月")&amp;"発注)")</f>
        <v/>
      </c>
      <c r="AB45">
        <f>IF(SUMIFS(T_PlannedOrders[EffectiveQty],T_PlannedOrders[Part Name],$A27,T_PlannedOrders[WeekIndex],25)=0,"",SUMIFS(T_PlannedOrders[EffectiveQty],T_PlannedOrders[Part Name],$A27,T_PlannedOrders[WeekIndex],25)&amp;" ("&amp;TEXT(SUMPRODUCT(MAX((T_PlannedOrders[Part Name]=$A27)*(T_PlannedOrders[WeekIndex]=25)*(T_PlannedOrders[EffectiveQty]&gt;0)*T_PlannedOrders[Order_Month])),"m月")&amp;"発注)")</f>
        <v/>
      </c>
      <c r="AC45">
        <f>IF(SUMIFS(T_PlannedOrders[EffectiveQty],T_PlannedOrders[Part Name],$A27,T_PlannedOrders[WeekIndex],26)=0,"",SUMIFS(T_PlannedOrders[EffectiveQty],T_PlannedOrders[Part Name],$A27,T_PlannedOrders[WeekIndex],26)&amp;" ("&amp;TEXT(SUMPRODUCT(MAX((T_PlannedOrders[Part Name]=$A27)*(T_PlannedOrders[WeekIndex]=26)*(T_PlannedOrders[EffectiveQty]&gt;0)*T_PlannedOrders[Order_Month])),"m月")&amp;"発注)")</f>
        <v/>
      </c>
      <c r="AD45">
        <f>IF(SUMIFS(T_PlannedOrders[EffectiveQty],T_PlannedOrders[Part Name],$A27,T_PlannedOrders[WeekIndex],27)=0,"",SUMIFS(T_PlannedOrders[EffectiveQty],T_PlannedOrders[Part Name],$A27,T_PlannedOrders[WeekIndex],27)&amp;" ("&amp;TEXT(SUMPRODUCT(MAX((T_PlannedOrders[Part Name]=$A27)*(T_PlannedOrders[WeekIndex]=27)*(T_PlannedOrders[EffectiveQty]&gt;0)*T_PlannedOrders[Order_Month])),"m月")&amp;"発注)")</f>
        <v/>
      </c>
      <c r="AE45">
        <f>IF(SUMIFS(T_PlannedOrders[EffectiveQty],T_PlannedOrders[Part Name],$A27,T_PlannedOrders[WeekIndex],28)=0,"",SUMIFS(T_PlannedOrders[EffectiveQty],T_PlannedOrders[Part Name],$A27,T_PlannedOrders[WeekIndex],28)&amp;" ("&amp;TEXT(SUMPRODUCT(MAX((T_PlannedOrders[Part Name]=$A27)*(T_PlannedOrders[WeekIndex]=28)*(T_PlannedOrders[EffectiveQty]&gt;0)*T_PlannedOrders[Order_Month])),"m月")&amp;"発注)")</f>
        <v/>
      </c>
      <c r="AF45">
        <f>IF(SUMIFS(T_PlannedOrders[EffectiveQty],T_PlannedOrders[Part Name],$A27,T_PlannedOrders[WeekIndex],29)=0,"",SUMIFS(T_PlannedOrders[EffectiveQty],T_PlannedOrders[Part Name],$A27,T_PlannedOrders[WeekIndex],29)&amp;" ("&amp;TEXT(SUMPRODUCT(MAX((T_PlannedOrders[Part Name]=$A27)*(T_PlannedOrders[WeekIndex]=29)*(T_PlannedOrders[EffectiveQty]&gt;0)*T_PlannedOrders[Order_Month])),"m月")&amp;"発注)")</f>
        <v/>
      </c>
      <c r="AG45">
        <f>IF(SUMIFS(T_PlannedOrders[EffectiveQty],T_PlannedOrders[Part Name],$A27,T_PlannedOrders[WeekIndex],30)=0,"",SUMIFS(T_PlannedOrders[EffectiveQty],T_PlannedOrders[Part Name],$A27,T_PlannedOrders[WeekIndex],30)&amp;" ("&amp;TEXT(SUMPRODUCT(MAX((T_PlannedOrders[Part Name]=$A27)*(T_PlannedOrders[WeekIndex]=30)*(T_PlannedOrders[EffectiveQty]&gt;0)*T_PlannedOrders[Order_Month])),"m月")&amp;"発注)")</f>
        <v/>
      </c>
      <c r="AH45">
        <f>IF(SUMIFS(T_PlannedOrders[EffectiveQty],T_PlannedOrders[Part Name],$A27,T_PlannedOrders[WeekIndex],31)=0,"",SUMIFS(T_PlannedOrders[EffectiveQty],T_PlannedOrders[Part Name],$A27,T_PlannedOrders[WeekIndex],31)&amp;" ("&amp;TEXT(SUMPRODUCT(MAX((T_PlannedOrders[Part Name]=$A27)*(T_PlannedOrders[WeekIndex]=31)*(T_PlannedOrders[EffectiveQty]&gt;0)*T_PlannedOrders[Order_Month])),"m月")&amp;"発注)")</f>
        <v/>
      </c>
      <c r="AI45">
        <f>IF(SUMIFS(T_PlannedOrders[EffectiveQty],T_PlannedOrders[Part Name],$A27,T_PlannedOrders[WeekIndex],32)=0,"",SUMIFS(T_PlannedOrders[EffectiveQty],T_PlannedOrders[Part Name],$A27,T_PlannedOrders[WeekIndex],32)&amp;" ("&amp;TEXT(SUMPRODUCT(MAX((T_PlannedOrders[Part Name]=$A27)*(T_PlannedOrders[WeekIndex]=32)*(T_PlannedOrders[EffectiveQty]&gt;0)*T_PlannedOrders[Order_Month])),"m月")&amp;"発注)")</f>
        <v/>
      </c>
      <c r="AJ45">
        <f>IF(SUMIFS(T_PlannedOrders[EffectiveQty],T_PlannedOrders[Part Name],$A27,T_PlannedOrders[WeekIndex],33)=0,"",SUMIFS(T_PlannedOrders[EffectiveQty],T_PlannedOrders[Part Name],$A27,T_PlannedOrders[WeekIndex],33)&amp;" ("&amp;TEXT(SUMPRODUCT(MAX((T_PlannedOrders[Part Name]=$A27)*(T_PlannedOrders[WeekIndex]=33)*(T_PlannedOrders[EffectiveQty]&gt;0)*T_PlannedOrders[Order_Month])),"m月")&amp;"発注)")</f>
        <v/>
      </c>
      <c r="AK45">
        <f>IF(SUMIFS(T_PlannedOrders[EffectiveQty],T_PlannedOrders[Part Name],$A27,T_PlannedOrders[WeekIndex],34)=0,"",SUMIFS(T_PlannedOrders[EffectiveQty],T_PlannedOrders[Part Name],$A27,T_PlannedOrders[WeekIndex],34)&amp;" ("&amp;TEXT(SUMPRODUCT(MAX((T_PlannedOrders[Part Name]=$A27)*(T_PlannedOrders[WeekIndex]=34)*(T_PlannedOrders[EffectiveQty]&gt;0)*T_PlannedOrders[Order_Month])),"m月")&amp;"発注)")</f>
        <v/>
      </c>
      <c r="AL45">
        <f>IF(SUMIFS(T_PlannedOrders[EffectiveQty],T_PlannedOrders[Part Name],$A27,T_PlannedOrders[WeekIndex],35)=0,"",SUMIFS(T_PlannedOrders[EffectiveQty],T_PlannedOrders[Part Name],$A27,T_PlannedOrders[WeekIndex],35)&amp;" ("&amp;TEXT(SUMPRODUCT(MAX((T_PlannedOrders[Part Name]=$A27)*(T_PlannedOrders[WeekIndex]=35)*(T_PlannedOrders[EffectiveQty]&gt;0)*T_PlannedOrders[Order_Month])),"m月")&amp;"発注)")</f>
        <v/>
      </c>
      <c r="AM45">
        <f>IF(SUMIFS(T_PlannedOrders[EffectiveQty],T_PlannedOrders[Part Name],$A27,T_PlannedOrders[WeekIndex],36)=0,"",SUMIFS(T_PlannedOrders[EffectiveQty],T_PlannedOrders[Part Name],$A27,T_PlannedOrders[WeekIndex],36)&amp;" ("&amp;TEXT(SUMPRODUCT(MAX((T_PlannedOrders[Part Name]=$A27)*(T_PlannedOrders[WeekIndex]=36)*(T_PlannedOrders[EffectiveQty]&gt;0)*T_PlannedOrders[Order_Month])),"m月")&amp;"発注)")</f>
        <v/>
      </c>
      <c r="AN45">
        <f>IF(SUMIFS(T_PlannedOrders[EffectiveQty],T_PlannedOrders[Part Name],$A27,T_PlannedOrders[WeekIndex],37)=0,"",SUMIFS(T_PlannedOrders[EffectiveQty],T_PlannedOrders[Part Name],$A27,T_PlannedOrders[WeekIndex],37)&amp;" ("&amp;TEXT(SUMPRODUCT(MAX((T_PlannedOrders[Part Name]=$A27)*(T_PlannedOrders[WeekIndex]=37)*(T_PlannedOrders[EffectiveQty]&gt;0)*T_PlannedOrders[Order_Month])),"m月")&amp;"発注)")</f>
        <v/>
      </c>
      <c r="AO45">
        <f>IF(SUMIFS(T_PlannedOrders[EffectiveQty],T_PlannedOrders[Part Name],$A27,T_PlannedOrders[WeekIndex],38)=0,"",SUMIFS(T_PlannedOrders[EffectiveQty],T_PlannedOrders[Part Name],$A27,T_PlannedOrders[WeekIndex],38)&amp;" ("&amp;TEXT(SUMPRODUCT(MAX((T_PlannedOrders[Part Name]=$A27)*(T_PlannedOrders[WeekIndex]=38)*(T_PlannedOrders[EffectiveQty]&gt;0)*T_PlannedOrders[Order_Month])),"m月")&amp;"発注)")</f>
        <v/>
      </c>
      <c r="AP45">
        <f>IF(SUMIFS(T_PlannedOrders[EffectiveQty],T_PlannedOrders[Part Name],$A27,T_PlannedOrders[WeekIndex],39)=0,"",SUMIFS(T_PlannedOrders[EffectiveQty],T_PlannedOrders[Part Name],$A27,T_PlannedOrders[WeekIndex],39)&amp;" ("&amp;TEXT(SUMPRODUCT(MAX((T_PlannedOrders[Part Name]=$A27)*(T_PlannedOrders[WeekIndex]=39)*(T_PlannedOrders[EffectiveQty]&gt;0)*T_PlannedOrders[Order_Month])),"m月")&amp;"発注)")</f>
        <v/>
      </c>
      <c r="AQ45">
        <f>IF(SUMIFS(T_PlannedOrders[EffectiveQty],T_PlannedOrders[Part Name],$A27,T_PlannedOrders[WeekIndex],40)=0,"",SUMIFS(T_PlannedOrders[EffectiveQty],T_PlannedOrders[Part Name],$A27,T_PlannedOrders[WeekIndex],40)&amp;" ("&amp;TEXT(SUMPRODUCT(MAX((T_PlannedOrders[Part Name]=$A27)*(T_PlannedOrders[WeekIndex]=40)*(T_PlannedOrders[EffectiveQty]&gt;0)*T_PlannedOrders[Order_Month])),"m月")&amp;"発注)")</f>
        <v/>
      </c>
      <c r="AR45">
        <f>IF(SUMIFS(T_PlannedOrders[EffectiveQty],T_PlannedOrders[Part Name],$A27,T_PlannedOrders[WeekIndex],41)=0,"",SUMIFS(T_PlannedOrders[EffectiveQty],T_PlannedOrders[Part Name],$A27,T_PlannedOrders[WeekIndex],41)&amp;" ("&amp;TEXT(SUMPRODUCT(MAX((T_PlannedOrders[Part Name]=$A27)*(T_PlannedOrders[WeekIndex]=41)*(T_PlannedOrders[EffectiveQty]&gt;0)*T_PlannedOrders[Order_Month])),"m月")&amp;"発注)")</f>
        <v/>
      </c>
      <c r="AS45">
        <f>IF(SUMIFS(T_PlannedOrders[EffectiveQty],T_PlannedOrders[Part Name],$A27,T_PlannedOrders[WeekIndex],42)=0,"",SUMIFS(T_PlannedOrders[EffectiveQty],T_PlannedOrders[Part Name],$A27,T_PlannedOrders[WeekIndex],42)&amp;" ("&amp;TEXT(SUMPRODUCT(MAX((T_PlannedOrders[Part Name]=$A27)*(T_PlannedOrders[WeekIndex]=42)*(T_PlannedOrders[EffectiveQty]&gt;0)*T_PlannedOrders[Order_Month])),"m月")&amp;"発注)")</f>
        <v/>
      </c>
      <c r="AT45">
        <f>IF(SUMIFS(T_PlannedOrders[EffectiveQty],T_PlannedOrders[Part Name],$A27,T_PlannedOrders[WeekIndex],43)=0,"",SUMIFS(T_PlannedOrders[EffectiveQty],T_PlannedOrders[Part Name],$A27,T_PlannedOrders[WeekIndex],43)&amp;" ("&amp;TEXT(SUMPRODUCT(MAX((T_PlannedOrders[Part Name]=$A27)*(T_PlannedOrders[WeekIndex]=43)*(T_PlannedOrders[EffectiveQty]&gt;0)*T_PlannedOrders[Order_Month])),"m月")&amp;"発注)")</f>
        <v/>
      </c>
      <c r="AU45">
        <f>IF(SUMIFS(T_PlannedOrders[EffectiveQty],T_PlannedOrders[Part Name],$A27,T_PlannedOrders[WeekIndex],44)=0,"",SUMIFS(T_PlannedOrders[EffectiveQty],T_PlannedOrders[Part Name],$A27,T_PlannedOrders[WeekIndex],44)&amp;" ("&amp;TEXT(SUMPRODUCT(MAX((T_PlannedOrders[Part Name]=$A27)*(T_PlannedOrders[WeekIndex]=44)*(T_PlannedOrders[EffectiveQty]&gt;0)*T_PlannedOrders[Order_Month])),"m月")&amp;"発注)")</f>
        <v/>
      </c>
      <c r="AV45">
        <f>IF(SUMIFS(T_PlannedOrders[EffectiveQty],T_PlannedOrders[Part Name],$A27,T_PlannedOrders[WeekIndex],45)=0,"",SUMIFS(T_PlannedOrders[EffectiveQty],T_PlannedOrders[Part Name],$A27,T_PlannedOrders[WeekIndex],45)&amp;" ("&amp;TEXT(SUMPRODUCT(MAX((T_PlannedOrders[Part Name]=$A27)*(T_PlannedOrders[WeekIndex]=45)*(T_PlannedOrders[EffectiveQty]&gt;0)*T_PlannedOrders[Order_Month])),"m月")&amp;"発注)")</f>
        <v/>
      </c>
      <c r="AW45">
        <f>IF(SUMIFS(T_PlannedOrders[EffectiveQty],T_PlannedOrders[Part Name],$A27,T_PlannedOrders[WeekIndex],46)=0,"",SUMIFS(T_PlannedOrders[EffectiveQty],T_PlannedOrders[Part Name],$A27,T_PlannedOrders[WeekIndex],46)&amp;" ("&amp;TEXT(SUMPRODUCT(MAX((T_PlannedOrders[Part Name]=$A27)*(T_PlannedOrders[WeekIndex]=46)*(T_PlannedOrders[EffectiveQty]&gt;0)*T_PlannedOrders[Order_Month])),"m月")&amp;"発注)")</f>
        <v/>
      </c>
      <c r="AX45">
        <f>IF(SUMIFS(T_PlannedOrders[EffectiveQty],T_PlannedOrders[Part Name],$A27,T_PlannedOrders[WeekIndex],47)=0,"",SUMIFS(T_PlannedOrders[EffectiveQty],T_PlannedOrders[Part Name],$A27,T_PlannedOrders[WeekIndex],47)&amp;" ("&amp;TEXT(SUMPRODUCT(MAX((T_PlannedOrders[Part Name]=$A27)*(T_PlannedOrders[WeekIndex]=47)*(T_PlannedOrders[EffectiveQty]&gt;0)*T_PlannedOrders[Order_Month])),"m月")&amp;"発注)")</f>
        <v/>
      </c>
      <c r="AY45">
        <f>IF(SUMIFS(T_PlannedOrders[EffectiveQty],T_PlannedOrders[Part Name],$A27,T_PlannedOrders[WeekIndex],48)=0,"",SUMIFS(T_PlannedOrders[EffectiveQty],T_PlannedOrders[Part Name],$A27,T_PlannedOrders[WeekIndex],48)&amp;" ("&amp;TEXT(SUMPRODUCT(MAX((T_PlannedOrders[Part Name]=$A27)*(T_PlannedOrders[WeekIndex]=48)*(T_PlannedOrders[EffectiveQty]&gt;0)*T_PlannedOrders[Order_Month])),"m月")&amp;"発注)")</f>
        <v/>
      </c>
      <c r="AZ45">
        <f>IF(SUMIFS(T_PlannedOrders[EffectiveQty],T_PlannedOrders[Part Name],$A27,T_PlannedOrders[WeekIndex],49)=0,"",SUMIFS(T_PlannedOrders[EffectiveQty],T_PlannedOrders[Part Name],$A27,T_PlannedOrders[WeekIndex],49)&amp;" ("&amp;TEXT(SUMPRODUCT(MAX((T_PlannedOrders[Part Name]=$A27)*(T_PlannedOrders[WeekIndex]=49)*(T_PlannedOrders[EffectiveQty]&gt;0)*T_PlannedOrders[Order_Month])),"m月")&amp;"発注)")</f>
        <v/>
      </c>
      <c r="BA45">
        <f>IF(SUMIFS(T_PlannedOrders[EffectiveQty],T_PlannedOrders[Part Name],$A27,T_PlannedOrders[WeekIndex],50)=0,"",SUMIFS(T_PlannedOrders[EffectiveQty],T_PlannedOrders[Part Name],$A27,T_PlannedOrders[WeekIndex],50)&amp;" ("&amp;TEXT(SUMPRODUCT(MAX((T_PlannedOrders[Part Name]=$A27)*(T_PlannedOrders[WeekIndex]=50)*(T_PlannedOrders[EffectiveQty]&gt;0)*T_PlannedOrders[Order_Month])),"m月")&amp;"発注)")</f>
        <v/>
      </c>
      <c r="BB45">
        <f>IF(SUMIFS(T_PlannedOrders[EffectiveQty],T_PlannedOrders[Part Name],$A27,T_PlannedOrders[WeekIndex],51)=0,"",SUMIFS(T_PlannedOrders[EffectiveQty],T_PlannedOrders[Part Name],$A27,T_PlannedOrders[WeekIndex],51)&amp;" ("&amp;TEXT(SUMPRODUCT(MAX((T_PlannedOrders[Part Name]=$A27)*(T_PlannedOrders[WeekIndex]=51)*(T_PlannedOrders[EffectiveQty]&gt;0)*T_PlannedOrders[Order_Month])),"m月")&amp;"発注)")</f>
        <v/>
      </c>
      <c r="BC45">
        <f>IF(SUMIFS(T_PlannedOrders[EffectiveQty],T_PlannedOrders[Part Name],$A27,T_PlannedOrders[WeekIndex],52)=0,"",SUMIFS(T_PlannedOrders[EffectiveQty],T_PlannedOrders[Part Name],$A27,T_PlannedOrders[WeekIndex],52)&amp;" ("&amp;TEXT(SUMPRODUCT(MAX((T_PlannedOrders[Part Name]=$A27)*(T_PlannedOrders[WeekIndex]=52)*(T_PlannedOrders[EffectiveQty]&gt;0)*T_PlannedOrders[Order_Month])),"m月")&amp;"発注)")</f>
        <v/>
      </c>
      <c r="BD45">
        <f>IF(SUMIFS(T_PlannedOrders[EffectiveQty],T_PlannedOrders[Part Name],$A27,T_PlannedOrders[WeekIndex],53)=0,"",SUMIFS(T_PlannedOrders[EffectiveQty],T_PlannedOrders[Part Name],$A27,T_PlannedOrders[WeekIndex],53)&amp;" ("&amp;TEXT(SUMPRODUCT(MAX((T_PlannedOrders[Part Name]=$A27)*(T_PlannedOrders[WeekIndex]=53)*(T_PlannedOrders[EffectiveQty]&gt;0)*T_PlannedOrders[Order_Month])),"m月")&amp;"発注)")</f>
        <v/>
      </c>
      <c r="BE45">
        <f>IF(SUMIFS(T_PlannedOrders[EffectiveQty],T_PlannedOrders[Part Name],$A27,T_PlannedOrders[WeekIndex],54)=0,"",SUMIFS(T_PlannedOrders[EffectiveQty],T_PlannedOrders[Part Name],$A27,T_PlannedOrders[WeekIndex],54)&amp;" ("&amp;TEXT(SUMPRODUCT(MAX((T_PlannedOrders[Part Name]=$A27)*(T_PlannedOrders[WeekIndex]=54)*(T_PlannedOrders[EffectiveQty]&gt;0)*T_PlannedOrders[Order_Month])),"m月")&amp;"発注)")</f>
        <v/>
      </c>
      <c r="BF45">
        <f>IF(SUMIFS(T_PlannedOrders[EffectiveQty],T_PlannedOrders[Part Name],$A27,T_PlannedOrders[WeekIndex],55)=0,"",SUMIFS(T_PlannedOrders[EffectiveQty],T_PlannedOrders[Part Name],$A27,T_PlannedOrders[WeekIndex],55)&amp;" ("&amp;TEXT(SUMPRODUCT(MAX((T_PlannedOrders[Part Name]=$A27)*(T_PlannedOrders[WeekIndex]=55)*(T_PlannedOrders[EffectiveQty]&gt;0)*T_PlannedOrders[Order_Month])),"m月")&amp;"発注)")</f>
        <v/>
      </c>
      <c r="BG45">
        <f>IF(SUMIFS(T_PlannedOrders[EffectiveQty],T_PlannedOrders[Part Name],$A27,T_PlannedOrders[WeekIndex],56)=0,"",SUMIFS(T_PlannedOrders[EffectiveQty],T_PlannedOrders[Part Name],$A27,T_PlannedOrders[WeekIndex],56)&amp;" ("&amp;TEXT(SUMPRODUCT(MAX((T_PlannedOrders[Part Name]=$A27)*(T_PlannedOrders[WeekIndex]=56)*(T_PlannedOrders[EffectiveQty]&gt;0)*T_PlannedOrders[Order_Month])),"m月")&amp;"発注)")</f>
        <v/>
      </c>
      <c r="BH45">
        <f>IF(SUMIFS(T_PlannedOrders[EffectiveQty],T_PlannedOrders[Part Name],$A27,T_PlannedOrders[WeekIndex],57)=0,"",SUMIFS(T_PlannedOrders[EffectiveQty],T_PlannedOrders[Part Name],$A27,T_PlannedOrders[WeekIndex],57)&amp;" ("&amp;TEXT(SUMPRODUCT(MAX((T_PlannedOrders[Part Name]=$A27)*(T_PlannedOrders[WeekIndex]=57)*(T_PlannedOrders[EffectiveQty]&gt;0)*T_PlannedOrders[Order_Month])),"m月")&amp;"発注)")</f>
        <v/>
      </c>
      <c r="BI45">
        <f>IF(SUMIFS(T_PlannedOrders[EffectiveQty],T_PlannedOrders[Part Name],$A27,T_PlannedOrders[WeekIndex],58)=0,"",SUMIFS(T_PlannedOrders[EffectiveQty],T_PlannedOrders[Part Name],$A27,T_PlannedOrders[WeekIndex],58)&amp;" ("&amp;TEXT(SUMPRODUCT(MAX((T_PlannedOrders[Part Name]=$A27)*(T_PlannedOrders[WeekIndex]=58)*(T_PlannedOrders[EffectiveQty]&gt;0)*T_PlannedOrders[Order_Month])),"m月")&amp;"発注)")</f>
        <v/>
      </c>
      <c r="BJ45">
        <f>IF(SUMIFS(T_PlannedOrders[EffectiveQty],T_PlannedOrders[Part Name],$A27,T_PlannedOrders[WeekIndex],59)=0,"",SUMIFS(T_PlannedOrders[EffectiveQty],T_PlannedOrders[Part Name],$A27,T_PlannedOrders[WeekIndex],59)&amp;" ("&amp;TEXT(SUMPRODUCT(MAX((T_PlannedOrders[Part Name]=$A27)*(T_PlannedOrders[WeekIndex]=59)*(T_PlannedOrders[EffectiveQty]&gt;0)*T_PlannedOrders[Order_Month])),"m月")&amp;"発注)")</f>
        <v/>
      </c>
      <c r="BK45">
        <f>IF(SUMIFS(T_PlannedOrders[EffectiveQty],T_PlannedOrders[Part Name],$A27,T_PlannedOrders[WeekIndex],60)=0,"",SUMIFS(T_PlannedOrders[EffectiveQty],T_PlannedOrders[Part Name],$A27,T_PlannedOrders[WeekIndex],60)&amp;" ("&amp;TEXT(SUMPRODUCT(MAX((T_PlannedOrders[Part Name]=$A27)*(T_PlannedOrders[WeekIndex]=60)*(T_PlannedOrders[EffectiveQty]&gt;0)*T_PlannedOrders[Order_Month])),"m月")&amp;"発注)")</f>
        <v/>
      </c>
      <c r="BL45">
        <f>IF(SUMIFS(T_PlannedOrders[EffectiveQty],T_PlannedOrders[Part Name],$A27,T_PlannedOrders[WeekIndex],61)=0,"",SUMIFS(T_PlannedOrders[EffectiveQty],T_PlannedOrders[Part Name],$A27,T_PlannedOrders[WeekIndex],61)&amp;" ("&amp;TEXT(SUMPRODUCT(MAX((T_PlannedOrders[Part Name]=$A27)*(T_PlannedOrders[WeekIndex]=61)*(T_PlannedOrders[EffectiveQty]&gt;0)*T_PlannedOrders[Order_Month])),"m月")&amp;"発注)")</f>
        <v/>
      </c>
      <c r="BM45">
        <f>IF(SUMIFS(T_PlannedOrders[EffectiveQty],T_PlannedOrders[Part Name],$A27,T_PlannedOrders[WeekIndex],62)=0,"",SUMIFS(T_PlannedOrders[EffectiveQty],T_PlannedOrders[Part Name],$A27,T_PlannedOrders[WeekIndex],62)&amp;" ("&amp;TEXT(SUMPRODUCT(MAX((T_PlannedOrders[Part Name]=$A27)*(T_PlannedOrders[WeekIndex]=62)*(T_PlannedOrders[EffectiveQty]&gt;0)*T_PlannedOrders[Order_Month])),"m月")&amp;"発注)")</f>
        <v/>
      </c>
      <c r="BN45">
        <f>IF(SUMIFS(T_PlannedOrders[EffectiveQty],T_PlannedOrders[Part Name],$A27,T_PlannedOrders[WeekIndex],63)=0,"",SUMIFS(T_PlannedOrders[EffectiveQty],T_PlannedOrders[Part Name],$A27,T_PlannedOrders[WeekIndex],63)&amp;" ("&amp;TEXT(SUMPRODUCT(MAX((T_PlannedOrders[Part Name]=$A27)*(T_PlannedOrders[WeekIndex]=63)*(T_PlannedOrders[EffectiveQty]&gt;0)*T_PlannedOrders[Order_Month])),"m月")&amp;"発注)")</f>
        <v/>
      </c>
      <c r="BO45">
        <f>IF(SUMIFS(T_PlannedOrders[EffectiveQty],T_PlannedOrders[Part Name],$A27,T_PlannedOrders[WeekIndex],64)=0,"",SUMIFS(T_PlannedOrders[EffectiveQty],T_PlannedOrders[Part Name],$A27,T_PlannedOrders[WeekIndex],64)&amp;" ("&amp;TEXT(SUMPRODUCT(MAX((T_PlannedOrders[Part Name]=$A27)*(T_PlannedOrders[WeekIndex]=64)*(T_PlannedOrders[EffectiveQty]&gt;0)*T_PlannedOrders[Order_Month])),"m月")&amp;"発注)")</f>
        <v/>
      </c>
      <c r="BP45">
        <f>IF(SUMIFS(T_PlannedOrders[EffectiveQty],T_PlannedOrders[Part Name],$A27,T_PlannedOrders[WeekIndex],65)=0,"",SUMIFS(T_PlannedOrders[EffectiveQty],T_PlannedOrders[Part Name],$A27,T_PlannedOrders[WeekIndex],65)&amp;" ("&amp;TEXT(SUMPRODUCT(MAX((T_PlannedOrders[Part Name]=$A27)*(T_PlannedOrders[WeekIndex]=65)*(T_PlannedOrders[EffectiveQty]&gt;0)*T_PlannedOrders[Order_Month])),"m月")&amp;"発注)")</f>
        <v/>
      </c>
      <c r="BQ45">
        <f>IF(SUMIFS(T_PlannedOrders[EffectiveQty],T_PlannedOrders[Part Name],$A27,T_PlannedOrders[WeekIndex],66)=0,"",SUMIFS(T_PlannedOrders[EffectiveQty],T_PlannedOrders[Part Name],$A27,T_PlannedOrders[WeekIndex],66)&amp;" ("&amp;TEXT(SUMPRODUCT(MAX((T_PlannedOrders[Part Name]=$A27)*(T_PlannedOrders[WeekIndex]=66)*(T_PlannedOrders[EffectiveQty]&gt;0)*T_PlannedOrders[Order_Month])),"m月")&amp;"発注)")</f>
        <v/>
      </c>
      <c r="BR45">
        <f>IF(SUMIFS(T_PlannedOrders[EffectiveQty],T_PlannedOrders[Part Name],$A27,T_PlannedOrders[WeekIndex],67)=0,"",SUMIFS(T_PlannedOrders[EffectiveQty],T_PlannedOrders[Part Name],$A27,T_PlannedOrders[WeekIndex],67)&amp;" ("&amp;TEXT(SUMPRODUCT(MAX((T_PlannedOrders[Part Name]=$A27)*(T_PlannedOrders[WeekIndex]=67)*(T_PlannedOrders[EffectiveQty]&gt;0)*T_PlannedOrders[Order_Month])),"m月")&amp;"発注)")</f>
        <v/>
      </c>
      <c r="BS45">
        <f>IF(SUMIFS(T_PlannedOrders[EffectiveQty],T_PlannedOrders[Part Name],$A27,T_PlannedOrders[WeekIndex],68)=0,"",SUMIFS(T_PlannedOrders[EffectiveQty],T_PlannedOrders[Part Name],$A27,T_PlannedOrders[WeekIndex],68)&amp;" ("&amp;TEXT(SUMPRODUCT(MAX((T_PlannedOrders[Part Name]=$A27)*(T_PlannedOrders[WeekIndex]=68)*(T_PlannedOrders[EffectiveQty]&gt;0)*T_PlannedOrders[Order_Month])),"m月")&amp;"発注)")</f>
        <v/>
      </c>
      <c r="BT45">
        <f>IF(SUMIFS(T_PlannedOrders[EffectiveQty],T_PlannedOrders[Part Name],$A27,T_PlannedOrders[WeekIndex],69)=0,"",SUMIFS(T_PlannedOrders[EffectiveQty],T_PlannedOrders[Part Name],$A27,T_PlannedOrders[WeekIndex],69)&amp;" ("&amp;TEXT(SUMPRODUCT(MAX((T_PlannedOrders[Part Name]=$A27)*(T_PlannedOrders[WeekIndex]=69)*(T_PlannedOrders[EffectiveQty]&gt;0)*T_PlannedOrders[Order_Month])),"m月")&amp;"発注)")</f>
        <v/>
      </c>
      <c r="BU45">
        <f>IF(SUMIFS(T_PlannedOrders[EffectiveQty],T_PlannedOrders[Part Name],$A27,T_PlannedOrders[WeekIndex],70)=0,"",SUMIFS(T_PlannedOrders[EffectiveQty],T_PlannedOrders[Part Name],$A27,T_PlannedOrders[WeekIndex],70)&amp;" ("&amp;TEXT(SUMPRODUCT(MAX((T_PlannedOrders[Part Name]=$A27)*(T_PlannedOrders[WeekIndex]=70)*(T_PlannedOrders[EffectiveQty]&gt;0)*T_PlannedOrders[Order_Month])),"m月")&amp;"発注)")</f>
        <v/>
      </c>
      <c r="BV45">
        <f>IF(SUMIFS(T_PlannedOrders[EffectiveQty],T_PlannedOrders[Part Name],$A27,T_PlannedOrders[WeekIndex],71)=0,"",SUMIFS(T_PlannedOrders[EffectiveQty],T_PlannedOrders[Part Name],$A27,T_PlannedOrders[WeekIndex],71)&amp;" ("&amp;TEXT(SUMPRODUCT(MAX((T_PlannedOrders[Part Name]=$A27)*(T_PlannedOrders[WeekIndex]=71)*(T_PlannedOrders[EffectiveQty]&gt;0)*T_PlannedOrders[Order_Month])),"m月")&amp;"発注)")</f>
        <v/>
      </c>
      <c r="BW45">
        <f>IF(SUMIFS(T_PlannedOrders[EffectiveQty],T_PlannedOrders[Part Name],$A27,T_PlannedOrders[WeekIndex],72)=0,"",SUMIFS(T_PlannedOrders[EffectiveQty],T_PlannedOrders[Part Name],$A27,T_PlannedOrders[WeekIndex],72)&amp;" ("&amp;TEXT(SUMPRODUCT(MAX((T_PlannedOrders[Part Name]=$A27)*(T_PlannedOrders[WeekIndex]=72)*(T_PlannedOrders[EffectiveQty]&gt;0)*T_PlannedOrders[Order_Month])),"m月")&amp;"発注)")</f>
        <v/>
      </c>
      <c r="BX45">
        <f>IF(SUMIFS(T_PlannedOrders[EffectiveQty],T_PlannedOrders[Part Name],$A27,T_PlannedOrders[WeekIndex],73)=0,"",SUMIFS(T_PlannedOrders[EffectiveQty],T_PlannedOrders[Part Name],$A27,T_PlannedOrders[WeekIndex],73)&amp;" ("&amp;TEXT(SUMPRODUCT(MAX((T_PlannedOrders[Part Name]=$A27)*(T_PlannedOrders[WeekIndex]=73)*(T_PlannedOrders[EffectiveQty]&gt;0)*T_PlannedOrders[Order_Month])),"m月")&amp;"発注)")</f>
        <v/>
      </c>
      <c r="BY45">
        <f>IF(SUMIFS(T_PlannedOrders[EffectiveQty],T_PlannedOrders[Part Name],$A27,T_PlannedOrders[WeekIndex],74)=0,"",SUMIFS(T_PlannedOrders[EffectiveQty],T_PlannedOrders[Part Name],$A27,T_PlannedOrders[WeekIndex],74)&amp;" ("&amp;TEXT(SUMPRODUCT(MAX((T_PlannedOrders[Part Name]=$A27)*(T_PlannedOrders[WeekIndex]=74)*(T_PlannedOrders[EffectiveQty]&gt;0)*T_PlannedOrders[Order_Month])),"m月")&amp;"発注)")</f>
        <v/>
      </c>
      <c r="BZ45">
        <f>IF(SUMIFS(T_PlannedOrders[EffectiveQty],T_PlannedOrders[Part Name],$A27,T_PlannedOrders[WeekIndex],75)=0,"",SUMIFS(T_PlannedOrders[EffectiveQty],T_PlannedOrders[Part Name],$A27,T_PlannedOrders[WeekIndex],75)&amp;" ("&amp;TEXT(SUMPRODUCT(MAX((T_PlannedOrders[Part Name]=$A27)*(T_PlannedOrders[WeekIndex]=75)*(T_PlannedOrders[EffectiveQty]&gt;0)*T_PlannedOrders[Order_Month])),"m月")&amp;"発注)")</f>
        <v/>
      </c>
      <c r="CA45">
        <f>IF(SUMIFS(T_PlannedOrders[EffectiveQty],T_PlannedOrders[Part Name],$A27,T_PlannedOrders[WeekIndex],76)=0,"",SUMIFS(T_PlannedOrders[EffectiveQty],T_PlannedOrders[Part Name],$A27,T_PlannedOrders[WeekIndex],76)&amp;" ("&amp;TEXT(SUMPRODUCT(MAX((T_PlannedOrders[Part Name]=$A27)*(T_PlannedOrders[WeekIndex]=76)*(T_PlannedOrders[EffectiveQty]&gt;0)*T_PlannedOrders[Order_Month])),"m月")&amp;"発注)")</f>
        <v/>
      </c>
      <c r="CB45">
        <f>IF(SUMIFS(T_PlannedOrders[EffectiveQty],T_PlannedOrders[Part Name],$A27,T_PlannedOrders[WeekIndex],77)=0,"",SUMIFS(T_PlannedOrders[EffectiveQty],T_PlannedOrders[Part Name],$A27,T_PlannedOrders[WeekIndex],77)&amp;" ("&amp;TEXT(SUMPRODUCT(MAX((T_PlannedOrders[Part Name]=$A27)*(T_PlannedOrders[WeekIndex]=77)*(T_PlannedOrders[EffectiveQty]&gt;0)*T_PlannedOrders[Order_Month])),"m月")&amp;"発注)")</f>
        <v/>
      </c>
      <c r="CC45">
        <f>IF(SUMIFS(T_PlannedOrders[EffectiveQty],T_PlannedOrders[Part Name],$A27,T_PlannedOrders[WeekIndex],78)=0,"",SUMIFS(T_PlannedOrders[EffectiveQty],T_PlannedOrders[Part Name],$A27,T_PlannedOrders[WeekIndex],78)&amp;" ("&amp;TEXT(SUMPRODUCT(MAX((T_PlannedOrders[Part Name]=$A27)*(T_PlannedOrders[WeekIndex]=78)*(T_PlannedOrders[EffectiveQty]&gt;0)*T_PlannedOrders[Order_Month])),"m月")&amp;"発注)")</f>
        <v/>
      </c>
      <c r="CD45">
        <f>IF(SUMIFS(T_PlannedOrders[EffectiveQty],T_PlannedOrders[Part Name],$A27,T_PlannedOrders[WeekIndex],79)=0,"",SUMIFS(T_PlannedOrders[EffectiveQty],T_PlannedOrders[Part Name],$A27,T_PlannedOrders[WeekIndex],79)&amp;" ("&amp;TEXT(SUMPRODUCT(MAX((T_PlannedOrders[Part Name]=$A27)*(T_PlannedOrders[WeekIndex]=79)*(T_PlannedOrders[EffectiveQty]&gt;0)*T_PlannedOrders[Order_Month])),"m月")&amp;"発注)")</f>
        <v/>
      </c>
      <c r="CE45">
        <f>IF(SUMIFS(T_PlannedOrders[EffectiveQty],T_PlannedOrders[Part Name],$A27,T_PlannedOrders[WeekIndex],80)=0,"",SUMIFS(T_PlannedOrders[EffectiveQty],T_PlannedOrders[Part Name],$A27,T_PlannedOrders[WeekIndex],80)&amp;" ("&amp;TEXT(SUMPRODUCT(MAX((T_PlannedOrders[Part Name]=$A27)*(T_PlannedOrders[WeekIndex]=80)*(T_PlannedOrders[EffectiveQty]&gt;0)*T_PlannedOrders[Order_Month])),"m月")&amp;"発注)")</f>
        <v/>
      </c>
      <c r="CF45">
        <f>IF(SUMIFS(T_PlannedOrders[EffectiveQty],T_PlannedOrders[Part Name],$A27,T_PlannedOrders[WeekIndex],81)=0,"",SUMIFS(T_PlannedOrders[EffectiveQty],T_PlannedOrders[Part Name],$A27,T_PlannedOrders[WeekIndex],81)&amp;" ("&amp;TEXT(SUMPRODUCT(MAX((T_PlannedOrders[Part Name]=$A27)*(T_PlannedOrders[WeekIndex]=81)*(T_PlannedOrders[EffectiveQty]&gt;0)*T_PlannedOrders[Order_Month])),"m月")&amp;"発注)")</f>
        <v/>
      </c>
      <c r="CG45">
        <f>IF(SUMIFS(T_PlannedOrders[EffectiveQty],T_PlannedOrders[Part Name],$A27,T_PlannedOrders[WeekIndex],82)=0,"",SUMIFS(T_PlannedOrders[EffectiveQty],T_PlannedOrders[Part Name],$A27,T_PlannedOrders[WeekIndex],82)&amp;" ("&amp;TEXT(SUMPRODUCT(MAX((T_PlannedOrders[Part Name]=$A27)*(T_PlannedOrders[WeekIndex]=82)*(T_PlannedOrders[EffectiveQty]&gt;0)*T_PlannedOrders[Order_Month])),"m月")&amp;"発注)")</f>
        <v/>
      </c>
      <c r="CH45">
        <f>IF(SUMIFS(T_PlannedOrders[EffectiveQty],T_PlannedOrders[Part Name],$A27,T_PlannedOrders[WeekIndex],83)=0,"",SUMIFS(T_PlannedOrders[EffectiveQty],T_PlannedOrders[Part Name],$A27,T_PlannedOrders[WeekIndex],83)&amp;" ("&amp;TEXT(SUMPRODUCT(MAX((T_PlannedOrders[Part Name]=$A27)*(T_PlannedOrders[WeekIndex]=83)*(T_PlannedOrders[EffectiveQty]&gt;0)*T_PlannedOrders[Order_Month])),"m月")&amp;"発注)")</f>
        <v/>
      </c>
      <c r="CI45">
        <f>IF(SUMIFS(T_PlannedOrders[EffectiveQty],T_PlannedOrders[Part Name],$A27,T_PlannedOrders[WeekIndex],84)=0,"",SUMIFS(T_PlannedOrders[EffectiveQty],T_PlannedOrders[Part Name],$A27,T_PlannedOrders[WeekIndex],84)&amp;" ("&amp;TEXT(SUMPRODUCT(MAX((T_PlannedOrders[Part Name]=$A27)*(T_PlannedOrders[WeekIndex]=84)*(T_PlannedOrders[EffectiveQty]&gt;0)*T_PlannedOrders[Order_Month])),"m月")&amp;"発注)")</f>
        <v/>
      </c>
      <c r="CJ45">
        <f>IF(SUMIFS(T_PlannedOrders[EffectiveQty],T_PlannedOrders[Part Name],$A27,T_PlannedOrders[WeekIndex],85)=0,"",SUMIFS(T_PlannedOrders[EffectiveQty],T_PlannedOrders[Part Name],$A27,T_PlannedOrders[WeekIndex],85)&amp;" ("&amp;TEXT(SUMPRODUCT(MAX((T_PlannedOrders[Part Name]=$A27)*(T_PlannedOrders[WeekIndex]=85)*(T_PlannedOrders[EffectiveQty]&gt;0)*T_PlannedOrders[Order_Month])),"m月")&amp;"発注)")</f>
        <v/>
      </c>
      <c r="CK45">
        <f>IF(SUMIFS(T_PlannedOrders[EffectiveQty],T_PlannedOrders[Part Name],$A27,T_PlannedOrders[WeekIndex],86)=0,"",SUMIFS(T_PlannedOrders[EffectiveQty],T_PlannedOrders[Part Name],$A27,T_PlannedOrders[WeekIndex],86)&amp;" ("&amp;TEXT(SUMPRODUCT(MAX((T_PlannedOrders[Part Name]=$A27)*(T_PlannedOrders[WeekIndex]=86)*(T_PlannedOrders[EffectiveQty]&gt;0)*T_PlannedOrders[Order_Month])),"m月")&amp;"発注)")</f>
        <v/>
      </c>
      <c r="CL45">
        <f>IF(SUMIFS(T_PlannedOrders[EffectiveQty],T_PlannedOrders[Part Name],$A27,T_PlannedOrders[WeekIndex],87)=0,"",SUMIFS(T_PlannedOrders[EffectiveQty],T_PlannedOrders[Part Name],$A27,T_PlannedOrders[WeekIndex],87)&amp;" ("&amp;TEXT(SUMPRODUCT(MAX((T_PlannedOrders[Part Name]=$A27)*(T_PlannedOrders[WeekIndex]=87)*(T_PlannedOrders[EffectiveQty]&gt;0)*T_PlannedOrders[Order_Month])),"m月")&amp;"発注)")</f>
        <v/>
      </c>
      <c r="CM45">
        <f>IF(SUMIFS(T_PlannedOrders[EffectiveQty],T_PlannedOrders[Part Name],$A27,T_PlannedOrders[WeekIndex],88)=0,"",SUMIFS(T_PlannedOrders[EffectiveQty],T_PlannedOrders[Part Name],$A27,T_PlannedOrders[WeekIndex],88)&amp;" ("&amp;TEXT(SUMPRODUCT(MAX((T_PlannedOrders[Part Name]=$A27)*(T_PlannedOrders[WeekIndex]=88)*(T_PlannedOrders[EffectiveQty]&gt;0)*T_PlannedOrders[Order_Month])),"m月")&amp;"発注)")</f>
        <v/>
      </c>
      <c r="CN45">
        <f>IF(SUMIFS(T_PlannedOrders[EffectiveQty],T_PlannedOrders[Part Name],$A27,T_PlannedOrders[WeekIndex],89)=0,"",SUMIFS(T_PlannedOrders[EffectiveQty],T_PlannedOrders[Part Name],$A27,T_PlannedOrders[WeekIndex],89)&amp;" ("&amp;TEXT(SUMPRODUCT(MAX((T_PlannedOrders[Part Name]=$A27)*(T_PlannedOrders[WeekIndex]=89)*(T_PlannedOrders[EffectiveQty]&gt;0)*T_PlannedOrders[Order_Month])),"m月")&amp;"発注)")</f>
        <v/>
      </c>
      <c r="CO45">
        <f>IF(SUMIFS(T_PlannedOrders[EffectiveQty],T_PlannedOrders[Part Name],$A27,T_PlannedOrders[WeekIndex],90)=0,"",SUMIFS(T_PlannedOrders[EffectiveQty],T_PlannedOrders[Part Name],$A27,T_PlannedOrders[WeekIndex],90)&amp;" ("&amp;TEXT(SUMPRODUCT(MAX((T_PlannedOrders[Part Name]=$A27)*(T_PlannedOrders[WeekIndex]=90)*(T_PlannedOrders[EffectiveQty]&gt;0)*T_PlannedOrders[Order_Month])),"m月")&amp;"発注)")</f>
        <v/>
      </c>
      <c r="CP45">
        <f>IF(SUMIFS(T_PlannedOrders[EffectiveQty],T_PlannedOrders[Part Name],$A27,T_PlannedOrders[WeekIndex],91)=0,"",SUMIFS(T_PlannedOrders[EffectiveQty],T_PlannedOrders[Part Name],$A27,T_PlannedOrders[WeekIndex],91)&amp;" ("&amp;TEXT(SUMPRODUCT(MAX((T_PlannedOrders[Part Name]=$A27)*(T_PlannedOrders[WeekIndex]=91)*(T_PlannedOrders[EffectiveQty]&gt;0)*T_PlannedOrders[Order_Month])),"m月")&amp;"発注)")</f>
        <v/>
      </c>
      <c r="CQ45">
        <f>IF(SUMIFS(T_PlannedOrders[EffectiveQty],T_PlannedOrders[Part Name],$A27,T_PlannedOrders[WeekIndex],92)=0,"",SUMIFS(T_PlannedOrders[EffectiveQty],T_PlannedOrders[Part Name],$A27,T_PlannedOrders[WeekIndex],92)&amp;" ("&amp;TEXT(SUMPRODUCT(MAX((T_PlannedOrders[Part Name]=$A27)*(T_PlannedOrders[WeekIndex]=92)*(T_PlannedOrders[EffectiveQty]&gt;0)*T_PlannedOrders[Order_Month])),"m月")&amp;"発注)")</f>
        <v/>
      </c>
      <c r="CR45">
        <f>IF(SUMIFS(T_PlannedOrders[EffectiveQty],T_PlannedOrders[Part Name],$A27,T_PlannedOrders[WeekIndex],93)=0,"",SUMIFS(T_PlannedOrders[EffectiveQty],T_PlannedOrders[Part Name],$A27,T_PlannedOrders[WeekIndex],93)&amp;" ("&amp;TEXT(SUMPRODUCT(MAX((T_PlannedOrders[Part Name]=$A27)*(T_PlannedOrders[WeekIndex]=93)*(T_PlannedOrders[EffectiveQty]&gt;0)*T_PlannedOrders[Order_Month])),"m月")&amp;"発注)")</f>
        <v/>
      </c>
      <c r="CS45">
        <f>IF(SUMIFS(T_PlannedOrders[EffectiveQty],T_PlannedOrders[Part Name],$A27,T_PlannedOrders[WeekIndex],94)=0,"",SUMIFS(T_PlannedOrders[EffectiveQty],T_PlannedOrders[Part Name],$A27,T_PlannedOrders[WeekIndex],94)&amp;" ("&amp;TEXT(SUMPRODUCT(MAX((T_PlannedOrders[Part Name]=$A27)*(T_PlannedOrders[WeekIndex]=94)*(T_PlannedOrders[EffectiveQty]&gt;0)*T_PlannedOrders[Order_Month])),"m月")&amp;"発注)")</f>
        <v/>
      </c>
      <c r="CT45">
        <f>IF(SUMIFS(T_PlannedOrders[EffectiveQty],T_PlannedOrders[Part Name],$A27,T_PlannedOrders[WeekIndex],95)=0,"",SUMIFS(T_PlannedOrders[EffectiveQty],T_PlannedOrders[Part Name],$A27,T_PlannedOrders[WeekIndex],95)&amp;" ("&amp;TEXT(SUMPRODUCT(MAX((T_PlannedOrders[Part Name]=$A27)*(T_PlannedOrders[WeekIndex]=95)*(T_PlannedOrders[EffectiveQty]&gt;0)*T_PlannedOrders[Order_Month])),"m月")&amp;"発注)")</f>
        <v/>
      </c>
      <c r="CU45">
        <f>IF(SUMIFS(T_PlannedOrders[EffectiveQty],T_PlannedOrders[Part Name],$A27,T_PlannedOrders[WeekIndex],96)=0,"",SUMIFS(T_PlannedOrders[EffectiveQty],T_PlannedOrders[Part Name],$A27,T_PlannedOrders[WeekIndex],96)&amp;" ("&amp;TEXT(SUMPRODUCT(MAX((T_PlannedOrders[Part Name]=$A27)*(T_PlannedOrders[WeekIndex]=96)*(T_PlannedOrders[EffectiveQty]&gt;0)*T_PlannedOrders[Order_Month])),"m月")&amp;"発注)")</f>
        <v/>
      </c>
      <c r="CV45">
        <f>IF(SUMIFS(T_PlannedOrders[EffectiveQty],T_PlannedOrders[Part Name],$A27,T_PlannedOrders[WeekIndex],97)=0,"",SUMIFS(T_PlannedOrders[EffectiveQty],T_PlannedOrders[Part Name],$A27,T_PlannedOrders[WeekIndex],97)&amp;" ("&amp;TEXT(SUMPRODUCT(MAX((T_PlannedOrders[Part Name]=$A27)*(T_PlannedOrders[WeekIndex]=97)*(T_PlannedOrders[EffectiveQty]&gt;0)*T_PlannedOrders[Order_Month])),"m月")&amp;"発注)")</f>
        <v/>
      </c>
      <c r="CW45">
        <f>IF(SUMIFS(T_PlannedOrders[EffectiveQty],T_PlannedOrders[Part Name],$A27,T_PlannedOrders[WeekIndex],98)=0,"",SUMIFS(T_PlannedOrders[EffectiveQty],T_PlannedOrders[Part Name],$A27,T_PlannedOrders[WeekIndex],98)&amp;" ("&amp;TEXT(SUMPRODUCT(MAX((T_PlannedOrders[Part Name]=$A27)*(T_PlannedOrders[WeekIndex]=98)*(T_PlannedOrders[EffectiveQty]&gt;0)*T_PlannedOrders[Order_Month])),"m月")&amp;"発注)")</f>
        <v/>
      </c>
      <c r="CX45">
        <f>IF(SUMIFS(T_PlannedOrders[EffectiveQty],T_PlannedOrders[Part Name],$A27,T_PlannedOrders[WeekIndex],99)=0,"",SUMIFS(T_PlannedOrders[EffectiveQty],T_PlannedOrders[Part Name],$A27,T_PlannedOrders[WeekIndex],99)&amp;" ("&amp;TEXT(SUMPRODUCT(MAX((T_PlannedOrders[Part Name]=$A27)*(T_PlannedOrders[WeekIndex]=99)*(T_PlannedOrders[EffectiveQty]&gt;0)*T_PlannedOrders[Order_Month])),"m月")&amp;"発注)")</f>
        <v/>
      </c>
      <c r="CY45">
        <f>IF(SUMIFS(T_PlannedOrders[EffectiveQty],T_PlannedOrders[Part Name],$A27,T_PlannedOrders[WeekIndex],100)=0,"",SUMIFS(T_PlannedOrders[EffectiveQty],T_PlannedOrders[Part Name],$A27,T_PlannedOrders[WeekIndex],100)&amp;" ("&amp;TEXT(SUMPRODUCT(MAX((T_PlannedOrders[Part Name]=$A27)*(T_PlannedOrders[WeekIndex]=100)*(T_PlannedOrders[EffectiveQty]&gt;0)*T_PlannedOrders[Order_Month])),"m月")&amp;"発注)")</f>
        <v/>
      </c>
      <c r="CZ45">
        <f>IF(SUMIFS(T_PlannedOrders[EffectiveQty],T_PlannedOrders[Part Name],$A27,T_PlannedOrders[WeekIndex],101)=0,"",SUMIFS(T_PlannedOrders[EffectiveQty],T_PlannedOrders[Part Name],$A27,T_PlannedOrders[WeekIndex],101)&amp;" ("&amp;TEXT(SUMPRODUCT(MAX((T_PlannedOrders[Part Name]=$A27)*(T_PlannedOrders[WeekIndex]=101)*(T_PlannedOrders[EffectiveQty]&gt;0)*T_PlannedOrders[Order_Month])),"m月")&amp;"発注)")</f>
        <v/>
      </c>
      <c r="DA45">
        <f>IF(SUMIFS(T_PlannedOrders[EffectiveQty],T_PlannedOrders[Part Name],$A27,T_PlannedOrders[WeekIndex],102)=0,"",SUMIFS(T_PlannedOrders[EffectiveQty],T_PlannedOrders[Part Name],$A27,T_PlannedOrders[WeekIndex],102)&amp;" ("&amp;TEXT(SUMPRODUCT(MAX((T_PlannedOrders[Part Name]=$A27)*(T_PlannedOrders[WeekIndex]=102)*(T_PlannedOrders[EffectiveQty]&gt;0)*T_PlannedOrders[Order_Month])),"m月")&amp;"発注)")</f>
        <v/>
      </c>
      <c r="DB45">
        <f>IF(SUMIFS(T_PlannedOrders[EffectiveQty],T_PlannedOrders[Part Name],$A27,T_PlannedOrders[WeekIndex],103)=0,"",SUMIFS(T_PlannedOrders[EffectiveQty],T_PlannedOrders[Part Name],$A27,T_PlannedOrders[WeekIndex],103)&amp;" ("&amp;TEXT(SUMPRODUCT(MAX((T_PlannedOrders[Part Name]=$A27)*(T_PlannedOrders[WeekIndex]=103)*(T_PlannedOrders[EffectiveQty]&gt;0)*T_PlannedOrders[Order_Month])),"m月")&amp;"発注)")</f>
        <v/>
      </c>
      <c r="DC45">
        <f>IF(SUMIFS(T_PlannedOrders[EffectiveQty],T_PlannedOrders[Part Name],$A27,T_PlannedOrders[WeekIndex],104)=0,"",SUMIFS(T_PlannedOrders[EffectiveQty],T_PlannedOrders[Part Name],$A27,T_PlannedOrders[WeekIndex],104)&amp;" ("&amp;TEXT(SUMPRODUCT(MAX((T_PlannedOrders[Part Name]=$A27)*(T_PlannedOrders[WeekIndex]=104)*(T_PlannedOrders[EffectiveQty]&gt;0)*T_PlannedOrders[Order_Month])),"m月")&amp;"発注)")</f>
        <v/>
      </c>
    </row>
    <row r="46">
      <c r="B46" s="5" t="inlineStr">
        <is>
          <t>合計在庫(週末時点,kg)</t>
        </is>
      </c>
      <c r="D46">
        <f>'Grid_Stock'!B14</f>
        <v/>
      </c>
      <c r="E46">
        <f>'Grid_Stock'!C14</f>
        <v/>
      </c>
      <c r="F46">
        <f>'Grid_Stock'!D14</f>
        <v/>
      </c>
      <c r="G46">
        <f>'Grid_Stock'!E14</f>
        <v/>
      </c>
      <c r="H46">
        <f>'Grid_Stock'!F14</f>
        <v/>
      </c>
      <c r="I46">
        <f>'Grid_Stock'!G14</f>
        <v/>
      </c>
      <c r="J46">
        <f>'Grid_Stock'!H14</f>
        <v/>
      </c>
      <c r="K46">
        <f>'Grid_Stock'!I14</f>
        <v/>
      </c>
      <c r="L46">
        <f>'Grid_Stock'!J14</f>
        <v/>
      </c>
      <c r="M46">
        <f>'Grid_Stock'!K14</f>
        <v/>
      </c>
      <c r="N46">
        <f>'Grid_Stock'!L14</f>
        <v/>
      </c>
      <c r="O46">
        <f>'Grid_Stock'!M14</f>
        <v/>
      </c>
      <c r="P46">
        <f>'Grid_Stock'!N14</f>
        <v/>
      </c>
      <c r="Q46">
        <f>'Grid_Stock'!O14</f>
        <v/>
      </c>
      <c r="R46">
        <f>'Grid_Stock'!P14</f>
        <v/>
      </c>
      <c r="S46">
        <f>'Grid_Stock'!Q14</f>
        <v/>
      </c>
      <c r="T46">
        <f>'Grid_Stock'!R14</f>
        <v/>
      </c>
      <c r="U46">
        <f>'Grid_Stock'!S14</f>
        <v/>
      </c>
      <c r="V46">
        <f>'Grid_Stock'!T14</f>
        <v/>
      </c>
      <c r="W46">
        <f>'Grid_Stock'!U14</f>
        <v/>
      </c>
      <c r="X46">
        <f>'Grid_Stock'!V14</f>
        <v/>
      </c>
      <c r="Y46">
        <f>'Grid_Stock'!W14</f>
        <v/>
      </c>
      <c r="Z46">
        <f>'Grid_Stock'!X14</f>
        <v/>
      </c>
      <c r="AA46">
        <f>'Grid_Stock'!Y14</f>
        <v/>
      </c>
      <c r="AB46">
        <f>'Grid_Stock'!Z14</f>
        <v/>
      </c>
      <c r="AC46">
        <f>'Grid_Stock'!AA14</f>
        <v/>
      </c>
      <c r="AD46">
        <f>'Grid_Stock'!AB14</f>
        <v/>
      </c>
      <c r="AE46">
        <f>'Grid_Stock'!AC14</f>
        <v/>
      </c>
      <c r="AF46">
        <f>'Grid_Stock'!AD14</f>
        <v/>
      </c>
      <c r="AG46">
        <f>'Grid_Stock'!AE14</f>
        <v/>
      </c>
      <c r="AH46">
        <f>'Grid_Stock'!AF14</f>
        <v/>
      </c>
      <c r="AI46">
        <f>'Grid_Stock'!AG14</f>
        <v/>
      </c>
      <c r="AJ46">
        <f>'Grid_Stock'!AH14</f>
        <v/>
      </c>
      <c r="AK46">
        <f>'Grid_Stock'!AI14</f>
        <v/>
      </c>
      <c r="AL46">
        <f>'Grid_Stock'!AJ14</f>
        <v/>
      </c>
      <c r="AM46">
        <f>'Grid_Stock'!AK14</f>
        <v/>
      </c>
      <c r="AN46">
        <f>'Grid_Stock'!AL14</f>
        <v/>
      </c>
      <c r="AO46">
        <f>'Grid_Stock'!AM14</f>
        <v/>
      </c>
      <c r="AP46">
        <f>'Grid_Stock'!AN14</f>
        <v/>
      </c>
      <c r="AQ46">
        <f>'Grid_Stock'!AO14</f>
        <v/>
      </c>
      <c r="AR46">
        <f>'Grid_Stock'!AP14</f>
        <v/>
      </c>
      <c r="AS46">
        <f>'Grid_Stock'!AQ14</f>
        <v/>
      </c>
      <c r="AT46">
        <f>'Grid_Stock'!AR14</f>
        <v/>
      </c>
      <c r="AU46">
        <f>'Grid_Stock'!AS14</f>
        <v/>
      </c>
      <c r="AV46">
        <f>'Grid_Stock'!AT14</f>
        <v/>
      </c>
      <c r="AW46">
        <f>'Grid_Stock'!AU14</f>
        <v/>
      </c>
      <c r="AX46">
        <f>'Grid_Stock'!AV14</f>
        <v/>
      </c>
      <c r="AY46">
        <f>'Grid_Stock'!AW14</f>
        <v/>
      </c>
      <c r="AZ46">
        <f>'Grid_Stock'!AX14</f>
        <v/>
      </c>
      <c r="BA46">
        <f>'Grid_Stock'!AY14</f>
        <v/>
      </c>
      <c r="BB46">
        <f>'Grid_Stock'!AZ14</f>
        <v/>
      </c>
      <c r="BC46">
        <f>'Grid_Stock'!BA14</f>
        <v/>
      </c>
      <c r="BD46">
        <f>'Grid_Stock'!BB14</f>
        <v/>
      </c>
      <c r="BE46">
        <f>'Grid_Stock'!BC14</f>
        <v/>
      </c>
      <c r="BF46">
        <f>'Grid_Stock'!BD14</f>
        <v/>
      </c>
      <c r="BG46">
        <f>'Grid_Stock'!BE14</f>
        <v/>
      </c>
      <c r="BH46">
        <f>'Grid_Stock'!BF14</f>
        <v/>
      </c>
      <c r="BI46">
        <f>'Grid_Stock'!BG14</f>
        <v/>
      </c>
      <c r="BJ46">
        <f>'Grid_Stock'!BH14</f>
        <v/>
      </c>
      <c r="BK46">
        <f>'Grid_Stock'!BI14</f>
        <v/>
      </c>
      <c r="BL46">
        <f>'Grid_Stock'!BJ14</f>
        <v/>
      </c>
      <c r="BM46">
        <f>'Grid_Stock'!BK14</f>
        <v/>
      </c>
      <c r="BN46">
        <f>'Grid_Stock'!BL14</f>
        <v/>
      </c>
      <c r="BO46">
        <f>'Grid_Stock'!BM14</f>
        <v/>
      </c>
      <c r="BP46">
        <f>'Grid_Stock'!BN14</f>
        <v/>
      </c>
      <c r="BQ46">
        <f>'Grid_Stock'!BO14</f>
        <v/>
      </c>
      <c r="BR46">
        <f>'Grid_Stock'!BP14</f>
        <v/>
      </c>
      <c r="BS46">
        <f>'Grid_Stock'!BQ14</f>
        <v/>
      </c>
      <c r="BT46">
        <f>'Grid_Stock'!BR14</f>
        <v/>
      </c>
      <c r="BU46">
        <f>'Grid_Stock'!BS14</f>
        <v/>
      </c>
      <c r="BV46">
        <f>'Grid_Stock'!BT14</f>
        <v/>
      </c>
      <c r="BW46">
        <f>'Grid_Stock'!BU14</f>
        <v/>
      </c>
      <c r="BX46">
        <f>'Grid_Stock'!BV14</f>
        <v/>
      </c>
      <c r="BY46">
        <f>'Grid_Stock'!BW14</f>
        <v/>
      </c>
      <c r="BZ46">
        <f>'Grid_Stock'!BX14</f>
        <v/>
      </c>
      <c r="CA46">
        <f>'Grid_Stock'!BY14</f>
        <v/>
      </c>
      <c r="CB46">
        <f>'Grid_Stock'!BZ14</f>
        <v/>
      </c>
      <c r="CC46">
        <f>'Grid_Stock'!CA14</f>
        <v/>
      </c>
      <c r="CD46">
        <f>'Grid_Stock'!CB14</f>
        <v/>
      </c>
      <c r="CE46">
        <f>'Grid_Stock'!CC14</f>
        <v/>
      </c>
      <c r="CF46">
        <f>'Grid_Stock'!CD14</f>
        <v/>
      </c>
      <c r="CG46">
        <f>'Grid_Stock'!CE14</f>
        <v/>
      </c>
      <c r="CH46">
        <f>'Grid_Stock'!CF14</f>
        <v/>
      </c>
      <c r="CI46">
        <f>'Grid_Stock'!CG14</f>
        <v/>
      </c>
      <c r="CJ46">
        <f>'Grid_Stock'!CH14</f>
        <v/>
      </c>
      <c r="CK46">
        <f>'Grid_Stock'!CI14</f>
        <v/>
      </c>
      <c r="CL46">
        <f>'Grid_Stock'!CJ14</f>
        <v/>
      </c>
      <c r="CM46">
        <f>'Grid_Stock'!CK14</f>
        <v/>
      </c>
      <c r="CN46">
        <f>'Grid_Stock'!CL14</f>
        <v/>
      </c>
      <c r="CO46">
        <f>'Grid_Stock'!CM14</f>
        <v/>
      </c>
      <c r="CP46">
        <f>'Grid_Stock'!CN14</f>
        <v/>
      </c>
      <c r="CQ46">
        <f>'Grid_Stock'!CO14</f>
        <v/>
      </c>
      <c r="CR46">
        <f>'Grid_Stock'!CP14</f>
        <v/>
      </c>
      <c r="CS46">
        <f>'Grid_Stock'!CQ14</f>
        <v/>
      </c>
      <c r="CT46">
        <f>'Grid_Stock'!CR14</f>
        <v/>
      </c>
      <c r="CU46">
        <f>'Grid_Stock'!CS14</f>
        <v/>
      </c>
      <c r="CV46">
        <f>'Grid_Stock'!CT14</f>
        <v/>
      </c>
      <c r="CW46">
        <f>'Grid_Stock'!CU14</f>
        <v/>
      </c>
      <c r="CX46">
        <f>'Grid_Stock'!CV14</f>
        <v/>
      </c>
      <c r="CY46">
        <f>'Grid_Stock'!CW14</f>
        <v/>
      </c>
      <c r="CZ46">
        <f>'Grid_Stock'!CX14</f>
        <v/>
      </c>
      <c r="DA46">
        <f>'Grid_Stock'!CY14</f>
        <v/>
      </c>
      <c r="DB46">
        <f>'Grid_Stock'!CZ14</f>
        <v/>
      </c>
      <c r="DC46">
        <f>'Grid_Stock'!DA14</f>
        <v/>
      </c>
    </row>
    <row r="47">
      <c r="B47" s="23" t="inlineStr">
        <is>
          <t>（発注の目安はDashboardの基準在庫[下限/上限]と色分けを参照）</t>
        </is>
      </c>
    </row>
    <row r="49">
      <c r="A49" s="21" t="inlineStr">
        <is>
          <t>9RJ</t>
        </is>
      </c>
      <c r="B49" s="21" t="inlineStr">
        <is>
          <t>Substrate NGK N116-103-130xTB</t>
        </is>
      </c>
      <c r="C49" s="22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1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1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1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</row>
    <row r="50">
      <c r="B50" t="inlineStr">
        <is>
          <t>0T160</t>
        </is>
      </c>
      <c r="C50" t="inlineStr">
        <is>
          <t>No. of batches</t>
        </is>
      </c>
      <c r="D50">
        <f>IFERROR(INDEX(PP_Grid[#Data],$DD50,2),0)</f>
        <v/>
      </c>
      <c r="E50">
        <f>IFERROR(INDEX(PP_Grid[#Data],$DD50,3),0)</f>
        <v/>
      </c>
      <c r="F50">
        <f>IFERROR(INDEX(PP_Grid[#Data],$DD50,4),0)</f>
        <v/>
      </c>
      <c r="G50">
        <f>IFERROR(INDEX(PP_Grid[#Data],$DD50,5),0)</f>
        <v/>
      </c>
      <c r="H50">
        <f>IFERROR(INDEX(PP_Grid[#Data],$DD50,6),0)</f>
        <v/>
      </c>
      <c r="I50">
        <f>IFERROR(INDEX(PP_Grid[#Data],$DD50,7),0)</f>
        <v/>
      </c>
      <c r="J50">
        <f>IFERROR(INDEX(PP_Grid[#Data],$DD50,8),0)</f>
        <v/>
      </c>
      <c r="K50">
        <f>IFERROR(INDEX(PP_Grid[#Data],$DD50,9),0)</f>
        <v/>
      </c>
      <c r="L50">
        <f>IFERROR(INDEX(PP_Grid[#Data],$DD50,10),0)</f>
        <v/>
      </c>
      <c r="M50">
        <f>IFERROR(INDEX(PP_Grid[#Data],$DD50,11),0)</f>
        <v/>
      </c>
      <c r="N50">
        <f>IFERROR(INDEX(PP_Grid[#Data],$DD50,12),0)</f>
        <v/>
      </c>
      <c r="O50">
        <f>IFERROR(INDEX(PP_Grid[#Data],$DD50,13),0)</f>
        <v/>
      </c>
      <c r="P50">
        <f>IFERROR(INDEX(PP_Grid[#Data],$DD50,14),0)</f>
        <v/>
      </c>
      <c r="Q50">
        <f>IFERROR(INDEX(PP_Grid[#Data],$DD50,15),0)</f>
        <v/>
      </c>
      <c r="R50">
        <f>IFERROR(INDEX(PP_Grid[#Data],$DD50,16),0)</f>
        <v/>
      </c>
      <c r="S50">
        <f>IFERROR(INDEX(PP_Grid[#Data],$DD50,17),0)</f>
        <v/>
      </c>
      <c r="T50">
        <f>IFERROR(INDEX(PP_Grid[#Data],$DD50,18),0)</f>
        <v/>
      </c>
      <c r="U50">
        <f>IFERROR(INDEX(PP_Grid[#Data],$DD50,19),0)</f>
        <v/>
      </c>
      <c r="V50">
        <f>IFERROR(INDEX(PP_Grid[#Data],$DD50,20),0)</f>
        <v/>
      </c>
      <c r="W50">
        <f>IFERROR(INDEX(PP_Grid[#Data],$DD50,21),0)</f>
        <v/>
      </c>
      <c r="X50">
        <f>IFERROR(INDEX(PP_Grid[#Data],$DD50,22),0)</f>
        <v/>
      </c>
      <c r="Y50">
        <f>IFERROR(INDEX(PP_Grid[#Data],$DD50,23),0)</f>
        <v/>
      </c>
      <c r="Z50">
        <f>IFERROR(INDEX(PP_Grid[#Data],$DD50,24),0)</f>
        <v/>
      </c>
      <c r="AA50">
        <f>IFERROR(INDEX(PP_Grid[#Data],$DD50,25),0)</f>
        <v/>
      </c>
      <c r="AB50">
        <f>IFERROR(INDEX(PP_Grid[#Data],$DD50,26),0)</f>
        <v/>
      </c>
      <c r="AC50">
        <f>IFERROR(INDEX(PP_Grid[#Data],$DD50,27),0)</f>
        <v/>
      </c>
      <c r="AD50">
        <f>IFERROR(INDEX(PP_Grid[#Data],$DD50,28),0)</f>
        <v/>
      </c>
      <c r="AE50">
        <f>IFERROR(INDEX(PP_Grid[#Data],$DD50,29),0)</f>
        <v/>
      </c>
      <c r="AF50">
        <f>IFERROR(INDEX(PP_Grid[#Data],$DD50,30),0)</f>
        <v/>
      </c>
      <c r="AG50">
        <f>IFERROR(INDEX(PP_Grid[#Data],$DD50,31),0)</f>
        <v/>
      </c>
      <c r="AH50">
        <f>IFERROR(INDEX(PP_Grid[#Data],$DD50,32),0)</f>
        <v/>
      </c>
      <c r="AI50">
        <f>IFERROR(INDEX(PP_Grid[#Data],$DD50,33),0)</f>
        <v/>
      </c>
      <c r="AJ50">
        <f>IFERROR(INDEX(PP_Grid[#Data],$DD50,34),0)</f>
        <v/>
      </c>
      <c r="AK50">
        <f>IFERROR(INDEX(PP_Grid[#Data],$DD50,35),0)</f>
        <v/>
      </c>
      <c r="AL50">
        <f>IFERROR(INDEX(PP_Grid[#Data],$DD50,36),0)</f>
        <v/>
      </c>
      <c r="AM50">
        <f>IFERROR(INDEX(PP_Grid[#Data],$DD50,37),0)</f>
        <v/>
      </c>
      <c r="AN50">
        <f>IFERROR(INDEX(PP_Grid[#Data],$DD50,38),0)</f>
        <v/>
      </c>
      <c r="AO50">
        <f>IFERROR(INDEX(PP_Grid[#Data],$DD50,39),0)</f>
        <v/>
      </c>
      <c r="AP50">
        <f>IFERROR(INDEX(PP_Grid[#Data],$DD50,40),0)</f>
        <v/>
      </c>
      <c r="AQ50">
        <f>IFERROR(INDEX(PP_Grid[#Data],$DD50,41),0)</f>
        <v/>
      </c>
      <c r="AR50">
        <f>IFERROR(INDEX(PP_Grid[#Data],$DD50,42),0)</f>
        <v/>
      </c>
      <c r="AS50">
        <f>IFERROR(INDEX(PP_Grid[#Data],$DD50,43),0)</f>
        <v/>
      </c>
      <c r="AT50">
        <f>IFERROR(INDEX(PP_Grid[#Data],$DD50,44),0)</f>
        <v/>
      </c>
      <c r="AU50">
        <f>IFERROR(INDEX(PP_Grid[#Data],$DD50,45),0)</f>
        <v/>
      </c>
      <c r="AV50">
        <f>IFERROR(INDEX(PP_Grid[#Data],$DD50,46),0)</f>
        <v/>
      </c>
      <c r="AW50">
        <f>IFERROR(INDEX(PP_Grid[#Data],$DD50,47),0)</f>
        <v/>
      </c>
      <c r="AX50">
        <f>IFERROR(INDEX(PP_Grid[#Data],$DD50,48),0)</f>
        <v/>
      </c>
      <c r="AY50">
        <f>IFERROR(INDEX(PP_Grid[#Data],$DD50,49),0)</f>
        <v/>
      </c>
      <c r="AZ50">
        <f>IFERROR(INDEX(PP_Grid[#Data],$DD50,50),0)</f>
        <v/>
      </c>
      <c r="BA50">
        <f>IFERROR(INDEX(PP_Grid[#Data],$DD50,51),0)</f>
        <v/>
      </c>
      <c r="BB50">
        <f>IFERROR(INDEX(PP_Grid[#Data],$DD50,52),0)</f>
        <v/>
      </c>
      <c r="BC50">
        <f>IFERROR(INDEX(PP_Grid[#Data],$DD50,53),0)</f>
        <v/>
      </c>
      <c r="BD50">
        <f>IFERROR(INDEX(PP_Grid[#Data],$DD50,54),0)</f>
        <v/>
      </c>
      <c r="BE50">
        <f>IFERROR(INDEX(PP_Grid[#Data],$DD50,55),0)</f>
        <v/>
      </c>
      <c r="BF50">
        <f>IFERROR(INDEX(PP_Grid[#Data],$DD50,56),0)</f>
        <v/>
      </c>
      <c r="BG50">
        <f>IFERROR(INDEX(PP_Grid[#Data],$DD50,57),0)</f>
        <v/>
      </c>
      <c r="BH50">
        <f>IFERROR(INDEX(PP_Grid[#Data],$DD50,58),0)</f>
        <v/>
      </c>
      <c r="BI50">
        <f>IFERROR(INDEX(PP_Grid[#Data],$DD50,59),0)</f>
        <v/>
      </c>
      <c r="BJ50">
        <f>IFERROR(INDEX(PP_Grid[#Data],$DD50,60),0)</f>
        <v/>
      </c>
      <c r="BK50">
        <f>IFERROR(INDEX(PP_Grid[#Data],$DD50,61),0)</f>
        <v/>
      </c>
      <c r="BL50">
        <f>IFERROR(INDEX(PP_Grid[#Data],$DD50,62),0)</f>
        <v/>
      </c>
      <c r="BM50">
        <f>IFERROR(INDEX(PP_Grid[#Data],$DD50,63),0)</f>
        <v/>
      </c>
      <c r="BN50">
        <f>IFERROR(INDEX(PP_Grid[#Data],$DD50,64),0)</f>
        <v/>
      </c>
      <c r="BO50">
        <f>IFERROR(INDEX(PP_Grid[#Data],$DD50,65),0)</f>
        <v/>
      </c>
      <c r="BP50">
        <f>IFERROR(INDEX(PP_Grid[#Data],$DD50,66),0)</f>
        <v/>
      </c>
      <c r="BQ50">
        <f>IFERROR(INDEX(PP_Grid[#Data],$DD50,67),0)</f>
        <v/>
      </c>
      <c r="BR50">
        <f>IFERROR(INDEX(PP_Grid[#Data],$DD50,68),0)</f>
        <v/>
      </c>
      <c r="BS50">
        <f>IFERROR(INDEX(PP_Grid[#Data],$DD50,69),0)</f>
        <v/>
      </c>
      <c r="BT50">
        <f>IFERROR(INDEX(PP_Grid[#Data],$DD50,70),0)</f>
        <v/>
      </c>
      <c r="BU50">
        <f>IFERROR(INDEX(PP_Grid[#Data],$DD50,71),0)</f>
        <v/>
      </c>
      <c r="BV50">
        <f>IFERROR(INDEX(PP_Grid[#Data],$DD50,72),0)</f>
        <v/>
      </c>
      <c r="BW50">
        <f>IFERROR(INDEX(PP_Grid[#Data],$DD50,73),0)</f>
        <v/>
      </c>
      <c r="BX50">
        <f>IFERROR(INDEX(PP_Grid[#Data],$DD50,74),0)</f>
        <v/>
      </c>
      <c r="BY50">
        <f>IFERROR(INDEX(PP_Grid[#Data],$DD50,75),0)</f>
        <v/>
      </c>
      <c r="BZ50">
        <f>IFERROR(INDEX(PP_Grid[#Data],$DD50,76),0)</f>
        <v/>
      </c>
      <c r="CA50">
        <f>IFERROR(INDEX(PP_Grid[#Data],$DD50,77),0)</f>
        <v/>
      </c>
      <c r="CB50">
        <f>IFERROR(INDEX(PP_Grid[#Data],$DD50,78),0)</f>
        <v/>
      </c>
      <c r="CC50">
        <f>IFERROR(INDEX(PP_Grid[#Data],$DD50,79),0)</f>
        <v/>
      </c>
      <c r="CD50">
        <f>IFERROR(INDEX(PP_Grid[#Data],$DD50,80),0)</f>
        <v/>
      </c>
      <c r="CE50">
        <f>IFERROR(INDEX(PP_Grid[#Data],$DD50,81),0)</f>
        <v/>
      </c>
      <c r="CF50">
        <f>IFERROR(INDEX(PP_Grid[#Data],$DD50,82),0)</f>
        <v/>
      </c>
      <c r="CG50">
        <f>IFERROR(INDEX(PP_Grid[#Data],$DD50,83),0)</f>
        <v/>
      </c>
      <c r="CH50">
        <f>IFERROR(INDEX(PP_Grid[#Data],$DD50,84),0)</f>
        <v/>
      </c>
      <c r="CI50">
        <f>IFERROR(INDEX(PP_Grid[#Data],$DD50,85),0)</f>
        <v/>
      </c>
      <c r="CJ50">
        <f>IFERROR(INDEX(PP_Grid[#Data],$DD50,86),0)</f>
        <v/>
      </c>
      <c r="CK50">
        <f>IFERROR(INDEX(PP_Grid[#Data],$DD50,87),0)</f>
        <v/>
      </c>
      <c r="CL50">
        <f>IFERROR(INDEX(PP_Grid[#Data],$DD50,88),0)</f>
        <v/>
      </c>
      <c r="CM50">
        <f>IFERROR(INDEX(PP_Grid[#Data],$DD50,89),0)</f>
        <v/>
      </c>
      <c r="CN50">
        <f>IFERROR(INDEX(PP_Grid[#Data],$DD50,90),0)</f>
        <v/>
      </c>
      <c r="CO50">
        <f>IFERROR(INDEX(PP_Grid[#Data],$DD50,91),0)</f>
        <v/>
      </c>
      <c r="CP50">
        <f>IFERROR(INDEX(PP_Grid[#Data],$DD50,92),0)</f>
        <v/>
      </c>
      <c r="CQ50">
        <f>IFERROR(INDEX(PP_Grid[#Data],$DD50,93),0)</f>
        <v/>
      </c>
      <c r="CR50">
        <f>IFERROR(INDEX(PP_Grid[#Data],$DD50,94),0)</f>
        <v/>
      </c>
      <c r="CS50">
        <f>IFERROR(INDEX(PP_Grid[#Data],$DD50,95),0)</f>
        <v/>
      </c>
      <c r="CT50">
        <f>IFERROR(INDEX(PP_Grid[#Data],$DD50,96),0)</f>
        <v/>
      </c>
      <c r="CU50">
        <f>IFERROR(INDEX(PP_Grid[#Data],$DD50,97),0)</f>
        <v/>
      </c>
      <c r="CV50">
        <f>IFERROR(INDEX(PP_Grid[#Data],$DD50,98),0)</f>
        <v/>
      </c>
      <c r="CW50">
        <f>IFERROR(INDEX(PP_Grid[#Data],$DD50,99),0)</f>
        <v/>
      </c>
      <c r="CX50">
        <f>IFERROR(INDEX(PP_Grid[#Data],$DD50,100),0)</f>
        <v/>
      </c>
      <c r="CY50">
        <f>IFERROR(INDEX(PP_Grid[#Data],$DD50,101),0)</f>
        <v/>
      </c>
      <c r="CZ50">
        <f>IFERROR(INDEX(PP_Grid[#Data],$DD50,102),0)</f>
        <v/>
      </c>
      <c r="DA50">
        <f>IFERROR(INDEX(PP_Grid[#Data],$DD50,103),0)</f>
        <v/>
      </c>
      <c r="DB50">
        <f>IFERROR(INDEX(PP_Grid[#Data],$DD50,104),0)</f>
        <v/>
      </c>
      <c r="DC50">
        <f>IFERROR(INDEX(PP_Grid[#Data],$DD50,105),0)</f>
        <v/>
      </c>
      <c r="DD50" s="12">
        <f>IFERROR(MATCH($B50,PP_Grid[Intermediate],0),99999)</f>
        <v/>
      </c>
    </row>
    <row r="51">
      <c r="B51" t="inlineStr">
        <is>
          <t>使用量(kg)</t>
        </is>
      </c>
      <c r="C51">
        <f>SUMIFS(M_BOM[RM_Qty_Per_Batch],M_BOM[Intermediate],$B50,M_BOM[Part Name],$A49)</f>
        <v/>
      </c>
      <c r="D51">
        <f>$C51*D50</f>
        <v/>
      </c>
      <c r="E51">
        <f>$C51*E50</f>
        <v/>
      </c>
      <c r="F51">
        <f>$C51*F50</f>
        <v/>
      </c>
      <c r="G51">
        <f>$C51*G50</f>
        <v/>
      </c>
      <c r="H51">
        <f>$C51*H50</f>
        <v/>
      </c>
      <c r="I51">
        <f>$C51*I50</f>
        <v/>
      </c>
      <c r="J51">
        <f>$C51*J50</f>
        <v/>
      </c>
      <c r="K51">
        <f>$C51*K50</f>
        <v/>
      </c>
      <c r="L51">
        <f>$C51*L50</f>
        <v/>
      </c>
      <c r="M51">
        <f>$C51*M50</f>
        <v/>
      </c>
      <c r="N51">
        <f>$C51*N50</f>
        <v/>
      </c>
      <c r="O51">
        <f>$C51*O50</f>
        <v/>
      </c>
      <c r="P51">
        <f>$C51*P50</f>
        <v/>
      </c>
      <c r="Q51">
        <f>$C51*Q50</f>
        <v/>
      </c>
      <c r="R51">
        <f>$C51*R50</f>
        <v/>
      </c>
      <c r="S51">
        <f>$C51*S50</f>
        <v/>
      </c>
      <c r="T51">
        <f>$C51*T50</f>
        <v/>
      </c>
      <c r="U51">
        <f>$C51*U50</f>
        <v/>
      </c>
      <c r="V51">
        <f>$C51*V50</f>
        <v/>
      </c>
      <c r="W51">
        <f>$C51*W50</f>
        <v/>
      </c>
      <c r="X51">
        <f>$C51*X50</f>
        <v/>
      </c>
      <c r="Y51">
        <f>$C51*Y50</f>
        <v/>
      </c>
      <c r="Z51">
        <f>$C51*Z50</f>
        <v/>
      </c>
      <c r="AA51">
        <f>$C51*AA50</f>
        <v/>
      </c>
      <c r="AB51">
        <f>$C51*AB50</f>
        <v/>
      </c>
      <c r="AC51">
        <f>$C51*AC50</f>
        <v/>
      </c>
      <c r="AD51">
        <f>$C51*AD50</f>
        <v/>
      </c>
      <c r="AE51">
        <f>$C51*AE50</f>
        <v/>
      </c>
      <c r="AF51">
        <f>$C51*AF50</f>
        <v/>
      </c>
      <c r="AG51">
        <f>$C51*AG50</f>
        <v/>
      </c>
      <c r="AH51">
        <f>$C51*AH50</f>
        <v/>
      </c>
      <c r="AI51">
        <f>$C51*AI50</f>
        <v/>
      </c>
      <c r="AJ51">
        <f>$C51*AJ50</f>
        <v/>
      </c>
      <c r="AK51">
        <f>$C51*AK50</f>
        <v/>
      </c>
      <c r="AL51">
        <f>$C51*AL50</f>
        <v/>
      </c>
      <c r="AM51">
        <f>$C51*AM50</f>
        <v/>
      </c>
      <c r="AN51">
        <f>$C51*AN50</f>
        <v/>
      </c>
      <c r="AO51">
        <f>$C51*AO50</f>
        <v/>
      </c>
      <c r="AP51">
        <f>$C51*AP50</f>
        <v/>
      </c>
      <c r="AQ51">
        <f>$C51*AQ50</f>
        <v/>
      </c>
      <c r="AR51">
        <f>$C51*AR50</f>
        <v/>
      </c>
      <c r="AS51">
        <f>$C51*AS50</f>
        <v/>
      </c>
      <c r="AT51">
        <f>$C51*AT50</f>
        <v/>
      </c>
      <c r="AU51">
        <f>$C51*AU50</f>
        <v/>
      </c>
      <c r="AV51">
        <f>$C51*AV50</f>
        <v/>
      </c>
      <c r="AW51">
        <f>$C51*AW50</f>
        <v/>
      </c>
      <c r="AX51">
        <f>$C51*AX50</f>
        <v/>
      </c>
      <c r="AY51">
        <f>$C51*AY50</f>
        <v/>
      </c>
      <c r="AZ51">
        <f>$C51*AZ50</f>
        <v/>
      </c>
      <c r="BA51">
        <f>$C51*BA50</f>
        <v/>
      </c>
      <c r="BB51">
        <f>$C51*BB50</f>
        <v/>
      </c>
      <c r="BC51">
        <f>$C51*BC50</f>
        <v/>
      </c>
      <c r="BD51">
        <f>$C51*BD50</f>
        <v/>
      </c>
      <c r="BE51">
        <f>$C51*BE50</f>
        <v/>
      </c>
      <c r="BF51">
        <f>$C51*BF50</f>
        <v/>
      </c>
      <c r="BG51">
        <f>$C51*BG50</f>
        <v/>
      </c>
      <c r="BH51">
        <f>$C51*BH50</f>
        <v/>
      </c>
      <c r="BI51">
        <f>$C51*BI50</f>
        <v/>
      </c>
      <c r="BJ51">
        <f>$C51*BJ50</f>
        <v/>
      </c>
      <c r="BK51">
        <f>$C51*BK50</f>
        <v/>
      </c>
      <c r="BL51">
        <f>$C51*BL50</f>
        <v/>
      </c>
      <c r="BM51">
        <f>$C51*BM50</f>
        <v/>
      </c>
      <c r="BN51">
        <f>$C51*BN50</f>
        <v/>
      </c>
      <c r="BO51">
        <f>$C51*BO50</f>
        <v/>
      </c>
      <c r="BP51">
        <f>$C51*BP50</f>
        <v/>
      </c>
      <c r="BQ51">
        <f>$C51*BQ50</f>
        <v/>
      </c>
      <c r="BR51">
        <f>$C51*BR50</f>
        <v/>
      </c>
      <c r="BS51">
        <f>$C51*BS50</f>
        <v/>
      </c>
      <c r="BT51">
        <f>$C51*BT50</f>
        <v/>
      </c>
      <c r="BU51">
        <f>$C51*BU50</f>
        <v/>
      </c>
      <c r="BV51">
        <f>$C51*BV50</f>
        <v/>
      </c>
      <c r="BW51">
        <f>$C51*BW50</f>
        <v/>
      </c>
      <c r="BX51">
        <f>$C51*BX50</f>
        <v/>
      </c>
      <c r="BY51">
        <f>$C51*BY50</f>
        <v/>
      </c>
      <c r="BZ51">
        <f>$C51*BZ50</f>
        <v/>
      </c>
      <c r="CA51">
        <f>$C51*CA50</f>
        <v/>
      </c>
      <c r="CB51">
        <f>$C51*CB50</f>
        <v/>
      </c>
      <c r="CC51">
        <f>$C51*CC50</f>
        <v/>
      </c>
      <c r="CD51">
        <f>$C51*CD50</f>
        <v/>
      </c>
      <c r="CE51">
        <f>$C51*CE50</f>
        <v/>
      </c>
      <c r="CF51">
        <f>$C51*CF50</f>
        <v/>
      </c>
      <c r="CG51">
        <f>$C51*CG50</f>
        <v/>
      </c>
      <c r="CH51">
        <f>$C51*CH50</f>
        <v/>
      </c>
      <c r="CI51">
        <f>$C51*CI50</f>
        <v/>
      </c>
      <c r="CJ51">
        <f>$C51*CJ50</f>
        <v/>
      </c>
      <c r="CK51">
        <f>$C51*CK50</f>
        <v/>
      </c>
      <c r="CL51">
        <f>$C51*CL50</f>
        <v/>
      </c>
      <c r="CM51">
        <f>$C51*CM50</f>
        <v/>
      </c>
      <c r="CN51">
        <f>$C51*CN50</f>
        <v/>
      </c>
      <c r="CO51">
        <f>$C51*CO50</f>
        <v/>
      </c>
      <c r="CP51">
        <f>$C51*CP50</f>
        <v/>
      </c>
      <c r="CQ51">
        <f>$C51*CQ50</f>
        <v/>
      </c>
      <c r="CR51">
        <f>$C51*CR50</f>
        <v/>
      </c>
      <c r="CS51">
        <f>$C51*CS50</f>
        <v/>
      </c>
      <c r="CT51">
        <f>$C51*CT50</f>
        <v/>
      </c>
      <c r="CU51">
        <f>$C51*CU50</f>
        <v/>
      </c>
      <c r="CV51">
        <f>$C51*CV50</f>
        <v/>
      </c>
      <c r="CW51">
        <f>$C51*CW50</f>
        <v/>
      </c>
      <c r="CX51">
        <f>$C51*CX50</f>
        <v/>
      </c>
      <c r="CY51">
        <f>$C51*CY50</f>
        <v/>
      </c>
      <c r="CZ51">
        <f>$C51*CZ50</f>
        <v/>
      </c>
      <c r="DA51">
        <f>$C51*DA50</f>
        <v/>
      </c>
      <c r="DB51">
        <f>$C51*DB50</f>
        <v/>
      </c>
      <c r="DC51">
        <f>$C51*DC50</f>
        <v/>
      </c>
    </row>
    <row r="52">
      <c r="B52" s="5" t="inlineStr">
        <is>
          <t>合計使用量(kg)/週</t>
        </is>
      </c>
      <c r="D52">
        <f>'Grid_Requirement'!B17</f>
        <v/>
      </c>
      <c r="E52">
        <f>'Grid_Requirement'!C17</f>
        <v/>
      </c>
      <c r="F52">
        <f>'Grid_Requirement'!D17</f>
        <v/>
      </c>
      <c r="G52">
        <f>'Grid_Requirement'!E17</f>
        <v/>
      </c>
      <c r="H52">
        <f>'Grid_Requirement'!F17</f>
        <v/>
      </c>
      <c r="I52">
        <f>'Grid_Requirement'!G17</f>
        <v/>
      </c>
      <c r="J52">
        <f>'Grid_Requirement'!H17</f>
        <v/>
      </c>
      <c r="K52">
        <f>'Grid_Requirement'!I17</f>
        <v/>
      </c>
      <c r="L52">
        <f>'Grid_Requirement'!J17</f>
        <v/>
      </c>
      <c r="M52">
        <f>'Grid_Requirement'!K17</f>
        <v/>
      </c>
      <c r="N52">
        <f>'Grid_Requirement'!L17</f>
        <v/>
      </c>
      <c r="O52">
        <f>'Grid_Requirement'!M17</f>
        <v/>
      </c>
      <c r="P52">
        <f>'Grid_Requirement'!N17</f>
        <v/>
      </c>
      <c r="Q52">
        <f>'Grid_Requirement'!O17</f>
        <v/>
      </c>
      <c r="R52">
        <f>'Grid_Requirement'!P17</f>
        <v/>
      </c>
      <c r="S52">
        <f>'Grid_Requirement'!Q17</f>
        <v/>
      </c>
      <c r="T52">
        <f>'Grid_Requirement'!R17</f>
        <v/>
      </c>
      <c r="U52">
        <f>'Grid_Requirement'!S17</f>
        <v/>
      </c>
      <c r="V52">
        <f>'Grid_Requirement'!T17</f>
        <v/>
      </c>
      <c r="W52">
        <f>'Grid_Requirement'!U17</f>
        <v/>
      </c>
      <c r="X52">
        <f>'Grid_Requirement'!V17</f>
        <v/>
      </c>
      <c r="Y52">
        <f>'Grid_Requirement'!W17</f>
        <v/>
      </c>
      <c r="Z52">
        <f>'Grid_Requirement'!X17</f>
        <v/>
      </c>
      <c r="AA52">
        <f>'Grid_Requirement'!Y17</f>
        <v/>
      </c>
      <c r="AB52">
        <f>'Grid_Requirement'!Z17</f>
        <v/>
      </c>
      <c r="AC52">
        <f>'Grid_Requirement'!AA17</f>
        <v/>
      </c>
      <c r="AD52">
        <f>'Grid_Requirement'!AB17</f>
        <v/>
      </c>
      <c r="AE52">
        <f>'Grid_Requirement'!AC17</f>
        <v/>
      </c>
      <c r="AF52">
        <f>'Grid_Requirement'!AD17</f>
        <v/>
      </c>
      <c r="AG52">
        <f>'Grid_Requirement'!AE17</f>
        <v/>
      </c>
      <c r="AH52">
        <f>'Grid_Requirement'!AF17</f>
        <v/>
      </c>
      <c r="AI52">
        <f>'Grid_Requirement'!AG17</f>
        <v/>
      </c>
      <c r="AJ52">
        <f>'Grid_Requirement'!AH17</f>
        <v/>
      </c>
      <c r="AK52">
        <f>'Grid_Requirement'!AI17</f>
        <v/>
      </c>
      <c r="AL52">
        <f>'Grid_Requirement'!AJ17</f>
        <v/>
      </c>
      <c r="AM52">
        <f>'Grid_Requirement'!AK17</f>
        <v/>
      </c>
      <c r="AN52">
        <f>'Grid_Requirement'!AL17</f>
        <v/>
      </c>
      <c r="AO52">
        <f>'Grid_Requirement'!AM17</f>
        <v/>
      </c>
      <c r="AP52">
        <f>'Grid_Requirement'!AN17</f>
        <v/>
      </c>
      <c r="AQ52">
        <f>'Grid_Requirement'!AO17</f>
        <v/>
      </c>
      <c r="AR52">
        <f>'Grid_Requirement'!AP17</f>
        <v/>
      </c>
      <c r="AS52">
        <f>'Grid_Requirement'!AQ17</f>
        <v/>
      </c>
      <c r="AT52">
        <f>'Grid_Requirement'!AR17</f>
        <v/>
      </c>
      <c r="AU52">
        <f>'Grid_Requirement'!AS17</f>
        <v/>
      </c>
      <c r="AV52">
        <f>'Grid_Requirement'!AT17</f>
        <v/>
      </c>
      <c r="AW52">
        <f>'Grid_Requirement'!AU17</f>
        <v/>
      </c>
      <c r="AX52">
        <f>'Grid_Requirement'!AV17</f>
        <v/>
      </c>
      <c r="AY52">
        <f>'Grid_Requirement'!AW17</f>
        <v/>
      </c>
      <c r="AZ52">
        <f>'Grid_Requirement'!AX17</f>
        <v/>
      </c>
      <c r="BA52">
        <f>'Grid_Requirement'!AY17</f>
        <v/>
      </c>
      <c r="BB52">
        <f>'Grid_Requirement'!AZ17</f>
        <v/>
      </c>
      <c r="BC52">
        <f>'Grid_Requirement'!BA17</f>
        <v/>
      </c>
      <c r="BD52">
        <f>'Grid_Requirement'!BB17</f>
        <v/>
      </c>
      <c r="BE52">
        <f>'Grid_Requirement'!BC17</f>
        <v/>
      </c>
      <c r="BF52">
        <f>'Grid_Requirement'!BD17</f>
        <v/>
      </c>
      <c r="BG52">
        <f>'Grid_Requirement'!BE17</f>
        <v/>
      </c>
      <c r="BH52">
        <f>'Grid_Requirement'!BF17</f>
        <v/>
      </c>
      <c r="BI52">
        <f>'Grid_Requirement'!BG17</f>
        <v/>
      </c>
      <c r="BJ52">
        <f>'Grid_Requirement'!BH17</f>
        <v/>
      </c>
      <c r="BK52">
        <f>'Grid_Requirement'!BI17</f>
        <v/>
      </c>
      <c r="BL52">
        <f>'Grid_Requirement'!BJ17</f>
        <v/>
      </c>
      <c r="BM52">
        <f>'Grid_Requirement'!BK17</f>
        <v/>
      </c>
      <c r="BN52">
        <f>'Grid_Requirement'!BL17</f>
        <v/>
      </c>
      <c r="BO52">
        <f>'Grid_Requirement'!BM17</f>
        <v/>
      </c>
      <c r="BP52">
        <f>'Grid_Requirement'!BN17</f>
        <v/>
      </c>
      <c r="BQ52">
        <f>'Grid_Requirement'!BO17</f>
        <v/>
      </c>
      <c r="BR52">
        <f>'Grid_Requirement'!BP17</f>
        <v/>
      </c>
      <c r="BS52">
        <f>'Grid_Requirement'!BQ17</f>
        <v/>
      </c>
      <c r="BT52">
        <f>'Grid_Requirement'!BR17</f>
        <v/>
      </c>
      <c r="BU52">
        <f>'Grid_Requirement'!BS17</f>
        <v/>
      </c>
      <c r="BV52">
        <f>'Grid_Requirement'!BT17</f>
        <v/>
      </c>
      <c r="BW52">
        <f>'Grid_Requirement'!BU17</f>
        <v/>
      </c>
      <c r="BX52">
        <f>'Grid_Requirement'!BV17</f>
        <v/>
      </c>
      <c r="BY52">
        <f>'Grid_Requirement'!BW17</f>
        <v/>
      </c>
      <c r="BZ52">
        <f>'Grid_Requirement'!BX17</f>
        <v/>
      </c>
      <c r="CA52">
        <f>'Grid_Requirement'!BY17</f>
        <v/>
      </c>
      <c r="CB52">
        <f>'Grid_Requirement'!BZ17</f>
        <v/>
      </c>
      <c r="CC52">
        <f>'Grid_Requirement'!CA17</f>
        <v/>
      </c>
      <c r="CD52">
        <f>'Grid_Requirement'!CB17</f>
        <v/>
      </c>
      <c r="CE52">
        <f>'Grid_Requirement'!CC17</f>
        <v/>
      </c>
      <c r="CF52">
        <f>'Grid_Requirement'!CD17</f>
        <v/>
      </c>
      <c r="CG52">
        <f>'Grid_Requirement'!CE17</f>
        <v/>
      </c>
      <c r="CH52">
        <f>'Grid_Requirement'!CF17</f>
        <v/>
      </c>
      <c r="CI52">
        <f>'Grid_Requirement'!CG17</f>
        <v/>
      </c>
      <c r="CJ52">
        <f>'Grid_Requirement'!CH17</f>
        <v/>
      </c>
      <c r="CK52">
        <f>'Grid_Requirement'!CI17</f>
        <v/>
      </c>
      <c r="CL52">
        <f>'Grid_Requirement'!CJ17</f>
        <v/>
      </c>
      <c r="CM52">
        <f>'Grid_Requirement'!CK17</f>
        <v/>
      </c>
      <c r="CN52">
        <f>'Grid_Requirement'!CL17</f>
        <v/>
      </c>
      <c r="CO52">
        <f>'Grid_Requirement'!CM17</f>
        <v/>
      </c>
      <c r="CP52">
        <f>'Grid_Requirement'!CN17</f>
        <v/>
      </c>
      <c r="CQ52">
        <f>'Grid_Requirement'!CO17</f>
        <v/>
      </c>
      <c r="CR52">
        <f>'Grid_Requirement'!CP17</f>
        <v/>
      </c>
      <c r="CS52">
        <f>'Grid_Requirement'!CQ17</f>
        <v/>
      </c>
      <c r="CT52">
        <f>'Grid_Requirement'!CR17</f>
        <v/>
      </c>
      <c r="CU52">
        <f>'Grid_Requirement'!CS17</f>
        <v/>
      </c>
      <c r="CV52">
        <f>'Grid_Requirement'!CT17</f>
        <v/>
      </c>
      <c r="CW52">
        <f>'Grid_Requirement'!CU17</f>
        <v/>
      </c>
      <c r="CX52">
        <f>'Grid_Requirement'!CV17</f>
        <v/>
      </c>
      <c r="CY52">
        <f>'Grid_Requirement'!CW17</f>
        <v/>
      </c>
      <c r="CZ52">
        <f>'Grid_Requirement'!CX17</f>
        <v/>
      </c>
      <c r="DA52">
        <f>'Grid_Requirement'!CY17</f>
        <v/>
      </c>
      <c r="DB52">
        <f>'Grid_Requirement'!CZ17</f>
        <v/>
      </c>
      <c r="DC52">
        <f>'Grid_Requirement'!DA17</f>
        <v/>
      </c>
    </row>
    <row r="53">
      <c r="B53" t="inlineStr">
        <is>
          <t>TTAF在庫(実績,kg)</t>
        </is>
      </c>
      <c r="D53">
        <f>'T_TTAFStock'!B21</f>
        <v/>
      </c>
      <c r="E53">
        <f>'T_TTAFStock'!C21</f>
        <v/>
      </c>
      <c r="F53">
        <f>'T_TTAFStock'!D21</f>
        <v/>
      </c>
      <c r="G53">
        <f>'T_TTAFStock'!E21</f>
        <v/>
      </c>
      <c r="H53">
        <f>'T_TTAFStock'!F21</f>
        <v/>
      </c>
      <c r="I53">
        <f>'T_TTAFStock'!G21</f>
        <v/>
      </c>
      <c r="J53">
        <f>'T_TTAFStock'!H21</f>
        <v/>
      </c>
      <c r="K53">
        <f>'T_TTAFStock'!I21</f>
        <v/>
      </c>
      <c r="L53">
        <f>'T_TTAFStock'!J21</f>
        <v/>
      </c>
      <c r="M53">
        <f>'T_TTAFStock'!K21</f>
        <v/>
      </c>
      <c r="N53">
        <f>'T_TTAFStock'!L21</f>
        <v/>
      </c>
      <c r="O53">
        <f>'T_TTAFStock'!M21</f>
        <v/>
      </c>
      <c r="P53">
        <f>'T_TTAFStock'!N21</f>
        <v/>
      </c>
      <c r="Q53">
        <f>'T_TTAFStock'!O21</f>
        <v/>
      </c>
      <c r="R53">
        <f>'T_TTAFStock'!P21</f>
        <v/>
      </c>
      <c r="S53">
        <f>'T_TTAFStock'!Q21</f>
        <v/>
      </c>
      <c r="T53">
        <f>'T_TTAFStock'!R21</f>
        <v/>
      </c>
      <c r="U53">
        <f>'T_TTAFStock'!S21</f>
        <v/>
      </c>
      <c r="V53">
        <f>'T_TTAFStock'!T21</f>
        <v/>
      </c>
      <c r="W53">
        <f>'T_TTAFStock'!U21</f>
        <v/>
      </c>
      <c r="X53">
        <f>'T_TTAFStock'!V21</f>
        <v/>
      </c>
      <c r="Y53">
        <f>'T_TTAFStock'!W21</f>
        <v/>
      </c>
      <c r="Z53">
        <f>'T_TTAFStock'!X21</f>
        <v/>
      </c>
      <c r="AA53">
        <f>'T_TTAFStock'!Y21</f>
        <v/>
      </c>
      <c r="AB53">
        <f>'T_TTAFStock'!Z21</f>
        <v/>
      </c>
      <c r="AC53">
        <f>'T_TTAFStock'!AA21</f>
        <v/>
      </c>
      <c r="AD53">
        <f>'T_TTAFStock'!AB21</f>
        <v/>
      </c>
      <c r="AE53">
        <f>'T_TTAFStock'!AC21</f>
        <v/>
      </c>
      <c r="AF53">
        <f>'T_TTAFStock'!AD21</f>
        <v/>
      </c>
      <c r="AG53">
        <f>'T_TTAFStock'!AE21</f>
        <v/>
      </c>
      <c r="AH53">
        <f>'T_TTAFStock'!AF21</f>
        <v/>
      </c>
      <c r="AI53">
        <f>'T_TTAFStock'!AG21</f>
        <v/>
      </c>
      <c r="AJ53">
        <f>'T_TTAFStock'!AH21</f>
        <v/>
      </c>
      <c r="AK53">
        <f>'T_TTAFStock'!AI21</f>
        <v/>
      </c>
      <c r="AL53">
        <f>'T_TTAFStock'!AJ21</f>
        <v/>
      </c>
      <c r="AM53">
        <f>'T_TTAFStock'!AK21</f>
        <v/>
      </c>
      <c r="AN53">
        <f>'T_TTAFStock'!AL21</f>
        <v/>
      </c>
      <c r="AO53">
        <f>'T_TTAFStock'!AM21</f>
        <v/>
      </c>
      <c r="AP53">
        <f>'T_TTAFStock'!AN21</f>
        <v/>
      </c>
      <c r="AQ53">
        <f>'T_TTAFStock'!AO21</f>
        <v/>
      </c>
      <c r="AR53">
        <f>'T_TTAFStock'!AP21</f>
        <v/>
      </c>
      <c r="AS53">
        <f>'T_TTAFStock'!AQ21</f>
        <v/>
      </c>
      <c r="AT53">
        <f>'T_TTAFStock'!AR21</f>
        <v/>
      </c>
      <c r="AU53">
        <f>'T_TTAFStock'!AS21</f>
        <v/>
      </c>
      <c r="AV53">
        <f>'T_TTAFStock'!AT21</f>
        <v/>
      </c>
      <c r="AW53">
        <f>'T_TTAFStock'!AU21</f>
        <v/>
      </c>
      <c r="AX53">
        <f>'T_TTAFStock'!AV21</f>
        <v/>
      </c>
      <c r="AY53">
        <f>'T_TTAFStock'!AW21</f>
        <v/>
      </c>
      <c r="AZ53">
        <f>'T_TTAFStock'!AX21</f>
        <v/>
      </c>
      <c r="BA53">
        <f>'T_TTAFStock'!AY21</f>
        <v/>
      </c>
      <c r="BB53">
        <f>'T_TTAFStock'!AZ21</f>
        <v/>
      </c>
      <c r="BC53">
        <f>'T_TTAFStock'!BA21</f>
        <v/>
      </c>
      <c r="BD53">
        <f>'T_TTAFStock'!BB21</f>
        <v/>
      </c>
      <c r="BE53">
        <f>'T_TTAFStock'!BC21</f>
        <v/>
      </c>
      <c r="BF53">
        <f>'T_TTAFStock'!BD21</f>
        <v/>
      </c>
      <c r="BG53">
        <f>'T_TTAFStock'!BE21</f>
        <v/>
      </c>
      <c r="BH53">
        <f>'T_TTAFStock'!BF21</f>
        <v/>
      </c>
      <c r="BI53">
        <f>'T_TTAFStock'!BG21</f>
        <v/>
      </c>
      <c r="BJ53">
        <f>'T_TTAFStock'!BH21</f>
        <v/>
      </c>
      <c r="BK53">
        <f>'T_TTAFStock'!BI21</f>
        <v/>
      </c>
      <c r="BL53">
        <f>'T_TTAFStock'!BJ21</f>
        <v/>
      </c>
      <c r="BM53">
        <f>'T_TTAFStock'!BK21</f>
        <v/>
      </c>
      <c r="BN53">
        <f>'T_TTAFStock'!BL21</f>
        <v/>
      </c>
      <c r="BO53">
        <f>'T_TTAFStock'!BM21</f>
        <v/>
      </c>
      <c r="BP53">
        <f>'T_TTAFStock'!BN21</f>
        <v/>
      </c>
      <c r="BQ53">
        <f>'T_TTAFStock'!BO21</f>
        <v/>
      </c>
      <c r="BR53">
        <f>'T_TTAFStock'!BP21</f>
        <v/>
      </c>
      <c r="BS53">
        <f>'T_TTAFStock'!BQ21</f>
        <v/>
      </c>
      <c r="BT53">
        <f>'T_TTAFStock'!BR21</f>
        <v/>
      </c>
      <c r="BU53">
        <f>'T_TTAFStock'!BS21</f>
        <v/>
      </c>
      <c r="BV53">
        <f>'T_TTAFStock'!BT21</f>
        <v/>
      </c>
      <c r="BW53">
        <f>'T_TTAFStock'!BU21</f>
        <v/>
      </c>
      <c r="BX53">
        <f>'T_TTAFStock'!BV21</f>
        <v/>
      </c>
      <c r="BY53">
        <f>'T_TTAFStock'!BW21</f>
        <v/>
      </c>
      <c r="BZ53">
        <f>'T_TTAFStock'!BX21</f>
        <v/>
      </c>
      <c r="CA53">
        <f>'T_TTAFStock'!BY21</f>
        <v/>
      </c>
      <c r="CB53">
        <f>'T_TTAFStock'!BZ21</f>
        <v/>
      </c>
      <c r="CC53">
        <f>'T_TTAFStock'!CA21</f>
        <v/>
      </c>
      <c r="CD53">
        <f>'T_TTAFStock'!CB21</f>
        <v/>
      </c>
      <c r="CE53">
        <f>'T_TTAFStock'!CC21</f>
        <v/>
      </c>
      <c r="CF53">
        <f>'T_TTAFStock'!CD21</f>
        <v/>
      </c>
      <c r="CG53">
        <f>'T_TTAFStock'!CE21</f>
        <v/>
      </c>
      <c r="CH53">
        <f>'T_TTAFStock'!CF21</f>
        <v/>
      </c>
      <c r="CI53">
        <f>'T_TTAFStock'!CG21</f>
        <v/>
      </c>
      <c r="CJ53">
        <f>'T_TTAFStock'!CH21</f>
        <v/>
      </c>
      <c r="CK53">
        <f>'T_TTAFStock'!CI21</f>
        <v/>
      </c>
      <c r="CL53">
        <f>'T_TTAFStock'!CJ21</f>
        <v/>
      </c>
      <c r="CM53">
        <f>'T_TTAFStock'!CK21</f>
        <v/>
      </c>
      <c r="CN53">
        <f>'T_TTAFStock'!CL21</f>
        <v/>
      </c>
      <c r="CO53">
        <f>'T_TTAFStock'!CM21</f>
        <v/>
      </c>
      <c r="CP53">
        <f>'T_TTAFStock'!CN21</f>
        <v/>
      </c>
      <c r="CQ53">
        <f>'T_TTAFStock'!CO21</f>
        <v/>
      </c>
      <c r="CR53">
        <f>'T_TTAFStock'!CP21</f>
        <v/>
      </c>
      <c r="CS53">
        <f>'T_TTAFStock'!CQ21</f>
        <v/>
      </c>
      <c r="CT53">
        <f>'T_TTAFStock'!CR21</f>
        <v/>
      </c>
      <c r="CU53">
        <f>'T_TTAFStock'!CS21</f>
        <v/>
      </c>
      <c r="CV53">
        <f>'T_TTAFStock'!CT21</f>
        <v/>
      </c>
      <c r="CW53">
        <f>'T_TTAFStock'!CU21</f>
        <v/>
      </c>
      <c r="CX53">
        <f>'T_TTAFStock'!CV21</f>
        <v/>
      </c>
      <c r="CY53">
        <f>'T_TTAFStock'!CW21</f>
        <v/>
      </c>
      <c r="CZ53">
        <f>'T_TTAFStock'!CX21</f>
        <v/>
      </c>
      <c r="DA53">
        <f>'T_TTAFStock'!CY21</f>
        <v/>
      </c>
      <c r="DB53">
        <f>'T_TTAFStock'!CZ21</f>
        <v/>
      </c>
      <c r="DC53">
        <f>'T_TTAFStock'!DA21</f>
        <v/>
      </c>
    </row>
    <row r="54">
      <c r="B54" t="inlineStr">
        <is>
          <t>自社在庫(実績,kg)</t>
        </is>
      </c>
      <c r="D54">
        <f>'T_SelfStock'!B21</f>
        <v/>
      </c>
      <c r="E54">
        <f>'T_SelfStock'!C21</f>
        <v/>
      </c>
      <c r="F54">
        <f>'T_SelfStock'!D21</f>
        <v/>
      </c>
      <c r="G54">
        <f>'T_SelfStock'!E21</f>
        <v/>
      </c>
      <c r="H54">
        <f>'T_SelfStock'!F21</f>
        <v/>
      </c>
      <c r="I54">
        <f>'T_SelfStock'!G21</f>
        <v/>
      </c>
      <c r="J54">
        <f>'T_SelfStock'!H21</f>
        <v/>
      </c>
      <c r="K54">
        <f>'T_SelfStock'!I21</f>
        <v/>
      </c>
      <c r="L54">
        <f>'T_SelfStock'!J21</f>
        <v/>
      </c>
      <c r="M54">
        <f>'T_SelfStock'!K21</f>
        <v/>
      </c>
      <c r="N54">
        <f>'T_SelfStock'!L21</f>
        <v/>
      </c>
      <c r="O54">
        <f>'T_SelfStock'!M21</f>
        <v/>
      </c>
      <c r="P54">
        <f>'T_SelfStock'!N21</f>
        <v/>
      </c>
      <c r="Q54">
        <f>'T_SelfStock'!O21</f>
        <v/>
      </c>
      <c r="R54">
        <f>'T_SelfStock'!P21</f>
        <v/>
      </c>
      <c r="S54">
        <f>'T_SelfStock'!Q21</f>
        <v/>
      </c>
      <c r="T54">
        <f>'T_SelfStock'!R21</f>
        <v/>
      </c>
      <c r="U54">
        <f>'T_SelfStock'!S21</f>
        <v/>
      </c>
      <c r="V54">
        <f>'T_SelfStock'!T21</f>
        <v/>
      </c>
      <c r="W54">
        <f>'T_SelfStock'!U21</f>
        <v/>
      </c>
      <c r="X54">
        <f>'T_SelfStock'!V21</f>
        <v/>
      </c>
      <c r="Y54">
        <f>'T_SelfStock'!W21</f>
        <v/>
      </c>
      <c r="Z54">
        <f>'T_SelfStock'!X21</f>
        <v/>
      </c>
      <c r="AA54">
        <f>'T_SelfStock'!Y21</f>
        <v/>
      </c>
      <c r="AB54">
        <f>'T_SelfStock'!Z21</f>
        <v/>
      </c>
      <c r="AC54">
        <f>'T_SelfStock'!AA21</f>
        <v/>
      </c>
      <c r="AD54">
        <f>'T_SelfStock'!AB21</f>
        <v/>
      </c>
      <c r="AE54">
        <f>'T_SelfStock'!AC21</f>
        <v/>
      </c>
      <c r="AF54">
        <f>'T_SelfStock'!AD21</f>
        <v/>
      </c>
      <c r="AG54">
        <f>'T_SelfStock'!AE21</f>
        <v/>
      </c>
      <c r="AH54">
        <f>'T_SelfStock'!AF21</f>
        <v/>
      </c>
      <c r="AI54">
        <f>'T_SelfStock'!AG21</f>
        <v/>
      </c>
      <c r="AJ54">
        <f>'T_SelfStock'!AH21</f>
        <v/>
      </c>
      <c r="AK54">
        <f>'T_SelfStock'!AI21</f>
        <v/>
      </c>
      <c r="AL54">
        <f>'T_SelfStock'!AJ21</f>
        <v/>
      </c>
      <c r="AM54">
        <f>'T_SelfStock'!AK21</f>
        <v/>
      </c>
      <c r="AN54">
        <f>'T_SelfStock'!AL21</f>
        <v/>
      </c>
      <c r="AO54">
        <f>'T_SelfStock'!AM21</f>
        <v/>
      </c>
      <c r="AP54">
        <f>'T_SelfStock'!AN21</f>
        <v/>
      </c>
      <c r="AQ54">
        <f>'T_SelfStock'!AO21</f>
        <v/>
      </c>
      <c r="AR54">
        <f>'T_SelfStock'!AP21</f>
        <v/>
      </c>
      <c r="AS54">
        <f>'T_SelfStock'!AQ21</f>
        <v/>
      </c>
      <c r="AT54">
        <f>'T_SelfStock'!AR21</f>
        <v/>
      </c>
      <c r="AU54">
        <f>'T_SelfStock'!AS21</f>
        <v/>
      </c>
      <c r="AV54">
        <f>'T_SelfStock'!AT21</f>
        <v/>
      </c>
      <c r="AW54">
        <f>'T_SelfStock'!AU21</f>
        <v/>
      </c>
      <c r="AX54">
        <f>'T_SelfStock'!AV21</f>
        <v/>
      </c>
      <c r="AY54">
        <f>'T_SelfStock'!AW21</f>
        <v/>
      </c>
      <c r="AZ54">
        <f>'T_SelfStock'!AX21</f>
        <v/>
      </c>
      <c r="BA54">
        <f>'T_SelfStock'!AY21</f>
        <v/>
      </c>
      <c r="BB54">
        <f>'T_SelfStock'!AZ21</f>
        <v/>
      </c>
      <c r="BC54">
        <f>'T_SelfStock'!BA21</f>
        <v/>
      </c>
      <c r="BD54">
        <f>'T_SelfStock'!BB21</f>
        <v/>
      </c>
      <c r="BE54">
        <f>'T_SelfStock'!BC21</f>
        <v/>
      </c>
      <c r="BF54">
        <f>'T_SelfStock'!BD21</f>
        <v/>
      </c>
      <c r="BG54">
        <f>'T_SelfStock'!BE21</f>
        <v/>
      </c>
      <c r="BH54">
        <f>'T_SelfStock'!BF21</f>
        <v/>
      </c>
      <c r="BI54">
        <f>'T_SelfStock'!BG21</f>
        <v/>
      </c>
      <c r="BJ54">
        <f>'T_SelfStock'!BH21</f>
        <v/>
      </c>
      <c r="BK54">
        <f>'T_SelfStock'!BI21</f>
        <v/>
      </c>
      <c r="BL54">
        <f>'T_SelfStock'!BJ21</f>
        <v/>
      </c>
      <c r="BM54">
        <f>'T_SelfStock'!BK21</f>
        <v/>
      </c>
      <c r="BN54">
        <f>'T_SelfStock'!BL21</f>
        <v/>
      </c>
      <c r="BO54">
        <f>'T_SelfStock'!BM21</f>
        <v/>
      </c>
      <c r="BP54">
        <f>'T_SelfStock'!BN21</f>
        <v/>
      </c>
      <c r="BQ54">
        <f>'T_SelfStock'!BO21</f>
        <v/>
      </c>
      <c r="BR54">
        <f>'T_SelfStock'!BP21</f>
        <v/>
      </c>
      <c r="BS54">
        <f>'T_SelfStock'!BQ21</f>
        <v/>
      </c>
      <c r="BT54">
        <f>'T_SelfStock'!BR21</f>
        <v/>
      </c>
      <c r="BU54">
        <f>'T_SelfStock'!BS21</f>
        <v/>
      </c>
      <c r="BV54">
        <f>'T_SelfStock'!BT21</f>
        <v/>
      </c>
      <c r="BW54">
        <f>'T_SelfStock'!BU21</f>
        <v/>
      </c>
      <c r="BX54">
        <f>'T_SelfStock'!BV21</f>
        <v/>
      </c>
      <c r="BY54">
        <f>'T_SelfStock'!BW21</f>
        <v/>
      </c>
      <c r="BZ54">
        <f>'T_SelfStock'!BX21</f>
        <v/>
      </c>
      <c r="CA54">
        <f>'T_SelfStock'!BY21</f>
        <v/>
      </c>
      <c r="CB54">
        <f>'T_SelfStock'!BZ21</f>
        <v/>
      </c>
      <c r="CC54">
        <f>'T_SelfStock'!CA21</f>
        <v/>
      </c>
      <c r="CD54">
        <f>'T_SelfStock'!CB21</f>
        <v/>
      </c>
      <c r="CE54">
        <f>'T_SelfStock'!CC21</f>
        <v/>
      </c>
      <c r="CF54">
        <f>'T_SelfStock'!CD21</f>
        <v/>
      </c>
      <c r="CG54">
        <f>'T_SelfStock'!CE21</f>
        <v/>
      </c>
      <c r="CH54">
        <f>'T_SelfStock'!CF21</f>
        <v/>
      </c>
      <c r="CI54">
        <f>'T_SelfStock'!CG21</f>
        <v/>
      </c>
      <c r="CJ54">
        <f>'T_SelfStock'!CH21</f>
        <v/>
      </c>
      <c r="CK54">
        <f>'T_SelfStock'!CI21</f>
        <v/>
      </c>
      <c r="CL54">
        <f>'T_SelfStock'!CJ21</f>
        <v/>
      </c>
      <c r="CM54">
        <f>'T_SelfStock'!CK21</f>
        <v/>
      </c>
      <c r="CN54">
        <f>'T_SelfStock'!CL21</f>
        <v/>
      </c>
      <c r="CO54">
        <f>'T_SelfStock'!CM21</f>
        <v/>
      </c>
      <c r="CP54">
        <f>'T_SelfStock'!CN21</f>
        <v/>
      </c>
      <c r="CQ54">
        <f>'T_SelfStock'!CO21</f>
        <v/>
      </c>
      <c r="CR54">
        <f>'T_SelfStock'!CP21</f>
        <v/>
      </c>
      <c r="CS54">
        <f>'T_SelfStock'!CQ21</f>
        <v/>
      </c>
      <c r="CT54">
        <f>'T_SelfStock'!CR21</f>
        <v/>
      </c>
      <c r="CU54">
        <f>'T_SelfStock'!CS21</f>
        <v/>
      </c>
      <c r="CV54">
        <f>'T_SelfStock'!CT21</f>
        <v/>
      </c>
      <c r="CW54">
        <f>'T_SelfStock'!CU21</f>
        <v/>
      </c>
      <c r="CX54">
        <f>'T_SelfStock'!CV21</f>
        <v/>
      </c>
      <c r="CY54">
        <f>'T_SelfStock'!CW21</f>
        <v/>
      </c>
      <c r="CZ54">
        <f>'T_SelfStock'!CX21</f>
        <v/>
      </c>
      <c r="DA54">
        <f>'T_SelfStock'!CY21</f>
        <v/>
      </c>
      <c r="DB54">
        <f>'T_SelfStock'!CZ21</f>
        <v/>
      </c>
      <c r="DC54">
        <f>'T_SelfStock'!DA21</f>
        <v/>
      </c>
    </row>
    <row r="55">
      <c r="B55" t="inlineStr">
        <is>
          <t>Order(発注予定,kg)</t>
        </is>
      </c>
      <c r="D55">
        <f>IF(SUMIFS(T_PlannedOrders[EffectiveQty],T_PlannedOrders[Part Name],$A49,T_PlannedOrders[WeekIndex],1)=0,"",SUMIFS(T_PlannedOrders[EffectiveQty],T_PlannedOrders[Part Name],$A49,T_PlannedOrders[WeekIndex],1)&amp;" ("&amp;TEXT(SUMPRODUCT(MAX((T_PlannedOrders[Part Name]=$A49)*(T_PlannedOrders[WeekIndex]=1)*(T_PlannedOrders[EffectiveQty]&gt;0)*T_PlannedOrders[Order_Month])),"m月")&amp;"発注)")</f>
        <v/>
      </c>
      <c r="E55">
        <f>IF(SUMIFS(T_PlannedOrders[EffectiveQty],T_PlannedOrders[Part Name],$A49,T_PlannedOrders[WeekIndex],2)=0,"",SUMIFS(T_PlannedOrders[EffectiveQty],T_PlannedOrders[Part Name],$A49,T_PlannedOrders[WeekIndex],2)&amp;" ("&amp;TEXT(SUMPRODUCT(MAX((T_PlannedOrders[Part Name]=$A49)*(T_PlannedOrders[WeekIndex]=2)*(T_PlannedOrders[EffectiveQty]&gt;0)*T_PlannedOrders[Order_Month])),"m月")&amp;"発注)")</f>
        <v/>
      </c>
      <c r="F55">
        <f>IF(SUMIFS(T_PlannedOrders[EffectiveQty],T_PlannedOrders[Part Name],$A49,T_PlannedOrders[WeekIndex],3)=0,"",SUMIFS(T_PlannedOrders[EffectiveQty],T_PlannedOrders[Part Name],$A49,T_PlannedOrders[WeekIndex],3)&amp;" ("&amp;TEXT(SUMPRODUCT(MAX((T_PlannedOrders[Part Name]=$A49)*(T_PlannedOrders[WeekIndex]=3)*(T_PlannedOrders[EffectiveQty]&gt;0)*T_PlannedOrders[Order_Month])),"m月")&amp;"発注)")</f>
        <v/>
      </c>
      <c r="G55">
        <f>IF(SUMIFS(T_PlannedOrders[EffectiveQty],T_PlannedOrders[Part Name],$A49,T_PlannedOrders[WeekIndex],4)=0,"",SUMIFS(T_PlannedOrders[EffectiveQty],T_PlannedOrders[Part Name],$A49,T_PlannedOrders[WeekIndex],4)&amp;" ("&amp;TEXT(SUMPRODUCT(MAX((T_PlannedOrders[Part Name]=$A49)*(T_PlannedOrders[WeekIndex]=4)*(T_PlannedOrders[EffectiveQty]&gt;0)*T_PlannedOrders[Order_Month])),"m月")&amp;"発注)")</f>
        <v/>
      </c>
      <c r="H55">
        <f>IF(SUMIFS(T_PlannedOrders[EffectiveQty],T_PlannedOrders[Part Name],$A49,T_PlannedOrders[WeekIndex],5)=0,"",SUMIFS(T_PlannedOrders[EffectiveQty],T_PlannedOrders[Part Name],$A49,T_PlannedOrders[WeekIndex],5)&amp;" ("&amp;TEXT(SUMPRODUCT(MAX((T_PlannedOrders[Part Name]=$A49)*(T_PlannedOrders[WeekIndex]=5)*(T_PlannedOrders[EffectiveQty]&gt;0)*T_PlannedOrders[Order_Month])),"m月")&amp;"発注)")</f>
        <v/>
      </c>
      <c r="I55">
        <f>IF(SUMIFS(T_PlannedOrders[EffectiveQty],T_PlannedOrders[Part Name],$A49,T_PlannedOrders[WeekIndex],6)=0,"",SUMIFS(T_PlannedOrders[EffectiveQty],T_PlannedOrders[Part Name],$A49,T_PlannedOrders[WeekIndex],6)&amp;" ("&amp;TEXT(SUMPRODUCT(MAX((T_PlannedOrders[Part Name]=$A49)*(T_PlannedOrders[WeekIndex]=6)*(T_PlannedOrders[EffectiveQty]&gt;0)*T_PlannedOrders[Order_Month])),"m月")&amp;"発注)")</f>
        <v/>
      </c>
      <c r="J55">
        <f>IF(SUMIFS(T_PlannedOrders[EffectiveQty],T_PlannedOrders[Part Name],$A49,T_PlannedOrders[WeekIndex],7)=0,"",SUMIFS(T_PlannedOrders[EffectiveQty],T_PlannedOrders[Part Name],$A49,T_PlannedOrders[WeekIndex],7)&amp;" ("&amp;TEXT(SUMPRODUCT(MAX((T_PlannedOrders[Part Name]=$A49)*(T_PlannedOrders[WeekIndex]=7)*(T_PlannedOrders[EffectiveQty]&gt;0)*T_PlannedOrders[Order_Month])),"m月")&amp;"発注)")</f>
        <v/>
      </c>
      <c r="K55">
        <f>IF(SUMIFS(T_PlannedOrders[EffectiveQty],T_PlannedOrders[Part Name],$A49,T_PlannedOrders[WeekIndex],8)=0,"",SUMIFS(T_PlannedOrders[EffectiveQty],T_PlannedOrders[Part Name],$A49,T_PlannedOrders[WeekIndex],8)&amp;" ("&amp;TEXT(SUMPRODUCT(MAX((T_PlannedOrders[Part Name]=$A49)*(T_PlannedOrders[WeekIndex]=8)*(T_PlannedOrders[EffectiveQty]&gt;0)*T_PlannedOrders[Order_Month])),"m月")&amp;"発注)")</f>
        <v/>
      </c>
      <c r="L55">
        <f>IF(SUMIFS(T_PlannedOrders[EffectiveQty],T_PlannedOrders[Part Name],$A49,T_PlannedOrders[WeekIndex],9)=0,"",SUMIFS(T_PlannedOrders[EffectiveQty],T_PlannedOrders[Part Name],$A49,T_PlannedOrders[WeekIndex],9)&amp;" ("&amp;TEXT(SUMPRODUCT(MAX((T_PlannedOrders[Part Name]=$A49)*(T_PlannedOrders[WeekIndex]=9)*(T_PlannedOrders[EffectiveQty]&gt;0)*T_PlannedOrders[Order_Month])),"m月")&amp;"発注)")</f>
        <v/>
      </c>
      <c r="M55">
        <f>IF(SUMIFS(T_PlannedOrders[EffectiveQty],T_PlannedOrders[Part Name],$A49,T_PlannedOrders[WeekIndex],10)=0,"",SUMIFS(T_PlannedOrders[EffectiveQty],T_PlannedOrders[Part Name],$A49,T_PlannedOrders[WeekIndex],10)&amp;" ("&amp;TEXT(SUMPRODUCT(MAX((T_PlannedOrders[Part Name]=$A49)*(T_PlannedOrders[WeekIndex]=10)*(T_PlannedOrders[EffectiveQty]&gt;0)*T_PlannedOrders[Order_Month])),"m月")&amp;"発注)")</f>
        <v/>
      </c>
      <c r="N55">
        <f>IF(SUMIFS(T_PlannedOrders[EffectiveQty],T_PlannedOrders[Part Name],$A49,T_PlannedOrders[WeekIndex],11)=0,"",SUMIFS(T_PlannedOrders[EffectiveQty],T_PlannedOrders[Part Name],$A49,T_PlannedOrders[WeekIndex],11)&amp;" ("&amp;TEXT(SUMPRODUCT(MAX((T_PlannedOrders[Part Name]=$A49)*(T_PlannedOrders[WeekIndex]=11)*(T_PlannedOrders[EffectiveQty]&gt;0)*T_PlannedOrders[Order_Month])),"m月")&amp;"発注)")</f>
        <v/>
      </c>
      <c r="O55">
        <f>IF(SUMIFS(T_PlannedOrders[EffectiveQty],T_PlannedOrders[Part Name],$A49,T_PlannedOrders[WeekIndex],12)=0,"",SUMIFS(T_PlannedOrders[EffectiveQty],T_PlannedOrders[Part Name],$A49,T_PlannedOrders[WeekIndex],12)&amp;" ("&amp;TEXT(SUMPRODUCT(MAX((T_PlannedOrders[Part Name]=$A49)*(T_PlannedOrders[WeekIndex]=12)*(T_PlannedOrders[EffectiveQty]&gt;0)*T_PlannedOrders[Order_Month])),"m月")&amp;"発注)")</f>
        <v/>
      </c>
      <c r="P55">
        <f>IF(SUMIFS(T_PlannedOrders[EffectiveQty],T_PlannedOrders[Part Name],$A49,T_PlannedOrders[WeekIndex],13)=0,"",SUMIFS(T_PlannedOrders[EffectiveQty],T_PlannedOrders[Part Name],$A49,T_PlannedOrders[WeekIndex],13)&amp;" ("&amp;TEXT(SUMPRODUCT(MAX((T_PlannedOrders[Part Name]=$A49)*(T_PlannedOrders[WeekIndex]=13)*(T_PlannedOrders[EffectiveQty]&gt;0)*T_PlannedOrders[Order_Month])),"m月")&amp;"発注)")</f>
        <v/>
      </c>
      <c r="Q55">
        <f>IF(SUMIFS(T_PlannedOrders[EffectiveQty],T_PlannedOrders[Part Name],$A49,T_PlannedOrders[WeekIndex],14)=0,"",SUMIFS(T_PlannedOrders[EffectiveQty],T_PlannedOrders[Part Name],$A49,T_PlannedOrders[WeekIndex],14)&amp;" ("&amp;TEXT(SUMPRODUCT(MAX((T_PlannedOrders[Part Name]=$A49)*(T_PlannedOrders[WeekIndex]=14)*(T_PlannedOrders[EffectiveQty]&gt;0)*T_PlannedOrders[Order_Month])),"m月")&amp;"発注)")</f>
        <v/>
      </c>
      <c r="R55">
        <f>IF(SUMIFS(T_PlannedOrders[EffectiveQty],T_PlannedOrders[Part Name],$A49,T_PlannedOrders[WeekIndex],15)=0,"",SUMIFS(T_PlannedOrders[EffectiveQty],T_PlannedOrders[Part Name],$A49,T_PlannedOrders[WeekIndex],15)&amp;" ("&amp;TEXT(SUMPRODUCT(MAX((T_PlannedOrders[Part Name]=$A49)*(T_PlannedOrders[WeekIndex]=15)*(T_PlannedOrders[EffectiveQty]&gt;0)*T_PlannedOrders[Order_Month])),"m月")&amp;"発注)")</f>
        <v/>
      </c>
      <c r="S55">
        <f>IF(SUMIFS(T_PlannedOrders[EffectiveQty],T_PlannedOrders[Part Name],$A49,T_PlannedOrders[WeekIndex],16)=0,"",SUMIFS(T_PlannedOrders[EffectiveQty],T_PlannedOrders[Part Name],$A49,T_PlannedOrders[WeekIndex],16)&amp;" ("&amp;TEXT(SUMPRODUCT(MAX((T_PlannedOrders[Part Name]=$A49)*(T_PlannedOrders[WeekIndex]=16)*(T_PlannedOrders[EffectiveQty]&gt;0)*T_PlannedOrders[Order_Month])),"m月")&amp;"発注)")</f>
        <v/>
      </c>
      <c r="T55">
        <f>IF(SUMIFS(T_PlannedOrders[EffectiveQty],T_PlannedOrders[Part Name],$A49,T_PlannedOrders[WeekIndex],17)=0,"",SUMIFS(T_PlannedOrders[EffectiveQty],T_PlannedOrders[Part Name],$A49,T_PlannedOrders[WeekIndex],17)&amp;" ("&amp;TEXT(SUMPRODUCT(MAX((T_PlannedOrders[Part Name]=$A49)*(T_PlannedOrders[WeekIndex]=17)*(T_PlannedOrders[EffectiveQty]&gt;0)*T_PlannedOrders[Order_Month])),"m月")&amp;"発注)")</f>
        <v/>
      </c>
      <c r="U55">
        <f>IF(SUMIFS(T_PlannedOrders[EffectiveQty],T_PlannedOrders[Part Name],$A49,T_PlannedOrders[WeekIndex],18)=0,"",SUMIFS(T_PlannedOrders[EffectiveQty],T_PlannedOrders[Part Name],$A49,T_PlannedOrders[WeekIndex],18)&amp;" ("&amp;TEXT(SUMPRODUCT(MAX((T_PlannedOrders[Part Name]=$A49)*(T_PlannedOrders[WeekIndex]=18)*(T_PlannedOrders[EffectiveQty]&gt;0)*T_PlannedOrders[Order_Month])),"m月")&amp;"発注)")</f>
        <v/>
      </c>
      <c r="V55">
        <f>IF(SUMIFS(T_PlannedOrders[EffectiveQty],T_PlannedOrders[Part Name],$A49,T_PlannedOrders[WeekIndex],19)=0,"",SUMIFS(T_PlannedOrders[EffectiveQty],T_PlannedOrders[Part Name],$A49,T_PlannedOrders[WeekIndex],19)&amp;" ("&amp;TEXT(SUMPRODUCT(MAX((T_PlannedOrders[Part Name]=$A49)*(T_PlannedOrders[WeekIndex]=19)*(T_PlannedOrders[EffectiveQty]&gt;0)*T_PlannedOrders[Order_Month])),"m月")&amp;"発注)")</f>
        <v/>
      </c>
      <c r="W55">
        <f>IF(SUMIFS(T_PlannedOrders[EffectiveQty],T_PlannedOrders[Part Name],$A49,T_PlannedOrders[WeekIndex],20)=0,"",SUMIFS(T_PlannedOrders[EffectiveQty],T_PlannedOrders[Part Name],$A49,T_PlannedOrders[WeekIndex],20)&amp;" ("&amp;TEXT(SUMPRODUCT(MAX((T_PlannedOrders[Part Name]=$A49)*(T_PlannedOrders[WeekIndex]=20)*(T_PlannedOrders[EffectiveQty]&gt;0)*T_PlannedOrders[Order_Month])),"m月")&amp;"発注)")</f>
        <v/>
      </c>
      <c r="X55">
        <f>IF(SUMIFS(T_PlannedOrders[EffectiveQty],T_PlannedOrders[Part Name],$A49,T_PlannedOrders[WeekIndex],21)=0,"",SUMIFS(T_PlannedOrders[EffectiveQty],T_PlannedOrders[Part Name],$A49,T_PlannedOrders[WeekIndex],21)&amp;" ("&amp;TEXT(SUMPRODUCT(MAX((T_PlannedOrders[Part Name]=$A49)*(T_PlannedOrders[WeekIndex]=21)*(T_PlannedOrders[EffectiveQty]&gt;0)*T_PlannedOrders[Order_Month])),"m月")&amp;"発注)")</f>
        <v/>
      </c>
      <c r="Y55">
        <f>IF(SUMIFS(T_PlannedOrders[EffectiveQty],T_PlannedOrders[Part Name],$A49,T_PlannedOrders[WeekIndex],22)=0,"",SUMIFS(T_PlannedOrders[EffectiveQty],T_PlannedOrders[Part Name],$A49,T_PlannedOrders[WeekIndex],22)&amp;" ("&amp;TEXT(SUMPRODUCT(MAX((T_PlannedOrders[Part Name]=$A49)*(T_PlannedOrders[WeekIndex]=22)*(T_PlannedOrders[EffectiveQty]&gt;0)*T_PlannedOrders[Order_Month])),"m月")&amp;"発注)")</f>
        <v/>
      </c>
      <c r="Z55">
        <f>IF(SUMIFS(T_PlannedOrders[EffectiveQty],T_PlannedOrders[Part Name],$A49,T_PlannedOrders[WeekIndex],23)=0,"",SUMIFS(T_PlannedOrders[EffectiveQty],T_PlannedOrders[Part Name],$A49,T_PlannedOrders[WeekIndex],23)&amp;" ("&amp;TEXT(SUMPRODUCT(MAX((T_PlannedOrders[Part Name]=$A49)*(T_PlannedOrders[WeekIndex]=23)*(T_PlannedOrders[EffectiveQty]&gt;0)*T_PlannedOrders[Order_Month])),"m月")&amp;"発注)")</f>
        <v/>
      </c>
      <c r="AA55">
        <f>IF(SUMIFS(T_PlannedOrders[EffectiveQty],T_PlannedOrders[Part Name],$A49,T_PlannedOrders[WeekIndex],24)=0,"",SUMIFS(T_PlannedOrders[EffectiveQty],T_PlannedOrders[Part Name],$A49,T_PlannedOrders[WeekIndex],24)&amp;" ("&amp;TEXT(SUMPRODUCT(MAX((T_PlannedOrders[Part Name]=$A49)*(T_PlannedOrders[WeekIndex]=24)*(T_PlannedOrders[EffectiveQty]&gt;0)*T_PlannedOrders[Order_Month])),"m月")&amp;"発注)")</f>
        <v/>
      </c>
      <c r="AB55">
        <f>IF(SUMIFS(T_PlannedOrders[EffectiveQty],T_PlannedOrders[Part Name],$A49,T_PlannedOrders[WeekIndex],25)=0,"",SUMIFS(T_PlannedOrders[EffectiveQty],T_PlannedOrders[Part Name],$A49,T_PlannedOrders[WeekIndex],25)&amp;" ("&amp;TEXT(SUMPRODUCT(MAX((T_PlannedOrders[Part Name]=$A49)*(T_PlannedOrders[WeekIndex]=25)*(T_PlannedOrders[EffectiveQty]&gt;0)*T_PlannedOrders[Order_Month])),"m月")&amp;"発注)")</f>
        <v/>
      </c>
      <c r="AC55">
        <f>IF(SUMIFS(T_PlannedOrders[EffectiveQty],T_PlannedOrders[Part Name],$A49,T_PlannedOrders[WeekIndex],26)=0,"",SUMIFS(T_PlannedOrders[EffectiveQty],T_PlannedOrders[Part Name],$A49,T_PlannedOrders[WeekIndex],26)&amp;" ("&amp;TEXT(SUMPRODUCT(MAX((T_PlannedOrders[Part Name]=$A49)*(T_PlannedOrders[WeekIndex]=26)*(T_PlannedOrders[EffectiveQty]&gt;0)*T_PlannedOrders[Order_Month])),"m月")&amp;"発注)")</f>
        <v/>
      </c>
      <c r="AD55">
        <f>IF(SUMIFS(T_PlannedOrders[EffectiveQty],T_PlannedOrders[Part Name],$A49,T_PlannedOrders[WeekIndex],27)=0,"",SUMIFS(T_PlannedOrders[EffectiveQty],T_PlannedOrders[Part Name],$A49,T_PlannedOrders[WeekIndex],27)&amp;" ("&amp;TEXT(SUMPRODUCT(MAX((T_PlannedOrders[Part Name]=$A49)*(T_PlannedOrders[WeekIndex]=27)*(T_PlannedOrders[EffectiveQty]&gt;0)*T_PlannedOrders[Order_Month])),"m月")&amp;"発注)")</f>
        <v/>
      </c>
      <c r="AE55">
        <f>IF(SUMIFS(T_PlannedOrders[EffectiveQty],T_PlannedOrders[Part Name],$A49,T_PlannedOrders[WeekIndex],28)=0,"",SUMIFS(T_PlannedOrders[EffectiveQty],T_PlannedOrders[Part Name],$A49,T_PlannedOrders[WeekIndex],28)&amp;" ("&amp;TEXT(SUMPRODUCT(MAX((T_PlannedOrders[Part Name]=$A49)*(T_PlannedOrders[WeekIndex]=28)*(T_PlannedOrders[EffectiveQty]&gt;0)*T_PlannedOrders[Order_Month])),"m月")&amp;"発注)")</f>
        <v/>
      </c>
      <c r="AF55">
        <f>IF(SUMIFS(T_PlannedOrders[EffectiveQty],T_PlannedOrders[Part Name],$A49,T_PlannedOrders[WeekIndex],29)=0,"",SUMIFS(T_PlannedOrders[EffectiveQty],T_PlannedOrders[Part Name],$A49,T_PlannedOrders[WeekIndex],29)&amp;" ("&amp;TEXT(SUMPRODUCT(MAX((T_PlannedOrders[Part Name]=$A49)*(T_PlannedOrders[WeekIndex]=29)*(T_PlannedOrders[EffectiveQty]&gt;0)*T_PlannedOrders[Order_Month])),"m月")&amp;"発注)")</f>
        <v/>
      </c>
      <c r="AG55">
        <f>IF(SUMIFS(T_PlannedOrders[EffectiveQty],T_PlannedOrders[Part Name],$A49,T_PlannedOrders[WeekIndex],30)=0,"",SUMIFS(T_PlannedOrders[EffectiveQty],T_PlannedOrders[Part Name],$A49,T_PlannedOrders[WeekIndex],30)&amp;" ("&amp;TEXT(SUMPRODUCT(MAX((T_PlannedOrders[Part Name]=$A49)*(T_PlannedOrders[WeekIndex]=30)*(T_PlannedOrders[EffectiveQty]&gt;0)*T_PlannedOrders[Order_Month])),"m月")&amp;"発注)")</f>
        <v/>
      </c>
      <c r="AH55">
        <f>IF(SUMIFS(T_PlannedOrders[EffectiveQty],T_PlannedOrders[Part Name],$A49,T_PlannedOrders[WeekIndex],31)=0,"",SUMIFS(T_PlannedOrders[EffectiveQty],T_PlannedOrders[Part Name],$A49,T_PlannedOrders[WeekIndex],31)&amp;" ("&amp;TEXT(SUMPRODUCT(MAX((T_PlannedOrders[Part Name]=$A49)*(T_PlannedOrders[WeekIndex]=31)*(T_PlannedOrders[EffectiveQty]&gt;0)*T_PlannedOrders[Order_Month])),"m月")&amp;"発注)")</f>
        <v/>
      </c>
      <c r="AI55">
        <f>IF(SUMIFS(T_PlannedOrders[EffectiveQty],T_PlannedOrders[Part Name],$A49,T_PlannedOrders[WeekIndex],32)=0,"",SUMIFS(T_PlannedOrders[EffectiveQty],T_PlannedOrders[Part Name],$A49,T_PlannedOrders[WeekIndex],32)&amp;" ("&amp;TEXT(SUMPRODUCT(MAX((T_PlannedOrders[Part Name]=$A49)*(T_PlannedOrders[WeekIndex]=32)*(T_PlannedOrders[EffectiveQty]&gt;0)*T_PlannedOrders[Order_Month])),"m月")&amp;"発注)")</f>
        <v/>
      </c>
      <c r="AJ55">
        <f>IF(SUMIFS(T_PlannedOrders[EffectiveQty],T_PlannedOrders[Part Name],$A49,T_PlannedOrders[WeekIndex],33)=0,"",SUMIFS(T_PlannedOrders[EffectiveQty],T_PlannedOrders[Part Name],$A49,T_PlannedOrders[WeekIndex],33)&amp;" ("&amp;TEXT(SUMPRODUCT(MAX((T_PlannedOrders[Part Name]=$A49)*(T_PlannedOrders[WeekIndex]=33)*(T_PlannedOrders[EffectiveQty]&gt;0)*T_PlannedOrders[Order_Month])),"m月")&amp;"発注)")</f>
        <v/>
      </c>
      <c r="AK55">
        <f>IF(SUMIFS(T_PlannedOrders[EffectiveQty],T_PlannedOrders[Part Name],$A49,T_PlannedOrders[WeekIndex],34)=0,"",SUMIFS(T_PlannedOrders[EffectiveQty],T_PlannedOrders[Part Name],$A49,T_PlannedOrders[WeekIndex],34)&amp;" ("&amp;TEXT(SUMPRODUCT(MAX((T_PlannedOrders[Part Name]=$A49)*(T_PlannedOrders[WeekIndex]=34)*(T_PlannedOrders[EffectiveQty]&gt;0)*T_PlannedOrders[Order_Month])),"m月")&amp;"発注)")</f>
        <v/>
      </c>
      <c r="AL55">
        <f>IF(SUMIFS(T_PlannedOrders[EffectiveQty],T_PlannedOrders[Part Name],$A49,T_PlannedOrders[WeekIndex],35)=0,"",SUMIFS(T_PlannedOrders[EffectiveQty],T_PlannedOrders[Part Name],$A49,T_PlannedOrders[WeekIndex],35)&amp;" ("&amp;TEXT(SUMPRODUCT(MAX((T_PlannedOrders[Part Name]=$A49)*(T_PlannedOrders[WeekIndex]=35)*(T_PlannedOrders[EffectiveQty]&gt;0)*T_PlannedOrders[Order_Month])),"m月")&amp;"発注)")</f>
        <v/>
      </c>
      <c r="AM55">
        <f>IF(SUMIFS(T_PlannedOrders[EffectiveQty],T_PlannedOrders[Part Name],$A49,T_PlannedOrders[WeekIndex],36)=0,"",SUMIFS(T_PlannedOrders[EffectiveQty],T_PlannedOrders[Part Name],$A49,T_PlannedOrders[WeekIndex],36)&amp;" ("&amp;TEXT(SUMPRODUCT(MAX((T_PlannedOrders[Part Name]=$A49)*(T_PlannedOrders[WeekIndex]=36)*(T_PlannedOrders[EffectiveQty]&gt;0)*T_PlannedOrders[Order_Month])),"m月")&amp;"発注)")</f>
        <v/>
      </c>
      <c r="AN55">
        <f>IF(SUMIFS(T_PlannedOrders[EffectiveQty],T_PlannedOrders[Part Name],$A49,T_PlannedOrders[WeekIndex],37)=0,"",SUMIFS(T_PlannedOrders[EffectiveQty],T_PlannedOrders[Part Name],$A49,T_PlannedOrders[WeekIndex],37)&amp;" ("&amp;TEXT(SUMPRODUCT(MAX((T_PlannedOrders[Part Name]=$A49)*(T_PlannedOrders[WeekIndex]=37)*(T_PlannedOrders[EffectiveQty]&gt;0)*T_PlannedOrders[Order_Month])),"m月")&amp;"発注)")</f>
        <v/>
      </c>
      <c r="AO55">
        <f>IF(SUMIFS(T_PlannedOrders[EffectiveQty],T_PlannedOrders[Part Name],$A49,T_PlannedOrders[WeekIndex],38)=0,"",SUMIFS(T_PlannedOrders[EffectiveQty],T_PlannedOrders[Part Name],$A49,T_PlannedOrders[WeekIndex],38)&amp;" ("&amp;TEXT(SUMPRODUCT(MAX((T_PlannedOrders[Part Name]=$A49)*(T_PlannedOrders[WeekIndex]=38)*(T_PlannedOrders[EffectiveQty]&gt;0)*T_PlannedOrders[Order_Month])),"m月")&amp;"発注)")</f>
        <v/>
      </c>
      <c r="AP55">
        <f>IF(SUMIFS(T_PlannedOrders[EffectiveQty],T_PlannedOrders[Part Name],$A49,T_PlannedOrders[WeekIndex],39)=0,"",SUMIFS(T_PlannedOrders[EffectiveQty],T_PlannedOrders[Part Name],$A49,T_PlannedOrders[WeekIndex],39)&amp;" ("&amp;TEXT(SUMPRODUCT(MAX((T_PlannedOrders[Part Name]=$A49)*(T_PlannedOrders[WeekIndex]=39)*(T_PlannedOrders[EffectiveQty]&gt;0)*T_PlannedOrders[Order_Month])),"m月")&amp;"発注)")</f>
        <v/>
      </c>
      <c r="AQ55">
        <f>IF(SUMIFS(T_PlannedOrders[EffectiveQty],T_PlannedOrders[Part Name],$A49,T_PlannedOrders[WeekIndex],40)=0,"",SUMIFS(T_PlannedOrders[EffectiveQty],T_PlannedOrders[Part Name],$A49,T_PlannedOrders[WeekIndex],40)&amp;" ("&amp;TEXT(SUMPRODUCT(MAX((T_PlannedOrders[Part Name]=$A49)*(T_PlannedOrders[WeekIndex]=40)*(T_PlannedOrders[EffectiveQty]&gt;0)*T_PlannedOrders[Order_Month])),"m月")&amp;"発注)")</f>
        <v/>
      </c>
      <c r="AR55">
        <f>IF(SUMIFS(T_PlannedOrders[EffectiveQty],T_PlannedOrders[Part Name],$A49,T_PlannedOrders[WeekIndex],41)=0,"",SUMIFS(T_PlannedOrders[EffectiveQty],T_PlannedOrders[Part Name],$A49,T_PlannedOrders[WeekIndex],41)&amp;" ("&amp;TEXT(SUMPRODUCT(MAX((T_PlannedOrders[Part Name]=$A49)*(T_PlannedOrders[WeekIndex]=41)*(T_PlannedOrders[EffectiveQty]&gt;0)*T_PlannedOrders[Order_Month])),"m月")&amp;"発注)")</f>
        <v/>
      </c>
      <c r="AS55">
        <f>IF(SUMIFS(T_PlannedOrders[EffectiveQty],T_PlannedOrders[Part Name],$A49,T_PlannedOrders[WeekIndex],42)=0,"",SUMIFS(T_PlannedOrders[EffectiveQty],T_PlannedOrders[Part Name],$A49,T_PlannedOrders[WeekIndex],42)&amp;" ("&amp;TEXT(SUMPRODUCT(MAX((T_PlannedOrders[Part Name]=$A49)*(T_PlannedOrders[WeekIndex]=42)*(T_PlannedOrders[EffectiveQty]&gt;0)*T_PlannedOrders[Order_Month])),"m月")&amp;"発注)")</f>
        <v/>
      </c>
      <c r="AT55">
        <f>IF(SUMIFS(T_PlannedOrders[EffectiveQty],T_PlannedOrders[Part Name],$A49,T_PlannedOrders[WeekIndex],43)=0,"",SUMIFS(T_PlannedOrders[EffectiveQty],T_PlannedOrders[Part Name],$A49,T_PlannedOrders[WeekIndex],43)&amp;" ("&amp;TEXT(SUMPRODUCT(MAX((T_PlannedOrders[Part Name]=$A49)*(T_PlannedOrders[WeekIndex]=43)*(T_PlannedOrders[EffectiveQty]&gt;0)*T_PlannedOrders[Order_Month])),"m月")&amp;"発注)")</f>
        <v/>
      </c>
      <c r="AU55">
        <f>IF(SUMIFS(T_PlannedOrders[EffectiveQty],T_PlannedOrders[Part Name],$A49,T_PlannedOrders[WeekIndex],44)=0,"",SUMIFS(T_PlannedOrders[EffectiveQty],T_PlannedOrders[Part Name],$A49,T_PlannedOrders[WeekIndex],44)&amp;" ("&amp;TEXT(SUMPRODUCT(MAX((T_PlannedOrders[Part Name]=$A49)*(T_PlannedOrders[WeekIndex]=44)*(T_PlannedOrders[EffectiveQty]&gt;0)*T_PlannedOrders[Order_Month])),"m月")&amp;"発注)")</f>
        <v/>
      </c>
      <c r="AV55">
        <f>IF(SUMIFS(T_PlannedOrders[EffectiveQty],T_PlannedOrders[Part Name],$A49,T_PlannedOrders[WeekIndex],45)=0,"",SUMIFS(T_PlannedOrders[EffectiveQty],T_PlannedOrders[Part Name],$A49,T_PlannedOrders[WeekIndex],45)&amp;" ("&amp;TEXT(SUMPRODUCT(MAX((T_PlannedOrders[Part Name]=$A49)*(T_PlannedOrders[WeekIndex]=45)*(T_PlannedOrders[EffectiveQty]&gt;0)*T_PlannedOrders[Order_Month])),"m月")&amp;"発注)")</f>
        <v/>
      </c>
      <c r="AW55">
        <f>IF(SUMIFS(T_PlannedOrders[EffectiveQty],T_PlannedOrders[Part Name],$A49,T_PlannedOrders[WeekIndex],46)=0,"",SUMIFS(T_PlannedOrders[EffectiveQty],T_PlannedOrders[Part Name],$A49,T_PlannedOrders[WeekIndex],46)&amp;" ("&amp;TEXT(SUMPRODUCT(MAX((T_PlannedOrders[Part Name]=$A49)*(T_PlannedOrders[WeekIndex]=46)*(T_PlannedOrders[EffectiveQty]&gt;0)*T_PlannedOrders[Order_Month])),"m月")&amp;"発注)")</f>
        <v/>
      </c>
      <c r="AX55">
        <f>IF(SUMIFS(T_PlannedOrders[EffectiveQty],T_PlannedOrders[Part Name],$A49,T_PlannedOrders[WeekIndex],47)=0,"",SUMIFS(T_PlannedOrders[EffectiveQty],T_PlannedOrders[Part Name],$A49,T_PlannedOrders[WeekIndex],47)&amp;" ("&amp;TEXT(SUMPRODUCT(MAX((T_PlannedOrders[Part Name]=$A49)*(T_PlannedOrders[WeekIndex]=47)*(T_PlannedOrders[EffectiveQty]&gt;0)*T_PlannedOrders[Order_Month])),"m月")&amp;"発注)")</f>
        <v/>
      </c>
      <c r="AY55">
        <f>IF(SUMIFS(T_PlannedOrders[EffectiveQty],T_PlannedOrders[Part Name],$A49,T_PlannedOrders[WeekIndex],48)=0,"",SUMIFS(T_PlannedOrders[EffectiveQty],T_PlannedOrders[Part Name],$A49,T_PlannedOrders[WeekIndex],48)&amp;" ("&amp;TEXT(SUMPRODUCT(MAX((T_PlannedOrders[Part Name]=$A49)*(T_PlannedOrders[WeekIndex]=48)*(T_PlannedOrders[EffectiveQty]&gt;0)*T_PlannedOrders[Order_Month])),"m月")&amp;"発注)")</f>
        <v/>
      </c>
      <c r="AZ55">
        <f>IF(SUMIFS(T_PlannedOrders[EffectiveQty],T_PlannedOrders[Part Name],$A49,T_PlannedOrders[WeekIndex],49)=0,"",SUMIFS(T_PlannedOrders[EffectiveQty],T_PlannedOrders[Part Name],$A49,T_PlannedOrders[WeekIndex],49)&amp;" ("&amp;TEXT(SUMPRODUCT(MAX((T_PlannedOrders[Part Name]=$A49)*(T_PlannedOrders[WeekIndex]=49)*(T_PlannedOrders[EffectiveQty]&gt;0)*T_PlannedOrders[Order_Month])),"m月")&amp;"発注)")</f>
        <v/>
      </c>
      <c r="BA55">
        <f>IF(SUMIFS(T_PlannedOrders[EffectiveQty],T_PlannedOrders[Part Name],$A49,T_PlannedOrders[WeekIndex],50)=0,"",SUMIFS(T_PlannedOrders[EffectiveQty],T_PlannedOrders[Part Name],$A49,T_PlannedOrders[WeekIndex],50)&amp;" ("&amp;TEXT(SUMPRODUCT(MAX((T_PlannedOrders[Part Name]=$A49)*(T_PlannedOrders[WeekIndex]=50)*(T_PlannedOrders[EffectiveQty]&gt;0)*T_PlannedOrders[Order_Month])),"m月")&amp;"発注)")</f>
        <v/>
      </c>
      <c r="BB55">
        <f>IF(SUMIFS(T_PlannedOrders[EffectiveQty],T_PlannedOrders[Part Name],$A49,T_PlannedOrders[WeekIndex],51)=0,"",SUMIFS(T_PlannedOrders[EffectiveQty],T_PlannedOrders[Part Name],$A49,T_PlannedOrders[WeekIndex],51)&amp;" ("&amp;TEXT(SUMPRODUCT(MAX((T_PlannedOrders[Part Name]=$A49)*(T_PlannedOrders[WeekIndex]=51)*(T_PlannedOrders[EffectiveQty]&gt;0)*T_PlannedOrders[Order_Month])),"m月")&amp;"発注)")</f>
        <v/>
      </c>
      <c r="BC55">
        <f>IF(SUMIFS(T_PlannedOrders[EffectiveQty],T_PlannedOrders[Part Name],$A49,T_PlannedOrders[WeekIndex],52)=0,"",SUMIFS(T_PlannedOrders[EffectiveQty],T_PlannedOrders[Part Name],$A49,T_PlannedOrders[WeekIndex],52)&amp;" ("&amp;TEXT(SUMPRODUCT(MAX((T_PlannedOrders[Part Name]=$A49)*(T_PlannedOrders[WeekIndex]=52)*(T_PlannedOrders[EffectiveQty]&gt;0)*T_PlannedOrders[Order_Month])),"m月")&amp;"発注)")</f>
        <v/>
      </c>
      <c r="BD55">
        <f>IF(SUMIFS(T_PlannedOrders[EffectiveQty],T_PlannedOrders[Part Name],$A49,T_PlannedOrders[WeekIndex],53)=0,"",SUMIFS(T_PlannedOrders[EffectiveQty],T_PlannedOrders[Part Name],$A49,T_PlannedOrders[WeekIndex],53)&amp;" ("&amp;TEXT(SUMPRODUCT(MAX((T_PlannedOrders[Part Name]=$A49)*(T_PlannedOrders[WeekIndex]=53)*(T_PlannedOrders[EffectiveQty]&gt;0)*T_PlannedOrders[Order_Month])),"m月")&amp;"発注)")</f>
        <v/>
      </c>
      <c r="BE55">
        <f>IF(SUMIFS(T_PlannedOrders[EffectiveQty],T_PlannedOrders[Part Name],$A49,T_PlannedOrders[WeekIndex],54)=0,"",SUMIFS(T_PlannedOrders[EffectiveQty],T_PlannedOrders[Part Name],$A49,T_PlannedOrders[WeekIndex],54)&amp;" ("&amp;TEXT(SUMPRODUCT(MAX((T_PlannedOrders[Part Name]=$A49)*(T_PlannedOrders[WeekIndex]=54)*(T_PlannedOrders[EffectiveQty]&gt;0)*T_PlannedOrders[Order_Month])),"m月")&amp;"発注)")</f>
        <v/>
      </c>
      <c r="BF55">
        <f>IF(SUMIFS(T_PlannedOrders[EffectiveQty],T_PlannedOrders[Part Name],$A49,T_PlannedOrders[WeekIndex],55)=0,"",SUMIFS(T_PlannedOrders[EffectiveQty],T_PlannedOrders[Part Name],$A49,T_PlannedOrders[WeekIndex],55)&amp;" ("&amp;TEXT(SUMPRODUCT(MAX((T_PlannedOrders[Part Name]=$A49)*(T_PlannedOrders[WeekIndex]=55)*(T_PlannedOrders[EffectiveQty]&gt;0)*T_PlannedOrders[Order_Month])),"m月")&amp;"発注)")</f>
        <v/>
      </c>
      <c r="BG55">
        <f>IF(SUMIFS(T_PlannedOrders[EffectiveQty],T_PlannedOrders[Part Name],$A49,T_PlannedOrders[WeekIndex],56)=0,"",SUMIFS(T_PlannedOrders[EffectiveQty],T_PlannedOrders[Part Name],$A49,T_PlannedOrders[WeekIndex],56)&amp;" ("&amp;TEXT(SUMPRODUCT(MAX((T_PlannedOrders[Part Name]=$A49)*(T_PlannedOrders[WeekIndex]=56)*(T_PlannedOrders[EffectiveQty]&gt;0)*T_PlannedOrders[Order_Month])),"m月")&amp;"発注)")</f>
        <v/>
      </c>
      <c r="BH55">
        <f>IF(SUMIFS(T_PlannedOrders[EffectiveQty],T_PlannedOrders[Part Name],$A49,T_PlannedOrders[WeekIndex],57)=0,"",SUMIFS(T_PlannedOrders[EffectiveQty],T_PlannedOrders[Part Name],$A49,T_PlannedOrders[WeekIndex],57)&amp;" ("&amp;TEXT(SUMPRODUCT(MAX((T_PlannedOrders[Part Name]=$A49)*(T_PlannedOrders[WeekIndex]=57)*(T_PlannedOrders[EffectiveQty]&gt;0)*T_PlannedOrders[Order_Month])),"m月")&amp;"発注)")</f>
        <v/>
      </c>
      <c r="BI55">
        <f>IF(SUMIFS(T_PlannedOrders[EffectiveQty],T_PlannedOrders[Part Name],$A49,T_PlannedOrders[WeekIndex],58)=0,"",SUMIFS(T_PlannedOrders[EffectiveQty],T_PlannedOrders[Part Name],$A49,T_PlannedOrders[WeekIndex],58)&amp;" ("&amp;TEXT(SUMPRODUCT(MAX((T_PlannedOrders[Part Name]=$A49)*(T_PlannedOrders[WeekIndex]=58)*(T_PlannedOrders[EffectiveQty]&gt;0)*T_PlannedOrders[Order_Month])),"m月")&amp;"発注)")</f>
        <v/>
      </c>
      <c r="BJ55">
        <f>IF(SUMIFS(T_PlannedOrders[EffectiveQty],T_PlannedOrders[Part Name],$A49,T_PlannedOrders[WeekIndex],59)=0,"",SUMIFS(T_PlannedOrders[EffectiveQty],T_PlannedOrders[Part Name],$A49,T_PlannedOrders[WeekIndex],59)&amp;" ("&amp;TEXT(SUMPRODUCT(MAX((T_PlannedOrders[Part Name]=$A49)*(T_PlannedOrders[WeekIndex]=59)*(T_PlannedOrders[EffectiveQty]&gt;0)*T_PlannedOrders[Order_Month])),"m月")&amp;"発注)")</f>
        <v/>
      </c>
      <c r="BK55">
        <f>IF(SUMIFS(T_PlannedOrders[EffectiveQty],T_PlannedOrders[Part Name],$A49,T_PlannedOrders[WeekIndex],60)=0,"",SUMIFS(T_PlannedOrders[EffectiveQty],T_PlannedOrders[Part Name],$A49,T_PlannedOrders[WeekIndex],60)&amp;" ("&amp;TEXT(SUMPRODUCT(MAX((T_PlannedOrders[Part Name]=$A49)*(T_PlannedOrders[WeekIndex]=60)*(T_PlannedOrders[EffectiveQty]&gt;0)*T_PlannedOrders[Order_Month])),"m月")&amp;"発注)")</f>
        <v/>
      </c>
      <c r="BL55">
        <f>IF(SUMIFS(T_PlannedOrders[EffectiveQty],T_PlannedOrders[Part Name],$A49,T_PlannedOrders[WeekIndex],61)=0,"",SUMIFS(T_PlannedOrders[EffectiveQty],T_PlannedOrders[Part Name],$A49,T_PlannedOrders[WeekIndex],61)&amp;" ("&amp;TEXT(SUMPRODUCT(MAX((T_PlannedOrders[Part Name]=$A49)*(T_PlannedOrders[WeekIndex]=61)*(T_PlannedOrders[EffectiveQty]&gt;0)*T_PlannedOrders[Order_Month])),"m月")&amp;"発注)")</f>
        <v/>
      </c>
      <c r="BM55">
        <f>IF(SUMIFS(T_PlannedOrders[EffectiveQty],T_PlannedOrders[Part Name],$A49,T_PlannedOrders[WeekIndex],62)=0,"",SUMIFS(T_PlannedOrders[EffectiveQty],T_PlannedOrders[Part Name],$A49,T_PlannedOrders[WeekIndex],62)&amp;" ("&amp;TEXT(SUMPRODUCT(MAX((T_PlannedOrders[Part Name]=$A49)*(T_PlannedOrders[WeekIndex]=62)*(T_PlannedOrders[EffectiveQty]&gt;0)*T_PlannedOrders[Order_Month])),"m月")&amp;"発注)")</f>
        <v/>
      </c>
      <c r="BN55">
        <f>IF(SUMIFS(T_PlannedOrders[EffectiveQty],T_PlannedOrders[Part Name],$A49,T_PlannedOrders[WeekIndex],63)=0,"",SUMIFS(T_PlannedOrders[EffectiveQty],T_PlannedOrders[Part Name],$A49,T_PlannedOrders[WeekIndex],63)&amp;" ("&amp;TEXT(SUMPRODUCT(MAX((T_PlannedOrders[Part Name]=$A49)*(T_PlannedOrders[WeekIndex]=63)*(T_PlannedOrders[EffectiveQty]&gt;0)*T_PlannedOrders[Order_Month])),"m月")&amp;"発注)")</f>
        <v/>
      </c>
      <c r="BO55">
        <f>IF(SUMIFS(T_PlannedOrders[EffectiveQty],T_PlannedOrders[Part Name],$A49,T_PlannedOrders[WeekIndex],64)=0,"",SUMIFS(T_PlannedOrders[EffectiveQty],T_PlannedOrders[Part Name],$A49,T_PlannedOrders[WeekIndex],64)&amp;" ("&amp;TEXT(SUMPRODUCT(MAX((T_PlannedOrders[Part Name]=$A49)*(T_PlannedOrders[WeekIndex]=64)*(T_PlannedOrders[EffectiveQty]&gt;0)*T_PlannedOrders[Order_Month])),"m月")&amp;"発注)")</f>
        <v/>
      </c>
      <c r="BP55">
        <f>IF(SUMIFS(T_PlannedOrders[EffectiveQty],T_PlannedOrders[Part Name],$A49,T_PlannedOrders[WeekIndex],65)=0,"",SUMIFS(T_PlannedOrders[EffectiveQty],T_PlannedOrders[Part Name],$A49,T_PlannedOrders[WeekIndex],65)&amp;" ("&amp;TEXT(SUMPRODUCT(MAX((T_PlannedOrders[Part Name]=$A49)*(T_PlannedOrders[WeekIndex]=65)*(T_PlannedOrders[EffectiveQty]&gt;0)*T_PlannedOrders[Order_Month])),"m月")&amp;"発注)")</f>
        <v/>
      </c>
      <c r="BQ55">
        <f>IF(SUMIFS(T_PlannedOrders[EffectiveQty],T_PlannedOrders[Part Name],$A49,T_PlannedOrders[WeekIndex],66)=0,"",SUMIFS(T_PlannedOrders[EffectiveQty],T_PlannedOrders[Part Name],$A49,T_PlannedOrders[WeekIndex],66)&amp;" ("&amp;TEXT(SUMPRODUCT(MAX((T_PlannedOrders[Part Name]=$A49)*(T_PlannedOrders[WeekIndex]=66)*(T_PlannedOrders[EffectiveQty]&gt;0)*T_PlannedOrders[Order_Month])),"m月")&amp;"発注)")</f>
        <v/>
      </c>
      <c r="BR55">
        <f>IF(SUMIFS(T_PlannedOrders[EffectiveQty],T_PlannedOrders[Part Name],$A49,T_PlannedOrders[WeekIndex],67)=0,"",SUMIFS(T_PlannedOrders[EffectiveQty],T_PlannedOrders[Part Name],$A49,T_PlannedOrders[WeekIndex],67)&amp;" ("&amp;TEXT(SUMPRODUCT(MAX((T_PlannedOrders[Part Name]=$A49)*(T_PlannedOrders[WeekIndex]=67)*(T_PlannedOrders[EffectiveQty]&gt;0)*T_PlannedOrders[Order_Month])),"m月")&amp;"発注)")</f>
        <v/>
      </c>
      <c r="BS55">
        <f>IF(SUMIFS(T_PlannedOrders[EffectiveQty],T_PlannedOrders[Part Name],$A49,T_PlannedOrders[WeekIndex],68)=0,"",SUMIFS(T_PlannedOrders[EffectiveQty],T_PlannedOrders[Part Name],$A49,T_PlannedOrders[WeekIndex],68)&amp;" ("&amp;TEXT(SUMPRODUCT(MAX((T_PlannedOrders[Part Name]=$A49)*(T_PlannedOrders[WeekIndex]=68)*(T_PlannedOrders[EffectiveQty]&gt;0)*T_PlannedOrders[Order_Month])),"m月")&amp;"発注)")</f>
        <v/>
      </c>
      <c r="BT55">
        <f>IF(SUMIFS(T_PlannedOrders[EffectiveQty],T_PlannedOrders[Part Name],$A49,T_PlannedOrders[WeekIndex],69)=0,"",SUMIFS(T_PlannedOrders[EffectiveQty],T_PlannedOrders[Part Name],$A49,T_PlannedOrders[WeekIndex],69)&amp;" ("&amp;TEXT(SUMPRODUCT(MAX((T_PlannedOrders[Part Name]=$A49)*(T_PlannedOrders[WeekIndex]=69)*(T_PlannedOrders[EffectiveQty]&gt;0)*T_PlannedOrders[Order_Month])),"m月")&amp;"発注)")</f>
        <v/>
      </c>
      <c r="BU55">
        <f>IF(SUMIFS(T_PlannedOrders[EffectiveQty],T_PlannedOrders[Part Name],$A49,T_PlannedOrders[WeekIndex],70)=0,"",SUMIFS(T_PlannedOrders[EffectiveQty],T_PlannedOrders[Part Name],$A49,T_PlannedOrders[WeekIndex],70)&amp;" ("&amp;TEXT(SUMPRODUCT(MAX((T_PlannedOrders[Part Name]=$A49)*(T_PlannedOrders[WeekIndex]=70)*(T_PlannedOrders[EffectiveQty]&gt;0)*T_PlannedOrders[Order_Month])),"m月")&amp;"発注)")</f>
        <v/>
      </c>
      <c r="BV55">
        <f>IF(SUMIFS(T_PlannedOrders[EffectiveQty],T_PlannedOrders[Part Name],$A49,T_PlannedOrders[WeekIndex],71)=0,"",SUMIFS(T_PlannedOrders[EffectiveQty],T_PlannedOrders[Part Name],$A49,T_PlannedOrders[WeekIndex],71)&amp;" ("&amp;TEXT(SUMPRODUCT(MAX((T_PlannedOrders[Part Name]=$A49)*(T_PlannedOrders[WeekIndex]=71)*(T_PlannedOrders[EffectiveQty]&gt;0)*T_PlannedOrders[Order_Month])),"m月")&amp;"発注)")</f>
        <v/>
      </c>
      <c r="BW55">
        <f>IF(SUMIFS(T_PlannedOrders[EffectiveQty],T_PlannedOrders[Part Name],$A49,T_PlannedOrders[WeekIndex],72)=0,"",SUMIFS(T_PlannedOrders[EffectiveQty],T_PlannedOrders[Part Name],$A49,T_PlannedOrders[WeekIndex],72)&amp;" ("&amp;TEXT(SUMPRODUCT(MAX((T_PlannedOrders[Part Name]=$A49)*(T_PlannedOrders[WeekIndex]=72)*(T_PlannedOrders[EffectiveQty]&gt;0)*T_PlannedOrders[Order_Month])),"m月")&amp;"発注)")</f>
        <v/>
      </c>
      <c r="BX55">
        <f>IF(SUMIFS(T_PlannedOrders[EffectiveQty],T_PlannedOrders[Part Name],$A49,T_PlannedOrders[WeekIndex],73)=0,"",SUMIFS(T_PlannedOrders[EffectiveQty],T_PlannedOrders[Part Name],$A49,T_PlannedOrders[WeekIndex],73)&amp;" ("&amp;TEXT(SUMPRODUCT(MAX((T_PlannedOrders[Part Name]=$A49)*(T_PlannedOrders[WeekIndex]=73)*(T_PlannedOrders[EffectiveQty]&gt;0)*T_PlannedOrders[Order_Month])),"m月")&amp;"発注)")</f>
        <v/>
      </c>
      <c r="BY55">
        <f>IF(SUMIFS(T_PlannedOrders[EffectiveQty],T_PlannedOrders[Part Name],$A49,T_PlannedOrders[WeekIndex],74)=0,"",SUMIFS(T_PlannedOrders[EffectiveQty],T_PlannedOrders[Part Name],$A49,T_PlannedOrders[WeekIndex],74)&amp;" ("&amp;TEXT(SUMPRODUCT(MAX((T_PlannedOrders[Part Name]=$A49)*(T_PlannedOrders[WeekIndex]=74)*(T_PlannedOrders[EffectiveQty]&gt;0)*T_PlannedOrders[Order_Month])),"m月")&amp;"発注)")</f>
        <v/>
      </c>
      <c r="BZ55">
        <f>IF(SUMIFS(T_PlannedOrders[EffectiveQty],T_PlannedOrders[Part Name],$A49,T_PlannedOrders[WeekIndex],75)=0,"",SUMIFS(T_PlannedOrders[EffectiveQty],T_PlannedOrders[Part Name],$A49,T_PlannedOrders[WeekIndex],75)&amp;" ("&amp;TEXT(SUMPRODUCT(MAX((T_PlannedOrders[Part Name]=$A49)*(T_PlannedOrders[WeekIndex]=75)*(T_PlannedOrders[EffectiveQty]&gt;0)*T_PlannedOrders[Order_Month])),"m月")&amp;"発注)")</f>
        <v/>
      </c>
      <c r="CA55">
        <f>IF(SUMIFS(T_PlannedOrders[EffectiveQty],T_PlannedOrders[Part Name],$A49,T_PlannedOrders[WeekIndex],76)=0,"",SUMIFS(T_PlannedOrders[EffectiveQty],T_PlannedOrders[Part Name],$A49,T_PlannedOrders[WeekIndex],76)&amp;" ("&amp;TEXT(SUMPRODUCT(MAX((T_PlannedOrders[Part Name]=$A49)*(T_PlannedOrders[WeekIndex]=76)*(T_PlannedOrders[EffectiveQty]&gt;0)*T_PlannedOrders[Order_Month])),"m月")&amp;"発注)")</f>
        <v/>
      </c>
      <c r="CB55">
        <f>IF(SUMIFS(T_PlannedOrders[EffectiveQty],T_PlannedOrders[Part Name],$A49,T_PlannedOrders[WeekIndex],77)=0,"",SUMIFS(T_PlannedOrders[EffectiveQty],T_PlannedOrders[Part Name],$A49,T_PlannedOrders[WeekIndex],77)&amp;" ("&amp;TEXT(SUMPRODUCT(MAX((T_PlannedOrders[Part Name]=$A49)*(T_PlannedOrders[WeekIndex]=77)*(T_PlannedOrders[EffectiveQty]&gt;0)*T_PlannedOrders[Order_Month])),"m月")&amp;"発注)")</f>
        <v/>
      </c>
      <c r="CC55">
        <f>IF(SUMIFS(T_PlannedOrders[EffectiveQty],T_PlannedOrders[Part Name],$A49,T_PlannedOrders[WeekIndex],78)=0,"",SUMIFS(T_PlannedOrders[EffectiveQty],T_PlannedOrders[Part Name],$A49,T_PlannedOrders[WeekIndex],78)&amp;" ("&amp;TEXT(SUMPRODUCT(MAX((T_PlannedOrders[Part Name]=$A49)*(T_PlannedOrders[WeekIndex]=78)*(T_PlannedOrders[EffectiveQty]&gt;0)*T_PlannedOrders[Order_Month])),"m月")&amp;"発注)")</f>
        <v/>
      </c>
      <c r="CD55">
        <f>IF(SUMIFS(T_PlannedOrders[EffectiveQty],T_PlannedOrders[Part Name],$A49,T_PlannedOrders[WeekIndex],79)=0,"",SUMIFS(T_PlannedOrders[EffectiveQty],T_PlannedOrders[Part Name],$A49,T_PlannedOrders[WeekIndex],79)&amp;" ("&amp;TEXT(SUMPRODUCT(MAX((T_PlannedOrders[Part Name]=$A49)*(T_PlannedOrders[WeekIndex]=79)*(T_PlannedOrders[EffectiveQty]&gt;0)*T_PlannedOrders[Order_Month])),"m月")&amp;"発注)")</f>
        <v/>
      </c>
      <c r="CE55">
        <f>IF(SUMIFS(T_PlannedOrders[EffectiveQty],T_PlannedOrders[Part Name],$A49,T_PlannedOrders[WeekIndex],80)=0,"",SUMIFS(T_PlannedOrders[EffectiveQty],T_PlannedOrders[Part Name],$A49,T_PlannedOrders[WeekIndex],80)&amp;" ("&amp;TEXT(SUMPRODUCT(MAX((T_PlannedOrders[Part Name]=$A49)*(T_PlannedOrders[WeekIndex]=80)*(T_PlannedOrders[EffectiveQty]&gt;0)*T_PlannedOrders[Order_Month])),"m月")&amp;"発注)")</f>
        <v/>
      </c>
      <c r="CF55">
        <f>IF(SUMIFS(T_PlannedOrders[EffectiveQty],T_PlannedOrders[Part Name],$A49,T_PlannedOrders[WeekIndex],81)=0,"",SUMIFS(T_PlannedOrders[EffectiveQty],T_PlannedOrders[Part Name],$A49,T_PlannedOrders[WeekIndex],81)&amp;" ("&amp;TEXT(SUMPRODUCT(MAX((T_PlannedOrders[Part Name]=$A49)*(T_PlannedOrders[WeekIndex]=81)*(T_PlannedOrders[EffectiveQty]&gt;0)*T_PlannedOrders[Order_Month])),"m月")&amp;"発注)")</f>
        <v/>
      </c>
      <c r="CG55">
        <f>IF(SUMIFS(T_PlannedOrders[EffectiveQty],T_PlannedOrders[Part Name],$A49,T_PlannedOrders[WeekIndex],82)=0,"",SUMIFS(T_PlannedOrders[EffectiveQty],T_PlannedOrders[Part Name],$A49,T_PlannedOrders[WeekIndex],82)&amp;" ("&amp;TEXT(SUMPRODUCT(MAX((T_PlannedOrders[Part Name]=$A49)*(T_PlannedOrders[WeekIndex]=82)*(T_PlannedOrders[EffectiveQty]&gt;0)*T_PlannedOrders[Order_Month])),"m月")&amp;"発注)")</f>
        <v/>
      </c>
      <c r="CH55">
        <f>IF(SUMIFS(T_PlannedOrders[EffectiveQty],T_PlannedOrders[Part Name],$A49,T_PlannedOrders[WeekIndex],83)=0,"",SUMIFS(T_PlannedOrders[EffectiveQty],T_PlannedOrders[Part Name],$A49,T_PlannedOrders[WeekIndex],83)&amp;" ("&amp;TEXT(SUMPRODUCT(MAX((T_PlannedOrders[Part Name]=$A49)*(T_PlannedOrders[WeekIndex]=83)*(T_PlannedOrders[EffectiveQty]&gt;0)*T_PlannedOrders[Order_Month])),"m月")&amp;"発注)")</f>
        <v/>
      </c>
      <c r="CI55">
        <f>IF(SUMIFS(T_PlannedOrders[EffectiveQty],T_PlannedOrders[Part Name],$A49,T_PlannedOrders[WeekIndex],84)=0,"",SUMIFS(T_PlannedOrders[EffectiveQty],T_PlannedOrders[Part Name],$A49,T_PlannedOrders[WeekIndex],84)&amp;" ("&amp;TEXT(SUMPRODUCT(MAX((T_PlannedOrders[Part Name]=$A49)*(T_PlannedOrders[WeekIndex]=84)*(T_PlannedOrders[EffectiveQty]&gt;0)*T_PlannedOrders[Order_Month])),"m月")&amp;"発注)")</f>
        <v/>
      </c>
      <c r="CJ55">
        <f>IF(SUMIFS(T_PlannedOrders[EffectiveQty],T_PlannedOrders[Part Name],$A49,T_PlannedOrders[WeekIndex],85)=0,"",SUMIFS(T_PlannedOrders[EffectiveQty],T_PlannedOrders[Part Name],$A49,T_PlannedOrders[WeekIndex],85)&amp;" ("&amp;TEXT(SUMPRODUCT(MAX((T_PlannedOrders[Part Name]=$A49)*(T_PlannedOrders[WeekIndex]=85)*(T_PlannedOrders[EffectiveQty]&gt;0)*T_PlannedOrders[Order_Month])),"m月")&amp;"発注)")</f>
        <v/>
      </c>
      <c r="CK55">
        <f>IF(SUMIFS(T_PlannedOrders[EffectiveQty],T_PlannedOrders[Part Name],$A49,T_PlannedOrders[WeekIndex],86)=0,"",SUMIFS(T_PlannedOrders[EffectiveQty],T_PlannedOrders[Part Name],$A49,T_PlannedOrders[WeekIndex],86)&amp;" ("&amp;TEXT(SUMPRODUCT(MAX((T_PlannedOrders[Part Name]=$A49)*(T_PlannedOrders[WeekIndex]=86)*(T_PlannedOrders[EffectiveQty]&gt;0)*T_PlannedOrders[Order_Month])),"m月")&amp;"発注)")</f>
        <v/>
      </c>
      <c r="CL55">
        <f>IF(SUMIFS(T_PlannedOrders[EffectiveQty],T_PlannedOrders[Part Name],$A49,T_PlannedOrders[WeekIndex],87)=0,"",SUMIFS(T_PlannedOrders[EffectiveQty],T_PlannedOrders[Part Name],$A49,T_PlannedOrders[WeekIndex],87)&amp;" ("&amp;TEXT(SUMPRODUCT(MAX((T_PlannedOrders[Part Name]=$A49)*(T_PlannedOrders[WeekIndex]=87)*(T_PlannedOrders[EffectiveQty]&gt;0)*T_PlannedOrders[Order_Month])),"m月")&amp;"発注)")</f>
        <v/>
      </c>
      <c r="CM55">
        <f>IF(SUMIFS(T_PlannedOrders[EffectiveQty],T_PlannedOrders[Part Name],$A49,T_PlannedOrders[WeekIndex],88)=0,"",SUMIFS(T_PlannedOrders[EffectiveQty],T_PlannedOrders[Part Name],$A49,T_PlannedOrders[WeekIndex],88)&amp;" ("&amp;TEXT(SUMPRODUCT(MAX((T_PlannedOrders[Part Name]=$A49)*(T_PlannedOrders[WeekIndex]=88)*(T_PlannedOrders[EffectiveQty]&gt;0)*T_PlannedOrders[Order_Month])),"m月")&amp;"発注)")</f>
        <v/>
      </c>
      <c r="CN55">
        <f>IF(SUMIFS(T_PlannedOrders[EffectiveQty],T_PlannedOrders[Part Name],$A49,T_PlannedOrders[WeekIndex],89)=0,"",SUMIFS(T_PlannedOrders[EffectiveQty],T_PlannedOrders[Part Name],$A49,T_PlannedOrders[WeekIndex],89)&amp;" ("&amp;TEXT(SUMPRODUCT(MAX((T_PlannedOrders[Part Name]=$A49)*(T_PlannedOrders[WeekIndex]=89)*(T_PlannedOrders[EffectiveQty]&gt;0)*T_PlannedOrders[Order_Month])),"m月")&amp;"発注)")</f>
        <v/>
      </c>
      <c r="CO55">
        <f>IF(SUMIFS(T_PlannedOrders[EffectiveQty],T_PlannedOrders[Part Name],$A49,T_PlannedOrders[WeekIndex],90)=0,"",SUMIFS(T_PlannedOrders[EffectiveQty],T_PlannedOrders[Part Name],$A49,T_PlannedOrders[WeekIndex],90)&amp;" ("&amp;TEXT(SUMPRODUCT(MAX((T_PlannedOrders[Part Name]=$A49)*(T_PlannedOrders[WeekIndex]=90)*(T_PlannedOrders[EffectiveQty]&gt;0)*T_PlannedOrders[Order_Month])),"m月")&amp;"発注)")</f>
        <v/>
      </c>
      <c r="CP55">
        <f>IF(SUMIFS(T_PlannedOrders[EffectiveQty],T_PlannedOrders[Part Name],$A49,T_PlannedOrders[WeekIndex],91)=0,"",SUMIFS(T_PlannedOrders[EffectiveQty],T_PlannedOrders[Part Name],$A49,T_PlannedOrders[WeekIndex],91)&amp;" ("&amp;TEXT(SUMPRODUCT(MAX((T_PlannedOrders[Part Name]=$A49)*(T_PlannedOrders[WeekIndex]=91)*(T_PlannedOrders[EffectiveQty]&gt;0)*T_PlannedOrders[Order_Month])),"m月")&amp;"発注)")</f>
        <v/>
      </c>
      <c r="CQ55">
        <f>IF(SUMIFS(T_PlannedOrders[EffectiveQty],T_PlannedOrders[Part Name],$A49,T_PlannedOrders[WeekIndex],92)=0,"",SUMIFS(T_PlannedOrders[EffectiveQty],T_PlannedOrders[Part Name],$A49,T_PlannedOrders[WeekIndex],92)&amp;" ("&amp;TEXT(SUMPRODUCT(MAX((T_PlannedOrders[Part Name]=$A49)*(T_PlannedOrders[WeekIndex]=92)*(T_PlannedOrders[EffectiveQty]&gt;0)*T_PlannedOrders[Order_Month])),"m月")&amp;"発注)")</f>
        <v/>
      </c>
      <c r="CR55">
        <f>IF(SUMIFS(T_PlannedOrders[EffectiveQty],T_PlannedOrders[Part Name],$A49,T_PlannedOrders[WeekIndex],93)=0,"",SUMIFS(T_PlannedOrders[EffectiveQty],T_PlannedOrders[Part Name],$A49,T_PlannedOrders[WeekIndex],93)&amp;" ("&amp;TEXT(SUMPRODUCT(MAX((T_PlannedOrders[Part Name]=$A49)*(T_PlannedOrders[WeekIndex]=93)*(T_PlannedOrders[EffectiveQty]&gt;0)*T_PlannedOrders[Order_Month])),"m月")&amp;"発注)")</f>
        <v/>
      </c>
      <c r="CS55">
        <f>IF(SUMIFS(T_PlannedOrders[EffectiveQty],T_PlannedOrders[Part Name],$A49,T_PlannedOrders[WeekIndex],94)=0,"",SUMIFS(T_PlannedOrders[EffectiveQty],T_PlannedOrders[Part Name],$A49,T_PlannedOrders[WeekIndex],94)&amp;" ("&amp;TEXT(SUMPRODUCT(MAX((T_PlannedOrders[Part Name]=$A49)*(T_PlannedOrders[WeekIndex]=94)*(T_PlannedOrders[EffectiveQty]&gt;0)*T_PlannedOrders[Order_Month])),"m月")&amp;"発注)")</f>
        <v/>
      </c>
      <c r="CT55">
        <f>IF(SUMIFS(T_PlannedOrders[EffectiveQty],T_PlannedOrders[Part Name],$A49,T_PlannedOrders[WeekIndex],95)=0,"",SUMIFS(T_PlannedOrders[EffectiveQty],T_PlannedOrders[Part Name],$A49,T_PlannedOrders[WeekIndex],95)&amp;" ("&amp;TEXT(SUMPRODUCT(MAX((T_PlannedOrders[Part Name]=$A49)*(T_PlannedOrders[WeekIndex]=95)*(T_PlannedOrders[EffectiveQty]&gt;0)*T_PlannedOrders[Order_Month])),"m月")&amp;"発注)")</f>
        <v/>
      </c>
      <c r="CU55">
        <f>IF(SUMIFS(T_PlannedOrders[EffectiveQty],T_PlannedOrders[Part Name],$A49,T_PlannedOrders[WeekIndex],96)=0,"",SUMIFS(T_PlannedOrders[EffectiveQty],T_PlannedOrders[Part Name],$A49,T_PlannedOrders[WeekIndex],96)&amp;" ("&amp;TEXT(SUMPRODUCT(MAX((T_PlannedOrders[Part Name]=$A49)*(T_PlannedOrders[WeekIndex]=96)*(T_PlannedOrders[EffectiveQty]&gt;0)*T_PlannedOrders[Order_Month])),"m月")&amp;"発注)")</f>
        <v/>
      </c>
      <c r="CV55">
        <f>IF(SUMIFS(T_PlannedOrders[EffectiveQty],T_PlannedOrders[Part Name],$A49,T_PlannedOrders[WeekIndex],97)=0,"",SUMIFS(T_PlannedOrders[EffectiveQty],T_PlannedOrders[Part Name],$A49,T_PlannedOrders[WeekIndex],97)&amp;" ("&amp;TEXT(SUMPRODUCT(MAX((T_PlannedOrders[Part Name]=$A49)*(T_PlannedOrders[WeekIndex]=97)*(T_PlannedOrders[EffectiveQty]&gt;0)*T_PlannedOrders[Order_Month])),"m月")&amp;"発注)")</f>
        <v/>
      </c>
      <c r="CW55">
        <f>IF(SUMIFS(T_PlannedOrders[EffectiveQty],T_PlannedOrders[Part Name],$A49,T_PlannedOrders[WeekIndex],98)=0,"",SUMIFS(T_PlannedOrders[EffectiveQty],T_PlannedOrders[Part Name],$A49,T_PlannedOrders[WeekIndex],98)&amp;" ("&amp;TEXT(SUMPRODUCT(MAX((T_PlannedOrders[Part Name]=$A49)*(T_PlannedOrders[WeekIndex]=98)*(T_PlannedOrders[EffectiveQty]&gt;0)*T_PlannedOrders[Order_Month])),"m月")&amp;"発注)")</f>
        <v/>
      </c>
      <c r="CX55">
        <f>IF(SUMIFS(T_PlannedOrders[EffectiveQty],T_PlannedOrders[Part Name],$A49,T_PlannedOrders[WeekIndex],99)=0,"",SUMIFS(T_PlannedOrders[EffectiveQty],T_PlannedOrders[Part Name],$A49,T_PlannedOrders[WeekIndex],99)&amp;" ("&amp;TEXT(SUMPRODUCT(MAX((T_PlannedOrders[Part Name]=$A49)*(T_PlannedOrders[WeekIndex]=99)*(T_PlannedOrders[EffectiveQty]&gt;0)*T_PlannedOrders[Order_Month])),"m月")&amp;"発注)")</f>
        <v/>
      </c>
      <c r="CY55">
        <f>IF(SUMIFS(T_PlannedOrders[EffectiveQty],T_PlannedOrders[Part Name],$A49,T_PlannedOrders[WeekIndex],100)=0,"",SUMIFS(T_PlannedOrders[EffectiveQty],T_PlannedOrders[Part Name],$A49,T_PlannedOrders[WeekIndex],100)&amp;" ("&amp;TEXT(SUMPRODUCT(MAX((T_PlannedOrders[Part Name]=$A49)*(T_PlannedOrders[WeekIndex]=100)*(T_PlannedOrders[EffectiveQty]&gt;0)*T_PlannedOrders[Order_Month])),"m月")&amp;"発注)")</f>
        <v/>
      </c>
      <c r="CZ55">
        <f>IF(SUMIFS(T_PlannedOrders[EffectiveQty],T_PlannedOrders[Part Name],$A49,T_PlannedOrders[WeekIndex],101)=0,"",SUMIFS(T_PlannedOrders[EffectiveQty],T_PlannedOrders[Part Name],$A49,T_PlannedOrders[WeekIndex],101)&amp;" ("&amp;TEXT(SUMPRODUCT(MAX((T_PlannedOrders[Part Name]=$A49)*(T_PlannedOrders[WeekIndex]=101)*(T_PlannedOrders[EffectiveQty]&gt;0)*T_PlannedOrders[Order_Month])),"m月")&amp;"発注)")</f>
        <v/>
      </c>
      <c r="DA55">
        <f>IF(SUMIFS(T_PlannedOrders[EffectiveQty],T_PlannedOrders[Part Name],$A49,T_PlannedOrders[WeekIndex],102)=0,"",SUMIFS(T_PlannedOrders[EffectiveQty],T_PlannedOrders[Part Name],$A49,T_PlannedOrders[WeekIndex],102)&amp;" ("&amp;TEXT(SUMPRODUCT(MAX((T_PlannedOrders[Part Name]=$A49)*(T_PlannedOrders[WeekIndex]=102)*(T_PlannedOrders[EffectiveQty]&gt;0)*T_PlannedOrders[Order_Month])),"m月")&amp;"発注)")</f>
        <v/>
      </c>
      <c r="DB55">
        <f>IF(SUMIFS(T_PlannedOrders[EffectiveQty],T_PlannedOrders[Part Name],$A49,T_PlannedOrders[WeekIndex],103)=0,"",SUMIFS(T_PlannedOrders[EffectiveQty],T_PlannedOrders[Part Name],$A49,T_PlannedOrders[WeekIndex],103)&amp;" ("&amp;TEXT(SUMPRODUCT(MAX((T_PlannedOrders[Part Name]=$A49)*(T_PlannedOrders[WeekIndex]=103)*(T_PlannedOrders[EffectiveQty]&gt;0)*T_PlannedOrders[Order_Month])),"m月")&amp;"発注)")</f>
        <v/>
      </c>
      <c r="DC55">
        <f>IF(SUMIFS(T_PlannedOrders[EffectiveQty],T_PlannedOrders[Part Name],$A49,T_PlannedOrders[WeekIndex],104)=0,"",SUMIFS(T_PlannedOrders[EffectiveQty],T_PlannedOrders[Part Name],$A49,T_PlannedOrders[WeekIndex],104)&amp;" ("&amp;TEXT(SUMPRODUCT(MAX((T_PlannedOrders[Part Name]=$A49)*(T_PlannedOrders[WeekIndex]=104)*(T_PlannedOrders[EffectiveQty]&gt;0)*T_PlannedOrders[Order_Month])),"m月")&amp;"発注)")</f>
        <v/>
      </c>
    </row>
    <row r="56">
      <c r="B56" s="5" t="inlineStr">
        <is>
          <t>合計在庫(週末時点,kg)</t>
        </is>
      </c>
      <c r="D56">
        <f>'Grid_Stock'!B17</f>
        <v/>
      </c>
      <c r="E56">
        <f>'Grid_Stock'!C17</f>
        <v/>
      </c>
      <c r="F56">
        <f>'Grid_Stock'!D17</f>
        <v/>
      </c>
      <c r="G56">
        <f>'Grid_Stock'!E17</f>
        <v/>
      </c>
      <c r="H56">
        <f>'Grid_Stock'!F17</f>
        <v/>
      </c>
      <c r="I56">
        <f>'Grid_Stock'!G17</f>
        <v/>
      </c>
      <c r="J56">
        <f>'Grid_Stock'!H17</f>
        <v/>
      </c>
      <c r="K56">
        <f>'Grid_Stock'!I17</f>
        <v/>
      </c>
      <c r="L56">
        <f>'Grid_Stock'!J17</f>
        <v/>
      </c>
      <c r="M56">
        <f>'Grid_Stock'!K17</f>
        <v/>
      </c>
      <c r="N56">
        <f>'Grid_Stock'!L17</f>
        <v/>
      </c>
      <c r="O56">
        <f>'Grid_Stock'!M17</f>
        <v/>
      </c>
      <c r="P56">
        <f>'Grid_Stock'!N17</f>
        <v/>
      </c>
      <c r="Q56">
        <f>'Grid_Stock'!O17</f>
        <v/>
      </c>
      <c r="R56">
        <f>'Grid_Stock'!P17</f>
        <v/>
      </c>
      <c r="S56">
        <f>'Grid_Stock'!Q17</f>
        <v/>
      </c>
      <c r="T56">
        <f>'Grid_Stock'!R17</f>
        <v/>
      </c>
      <c r="U56">
        <f>'Grid_Stock'!S17</f>
        <v/>
      </c>
      <c r="V56">
        <f>'Grid_Stock'!T17</f>
        <v/>
      </c>
      <c r="W56">
        <f>'Grid_Stock'!U17</f>
        <v/>
      </c>
      <c r="X56">
        <f>'Grid_Stock'!V17</f>
        <v/>
      </c>
      <c r="Y56">
        <f>'Grid_Stock'!W17</f>
        <v/>
      </c>
      <c r="Z56">
        <f>'Grid_Stock'!X17</f>
        <v/>
      </c>
      <c r="AA56">
        <f>'Grid_Stock'!Y17</f>
        <v/>
      </c>
      <c r="AB56">
        <f>'Grid_Stock'!Z17</f>
        <v/>
      </c>
      <c r="AC56">
        <f>'Grid_Stock'!AA17</f>
        <v/>
      </c>
      <c r="AD56">
        <f>'Grid_Stock'!AB17</f>
        <v/>
      </c>
      <c r="AE56">
        <f>'Grid_Stock'!AC17</f>
        <v/>
      </c>
      <c r="AF56">
        <f>'Grid_Stock'!AD17</f>
        <v/>
      </c>
      <c r="AG56">
        <f>'Grid_Stock'!AE17</f>
        <v/>
      </c>
      <c r="AH56">
        <f>'Grid_Stock'!AF17</f>
        <v/>
      </c>
      <c r="AI56">
        <f>'Grid_Stock'!AG17</f>
        <v/>
      </c>
      <c r="AJ56">
        <f>'Grid_Stock'!AH17</f>
        <v/>
      </c>
      <c r="AK56">
        <f>'Grid_Stock'!AI17</f>
        <v/>
      </c>
      <c r="AL56">
        <f>'Grid_Stock'!AJ17</f>
        <v/>
      </c>
      <c r="AM56">
        <f>'Grid_Stock'!AK17</f>
        <v/>
      </c>
      <c r="AN56">
        <f>'Grid_Stock'!AL17</f>
        <v/>
      </c>
      <c r="AO56">
        <f>'Grid_Stock'!AM17</f>
        <v/>
      </c>
      <c r="AP56">
        <f>'Grid_Stock'!AN17</f>
        <v/>
      </c>
      <c r="AQ56">
        <f>'Grid_Stock'!AO17</f>
        <v/>
      </c>
      <c r="AR56">
        <f>'Grid_Stock'!AP17</f>
        <v/>
      </c>
      <c r="AS56">
        <f>'Grid_Stock'!AQ17</f>
        <v/>
      </c>
      <c r="AT56">
        <f>'Grid_Stock'!AR17</f>
        <v/>
      </c>
      <c r="AU56">
        <f>'Grid_Stock'!AS17</f>
        <v/>
      </c>
      <c r="AV56">
        <f>'Grid_Stock'!AT17</f>
        <v/>
      </c>
      <c r="AW56">
        <f>'Grid_Stock'!AU17</f>
        <v/>
      </c>
      <c r="AX56">
        <f>'Grid_Stock'!AV17</f>
        <v/>
      </c>
      <c r="AY56">
        <f>'Grid_Stock'!AW17</f>
        <v/>
      </c>
      <c r="AZ56">
        <f>'Grid_Stock'!AX17</f>
        <v/>
      </c>
      <c r="BA56">
        <f>'Grid_Stock'!AY17</f>
        <v/>
      </c>
      <c r="BB56">
        <f>'Grid_Stock'!AZ17</f>
        <v/>
      </c>
      <c r="BC56">
        <f>'Grid_Stock'!BA17</f>
        <v/>
      </c>
      <c r="BD56">
        <f>'Grid_Stock'!BB17</f>
        <v/>
      </c>
      <c r="BE56">
        <f>'Grid_Stock'!BC17</f>
        <v/>
      </c>
      <c r="BF56">
        <f>'Grid_Stock'!BD17</f>
        <v/>
      </c>
      <c r="BG56">
        <f>'Grid_Stock'!BE17</f>
        <v/>
      </c>
      <c r="BH56">
        <f>'Grid_Stock'!BF17</f>
        <v/>
      </c>
      <c r="BI56">
        <f>'Grid_Stock'!BG17</f>
        <v/>
      </c>
      <c r="BJ56">
        <f>'Grid_Stock'!BH17</f>
        <v/>
      </c>
      <c r="BK56">
        <f>'Grid_Stock'!BI17</f>
        <v/>
      </c>
      <c r="BL56">
        <f>'Grid_Stock'!BJ17</f>
        <v/>
      </c>
      <c r="BM56">
        <f>'Grid_Stock'!BK17</f>
        <v/>
      </c>
      <c r="BN56">
        <f>'Grid_Stock'!BL17</f>
        <v/>
      </c>
      <c r="BO56">
        <f>'Grid_Stock'!BM17</f>
        <v/>
      </c>
      <c r="BP56">
        <f>'Grid_Stock'!BN17</f>
        <v/>
      </c>
      <c r="BQ56">
        <f>'Grid_Stock'!BO17</f>
        <v/>
      </c>
      <c r="BR56">
        <f>'Grid_Stock'!BP17</f>
        <v/>
      </c>
      <c r="BS56">
        <f>'Grid_Stock'!BQ17</f>
        <v/>
      </c>
      <c r="BT56">
        <f>'Grid_Stock'!BR17</f>
        <v/>
      </c>
      <c r="BU56">
        <f>'Grid_Stock'!BS17</f>
        <v/>
      </c>
      <c r="BV56">
        <f>'Grid_Stock'!BT17</f>
        <v/>
      </c>
      <c r="BW56">
        <f>'Grid_Stock'!BU17</f>
        <v/>
      </c>
      <c r="BX56">
        <f>'Grid_Stock'!BV17</f>
        <v/>
      </c>
      <c r="BY56">
        <f>'Grid_Stock'!BW17</f>
        <v/>
      </c>
      <c r="BZ56">
        <f>'Grid_Stock'!BX17</f>
        <v/>
      </c>
      <c r="CA56">
        <f>'Grid_Stock'!BY17</f>
        <v/>
      </c>
      <c r="CB56">
        <f>'Grid_Stock'!BZ17</f>
        <v/>
      </c>
      <c r="CC56">
        <f>'Grid_Stock'!CA17</f>
        <v/>
      </c>
      <c r="CD56">
        <f>'Grid_Stock'!CB17</f>
        <v/>
      </c>
      <c r="CE56">
        <f>'Grid_Stock'!CC17</f>
        <v/>
      </c>
      <c r="CF56">
        <f>'Grid_Stock'!CD17</f>
        <v/>
      </c>
      <c r="CG56">
        <f>'Grid_Stock'!CE17</f>
        <v/>
      </c>
      <c r="CH56">
        <f>'Grid_Stock'!CF17</f>
        <v/>
      </c>
      <c r="CI56">
        <f>'Grid_Stock'!CG17</f>
        <v/>
      </c>
      <c r="CJ56">
        <f>'Grid_Stock'!CH17</f>
        <v/>
      </c>
      <c r="CK56">
        <f>'Grid_Stock'!CI17</f>
        <v/>
      </c>
      <c r="CL56">
        <f>'Grid_Stock'!CJ17</f>
        <v/>
      </c>
      <c r="CM56">
        <f>'Grid_Stock'!CK17</f>
        <v/>
      </c>
      <c r="CN56">
        <f>'Grid_Stock'!CL17</f>
        <v/>
      </c>
      <c r="CO56">
        <f>'Grid_Stock'!CM17</f>
        <v/>
      </c>
      <c r="CP56">
        <f>'Grid_Stock'!CN17</f>
        <v/>
      </c>
      <c r="CQ56">
        <f>'Grid_Stock'!CO17</f>
        <v/>
      </c>
      <c r="CR56">
        <f>'Grid_Stock'!CP17</f>
        <v/>
      </c>
      <c r="CS56">
        <f>'Grid_Stock'!CQ17</f>
        <v/>
      </c>
      <c r="CT56">
        <f>'Grid_Stock'!CR17</f>
        <v/>
      </c>
      <c r="CU56">
        <f>'Grid_Stock'!CS17</f>
        <v/>
      </c>
      <c r="CV56">
        <f>'Grid_Stock'!CT17</f>
        <v/>
      </c>
      <c r="CW56">
        <f>'Grid_Stock'!CU17</f>
        <v/>
      </c>
      <c r="CX56">
        <f>'Grid_Stock'!CV17</f>
        <v/>
      </c>
      <c r="CY56">
        <f>'Grid_Stock'!CW17</f>
        <v/>
      </c>
      <c r="CZ56">
        <f>'Grid_Stock'!CX17</f>
        <v/>
      </c>
      <c r="DA56">
        <f>'Grid_Stock'!CY17</f>
        <v/>
      </c>
      <c r="DB56">
        <f>'Grid_Stock'!CZ17</f>
        <v/>
      </c>
      <c r="DC56">
        <f>'Grid_Stock'!DA17</f>
        <v/>
      </c>
    </row>
    <row r="57">
      <c r="B57" s="23" t="inlineStr">
        <is>
          <t>（発注の目安はDashboardの基準在庫[下限/上限]と色分けを参照）</t>
        </is>
      </c>
    </row>
    <row r="59">
      <c r="A59" s="21" t="inlineStr">
        <is>
          <t>1EK</t>
        </is>
      </c>
      <c r="B59" s="21" t="inlineStr">
        <is>
          <t>Substrate NGK TP166-103-105xT1</t>
        </is>
      </c>
      <c r="C59" s="22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1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1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1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</row>
    <row r="60">
      <c r="B60" t="inlineStr">
        <is>
          <t>0T480</t>
        </is>
      </c>
      <c r="C60" t="inlineStr">
        <is>
          <t>No. of batches</t>
        </is>
      </c>
      <c r="D60">
        <f>IFERROR(INDEX(PP_Grid[#Data],$DD60,2),0)</f>
        <v/>
      </c>
      <c r="E60">
        <f>IFERROR(INDEX(PP_Grid[#Data],$DD60,3),0)</f>
        <v/>
      </c>
      <c r="F60">
        <f>IFERROR(INDEX(PP_Grid[#Data],$DD60,4),0)</f>
        <v/>
      </c>
      <c r="G60">
        <f>IFERROR(INDEX(PP_Grid[#Data],$DD60,5),0)</f>
        <v/>
      </c>
      <c r="H60">
        <f>IFERROR(INDEX(PP_Grid[#Data],$DD60,6),0)</f>
        <v/>
      </c>
      <c r="I60">
        <f>IFERROR(INDEX(PP_Grid[#Data],$DD60,7),0)</f>
        <v/>
      </c>
      <c r="J60">
        <f>IFERROR(INDEX(PP_Grid[#Data],$DD60,8),0)</f>
        <v/>
      </c>
      <c r="K60">
        <f>IFERROR(INDEX(PP_Grid[#Data],$DD60,9),0)</f>
        <v/>
      </c>
      <c r="L60">
        <f>IFERROR(INDEX(PP_Grid[#Data],$DD60,10),0)</f>
        <v/>
      </c>
      <c r="M60">
        <f>IFERROR(INDEX(PP_Grid[#Data],$DD60,11),0)</f>
        <v/>
      </c>
      <c r="N60">
        <f>IFERROR(INDEX(PP_Grid[#Data],$DD60,12),0)</f>
        <v/>
      </c>
      <c r="O60">
        <f>IFERROR(INDEX(PP_Grid[#Data],$DD60,13),0)</f>
        <v/>
      </c>
      <c r="P60">
        <f>IFERROR(INDEX(PP_Grid[#Data],$DD60,14),0)</f>
        <v/>
      </c>
      <c r="Q60">
        <f>IFERROR(INDEX(PP_Grid[#Data],$DD60,15),0)</f>
        <v/>
      </c>
      <c r="R60">
        <f>IFERROR(INDEX(PP_Grid[#Data],$DD60,16),0)</f>
        <v/>
      </c>
      <c r="S60">
        <f>IFERROR(INDEX(PP_Grid[#Data],$DD60,17),0)</f>
        <v/>
      </c>
      <c r="T60">
        <f>IFERROR(INDEX(PP_Grid[#Data],$DD60,18),0)</f>
        <v/>
      </c>
      <c r="U60">
        <f>IFERROR(INDEX(PP_Grid[#Data],$DD60,19),0)</f>
        <v/>
      </c>
      <c r="V60">
        <f>IFERROR(INDEX(PP_Grid[#Data],$DD60,20),0)</f>
        <v/>
      </c>
      <c r="W60">
        <f>IFERROR(INDEX(PP_Grid[#Data],$DD60,21),0)</f>
        <v/>
      </c>
      <c r="X60">
        <f>IFERROR(INDEX(PP_Grid[#Data],$DD60,22),0)</f>
        <v/>
      </c>
      <c r="Y60">
        <f>IFERROR(INDEX(PP_Grid[#Data],$DD60,23),0)</f>
        <v/>
      </c>
      <c r="Z60">
        <f>IFERROR(INDEX(PP_Grid[#Data],$DD60,24),0)</f>
        <v/>
      </c>
      <c r="AA60">
        <f>IFERROR(INDEX(PP_Grid[#Data],$DD60,25),0)</f>
        <v/>
      </c>
      <c r="AB60">
        <f>IFERROR(INDEX(PP_Grid[#Data],$DD60,26),0)</f>
        <v/>
      </c>
      <c r="AC60">
        <f>IFERROR(INDEX(PP_Grid[#Data],$DD60,27),0)</f>
        <v/>
      </c>
      <c r="AD60">
        <f>IFERROR(INDEX(PP_Grid[#Data],$DD60,28),0)</f>
        <v/>
      </c>
      <c r="AE60">
        <f>IFERROR(INDEX(PP_Grid[#Data],$DD60,29),0)</f>
        <v/>
      </c>
      <c r="AF60">
        <f>IFERROR(INDEX(PP_Grid[#Data],$DD60,30),0)</f>
        <v/>
      </c>
      <c r="AG60">
        <f>IFERROR(INDEX(PP_Grid[#Data],$DD60,31),0)</f>
        <v/>
      </c>
      <c r="AH60">
        <f>IFERROR(INDEX(PP_Grid[#Data],$DD60,32),0)</f>
        <v/>
      </c>
      <c r="AI60">
        <f>IFERROR(INDEX(PP_Grid[#Data],$DD60,33),0)</f>
        <v/>
      </c>
      <c r="AJ60">
        <f>IFERROR(INDEX(PP_Grid[#Data],$DD60,34),0)</f>
        <v/>
      </c>
      <c r="AK60">
        <f>IFERROR(INDEX(PP_Grid[#Data],$DD60,35),0)</f>
        <v/>
      </c>
      <c r="AL60">
        <f>IFERROR(INDEX(PP_Grid[#Data],$DD60,36),0)</f>
        <v/>
      </c>
      <c r="AM60">
        <f>IFERROR(INDEX(PP_Grid[#Data],$DD60,37),0)</f>
        <v/>
      </c>
      <c r="AN60">
        <f>IFERROR(INDEX(PP_Grid[#Data],$DD60,38),0)</f>
        <v/>
      </c>
      <c r="AO60">
        <f>IFERROR(INDEX(PP_Grid[#Data],$DD60,39),0)</f>
        <v/>
      </c>
      <c r="AP60">
        <f>IFERROR(INDEX(PP_Grid[#Data],$DD60,40),0)</f>
        <v/>
      </c>
      <c r="AQ60">
        <f>IFERROR(INDEX(PP_Grid[#Data],$DD60,41),0)</f>
        <v/>
      </c>
      <c r="AR60">
        <f>IFERROR(INDEX(PP_Grid[#Data],$DD60,42),0)</f>
        <v/>
      </c>
      <c r="AS60">
        <f>IFERROR(INDEX(PP_Grid[#Data],$DD60,43),0)</f>
        <v/>
      </c>
      <c r="AT60">
        <f>IFERROR(INDEX(PP_Grid[#Data],$DD60,44),0)</f>
        <v/>
      </c>
      <c r="AU60">
        <f>IFERROR(INDEX(PP_Grid[#Data],$DD60,45),0)</f>
        <v/>
      </c>
      <c r="AV60">
        <f>IFERROR(INDEX(PP_Grid[#Data],$DD60,46),0)</f>
        <v/>
      </c>
      <c r="AW60">
        <f>IFERROR(INDEX(PP_Grid[#Data],$DD60,47),0)</f>
        <v/>
      </c>
      <c r="AX60">
        <f>IFERROR(INDEX(PP_Grid[#Data],$DD60,48),0)</f>
        <v/>
      </c>
      <c r="AY60">
        <f>IFERROR(INDEX(PP_Grid[#Data],$DD60,49),0)</f>
        <v/>
      </c>
      <c r="AZ60">
        <f>IFERROR(INDEX(PP_Grid[#Data],$DD60,50),0)</f>
        <v/>
      </c>
      <c r="BA60">
        <f>IFERROR(INDEX(PP_Grid[#Data],$DD60,51),0)</f>
        <v/>
      </c>
      <c r="BB60">
        <f>IFERROR(INDEX(PP_Grid[#Data],$DD60,52),0)</f>
        <v/>
      </c>
      <c r="BC60">
        <f>IFERROR(INDEX(PP_Grid[#Data],$DD60,53),0)</f>
        <v/>
      </c>
      <c r="BD60">
        <f>IFERROR(INDEX(PP_Grid[#Data],$DD60,54),0)</f>
        <v/>
      </c>
      <c r="BE60">
        <f>IFERROR(INDEX(PP_Grid[#Data],$DD60,55),0)</f>
        <v/>
      </c>
      <c r="BF60">
        <f>IFERROR(INDEX(PP_Grid[#Data],$DD60,56),0)</f>
        <v/>
      </c>
      <c r="BG60">
        <f>IFERROR(INDEX(PP_Grid[#Data],$DD60,57),0)</f>
        <v/>
      </c>
      <c r="BH60">
        <f>IFERROR(INDEX(PP_Grid[#Data],$DD60,58),0)</f>
        <v/>
      </c>
      <c r="BI60">
        <f>IFERROR(INDEX(PP_Grid[#Data],$DD60,59),0)</f>
        <v/>
      </c>
      <c r="BJ60">
        <f>IFERROR(INDEX(PP_Grid[#Data],$DD60,60),0)</f>
        <v/>
      </c>
      <c r="BK60">
        <f>IFERROR(INDEX(PP_Grid[#Data],$DD60,61),0)</f>
        <v/>
      </c>
      <c r="BL60">
        <f>IFERROR(INDEX(PP_Grid[#Data],$DD60,62),0)</f>
        <v/>
      </c>
      <c r="BM60">
        <f>IFERROR(INDEX(PP_Grid[#Data],$DD60,63),0)</f>
        <v/>
      </c>
      <c r="BN60">
        <f>IFERROR(INDEX(PP_Grid[#Data],$DD60,64),0)</f>
        <v/>
      </c>
      <c r="BO60">
        <f>IFERROR(INDEX(PP_Grid[#Data],$DD60,65),0)</f>
        <v/>
      </c>
      <c r="BP60">
        <f>IFERROR(INDEX(PP_Grid[#Data],$DD60,66),0)</f>
        <v/>
      </c>
      <c r="BQ60">
        <f>IFERROR(INDEX(PP_Grid[#Data],$DD60,67),0)</f>
        <v/>
      </c>
      <c r="BR60">
        <f>IFERROR(INDEX(PP_Grid[#Data],$DD60,68),0)</f>
        <v/>
      </c>
      <c r="BS60">
        <f>IFERROR(INDEX(PP_Grid[#Data],$DD60,69),0)</f>
        <v/>
      </c>
      <c r="BT60">
        <f>IFERROR(INDEX(PP_Grid[#Data],$DD60,70),0)</f>
        <v/>
      </c>
      <c r="BU60">
        <f>IFERROR(INDEX(PP_Grid[#Data],$DD60,71),0)</f>
        <v/>
      </c>
      <c r="BV60">
        <f>IFERROR(INDEX(PP_Grid[#Data],$DD60,72),0)</f>
        <v/>
      </c>
      <c r="BW60">
        <f>IFERROR(INDEX(PP_Grid[#Data],$DD60,73),0)</f>
        <v/>
      </c>
      <c r="BX60">
        <f>IFERROR(INDEX(PP_Grid[#Data],$DD60,74),0)</f>
        <v/>
      </c>
      <c r="BY60">
        <f>IFERROR(INDEX(PP_Grid[#Data],$DD60,75),0)</f>
        <v/>
      </c>
      <c r="BZ60">
        <f>IFERROR(INDEX(PP_Grid[#Data],$DD60,76),0)</f>
        <v/>
      </c>
      <c r="CA60">
        <f>IFERROR(INDEX(PP_Grid[#Data],$DD60,77),0)</f>
        <v/>
      </c>
      <c r="CB60">
        <f>IFERROR(INDEX(PP_Grid[#Data],$DD60,78),0)</f>
        <v/>
      </c>
      <c r="CC60">
        <f>IFERROR(INDEX(PP_Grid[#Data],$DD60,79),0)</f>
        <v/>
      </c>
      <c r="CD60">
        <f>IFERROR(INDEX(PP_Grid[#Data],$DD60,80),0)</f>
        <v/>
      </c>
      <c r="CE60">
        <f>IFERROR(INDEX(PP_Grid[#Data],$DD60,81),0)</f>
        <v/>
      </c>
      <c r="CF60">
        <f>IFERROR(INDEX(PP_Grid[#Data],$DD60,82),0)</f>
        <v/>
      </c>
      <c r="CG60">
        <f>IFERROR(INDEX(PP_Grid[#Data],$DD60,83),0)</f>
        <v/>
      </c>
      <c r="CH60">
        <f>IFERROR(INDEX(PP_Grid[#Data],$DD60,84),0)</f>
        <v/>
      </c>
      <c r="CI60">
        <f>IFERROR(INDEX(PP_Grid[#Data],$DD60,85),0)</f>
        <v/>
      </c>
      <c r="CJ60">
        <f>IFERROR(INDEX(PP_Grid[#Data],$DD60,86),0)</f>
        <v/>
      </c>
      <c r="CK60">
        <f>IFERROR(INDEX(PP_Grid[#Data],$DD60,87),0)</f>
        <v/>
      </c>
      <c r="CL60">
        <f>IFERROR(INDEX(PP_Grid[#Data],$DD60,88),0)</f>
        <v/>
      </c>
      <c r="CM60">
        <f>IFERROR(INDEX(PP_Grid[#Data],$DD60,89),0)</f>
        <v/>
      </c>
      <c r="CN60">
        <f>IFERROR(INDEX(PP_Grid[#Data],$DD60,90),0)</f>
        <v/>
      </c>
      <c r="CO60">
        <f>IFERROR(INDEX(PP_Grid[#Data],$DD60,91),0)</f>
        <v/>
      </c>
      <c r="CP60">
        <f>IFERROR(INDEX(PP_Grid[#Data],$DD60,92),0)</f>
        <v/>
      </c>
      <c r="CQ60">
        <f>IFERROR(INDEX(PP_Grid[#Data],$DD60,93),0)</f>
        <v/>
      </c>
      <c r="CR60">
        <f>IFERROR(INDEX(PP_Grid[#Data],$DD60,94),0)</f>
        <v/>
      </c>
      <c r="CS60">
        <f>IFERROR(INDEX(PP_Grid[#Data],$DD60,95),0)</f>
        <v/>
      </c>
      <c r="CT60">
        <f>IFERROR(INDEX(PP_Grid[#Data],$DD60,96),0)</f>
        <v/>
      </c>
      <c r="CU60">
        <f>IFERROR(INDEX(PP_Grid[#Data],$DD60,97),0)</f>
        <v/>
      </c>
      <c r="CV60">
        <f>IFERROR(INDEX(PP_Grid[#Data],$DD60,98),0)</f>
        <v/>
      </c>
      <c r="CW60">
        <f>IFERROR(INDEX(PP_Grid[#Data],$DD60,99),0)</f>
        <v/>
      </c>
      <c r="CX60">
        <f>IFERROR(INDEX(PP_Grid[#Data],$DD60,100),0)</f>
        <v/>
      </c>
      <c r="CY60">
        <f>IFERROR(INDEX(PP_Grid[#Data],$DD60,101),0)</f>
        <v/>
      </c>
      <c r="CZ60">
        <f>IFERROR(INDEX(PP_Grid[#Data],$DD60,102),0)</f>
        <v/>
      </c>
      <c r="DA60">
        <f>IFERROR(INDEX(PP_Grid[#Data],$DD60,103),0)</f>
        <v/>
      </c>
      <c r="DB60">
        <f>IFERROR(INDEX(PP_Grid[#Data],$DD60,104),0)</f>
        <v/>
      </c>
      <c r="DC60">
        <f>IFERROR(INDEX(PP_Grid[#Data],$DD60,105),0)</f>
        <v/>
      </c>
      <c r="DD60" s="12">
        <f>IFERROR(MATCH($B60,PP_Grid[Intermediate],0),99999)</f>
        <v/>
      </c>
    </row>
    <row r="61">
      <c r="B61" t="inlineStr">
        <is>
          <t>使用量(kg)</t>
        </is>
      </c>
      <c r="C61">
        <f>SUMIFS(M_BOM[RM_Qty_Per_Batch],M_BOM[Intermediate],$B60,M_BOM[Part Name],$A59)</f>
        <v/>
      </c>
      <c r="D61">
        <f>$C61*D60</f>
        <v/>
      </c>
      <c r="E61">
        <f>$C61*E60</f>
        <v/>
      </c>
      <c r="F61">
        <f>$C61*F60</f>
        <v/>
      </c>
      <c r="G61">
        <f>$C61*G60</f>
        <v/>
      </c>
      <c r="H61">
        <f>$C61*H60</f>
        <v/>
      </c>
      <c r="I61">
        <f>$C61*I60</f>
        <v/>
      </c>
      <c r="J61">
        <f>$C61*J60</f>
        <v/>
      </c>
      <c r="K61">
        <f>$C61*K60</f>
        <v/>
      </c>
      <c r="L61">
        <f>$C61*L60</f>
        <v/>
      </c>
      <c r="M61">
        <f>$C61*M60</f>
        <v/>
      </c>
      <c r="N61">
        <f>$C61*N60</f>
        <v/>
      </c>
      <c r="O61">
        <f>$C61*O60</f>
        <v/>
      </c>
      <c r="P61">
        <f>$C61*P60</f>
        <v/>
      </c>
      <c r="Q61">
        <f>$C61*Q60</f>
        <v/>
      </c>
      <c r="R61">
        <f>$C61*R60</f>
        <v/>
      </c>
      <c r="S61">
        <f>$C61*S60</f>
        <v/>
      </c>
      <c r="T61">
        <f>$C61*T60</f>
        <v/>
      </c>
      <c r="U61">
        <f>$C61*U60</f>
        <v/>
      </c>
      <c r="V61">
        <f>$C61*V60</f>
        <v/>
      </c>
      <c r="W61">
        <f>$C61*W60</f>
        <v/>
      </c>
      <c r="X61">
        <f>$C61*X60</f>
        <v/>
      </c>
      <c r="Y61">
        <f>$C61*Y60</f>
        <v/>
      </c>
      <c r="Z61">
        <f>$C61*Z60</f>
        <v/>
      </c>
      <c r="AA61">
        <f>$C61*AA60</f>
        <v/>
      </c>
      <c r="AB61">
        <f>$C61*AB60</f>
        <v/>
      </c>
      <c r="AC61">
        <f>$C61*AC60</f>
        <v/>
      </c>
      <c r="AD61">
        <f>$C61*AD60</f>
        <v/>
      </c>
      <c r="AE61">
        <f>$C61*AE60</f>
        <v/>
      </c>
      <c r="AF61">
        <f>$C61*AF60</f>
        <v/>
      </c>
      <c r="AG61">
        <f>$C61*AG60</f>
        <v/>
      </c>
      <c r="AH61">
        <f>$C61*AH60</f>
        <v/>
      </c>
      <c r="AI61">
        <f>$C61*AI60</f>
        <v/>
      </c>
      <c r="AJ61">
        <f>$C61*AJ60</f>
        <v/>
      </c>
      <c r="AK61">
        <f>$C61*AK60</f>
        <v/>
      </c>
      <c r="AL61">
        <f>$C61*AL60</f>
        <v/>
      </c>
      <c r="AM61">
        <f>$C61*AM60</f>
        <v/>
      </c>
      <c r="AN61">
        <f>$C61*AN60</f>
        <v/>
      </c>
      <c r="AO61">
        <f>$C61*AO60</f>
        <v/>
      </c>
      <c r="AP61">
        <f>$C61*AP60</f>
        <v/>
      </c>
      <c r="AQ61">
        <f>$C61*AQ60</f>
        <v/>
      </c>
      <c r="AR61">
        <f>$C61*AR60</f>
        <v/>
      </c>
      <c r="AS61">
        <f>$C61*AS60</f>
        <v/>
      </c>
      <c r="AT61">
        <f>$C61*AT60</f>
        <v/>
      </c>
      <c r="AU61">
        <f>$C61*AU60</f>
        <v/>
      </c>
      <c r="AV61">
        <f>$C61*AV60</f>
        <v/>
      </c>
      <c r="AW61">
        <f>$C61*AW60</f>
        <v/>
      </c>
      <c r="AX61">
        <f>$C61*AX60</f>
        <v/>
      </c>
      <c r="AY61">
        <f>$C61*AY60</f>
        <v/>
      </c>
      <c r="AZ61">
        <f>$C61*AZ60</f>
        <v/>
      </c>
      <c r="BA61">
        <f>$C61*BA60</f>
        <v/>
      </c>
      <c r="BB61">
        <f>$C61*BB60</f>
        <v/>
      </c>
      <c r="BC61">
        <f>$C61*BC60</f>
        <v/>
      </c>
      <c r="BD61">
        <f>$C61*BD60</f>
        <v/>
      </c>
      <c r="BE61">
        <f>$C61*BE60</f>
        <v/>
      </c>
      <c r="BF61">
        <f>$C61*BF60</f>
        <v/>
      </c>
      <c r="BG61">
        <f>$C61*BG60</f>
        <v/>
      </c>
      <c r="BH61">
        <f>$C61*BH60</f>
        <v/>
      </c>
      <c r="BI61">
        <f>$C61*BI60</f>
        <v/>
      </c>
      <c r="BJ61">
        <f>$C61*BJ60</f>
        <v/>
      </c>
      <c r="BK61">
        <f>$C61*BK60</f>
        <v/>
      </c>
      <c r="BL61">
        <f>$C61*BL60</f>
        <v/>
      </c>
      <c r="BM61">
        <f>$C61*BM60</f>
        <v/>
      </c>
      <c r="BN61">
        <f>$C61*BN60</f>
        <v/>
      </c>
      <c r="BO61">
        <f>$C61*BO60</f>
        <v/>
      </c>
      <c r="BP61">
        <f>$C61*BP60</f>
        <v/>
      </c>
      <c r="BQ61">
        <f>$C61*BQ60</f>
        <v/>
      </c>
      <c r="BR61">
        <f>$C61*BR60</f>
        <v/>
      </c>
      <c r="BS61">
        <f>$C61*BS60</f>
        <v/>
      </c>
      <c r="BT61">
        <f>$C61*BT60</f>
        <v/>
      </c>
      <c r="BU61">
        <f>$C61*BU60</f>
        <v/>
      </c>
      <c r="BV61">
        <f>$C61*BV60</f>
        <v/>
      </c>
      <c r="BW61">
        <f>$C61*BW60</f>
        <v/>
      </c>
      <c r="BX61">
        <f>$C61*BX60</f>
        <v/>
      </c>
      <c r="BY61">
        <f>$C61*BY60</f>
        <v/>
      </c>
      <c r="BZ61">
        <f>$C61*BZ60</f>
        <v/>
      </c>
      <c r="CA61">
        <f>$C61*CA60</f>
        <v/>
      </c>
      <c r="CB61">
        <f>$C61*CB60</f>
        <v/>
      </c>
      <c r="CC61">
        <f>$C61*CC60</f>
        <v/>
      </c>
      <c r="CD61">
        <f>$C61*CD60</f>
        <v/>
      </c>
      <c r="CE61">
        <f>$C61*CE60</f>
        <v/>
      </c>
      <c r="CF61">
        <f>$C61*CF60</f>
        <v/>
      </c>
      <c r="CG61">
        <f>$C61*CG60</f>
        <v/>
      </c>
      <c r="CH61">
        <f>$C61*CH60</f>
        <v/>
      </c>
      <c r="CI61">
        <f>$C61*CI60</f>
        <v/>
      </c>
      <c r="CJ61">
        <f>$C61*CJ60</f>
        <v/>
      </c>
      <c r="CK61">
        <f>$C61*CK60</f>
        <v/>
      </c>
      <c r="CL61">
        <f>$C61*CL60</f>
        <v/>
      </c>
      <c r="CM61">
        <f>$C61*CM60</f>
        <v/>
      </c>
      <c r="CN61">
        <f>$C61*CN60</f>
        <v/>
      </c>
      <c r="CO61">
        <f>$C61*CO60</f>
        <v/>
      </c>
      <c r="CP61">
        <f>$C61*CP60</f>
        <v/>
      </c>
      <c r="CQ61">
        <f>$C61*CQ60</f>
        <v/>
      </c>
      <c r="CR61">
        <f>$C61*CR60</f>
        <v/>
      </c>
      <c r="CS61">
        <f>$C61*CS60</f>
        <v/>
      </c>
      <c r="CT61">
        <f>$C61*CT60</f>
        <v/>
      </c>
      <c r="CU61">
        <f>$C61*CU60</f>
        <v/>
      </c>
      <c r="CV61">
        <f>$C61*CV60</f>
        <v/>
      </c>
      <c r="CW61">
        <f>$C61*CW60</f>
        <v/>
      </c>
      <c r="CX61">
        <f>$C61*CX60</f>
        <v/>
      </c>
      <c r="CY61">
        <f>$C61*CY60</f>
        <v/>
      </c>
      <c r="CZ61">
        <f>$C61*CZ60</f>
        <v/>
      </c>
      <c r="DA61">
        <f>$C61*DA60</f>
        <v/>
      </c>
      <c r="DB61">
        <f>$C61*DB60</f>
        <v/>
      </c>
      <c r="DC61">
        <f>$C61*DC60</f>
        <v/>
      </c>
    </row>
    <row r="62">
      <c r="B62" t="inlineStr">
        <is>
          <t>0T690</t>
        </is>
      </c>
      <c r="C62" t="inlineStr">
        <is>
          <t>No. of batches</t>
        </is>
      </c>
      <c r="D62">
        <f>IFERROR(INDEX(PP_Grid[#Data],$DD62,2),0)</f>
        <v/>
      </c>
      <c r="E62">
        <f>IFERROR(INDEX(PP_Grid[#Data],$DD62,3),0)</f>
        <v/>
      </c>
      <c r="F62">
        <f>IFERROR(INDEX(PP_Grid[#Data],$DD62,4),0)</f>
        <v/>
      </c>
      <c r="G62">
        <f>IFERROR(INDEX(PP_Grid[#Data],$DD62,5),0)</f>
        <v/>
      </c>
      <c r="H62">
        <f>IFERROR(INDEX(PP_Grid[#Data],$DD62,6),0)</f>
        <v/>
      </c>
      <c r="I62">
        <f>IFERROR(INDEX(PP_Grid[#Data],$DD62,7),0)</f>
        <v/>
      </c>
      <c r="J62">
        <f>IFERROR(INDEX(PP_Grid[#Data],$DD62,8),0)</f>
        <v/>
      </c>
      <c r="K62">
        <f>IFERROR(INDEX(PP_Grid[#Data],$DD62,9),0)</f>
        <v/>
      </c>
      <c r="L62">
        <f>IFERROR(INDEX(PP_Grid[#Data],$DD62,10),0)</f>
        <v/>
      </c>
      <c r="M62">
        <f>IFERROR(INDEX(PP_Grid[#Data],$DD62,11),0)</f>
        <v/>
      </c>
      <c r="N62">
        <f>IFERROR(INDEX(PP_Grid[#Data],$DD62,12),0)</f>
        <v/>
      </c>
      <c r="O62">
        <f>IFERROR(INDEX(PP_Grid[#Data],$DD62,13),0)</f>
        <v/>
      </c>
      <c r="P62">
        <f>IFERROR(INDEX(PP_Grid[#Data],$DD62,14),0)</f>
        <v/>
      </c>
      <c r="Q62">
        <f>IFERROR(INDEX(PP_Grid[#Data],$DD62,15),0)</f>
        <v/>
      </c>
      <c r="R62">
        <f>IFERROR(INDEX(PP_Grid[#Data],$DD62,16),0)</f>
        <v/>
      </c>
      <c r="S62">
        <f>IFERROR(INDEX(PP_Grid[#Data],$DD62,17),0)</f>
        <v/>
      </c>
      <c r="T62">
        <f>IFERROR(INDEX(PP_Grid[#Data],$DD62,18),0)</f>
        <v/>
      </c>
      <c r="U62">
        <f>IFERROR(INDEX(PP_Grid[#Data],$DD62,19),0)</f>
        <v/>
      </c>
      <c r="V62">
        <f>IFERROR(INDEX(PP_Grid[#Data],$DD62,20),0)</f>
        <v/>
      </c>
      <c r="W62">
        <f>IFERROR(INDEX(PP_Grid[#Data],$DD62,21),0)</f>
        <v/>
      </c>
      <c r="X62">
        <f>IFERROR(INDEX(PP_Grid[#Data],$DD62,22),0)</f>
        <v/>
      </c>
      <c r="Y62">
        <f>IFERROR(INDEX(PP_Grid[#Data],$DD62,23),0)</f>
        <v/>
      </c>
      <c r="Z62">
        <f>IFERROR(INDEX(PP_Grid[#Data],$DD62,24),0)</f>
        <v/>
      </c>
      <c r="AA62">
        <f>IFERROR(INDEX(PP_Grid[#Data],$DD62,25),0)</f>
        <v/>
      </c>
      <c r="AB62">
        <f>IFERROR(INDEX(PP_Grid[#Data],$DD62,26),0)</f>
        <v/>
      </c>
      <c r="AC62">
        <f>IFERROR(INDEX(PP_Grid[#Data],$DD62,27),0)</f>
        <v/>
      </c>
      <c r="AD62">
        <f>IFERROR(INDEX(PP_Grid[#Data],$DD62,28),0)</f>
        <v/>
      </c>
      <c r="AE62">
        <f>IFERROR(INDEX(PP_Grid[#Data],$DD62,29),0)</f>
        <v/>
      </c>
      <c r="AF62">
        <f>IFERROR(INDEX(PP_Grid[#Data],$DD62,30),0)</f>
        <v/>
      </c>
      <c r="AG62">
        <f>IFERROR(INDEX(PP_Grid[#Data],$DD62,31),0)</f>
        <v/>
      </c>
      <c r="AH62">
        <f>IFERROR(INDEX(PP_Grid[#Data],$DD62,32),0)</f>
        <v/>
      </c>
      <c r="AI62">
        <f>IFERROR(INDEX(PP_Grid[#Data],$DD62,33),0)</f>
        <v/>
      </c>
      <c r="AJ62">
        <f>IFERROR(INDEX(PP_Grid[#Data],$DD62,34),0)</f>
        <v/>
      </c>
      <c r="AK62">
        <f>IFERROR(INDEX(PP_Grid[#Data],$DD62,35),0)</f>
        <v/>
      </c>
      <c r="AL62">
        <f>IFERROR(INDEX(PP_Grid[#Data],$DD62,36),0)</f>
        <v/>
      </c>
      <c r="AM62">
        <f>IFERROR(INDEX(PP_Grid[#Data],$DD62,37),0)</f>
        <v/>
      </c>
      <c r="AN62">
        <f>IFERROR(INDEX(PP_Grid[#Data],$DD62,38),0)</f>
        <v/>
      </c>
      <c r="AO62">
        <f>IFERROR(INDEX(PP_Grid[#Data],$DD62,39),0)</f>
        <v/>
      </c>
      <c r="AP62">
        <f>IFERROR(INDEX(PP_Grid[#Data],$DD62,40),0)</f>
        <v/>
      </c>
      <c r="AQ62">
        <f>IFERROR(INDEX(PP_Grid[#Data],$DD62,41),0)</f>
        <v/>
      </c>
      <c r="AR62">
        <f>IFERROR(INDEX(PP_Grid[#Data],$DD62,42),0)</f>
        <v/>
      </c>
      <c r="AS62">
        <f>IFERROR(INDEX(PP_Grid[#Data],$DD62,43),0)</f>
        <v/>
      </c>
      <c r="AT62">
        <f>IFERROR(INDEX(PP_Grid[#Data],$DD62,44),0)</f>
        <v/>
      </c>
      <c r="AU62">
        <f>IFERROR(INDEX(PP_Grid[#Data],$DD62,45),0)</f>
        <v/>
      </c>
      <c r="AV62">
        <f>IFERROR(INDEX(PP_Grid[#Data],$DD62,46),0)</f>
        <v/>
      </c>
      <c r="AW62">
        <f>IFERROR(INDEX(PP_Grid[#Data],$DD62,47),0)</f>
        <v/>
      </c>
      <c r="AX62">
        <f>IFERROR(INDEX(PP_Grid[#Data],$DD62,48),0)</f>
        <v/>
      </c>
      <c r="AY62">
        <f>IFERROR(INDEX(PP_Grid[#Data],$DD62,49),0)</f>
        <v/>
      </c>
      <c r="AZ62">
        <f>IFERROR(INDEX(PP_Grid[#Data],$DD62,50),0)</f>
        <v/>
      </c>
      <c r="BA62">
        <f>IFERROR(INDEX(PP_Grid[#Data],$DD62,51),0)</f>
        <v/>
      </c>
      <c r="BB62">
        <f>IFERROR(INDEX(PP_Grid[#Data],$DD62,52),0)</f>
        <v/>
      </c>
      <c r="BC62">
        <f>IFERROR(INDEX(PP_Grid[#Data],$DD62,53),0)</f>
        <v/>
      </c>
      <c r="BD62">
        <f>IFERROR(INDEX(PP_Grid[#Data],$DD62,54),0)</f>
        <v/>
      </c>
      <c r="BE62">
        <f>IFERROR(INDEX(PP_Grid[#Data],$DD62,55),0)</f>
        <v/>
      </c>
      <c r="BF62">
        <f>IFERROR(INDEX(PP_Grid[#Data],$DD62,56),0)</f>
        <v/>
      </c>
      <c r="BG62">
        <f>IFERROR(INDEX(PP_Grid[#Data],$DD62,57),0)</f>
        <v/>
      </c>
      <c r="BH62">
        <f>IFERROR(INDEX(PP_Grid[#Data],$DD62,58),0)</f>
        <v/>
      </c>
      <c r="BI62">
        <f>IFERROR(INDEX(PP_Grid[#Data],$DD62,59),0)</f>
        <v/>
      </c>
      <c r="BJ62">
        <f>IFERROR(INDEX(PP_Grid[#Data],$DD62,60),0)</f>
        <v/>
      </c>
      <c r="BK62">
        <f>IFERROR(INDEX(PP_Grid[#Data],$DD62,61),0)</f>
        <v/>
      </c>
      <c r="BL62">
        <f>IFERROR(INDEX(PP_Grid[#Data],$DD62,62),0)</f>
        <v/>
      </c>
      <c r="BM62">
        <f>IFERROR(INDEX(PP_Grid[#Data],$DD62,63),0)</f>
        <v/>
      </c>
      <c r="BN62">
        <f>IFERROR(INDEX(PP_Grid[#Data],$DD62,64),0)</f>
        <v/>
      </c>
      <c r="BO62">
        <f>IFERROR(INDEX(PP_Grid[#Data],$DD62,65),0)</f>
        <v/>
      </c>
      <c r="BP62">
        <f>IFERROR(INDEX(PP_Grid[#Data],$DD62,66),0)</f>
        <v/>
      </c>
      <c r="BQ62">
        <f>IFERROR(INDEX(PP_Grid[#Data],$DD62,67),0)</f>
        <v/>
      </c>
      <c r="BR62">
        <f>IFERROR(INDEX(PP_Grid[#Data],$DD62,68),0)</f>
        <v/>
      </c>
      <c r="BS62">
        <f>IFERROR(INDEX(PP_Grid[#Data],$DD62,69),0)</f>
        <v/>
      </c>
      <c r="BT62">
        <f>IFERROR(INDEX(PP_Grid[#Data],$DD62,70),0)</f>
        <v/>
      </c>
      <c r="BU62">
        <f>IFERROR(INDEX(PP_Grid[#Data],$DD62,71),0)</f>
        <v/>
      </c>
      <c r="BV62">
        <f>IFERROR(INDEX(PP_Grid[#Data],$DD62,72),0)</f>
        <v/>
      </c>
      <c r="BW62">
        <f>IFERROR(INDEX(PP_Grid[#Data],$DD62,73),0)</f>
        <v/>
      </c>
      <c r="BX62">
        <f>IFERROR(INDEX(PP_Grid[#Data],$DD62,74),0)</f>
        <v/>
      </c>
      <c r="BY62">
        <f>IFERROR(INDEX(PP_Grid[#Data],$DD62,75),0)</f>
        <v/>
      </c>
      <c r="BZ62">
        <f>IFERROR(INDEX(PP_Grid[#Data],$DD62,76),0)</f>
        <v/>
      </c>
      <c r="CA62">
        <f>IFERROR(INDEX(PP_Grid[#Data],$DD62,77),0)</f>
        <v/>
      </c>
      <c r="CB62">
        <f>IFERROR(INDEX(PP_Grid[#Data],$DD62,78),0)</f>
        <v/>
      </c>
      <c r="CC62">
        <f>IFERROR(INDEX(PP_Grid[#Data],$DD62,79),0)</f>
        <v/>
      </c>
      <c r="CD62">
        <f>IFERROR(INDEX(PP_Grid[#Data],$DD62,80),0)</f>
        <v/>
      </c>
      <c r="CE62">
        <f>IFERROR(INDEX(PP_Grid[#Data],$DD62,81),0)</f>
        <v/>
      </c>
      <c r="CF62">
        <f>IFERROR(INDEX(PP_Grid[#Data],$DD62,82),0)</f>
        <v/>
      </c>
      <c r="CG62">
        <f>IFERROR(INDEX(PP_Grid[#Data],$DD62,83),0)</f>
        <v/>
      </c>
      <c r="CH62">
        <f>IFERROR(INDEX(PP_Grid[#Data],$DD62,84),0)</f>
        <v/>
      </c>
      <c r="CI62">
        <f>IFERROR(INDEX(PP_Grid[#Data],$DD62,85),0)</f>
        <v/>
      </c>
      <c r="CJ62">
        <f>IFERROR(INDEX(PP_Grid[#Data],$DD62,86),0)</f>
        <v/>
      </c>
      <c r="CK62">
        <f>IFERROR(INDEX(PP_Grid[#Data],$DD62,87),0)</f>
        <v/>
      </c>
      <c r="CL62">
        <f>IFERROR(INDEX(PP_Grid[#Data],$DD62,88),0)</f>
        <v/>
      </c>
      <c r="CM62">
        <f>IFERROR(INDEX(PP_Grid[#Data],$DD62,89),0)</f>
        <v/>
      </c>
      <c r="CN62">
        <f>IFERROR(INDEX(PP_Grid[#Data],$DD62,90),0)</f>
        <v/>
      </c>
      <c r="CO62">
        <f>IFERROR(INDEX(PP_Grid[#Data],$DD62,91),0)</f>
        <v/>
      </c>
      <c r="CP62">
        <f>IFERROR(INDEX(PP_Grid[#Data],$DD62,92),0)</f>
        <v/>
      </c>
      <c r="CQ62">
        <f>IFERROR(INDEX(PP_Grid[#Data],$DD62,93),0)</f>
        <v/>
      </c>
      <c r="CR62">
        <f>IFERROR(INDEX(PP_Grid[#Data],$DD62,94),0)</f>
        <v/>
      </c>
      <c r="CS62">
        <f>IFERROR(INDEX(PP_Grid[#Data],$DD62,95),0)</f>
        <v/>
      </c>
      <c r="CT62">
        <f>IFERROR(INDEX(PP_Grid[#Data],$DD62,96),0)</f>
        <v/>
      </c>
      <c r="CU62">
        <f>IFERROR(INDEX(PP_Grid[#Data],$DD62,97),0)</f>
        <v/>
      </c>
      <c r="CV62">
        <f>IFERROR(INDEX(PP_Grid[#Data],$DD62,98),0)</f>
        <v/>
      </c>
      <c r="CW62">
        <f>IFERROR(INDEX(PP_Grid[#Data],$DD62,99),0)</f>
        <v/>
      </c>
      <c r="CX62">
        <f>IFERROR(INDEX(PP_Grid[#Data],$DD62,100),0)</f>
        <v/>
      </c>
      <c r="CY62">
        <f>IFERROR(INDEX(PP_Grid[#Data],$DD62,101),0)</f>
        <v/>
      </c>
      <c r="CZ62">
        <f>IFERROR(INDEX(PP_Grid[#Data],$DD62,102),0)</f>
        <v/>
      </c>
      <c r="DA62">
        <f>IFERROR(INDEX(PP_Grid[#Data],$DD62,103),0)</f>
        <v/>
      </c>
      <c r="DB62">
        <f>IFERROR(INDEX(PP_Grid[#Data],$DD62,104),0)</f>
        <v/>
      </c>
      <c r="DC62">
        <f>IFERROR(INDEX(PP_Grid[#Data],$DD62,105),0)</f>
        <v/>
      </c>
      <c r="DD62" s="12">
        <f>IFERROR(MATCH($B62,PP_Grid[Intermediate],0),99999)</f>
        <v/>
      </c>
    </row>
    <row r="63">
      <c r="B63" t="inlineStr">
        <is>
          <t>使用量(kg)</t>
        </is>
      </c>
      <c r="C63">
        <f>SUMIFS(M_BOM[RM_Qty_Per_Batch],M_BOM[Intermediate],$B62,M_BOM[Part Name],$A59)</f>
        <v/>
      </c>
      <c r="D63">
        <f>$C63*D62</f>
        <v/>
      </c>
      <c r="E63">
        <f>$C63*E62</f>
        <v/>
      </c>
      <c r="F63">
        <f>$C63*F62</f>
        <v/>
      </c>
      <c r="G63">
        <f>$C63*G62</f>
        <v/>
      </c>
      <c r="H63">
        <f>$C63*H62</f>
        <v/>
      </c>
      <c r="I63">
        <f>$C63*I62</f>
        <v/>
      </c>
      <c r="J63">
        <f>$C63*J62</f>
        <v/>
      </c>
      <c r="K63">
        <f>$C63*K62</f>
        <v/>
      </c>
      <c r="L63">
        <f>$C63*L62</f>
        <v/>
      </c>
      <c r="M63">
        <f>$C63*M62</f>
        <v/>
      </c>
      <c r="N63">
        <f>$C63*N62</f>
        <v/>
      </c>
      <c r="O63">
        <f>$C63*O62</f>
        <v/>
      </c>
      <c r="P63">
        <f>$C63*P62</f>
        <v/>
      </c>
      <c r="Q63">
        <f>$C63*Q62</f>
        <v/>
      </c>
      <c r="R63">
        <f>$C63*R62</f>
        <v/>
      </c>
      <c r="S63">
        <f>$C63*S62</f>
        <v/>
      </c>
      <c r="T63">
        <f>$C63*T62</f>
        <v/>
      </c>
      <c r="U63">
        <f>$C63*U62</f>
        <v/>
      </c>
      <c r="V63">
        <f>$C63*V62</f>
        <v/>
      </c>
      <c r="W63">
        <f>$C63*W62</f>
        <v/>
      </c>
      <c r="X63">
        <f>$C63*X62</f>
        <v/>
      </c>
      <c r="Y63">
        <f>$C63*Y62</f>
        <v/>
      </c>
      <c r="Z63">
        <f>$C63*Z62</f>
        <v/>
      </c>
      <c r="AA63">
        <f>$C63*AA62</f>
        <v/>
      </c>
      <c r="AB63">
        <f>$C63*AB62</f>
        <v/>
      </c>
      <c r="AC63">
        <f>$C63*AC62</f>
        <v/>
      </c>
      <c r="AD63">
        <f>$C63*AD62</f>
        <v/>
      </c>
      <c r="AE63">
        <f>$C63*AE62</f>
        <v/>
      </c>
      <c r="AF63">
        <f>$C63*AF62</f>
        <v/>
      </c>
      <c r="AG63">
        <f>$C63*AG62</f>
        <v/>
      </c>
      <c r="AH63">
        <f>$C63*AH62</f>
        <v/>
      </c>
      <c r="AI63">
        <f>$C63*AI62</f>
        <v/>
      </c>
      <c r="AJ63">
        <f>$C63*AJ62</f>
        <v/>
      </c>
      <c r="AK63">
        <f>$C63*AK62</f>
        <v/>
      </c>
      <c r="AL63">
        <f>$C63*AL62</f>
        <v/>
      </c>
      <c r="AM63">
        <f>$C63*AM62</f>
        <v/>
      </c>
      <c r="AN63">
        <f>$C63*AN62</f>
        <v/>
      </c>
      <c r="AO63">
        <f>$C63*AO62</f>
        <v/>
      </c>
      <c r="AP63">
        <f>$C63*AP62</f>
        <v/>
      </c>
      <c r="AQ63">
        <f>$C63*AQ62</f>
        <v/>
      </c>
      <c r="AR63">
        <f>$C63*AR62</f>
        <v/>
      </c>
      <c r="AS63">
        <f>$C63*AS62</f>
        <v/>
      </c>
      <c r="AT63">
        <f>$C63*AT62</f>
        <v/>
      </c>
      <c r="AU63">
        <f>$C63*AU62</f>
        <v/>
      </c>
      <c r="AV63">
        <f>$C63*AV62</f>
        <v/>
      </c>
      <c r="AW63">
        <f>$C63*AW62</f>
        <v/>
      </c>
      <c r="AX63">
        <f>$C63*AX62</f>
        <v/>
      </c>
      <c r="AY63">
        <f>$C63*AY62</f>
        <v/>
      </c>
      <c r="AZ63">
        <f>$C63*AZ62</f>
        <v/>
      </c>
      <c r="BA63">
        <f>$C63*BA62</f>
        <v/>
      </c>
      <c r="BB63">
        <f>$C63*BB62</f>
        <v/>
      </c>
      <c r="BC63">
        <f>$C63*BC62</f>
        <v/>
      </c>
      <c r="BD63">
        <f>$C63*BD62</f>
        <v/>
      </c>
      <c r="BE63">
        <f>$C63*BE62</f>
        <v/>
      </c>
      <c r="BF63">
        <f>$C63*BF62</f>
        <v/>
      </c>
      <c r="BG63">
        <f>$C63*BG62</f>
        <v/>
      </c>
      <c r="BH63">
        <f>$C63*BH62</f>
        <v/>
      </c>
      <c r="BI63">
        <f>$C63*BI62</f>
        <v/>
      </c>
      <c r="BJ63">
        <f>$C63*BJ62</f>
        <v/>
      </c>
      <c r="BK63">
        <f>$C63*BK62</f>
        <v/>
      </c>
      <c r="BL63">
        <f>$C63*BL62</f>
        <v/>
      </c>
      <c r="BM63">
        <f>$C63*BM62</f>
        <v/>
      </c>
      <c r="BN63">
        <f>$C63*BN62</f>
        <v/>
      </c>
      <c r="BO63">
        <f>$C63*BO62</f>
        <v/>
      </c>
      <c r="BP63">
        <f>$C63*BP62</f>
        <v/>
      </c>
      <c r="BQ63">
        <f>$C63*BQ62</f>
        <v/>
      </c>
      <c r="BR63">
        <f>$C63*BR62</f>
        <v/>
      </c>
      <c r="BS63">
        <f>$C63*BS62</f>
        <v/>
      </c>
      <c r="BT63">
        <f>$C63*BT62</f>
        <v/>
      </c>
      <c r="BU63">
        <f>$C63*BU62</f>
        <v/>
      </c>
      <c r="BV63">
        <f>$C63*BV62</f>
        <v/>
      </c>
      <c r="BW63">
        <f>$C63*BW62</f>
        <v/>
      </c>
      <c r="BX63">
        <f>$C63*BX62</f>
        <v/>
      </c>
      <c r="BY63">
        <f>$C63*BY62</f>
        <v/>
      </c>
      <c r="BZ63">
        <f>$C63*BZ62</f>
        <v/>
      </c>
      <c r="CA63">
        <f>$C63*CA62</f>
        <v/>
      </c>
      <c r="CB63">
        <f>$C63*CB62</f>
        <v/>
      </c>
      <c r="CC63">
        <f>$C63*CC62</f>
        <v/>
      </c>
      <c r="CD63">
        <f>$C63*CD62</f>
        <v/>
      </c>
      <c r="CE63">
        <f>$C63*CE62</f>
        <v/>
      </c>
      <c r="CF63">
        <f>$C63*CF62</f>
        <v/>
      </c>
      <c r="CG63">
        <f>$C63*CG62</f>
        <v/>
      </c>
      <c r="CH63">
        <f>$C63*CH62</f>
        <v/>
      </c>
      <c r="CI63">
        <f>$C63*CI62</f>
        <v/>
      </c>
      <c r="CJ63">
        <f>$C63*CJ62</f>
        <v/>
      </c>
      <c r="CK63">
        <f>$C63*CK62</f>
        <v/>
      </c>
      <c r="CL63">
        <f>$C63*CL62</f>
        <v/>
      </c>
      <c r="CM63">
        <f>$C63*CM62</f>
        <v/>
      </c>
      <c r="CN63">
        <f>$C63*CN62</f>
        <v/>
      </c>
      <c r="CO63">
        <f>$C63*CO62</f>
        <v/>
      </c>
      <c r="CP63">
        <f>$C63*CP62</f>
        <v/>
      </c>
      <c r="CQ63">
        <f>$C63*CQ62</f>
        <v/>
      </c>
      <c r="CR63">
        <f>$C63*CR62</f>
        <v/>
      </c>
      <c r="CS63">
        <f>$C63*CS62</f>
        <v/>
      </c>
      <c r="CT63">
        <f>$C63*CT62</f>
        <v/>
      </c>
      <c r="CU63">
        <f>$C63*CU62</f>
        <v/>
      </c>
      <c r="CV63">
        <f>$C63*CV62</f>
        <v/>
      </c>
      <c r="CW63">
        <f>$C63*CW62</f>
        <v/>
      </c>
      <c r="CX63">
        <f>$C63*CX62</f>
        <v/>
      </c>
      <c r="CY63">
        <f>$C63*CY62</f>
        <v/>
      </c>
      <c r="CZ63">
        <f>$C63*CZ62</f>
        <v/>
      </c>
      <c r="DA63">
        <f>$C63*DA62</f>
        <v/>
      </c>
      <c r="DB63">
        <f>$C63*DB62</f>
        <v/>
      </c>
      <c r="DC63">
        <f>$C63*DC62</f>
        <v/>
      </c>
    </row>
    <row r="64">
      <c r="B64" t="inlineStr">
        <is>
          <t>0T720</t>
        </is>
      </c>
      <c r="C64" t="inlineStr">
        <is>
          <t>No. of batches</t>
        </is>
      </c>
      <c r="D64">
        <f>IFERROR(INDEX(PP_Grid[#Data],$DD64,2),0)</f>
        <v/>
      </c>
      <c r="E64">
        <f>IFERROR(INDEX(PP_Grid[#Data],$DD64,3),0)</f>
        <v/>
      </c>
      <c r="F64">
        <f>IFERROR(INDEX(PP_Grid[#Data],$DD64,4),0)</f>
        <v/>
      </c>
      <c r="G64">
        <f>IFERROR(INDEX(PP_Grid[#Data],$DD64,5),0)</f>
        <v/>
      </c>
      <c r="H64">
        <f>IFERROR(INDEX(PP_Grid[#Data],$DD64,6),0)</f>
        <v/>
      </c>
      <c r="I64">
        <f>IFERROR(INDEX(PP_Grid[#Data],$DD64,7),0)</f>
        <v/>
      </c>
      <c r="J64">
        <f>IFERROR(INDEX(PP_Grid[#Data],$DD64,8),0)</f>
        <v/>
      </c>
      <c r="K64">
        <f>IFERROR(INDEX(PP_Grid[#Data],$DD64,9),0)</f>
        <v/>
      </c>
      <c r="L64">
        <f>IFERROR(INDEX(PP_Grid[#Data],$DD64,10),0)</f>
        <v/>
      </c>
      <c r="M64">
        <f>IFERROR(INDEX(PP_Grid[#Data],$DD64,11),0)</f>
        <v/>
      </c>
      <c r="N64">
        <f>IFERROR(INDEX(PP_Grid[#Data],$DD64,12),0)</f>
        <v/>
      </c>
      <c r="O64">
        <f>IFERROR(INDEX(PP_Grid[#Data],$DD64,13),0)</f>
        <v/>
      </c>
      <c r="P64">
        <f>IFERROR(INDEX(PP_Grid[#Data],$DD64,14),0)</f>
        <v/>
      </c>
      <c r="Q64">
        <f>IFERROR(INDEX(PP_Grid[#Data],$DD64,15),0)</f>
        <v/>
      </c>
      <c r="R64">
        <f>IFERROR(INDEX(PP_Grid[#Data],$DD64,16),0)</f>
        <v/>
      </c>
      <c r="S64">
        <f>IFERROR(INDEX(PP_Grid[#Data],$DD64,17),0)</f>
        <v/>
      </c>
      <c r="T64">
        <f>IFERROR(INDEX(PP_Grid[#Data],$DD64,18),0)</f>
        <v/>
      </c>
      <c r="U64">
        <f>IFERROR(INDEX(PP_Grid[#Data],$DD64,19),0)</f>
        <v/>
      </c>
      <c r="V64">
        <f>IFERROR(INDEX(PP_Grid[#Data],$DD64,20),0)</f>
        <v/>
      </c>
      <c r="W64">
        <f>IFERROR(INDEX(PP_Grid[#Data],$DD64,21),0)</f>
        <v/>
      </c>
      <c r="X64">
        <f>IFERROR(INDEX(PP_Grid[#Data],$DD64,22),0)</f>
        <v/>
      </c>
      <c r="Y64">
        <f>IFERROR(INDEX(PP_Grid[#Data],$DD64,23),0)</f>
        <v/>
      </c>
      <c r="Z64">
        <f>IFERROR(INDEX(PP_Grid[#Data],$DD64,24),0)</f>
        <v/>
      </c>
      <c r="AA64">
        <f>IFERROR(INDEX(PP_Grid[#Data],$DD64,25),0)</f>
        <v/>
      </c>
      <c r="AB64">
        <f>IFERROR(INDEX(PP_Grid[#Data],$DD64,26),0)</f>
        <v/>
      </c>
      <c r="AC64">
        <f>IFERROR(INDEX(PP_Grid[#Data],$DD64,27),0)</f>
        <v/>
      </c>
      <c r="AD64">
        <f>IFERROR(INDEX(PP_Grid[#Data],$DD64,28),0)</f>
        <v/>
      </c>
      <c r="AE64">
        <f>IFERROR(INDEX(PP_Grid[#Data],$DD64,29),0)</f>
        <v/>
      </c>
      <c r="AF64">
        <f>IFERROR(INDEX(PP_Grid[#Data],$DD64,30),0)</f>
        <v/>
      </c>
      <c r="AG64">
        <f>IFERROR(INDEX(PP_Grid[#Data],$DD64,31),0)</f>
        <v/>
      </c>
      <c r="AH64">
        <f>IFERROR(INDEX(PP_Grid[#Data],$DD64,32),0)</f>
        <v/>
      </c>
      <c r="AI64">
        <f>IFERROR(INDEX(PP_Grid[#Data],$DD64,33),0)</f>
        <v/>
      </c>
      <c r="AJ64">
        <f>IFERROR(INDEX(PP_Grid[#Data],$DD64,34),0)</f>
        <v/>
      </c>
      <c r="AK64">
        <f>IFERROR(INDEX(PP_Grid[#Data],$DD64,35),0)</f>
        <v/>
      </c>
      <c r="AL64">
        <f>IFERROR(INDEX(PP_Grid[#Data],$DD64,36),0)</f>
        <v/>
      </c>
      <c r="AM64">
        <f>IFERROR(INDEX(PP_Grid[#Data],$DD64,37),0)</f>
        <v/>
      </c>
      <c r="AN64">
        <f>IFERROR(INDEX(PP_Grid[#Data],$DD64,38),0)</f>
        <v/>
      </c>
      <c r="AO64">
        <f>IFERROR(INDEX(PP_Grid[#Data],$DD64,39),0)</f>
        <v/>
      </c>
      <c r="AP64">
        <f>IFERROR(INDEX(PP_Grid[#Data],$DD64,40),0)</f>
        <v/>
      </c>
      <c r="AQ64">
        <f>IFERROR(INDEX(PP_Grid[#Data],$DD64,41),0)</f>
        <v/>
      </c>
      <c r="AR64">
        <f>IFERROR(INDEX(PP_Grid[#Data],$DD64,42),0)</f>
        <v/>
      </c>
      <c r="AS64">
        <f>IFERROR(INDEX(PP_Grid[#Data],$DD64,43),0)</f>
        <v/>
      </c>
      <c r="AT64">
        <f>IFERROR(INDEX(PP_Grid[#Data],$DD64,44),0)</f>
        <v/>
      </c>
      <c r="AU64">
        <f>IFERROR(INDEX(PP_Grid[#Data],$DD64,45),0)</f>
        <v/>
      </c>
      <c r="AV64">
        <f>IFERROR(INDEX(PP_Grid[#Data],$DD64,46),0)</f>
        <v/>
      </c>
      <c r="AW64">
        <f>IFERROR(INDEX(PP_Grid[#Data],$DD64,47),0)</f>
        <v/>
      </c>
      <c r="AX64">
        <f>IFERROR(INDEX(PP_Grid[#Data],$DD64,48),0)</f>
        <v/>
      </c>
      <c r="AY64">
        <f>IFERROR(INDEX(PP_Grid[#Data],$DD64,49),0)</f>
        <v/>
      </c>
      <c r="AZ64">
        <f>IFERROR(INDEX(PP_Grid[#Data],$DD64,50),0)</f>
        <v/>
      </c>
      <c r="BA64">
        <f>IFERROR(INDEX(PP_Grid[#Data],$DD64,51),0)</f>
        <v/>
      </c>
      <c r="BB64">
        <f>IFERROR(INDEX(PP_Grid[#Data],$DD64,52),0)</f>
        <v/>
      </c>
      <c r="BC64">
        <f>IFERROR(INDEX(PP_Grid[#Data],$DD64,53),0)</f>
        <v/>
      </c>
      <c r="BD64">
        <f>IFERROR(INDEX(PP_Grid[#Data],$DD64,54),0)</f>
        <v/>
      </c>
      <c r="BE64">
        <f>IFERROR(INDEX(PP_Grid[#Data],$DD64,55),0)</f>
        <v/>
      </c>
      <c r="BF64">
        <f>IFERROR(INDEX(PP_Grid[#Data],$DD64,56),0)</f>
        <v/>
      </c>
      <c r="BG64">
        <f>IFERROR(INDEX(PP_Grid[#Data],$DD64,57),0)</f>
        <v/>
      </c>
      <c r="BH64">
        <f>IFERROR(INDEX(PP_Grid[#Data],$DD64,58),0)</f>
        <v/>
      </c>
      <c r="BI64">
        <f>IFERROR(INDEX(PP_Grid[#Data],$DD64,59),0)</f>
        <v/>
      </c>
      <c r="BJ64">
        <f>IFERROR(INDEX(PP_Grid[#Data],$DD64,60),0)</f>
        <v/>
      </c>
      <c r="BK64">
        <f>IFERROR(INDEX(PP_Grid[#Data],$DD64,61),0)</f>
        <v/>
      </c>
      <c r="BL64">
        <f>IFERROR(INDEX(PP_Grid[#Data],$DD64,62),0)</f>
        <v/>
      </c>
      <c r="BM64">
        <f>IFERROR(INDEX(PP_Grid[#Data],$DD64,63),0)</f>
        <v/>
      </c>
      <c r="BN64">
        <f>IFERROR(INDEX(PP_Grid[#Data],$DD64,64),0)</f>
        <v/>
      </c>
      <c r="BO64">
        <f>IFERROR(INDEX(PP_Grid[#Data],$DD64,65),0)</f>
        <v/>
      </c>
      <c r="BP64">
        <f>IFERROR(INDEX(PP_Grid[#Data],$DD64,66),0)</f>
        <v/>
      </c>
      <c r="BQ64">
        <f>IFERROR(INDEX(PP_Grid[#Data],$DD64,67),0)</f>
        <v/>
      </c>
      <c r="BR64">
        <f>IFERROR(INDEX(PP_Grid[#Data],$DD64,68),0)</f>
        <v/>
      </c>
      <c r="BS64">
        <f>IFERROR(INDEX(PP_Grid[#Data],$DD64,69),0)</f>
        <v/>
      </c>
      <c r="BT64">
        <f>IFERROR(INDEX(PP_Grid[#Data],$DD64,70),0)</f>
        <v/>
      </c>
      <c r="BU64">
        <f>IFERROR(INDEX(PP_Grid[#Data],$DD64,71),0)</f>
        <v/>
      </c>
      <c r="BV64">
        <f>IFERROR(INDEX(PP_Grid[#Data],$DD64,72),0)</f>
        <v/>
      </c>
      <c r="BW64">
        <f>IFERROR(INDEX(PP_Grid[#Data],$DD64,73),0)</f>
        <v/>
      </c>
      <c r="BX64">
        <f>IFERROR(INDEX(PP_Grid[#Data],$DD64,74),0)</f>
        <v/>
      </c>
      <c r="BY64">
        <f>IFERROR(INDEX(PP_Grid[#Data],$DD64,75),0)</f>
        <v/>
      </c>
      <c r="BZ64">
        <f>IFERROR(INDEX(PP_Grid[#Data],$DD64,76),0)</f>
        <v/>
      </c>
      <c r="CA64">
        <f>IFERROR(INDEX(PP_Grid[#Data],$DD64,77),0)</f>
        <v/>
      </c>
      <c r="CB64">
        <f>IFERROR(INDEX(PP_Grid[#Data],$DD64,78),0)</f>
        <v/>
      </c>
      <c r="CC64">
        <f>IFERROR(INDEX(PP_Grid[#Data],$DD64,79),0)</f>
        <v/>
      </c>
      <c r="CD64">
        <f>IFERROR(INDEX(PP_Grid[#Data],$DD64,80),0)</f>
        <v/>
      </c>
      <c r="CE64">
        <f>IFERROR(INDEX(PP_Grid[#Data],$DD64,81),0)</f>
        <v/>
      </c>
      <c r="CF64">
        <f>IFERROR(INDEX(PP_Grid[#Data],$DD64,82),0)</f>
        <v/>
      </c>
      <c r="CG64">
        <f>IFERROR(INDEX(PP_Grid[#Data],$DD64,83),0)</f>
        <v/>
      </c>
      <c r="CH64">
        <f>IFERROR(INDEX(PP_Grid[#Data],$DD64,84),0)</f>
        <v/>
      </c>
      <c r="CI64">
        <f>IFERROR(INDEX(PP_Grid[#Data],$DD64,85),0)</f>
        <v/>
      </c>
      <c r="CJ64">
        <f>IFERROR(INDEX(PP_Grid[#Data],$DD64,86),0)</f>
        <v/>
      </c>
      <c r="CK64">
        <f>IFERROR(INDEX(PP_Grid[#Data],$DD64,87),0)</f>
        <v/>
      </c>
      <c r="CL64">
        <f>IFERROR(INDEX(PP_Grid[#Data],$DD64,88),0)</f>
        <v/>
      </c>
      <c r="CM64">
        <f>IFERROR(INDEX(PP_Grid[#Data],$DD64,89),0)</f>
        <v/>
      </c>
      <c r="CN64">
        <f>IFERROR(INDEX(PP_Grid[#Data],$DD64,90),0)</f>
        <v/>
      </c>
      <c r="CO64">
        <f>IFERROR(INDEX(PP_Grid[#Data],$DD64,91),0)</f>
        <v/>
      </c>
      <c r="CP64">
        <f>IFERROR(INDEX(PP_Grid[#Data],$DD64,92),0)</f>
        <v/>
      </c>
      <c r="CQ64">
        <f>IFERROR(INDEX(PP_Grid[#Data],$DD64,93),0)</f>
        <v/>
      </c>
      <c r="CR64">
        <f>IFERROR(INDEX(PP_Grid[#Data],$DD64,94),0)</f>
        <v/>
      </c>
      <c r="CS64">
        <f>IFERROR(INDEX(PP_Grid[#Data],$DD64,95),0)</f>
        <v/>
      </c>
      <c r="CT64">
        <f>IFERROR(INDEX(PP_Grid[#Data],$DD64,96),0)</f>
        <v/>
      </c>
      <c r="CU64">
        <f>IFERROR(INDEX(PP_Grid[#Data],$DD64,97),0)</f>
        <v/>
      </c>
      <c r="CV64">
        <f>IFERROR(INDEX(PP_Grid[#Data],$DD64,98),0)</f>
        <v/>
      </c>
      <c r="CW64">
        <f>IFERROR(INDEX(PP_Grid[#Data],$DD64,99),0)</f>
        <v/>
      </c>
      <c r="CX64">
        <f>IFERROR(INDEX(PP_Grid[#Data],$DD64,100),0)</f>
        <v/>
      </c>
      <c r="CY64">
        <f>IFERROR(INDEX(PP_Grid[#Data],$DD64,101),0)</f>
        <v/>
      </c>
      <c r="CZ64">
        <f>IFERROR(INDEX(PP_Grid[#Data],$DD64,102),0)</f>
        <v/>
      </c>
      <c r="DA64">
        <f>IFERROR(INDEX(PP_Grid[#Data],$DD64,103),0)</f>
        <v/>
      </c>
      <c r="DB64">
        <f>IFERROR(INDEX(PP_Grid[#Data],$DD64,104),0)</f>
        <v/>
      </c>
      <c r="DC64">
        <f>IFERROR(INDEX(PP_Grid[#Data],$DD64,105),0)</f>
        <v/>
      </c>
      <c r="DD64" s="12">
        <f>IFERROR(MATCH($B64,PP_Grid[Intermediate],0),99999)</f>
        <v/>
      </c>
    </row>
    <row r="65">
      <c r="B65" t="inlineStr">
        <is>
          <t>使用量(kg)</t>
        </is>
      </c>
      <c r="C65">
        <f>SUMIFS(M_BOM[RM_Qty_Per_Batch],M_BOM[Intermediate],$B64,M_BOM[Part Name],$A59)</f>
        <v/>
      </c>
      <c r="D65">
        <f>$C65*D64</f>
        <v/>
      </c>
      <c r="E65">
        <f>$C65*E64</f>
        <v/>
      </c>
      <c r="F65">
        <f>$C65*F64</f>
        <v/>
      </c>
      <c r="G65">
        <f>$C65*G64</f>
        <v/>
      </c>
      <c r="H65">
        <f>$C65*H64</f>
        <v/>
      </c>
      <c r="I65">
        <f>$C65*I64</f>
        <v/>
      </c>
      <c r="J65">
        <f>$C65*J64</f>
        <v/>
      </c>
      <c r="K65">
        <f>$C65*K64</f>
        <v/>
      </c>
      <c r="L65">
        <f>$C65*L64</f>
        <v/>
      </c>
      <c r="M65">
        <f>$C65*M64</f>
        <v/>
      </c>
      <c r="N65">
        <f>$C65*N64</f>
        <v/>
      </c>
      <c r="O65">
        <f>$C65*O64</f>
        <v/>
      </c>
      <c r="P65">
        <f>$C65*P64</f>
        <v/>
      </c>
      <c r="Q65">
        <f>$C65*Q64</f>
        <v/>
      </c>
      <c r="R65">
        <f>$C65*R64</f>
        <v/>
      </c>
      <c r="S65">
        <f>$C65*S64</f>
        <v/>
      </c>
      <c r="T65">
        <f>$C65*T64</f>
        <v/>
      </c>
      <c r="U65">
        <f>$C65*U64</f>
        <v/>
      </c>
      <c r="V65">
        <f>$C65*V64</f>
        <v/>
      </c>
      <c r="W65">
        <f>$C65*W64</f>
        <v/>
      </c>
      <c r="X65">
        <f>$C65*X64</f>
        <v/>
      </c>
      <c r="Y65">
        <f>$C65*Y64</f>
        <v/>
      </c>
      <c r="Z65">
        <f>$C65*Z64</f>
        <v/>
      </c>
      <c r="AA65">
        <f>$C65*AA64</f>
        <v/>
      </c>
      <c r="AB65">
        <f>$C65*AB64</f>
        <v/>
      </c>
      <c r="AC65">
        <f>$C65*AC64</f>
        <v/>
      </c>
      <c r="AD65">
        <f>$C65*AD64</f>
        <v/>
      </c>
      <c r="AE65">
        <f>$C65*AE64</f>
        <v/>
      </c>
      <c r="AF65">
        <f>$C65*AF64</f>
        <v/>
      </c>
      <c r="AG65">
        <f>$C65*AG64</f>
        <v/>
      </c>
      <c r="AH65">
        <f>$C65*AH64</f>
        <v/>
      </c>
      <c r="AI65">
        <f>$C65*AI64</f>
        <v/>
      </c>
      <c r="AJ65">
        <f>$C65*AJ64</f>
        <v/>
      </c>
      <c r="AK65">
        <f>$C65*AK64</f>
        <v/>
      </c>
      <c r="AL65">
        <f>$C65*AL64</f>
        <v/>
      </c>
      <c r="AM65">
        <f>$C65*AM64</f>
        <v/>
      </c>
      <c r="AN65">
        <f>$C65*AN64</f>
        <v/>
      </c>
      <c r="AO65">
        <f>$C65*AO64</f>
        <v/>
      </c>
      <c r="AP65">
        <f>$C65*AP64</f>
        <v/>
      </c>
      <c r="AQ65">
        <f>$C65*AQ64</f>
        <v/>
      </c>
      <c r="AR65">
        <f>$C65*AR64</f>
        <v/>
      </c>
      <c r="AS65">
        <f>$C65*AS64</f>
        <v/>
      </c>
      <c r="AT65">
        <f>$C65*AT64</f>
        <v/>
      </c>
      <c r="AU65">
        <f>$C65*AU64</f>
        <v/>
      </c>
      <c r="AV65">
        <f>$C65*AV64</f>
        <v/>
      </c>
      <c r="AW65">
        <f>$C65*AW64</f>
        <v/>
      </c>
      <c r="AX65">
        <f>$C65*AX64</f>
        <v/>
      </c>
      <c r="AY65">
        <f>$C65*AY64</f>
        <v/>
      </c>
      <c r="AZ65">
        <f>$C65*AZ64</f>
        <v/>
      </c>
      <c r="BA65">
        <f>$C65*BA64</f>
        <v/>
      </c>
      <c r="BB65">
        <f>$C65*BB64</f>
        <v/>
      </c>
      <c r="BC65">
        <f>$C65*BC64</f>
        <v/>
      </c>
      <c r="BD65">
        <f>$C65*BD64</f>
        <v/>
      </c>
      <c r="BE65">
        <f>$C65*BE64</f>
        <v/>
      </c>
      <c r="BF65">
        <f>$C65*BF64</f>
        <v/>
      </c>
      <c r="BG65">
        <f>$C65*BG64</f>
        <v/>
      </c>
      <c r="BH65">
        <f>$C65*BH64</f>
        <v/>
      </c>
      <c r="BI65">
        <f>$C65*BI64</f>
        <v/>
      </c>
      <c r="BJ65">
        <f>$C65*BJ64</f>
        <v/>
      </c>
      <c r="BK65">
        <f>$C65*BK64</f>
        <v/>
      </c>
      <c r="BL65">
        <f>$C65*BL64</f>
        <v/>
      </c>
      <c r="BM65">
        <f>$C65*BM64</f>
        <v/>
      </c>
      <c r="BN65">
        <f>$C65*BN64</f>
        <v/>
      </c>
      <c r="BO65">
        <f>$C65*BO64</f>
        <v/>
      </c>
      <c r="BP65">
        <f>$C65*BP64</f>
        <v/>
      </c>
      <c r="BQ65">
        <f>$C65*BQ64</f>
        <v/>
      </c>
      <c r="BR65">
        <f>$C65*BR64</f>
        <v/>
      </c>
      <c r="BS65">
        <f>$C65*BS64</f>
        <v/>
      </c>
      <c r="BT65">
        <f>$C65*BT64</f>
        <v/>
      </c>
      <c r="BU65">
        <f>$C65*BU64</f>
        <v/>
      </c>
      <c r="BV65">
        <f>$C65*BV64</f>
        <v/>
      </c>
      <c r="BW65">
        <f>$C65*BW64</f>
        <v/>
      </c>
      <c r="BX65">
        <f>$C65*BX64</f>
        <v/>
      </c>
      <c r="BY65">
        <f>$C65*BY64</f>
        <v/>
      </c>
      <c r="BZ65">
        <f>$C65*BZ64</f>
        <v/>
      </c>
      <c r="CA65">
        <f>$C65*CA64</f>
        <v/>
      </c>
      <c r="CB65">
        <f>$C65*CB64</f>
        <v/>
      </c>
      <c r="CC65">
        <f>$C65*CC64</f>
        <v/>
      </c>
      <c r="CD65">
        <f>$C65*CD64</f>
        <v/>
      </c>
      <c r="CE65">
        <f>$C65*CE64</f>
        <v/>
      </c>
      <c r="CF65">
        <f>$C65*CF64</f>
        <v/>
      </c>
      <c r="CG65">
        <f>$C65*CG64</f>
        <v/>
      </c>
      <c r="CH65">
        <f>$C65*CH64</f>
        <v/>
      </c>
      <c r="CI65">
        <f>$C65*CI64</f>
        <v/>
      </c>
      <c r="CJ65">
        <f>$C65*CJ64</f>
        <v/>
      </c>
      <c r="CK65">
        <f>$C65*CK64</f>
        <v/>
      </c>
      <c r="CL65">
        <f>$C65*CL64</f>
        <v/>
      </c>
      <c r="CM65">
        <f>$C65*CM64</f>
        <v/>
      </c>
      <c r="CN65">
        <f>$C65*CN64</f>
        <v/>
      </c>
      <c r="CO65">
        <f>$C65*CO64</f>
        <v/>
      </c>
      <c r="CP65">
        <f>$C65*CP64</f>
        <v/>
      </c>
      <c r="CQ65">
        <f>$C65*CQ64</f>
        <v/>
      </c>
      <c r="CR65">
        <f>$C65*CR64</f>
        <v/>
      </c>
      <c r="CS65">
        <f>$C65*CS64</f>
        <v/>
      </c>
      <c r="CT65">
        <f>$C65*CT64</f>
        <v/>
      </c>
      <c r="CU65">
        <f>$C65*CU64</f>
        <v/>
      </c>
      <c r="CV65">
        <f>$C65*CV64</f>
        <v/>
      </c>
      <c r="CW65">
        <f>$C65*CW64</f>
        <v/>
      </c>
      <c r="CX65">
        <f>$C65*CX64</f>
        <v/>
      </c>
      <c r="CY65">
        <f>$C65*CY64</f>
        <v/>
      </c>
      <c r="CZ65">
        <f>$C65*CZ64</f>
        <v/>
      </c>
      <c r="DA65">
        <f>$C65*DA64</f>
        <v/>
      </c>
      <c r="DB65">
        <f>$C65*DB64</f>
        <v/>
      </c>
      <c r="DC65">
        <f>$C65*DC64</f>
        <v/>
      </c>
    </row>
    <row r="66">
      <c r="B66" t="inlineStr">
        <is>
          <t>0T740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12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Name],$A59)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0T750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12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Name],$A59)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0T860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Name],$A59)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0T870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Name],$A59)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0T880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Name],$A59)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t="inlineStr">
        <is>
          <t>0TA40</t>
        </is>
      </c>
      <c r="C76" t="inlineStr">
        <is>
          <t>No. of batches</t>
        </is>
      </c>
      <c r="D76">
        <f>IFERROR(INDEX(PP_Grid[#Data],$DD76,2),0)</f>
        <v/>
      </c>
      <c r="E76">
        <f>IFERROR(INDEX(PP_Grid[#Data],$DD76,3),0)</f>
        <v/>
      </c>
      <c r="F76">
        <f>IFERROR(INDEX(PP_Grid[#Data],$DD76,4),0)</f>
        <v/>
      </c>
      <c r="G76">
        <f>IFERROR(INDEX(PP_Grid[#Data],$DD76,5),0)</f>
        <v/>
      </c>
      <c r="H76">
        <f>IFERROR(INDEX(PP_Grid[#Data],$DD76,6),0)</f>
        <v/>
      </c>
      <c r="I76">
        <f>IFERROR(INDEX(PP_Grid[#Data],$DD76,7),0)</f>
        <v/>
      </c>
      <c r="J76">
        <f>IFERROR(INDEX(PP_Grid[#Data],$DD76,8),0)</f>
        <v/>
      </c>
      <c r="K76">
        <f>IFERROR(INDEX(PP_Grid[#Data],$DD76,9),0)</f>
        <v/>
      </c>
      <c r="L76">
        <f>IFERROR(INDEX(PP_Grid[#Data],$DD76,10),0)</f>
        <v/>
      </c>
      <c r="M76">
        <f>IFERROR(INDEX(PP_Grid[#Data],$DD76,11),0)</f>
        <v/>
      </c>
      <c r="N76">
        <f>IFERROR(INDEX(PP_Grid[#Data],$DD76,12),0)</f>
        <v/>
      </c>
      <c r="O76">
        <f>IFERROR(INDEX(PP_Grid[#Data],$DD76,13),0)</f>
        <v/>
      </c>
      <c r="P76">
        <f>IFERROR(INDEX(PP_Grid[#Data],$DD76,14),0)</f>
        <v/>
      </c>
      <c r="Q76">
        <f>IFERROR(INDEX(PP_Grid[#Data],$DD76,15),0)</f>
        <v/>
      </c>
      <c r="R76">
        <f>IFERROR(INDEX(PP_Grid[#Data],$DD76,16),0)</f>
        <v/>
      </c>
      <c r="S76">
        <f>IFERROR(INDEX(PP_Grid[#Data],$DD76,17),0)</f>
        <v/>
      </c>
      <c r="T76">
        <f>IFERROR(INDEX(PP_Grid[#Data],$DD76,18),0)</f>
        <v/>
      </c>
      <c r="U76">
        <f>IFERROR(INDEX(PP_Grid[#Data],$DD76,19),0)</f>
        <v/>
      </c>
      <c r="V76">
        <f>IFERROR(INDEX(PP_Grid[#Data],$DD76,20),0)</f>
        <v/>
      </c>
      <c r="W76">
        <f>IFERROR(INDEX(PP_Grid[#Data],$DD76,21),0)</f>
        <v/>
      </c>
      <c r="X76">
        <f>IFERROR(INDEX(PP_Grid[#Data],$DD76,22),0)</f>
        <v/>
      </c>
      <c r="Y76">
        <f>IFERROR(INDEX(PP_Grid[#Data],$DD76,23),0)</f>
        <v/>
      </c>
      <c r="Z76">
        <f>IFERROR(INDEX(PP_Grid[#Data],$DD76,24),0)</f>
        <v/>
      </c>
      <c r="AA76">
        <f>IFERROR(INDEX(PP_Grid[#Data],$DD76,25),0)</f>
        <v/>
      </c>
      <c r="AB76">
        <f>IFERROR(INDEX(PP_Grid[#Data],$DD76,26),0)</f>
        <v/>
      </c>
      <c r="AC76">
        <f>IFERROR(INDEX(PP_Grid[#Data],$DD76,27),0)</f>
        <v/>
      </c>
      <c r="AD76">
        <f>IFERROR(INDEX(PP_Grid[#Data],$DD76,28),0)</f>
        <v/>
      </c>
      <c r="AE76">
        <f>IFERROR(INDEX(PP_Grid[#Data],$DD76,29),0)</f>
        <v/>
      </c>
      <c r="AF76">
        <f>IFERROR(INDEX(PP_Grid[#Data],$DD76,30),0)</f>
        <v/>
      </c>
      <c r="AG76">
        <f>IFERROR(INDEX(PP_Grid[#Data],$DD76,31),0)</f>
        <v/>
      </c>
      <c r="AH76">
        <f>IFERROR(INDEX(PP_Grid[#Data],$DD76,32),0)</f>
        <v/>
      </c>
      <c r="AI76">
        <f>IFERROR(INDEX(PP_Grid[#Data],$DD76,33),0)</f>
        <v/>
      </c>
      <c r="AJ76">
        <f>IFERROR(INDEX(PP_Grid[#Data],$DD76,34),0)</f>
        <v/>
      </c>
      <c r="AK76">
        <f>IFERROR(INDEX(PP_Grid[#Data],$DD76,35),0)</f>
        <v/>
      </c>
      <c r="AL76">
        <f>IFERROR(INDEX(PP_Grid[#Data],$DD76,36),0)</f>
        <v/>
      </c>
      <c r="AM76">
        <f>IFERROR(INDEX(PP_Grid[#Data],$DD76,37),0)</f>
        <v/>
      </c>
      <c r="AN76">
        <f>IFERROR(INDEX(PP_Grid[#Data],$DD76,38),0)</f>
        <v/>
      </c>
      <c r="AO76">
        <f>IFERROR(INDEX(PP_Grid[#Data],$DD76,39),0)</f>
        <v/>
      </c>
      <c r="AP76">
        <f>IFERROR(INDEX(PP_Grid[#Data],$DD76,40),0)</f>
        <v/>
      </c>
      <c r="AQ76">
        <f>IFERROR(INDEX(PP_Grid[#Data],$DD76,41),0)</f>
        <v/>
      </c>
      <c r="AR76">
        <f>IFERROR(INDEX(PP_Grid[#Data],$DD76,42),0)</f>
        <v/>
      </c>
      <c r="AS76">
        <f>IFERROR(INDEX(PP_Grid[#Data],$DD76,43),0)</f>
        <v/>
      </c>
      <c r="AT76">
        <f>IFERROR(INDEX(PP_Grid[#Data],$DD76,44),0)</f>
        <v/>
      </c>
      <c r="AU76">
        <f>IFERROR(INDEX(PP_Grid[#Data],$DD76,45),0)</f>
        <v/>
      </c>
      <c r="AV76">
        <f>IFERROR(INDEX(PP_Grid[#Data],$DD76,46),0)</f>
        <v/>
      </c>
      <c r="AW76">
        <f>IFERROR(INDEX(PP_Grid[#Data],$DD76,47),0)</f>
        <v/>
      </c>
      <c r="AX76">
        <f>IFERROR(INDEX(PP_Grid[#Data],$DD76,48),0)</f>
        <v/>
      </c>
      <c r="AY76">
        <f>IFERROR(INDEX(PP_Grid[#Data],$DD76,49),0)</f>
        <v/>
      </c>
      <c r="AZ76">
        <f>IFERROR(INDEX(PP_Grid[#Data],$DD76,50),0)</f>
        <v/>
      </c>
      <c r="BA76">
        <f>IFERROR(INDEX(PP_Grid[#Data],$DD76,51),0)</f>
        <v/>
      </c>
      <c r="BB76">
        <f>IFERROR(INDEX(PP_Grid[#Data],$DD76,52),0)</f>
        <v/>
      </c>
      <c r="BC76">
        <f>IFERROR(INDEX(PP_Grid[#Data],$DD76,53),0)</f>
        <v/>
      </c>
      <c r="BD76">
        <f>IFERROR(INDEX(PP_Grid[#Data],$DD76,54),0)</f>
        <v/>
      </c>
      <c r="BE76">
        <f>IFERROR(INDEX(PP_Grid[#Data],$DD76,55),0)</f>
        <v/>
      </c>
      <c r="BF76">
        <f>IFERROR(INDEX(PP_Grid[#Data],$DD76,56),0)</f>
        <v/>
      </c>
      <c r="BG76">
        <f>IFERROR(INDEX(PP_Grid[#Data],$DD76,57),0)</f>
        <v/>
      </c>
      <c r="BH76">
        <f>IFERROR(INDEX(PP_Grid[#Data],$DD76,58),0)</f>
        <v/>
      </c>
      <c r="BI76">
        <f>IFERROR(INDEX(PP_Grid[#Data],$DD76,59),0)</f>
        <v/>
      </c>
      <c r="BJ76">
        <f>IFERROR(INDEX(PP_Grid[#Data],$DD76,60),0)</f>
        <v/>
      </c>
      <c r="BK76">
        <f>IFERROR(INDEX(PP_Grid[#Data],$DD76,61),0)</f>
        <v/>
      </c>
      <c r="BL76">
        <f>IFERROR(INDEX(PP_Grid[#Data],$DD76,62),0)</f>
        <v/>
      </c>
      <c r="BM76">
        <f>IFERROR(INDEX(PP_Grid[#Data],$DD76,63),0)</f>
        <v/>
      </c>
      <c r="BN76">
        <f>IFERROR(INDEX(PP_Grid[#Data],$DD76,64),0)</f>
        <v/>
      </c>
      <c r="BO76">
        <f>IFERROR(INDEX(PP_Grid[#Data],$DD76,65),0)</f>
        <v/>
      </c>
      <c r="BP76">
        <f>IFERROR(INDEX(PP_Grid[#Data],$DD76,66),0)</f>
        <v/>
      </c>
      <c r="BQ76">
        <f>IFERROR(INDEX(PP_Grid[#Data],$DD76,67),0)</f>
        <v/>
      </c>
      <c r="BR76">
        <f>IFERROR(INDEX(PP_Grid[#Data],$DD76,68),0)</f>
        <v/>
      </c>
      <c r="BS76">
        <f>IFERROR(INDEX(PP_Grid[#Data],$DD76,69),0)</f>
        <v/>
      </c>
      <c r="BT76">
        <f>IFERROR(INDEX(PP_Grid[#Data],$DD76,70),0)</f>
        <v/>
      </c>
      <c r="BU76">
        <f>IFERROR(INDEX(PP_Grid[#Data],$DD76,71),0)</f>
        <v/>
      </c>
      <c r="BV76">
        <f>IFERROR(INDEX(PP_Grid[#Data],$DD76,72),0)</f>
        <v/>
      </c>
      <c r="BW76">
        <f>IFERROR(INDEX(PP_Grid[#Data],$DD76,73),0)</f>
        <v/>
      </c>
      <c r="BX76">
        <f>IFERROR(INDEX(PP_Grid[#Data],$DD76,74),0)</f>
        <v/>
      </c>
      <c r="BY76">
        <f>IFERROR(INDEX(PP_Grid[#Data],$DD76,75),0)</f>
        <v/>
      </c>
      <c r="BZ76">
        <f>IFERROR(INDEX(PP_Grid[#Data],$DD76,76),0)</f>
        <v/>
      </c>
      <c r="CA76">
        <f>IFERROR(INDEX(PP_Grid[#Data],$DD76,77),0)</f>
        <v/>
      </c>
      <c r="CB76">
        <f>IFERROR(INDEX(PP_Grid[#Data],$DD76,78),0)</f>
        <v/>
      </c>
      <c r="CC76">
        <f>IFERROR(INDEX(PP_Grid[#Data],$DD76,79),0)</f>
        <v/>
      </c>
      <c r="CD76">
        <f>IFERROR(INDEX(PP_Grid[#Data],$DD76,80),0)</f>
        <v/>
      </c>
      <c r="CE76">
        <f>IFERROR(INDEX(PP_Grid[#Data],$DD76,81),0)</f>
        <v/>
      </c>
      <c r="CF76">
        <f>IFERROR(INDEX(PP_Grid[#Data],$DD76,82),0)</f>
        <v/>
      </c>
      <c r="CG76">
        <f>IFERROR(INDEX(PP_Grid[#Data],$DD76,83),0)</f>
        <v/>
      </c>
      <c r="CH76">
        <f>IFERROR(INDEX(PP_Grid[#Data],$DD76,84),0)</f>
        <v/>
      </c>
      <c r="CI76">
        <f>IFERROR(INDEX(PP_Grid[#Data],$DD76,85),0)</f>
        <v/>
      </c>
      <c r="CJ76">
        <f>IFERROR(INDEX(PP_Grid[#Data],$DD76,86),0)</f>
        <v/>
      </c>
      <c r="CK76">
        <f>IFERROR(INDEX(PP_Grid[#Data],$DD76,87),0)</f>
        <v/>
      </c>
      <c r="CL76">
        <f>IFERROR(INDEX(PP_Grid[#Data],$DD76,88),0)</f>
        <v/>
      </c>
      <c r="CM76">
        <f>IFERROR(INDEX(PP_Grid[#Data],$DD76,89),0)</f>
        <v/>
      </c>
      <c r="CN76">
        <f>IFERROR(INDEX(PP_Grid[#Data],$DD76,90),0)</f>
        <v/>
      </c>
      <c r="CO76">
        <f>IFERROR(INDEX(PP_Grid[#Data],$DD76,91),0)</f>
        <v/>
      </c>
      <c r="CP76">
        <f>IFERROR(INDEX(PP_Grid[#Data],$DD76,92),0)</f>
        <v/>
      </c>
      <c r="CQ76">
        <f>IFERROR(INDEX(PP_Grid[#Data],$DD76,93),0)</f>
        <v/>
      </c>
      <c r="CR76">
        <f>IFERROR(INDEX(PP_Grid[#Data],$DD76,94),0)</f>
        <v/>
      </c>
      <c r="CS76">
        <f>IFERROR(INDEX(PP_Grid[#Data],$DD76,95),0)</f>
        <v/>
      </c>
      <c r="CT76">
        <f>IFERROR(INDEX(PP_Grid[#Data],$DD76,96),0)</f>
        <v/>
      </c>
      <c r="CU76">
        <f>IFERROR(INDEX(PP_Grid[#Data],$DD76,97),0)</f>
        <v/>
      </c>
      <c r="CV76">
        <f>IFERROR(INDEX(PP_Grid[#Data],$DD76,98),0)</f>
        <v/>
      </c>
      <c r="CW76">
        <f>IFERROR(INDEX(PP_Grid[#Data],$DD76,99),0)</f>
        <v/>
      </c>
      <c r="CX76">
        <f>IFERROR(INDEX(PP_Grid[#Data],$DD76,100),0)</f>
        <v/>
      </c>
      <c r="CY76">
        <f>IFERROR(INDEX(PP_Grid[#Data],$DD76,101),0)</f>
        <v/>
      </c>
      <c r="CZ76">
        <f>IFERROR(INDEX(PP_Grid[#Data],$DD76,102),0)</f>
        <v/>
      </c>
      <c r="DA76">
        <f>IFERROR(INDEX(PP_Grid[#Data],$DD76,103),0)</f>
        <v/>
      </c>
      <c r="DB76">
        <f>IFERROR(INDEX(PP_Grid[#Data],$DD76,104),0)</f>
        <v/>
      </c>
      <c r="DC76">
        <f>IFERROR(INDEX(PP_Grid[#Data],$DD76,105),0)</f>
        <v/>
      </c>
      <c r="DD76" s="12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SUMIFS(M_BOM[RM_Qty_Per_Batch],M_BOM[Intermediate],$B76,M_BOM[Part Name],$A59)</f>
        <v/>
      </c>
      <c r="D77">
        <f>$C77*D76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</row>
    <row r="78">
      <c r="B78" s="5" t="inlineStr">
        <is>
          <t>合計使用量(kg)/週</t>
        </is>
      </c>
      <c r="D78">
        <f>'Grid_Requirement'!B3</f>
        <v/>
      </c>
      <c r="E78">
        <f>'Grid_Requirement'!C3</f>
        <v/>
      </c>
      <c r="F78">
        <f>'Grid_Requirement'!D3</f>
        <v/>
      </c>
      <c r="G78">
        <f>'Grid_Requirement'!E3</f>
        <v/>
      </c>
      <c r="H78">
        <f>'Grid_Requirement'!F3</f>
        <v/>
      </c>
      <c r="I78">
        <f>'Grid_Requirement'!G3</f>
        <v/>
      </c>
      <c r="J78">
        <f>'Grid_Requirement'!H3</f>
        <v/>
      </c>
      <c r="K78">
        <f>'Grid_Requirement'!I3</f>
        <v/>
      </c>
      <c r="L78">
        <f>'Grid_Requirement'!J3</f>
        <v/>
      </c>
      <c r="M78">
        <f>'Grid_Requirement'!K3</f>
        <v/>
      </c>
      <c r="N78">
        <f>'Grid_Requirement'!L3</f>
        <v/>
      </c>
      <c r="O78">
        <f>'Grid_Requirement'!M3</f>
        <v/>
      </c>
      <c r="P78">
        <f>'Grid_Requirement'!N3</f>
        <v/>
      </c>
      <c r="Q78">
        <f>'Grid_Requirement'!O3</f>
        <v/>
      </c>
      <c r="R78">
        <f>'Grid_Requirement'!P3</f>
        <v/>
      </c>
      <c r="S78">
        <f>'Grid_Requirement'!Q3</f>
        <v/>
      </c>
      <c r="T78">
        <f>'Grid_Requirement'!R3</f>
        <v/>
      </c>
      <c r="U78">
        <f>'Grid_Requirement'!S3</f>
        <v/>
      </c>
      <c r="V78">
        <f>'Grid_Requirement'!T3</f>
        <v/>
      </c>
      <c r="W78">
        <f>'Grid_Requirement'!U3</f>
        <v/>
      </c>
      <c r="X78">
        <f>'Grid_Requirement'!V3</f>
        <v/>
      </c>
      <c r="Y78">
        <f>'Grid_Requirement'!W3</f>
        <v/>
      </c>
      <c r="Z78">
        <f>'Grid_Requirement'!X3</f>
        <v/>
      </c>
      <c r="AA78">
        <f>'Grid_Requirement'!Y3</f>
        <v/>
      </c>
      <c r="AB78">
        <f>'Grid_Requirement'!Z3</f>
        <v/>
      </c>
      <c r="AC78">
        <f>'Grid_Requirement'!AA3</f>
        <v/>
      </c>
      <c r="AD78">
        <f>'Grid_Requirement'!AB3</f>
        <v/>
      </c>
      <c r="AE78">
        <f>'Grid_Requirement'!AC3</f>
        <v/>
      </c>
      <c r="AF78">
        <f>'Grid_Requirement'!AD3</f>
        <v/>
      </c>
      <c r="AG78">
        <f>'Grid_Requirement'!AE3</f>
        <v/>
      </c>
      <c r="AH78">
        <f>'Grid_Requirement'!AF3</f>
        <v/>
      </c>
      <c r="AI78">
        <f>'Grid_Requirement'!AG3</f>
        <v/>
      </c>
      <c r="AJ78">
        <f>'Grid_Requirement'!AH3</f>
        <v/>
      </c>
      <c r="AK78">
        <f>'Grid_Requirement'!AI3</f>
        <v/>
      </c>
      <c r="AL78">
        <f>'Grid_Requirement'!AJ3</f>
        <v/>
      </c>
      <c r="AM78">
        <f>'Grid_Requirement'!AK3</f>
        <v/>
      </c>
      <c r="AN78">
        <f>'Grid_Requirement'!AL3</f>
        <v/>
      </c>
      <c r="AO78">
        <f>'Grid_Requirement'!AM3</f>
        <v/>
      </c>
      <c r="AP78">
        <f>'Grid_Requirement'!AN3</f>
        <v/>
      </c>
      <c r="AQ78">
        <f>'Grid_Requirement'!AO3</f>
        <v/>
      </c>
      <c r="AR78">
        <f>'Grid_Requirement'!AP3</f>
        <v/>
      </c>
      <c r="AS78">
        <f>'Grid_Requirement'!AQ3</f>
        <v/>
      </c>
      <c r="AT78">
        <f>'Grid_Requirement'!AR3</f>
        <v/>
      </c>
      <c r="AU78">
        <f>'Grid_Requirement'!AS3</f>
        <v/>
      </c>
      <c r="AV78">
        <f>'Grid_Requirement'!AT3</f>
        <v/>
      </c>
      <c r="AW78">
        <f>'Grid_Requirement'!AU3</f>
        <v/>
      </c>
      <c r="AX78">
        <f>'Grid_Requirement'!AV3</f>
        <v/>
      </c>
      <c r="AY78">
        <f>'Grid_Requirement'!AW3</f>
        <v/>
      </c>
      <c r="AZ78">
        <f>'Grid_Requirement'!AX3</f>
        <v/>
      </c>
      <c r="BA78">
        <f>'Grid_Requirement'!AY3</f>
        <v/>
      </c>
      <c r="BB78">
        <f>'Grid_Requirement'!AZ3</f>
        <v/>
      </c>
      <c r="BC78">
        <f>'Grid_Requirement'!BA3</f>
        <v/>
      </c>
      <c r="BD78">
        <f>'Grid_Requirement'!BB3</f>
        <v/>
      </c>
      <c r="BE78">
        <f>'Grid_Requirement'!BC3</f>
        <v/>
      </c>
      <c r="BF78">
        <f>'Grid_Requirement'!BD3</f>
        <v/>
      </c>
      <c r="BG78">
        <f>'Grid_Requirement'!BE3</f>
        <v/>
      </c>
      <c r="BH78">
        <f>'Grid_Requirement'!BF3</f>
        <v/>
      </c>
      <c r="BI78">
        <f>'Grid_Requirement'!BG3</f>
        <v/>
      </c>
      <c r="BJ78">
        <f>'Grid_Requirement'!BH3</f>
        <v/>
      </c>
      <c r="BK78">
        <f>'Grid_Requirement'!BI3</f>
        <v/>
      </c>
      <c r="BL78">
        <f>'Grid_Requirement'!BJ3</f>
        <v/>
      </c>
      <c r="BM78">
        <f>'Grid_Requirement'!BK3</f>
        <v/>
      </c>
      <c r="BN78">
        <f>'Grid_Requirement'!BL3</f>
        <v/>
      </c>
      <c r="BO78">
        <f>'Grid_Requirement'!BM3</f>
        <v/>
      </c>
      <c r="BP78">
        <f>'Grid_Requirement'!BN3</f>
        <v/>
      </c>
      <c r="BQ78">
        <f>'Grid_Requirement'!BO3</f>
        <v/>
      </c>
      <c r="BR78">
        <f>'Grid_Requirement'!BP3</f>
        <v/>
      </c>
      <c r="BS78">
        <f>'Grid_Requirement'!BQ3</f>
        <v/>
      </c>
      <c r="BT78">
        <f>'Grid_Requirement'!BR3</f>
        <v/>
      </c>
      <c r="BU78">
        <f>'Grid_Requirement'!BS3</f>
        <v/>
      </c>
      <c r="BV78">
        <f>'Grid_Requirement'!BT3</f>
        <v/>
      </c>
      <c r="BW78">
        <f>'Grid_Requirement'!BU3</f>
        <v/>
      </c>
      <c r="BX78">
        <f>'Grid_Requirement'!BV3</f>
        <v/>
      </c>
      <c r="BY78">
        <f>'Grid_Requirement'!BW3</f>
        <v/>
      </c>
      <c r="BZ78">
        <f>'Grid_Requirement'!BX3</f>
        <v/>
      </c>
      <c r="CA78">
        <f>'Grid_Requirement'!BY3</f>
        <v/>
      </c>
      <c r="CB78">
        <f>'Grid_Requirement'!BZ3</f>
        <v/>
      </c>
      <c r="CC78">
        <f>'Grid_Requirement'!CA3</f>
        <v/>
      </c>
      <c r="CD78">
        <f>'Grid_Requirement'!CB3</f>
        <v/>
      </c>
      <c r="CE78">
        <f>'Grid_Requirement'!CC3</f>
        <v/>
      </c>
      <c r="CF78">
        <f>'Grid_Requirement'!CD3</f>
        <v/>
      </c>
      <c r="CG78">
        <f>'Grid_Requirement'!CE3</f>
        <v/>
      </c>
      <c r="CH78">
        <f>'Grid_Requirement'!CF3</f>
        <v/>
      </c>
      <c r="CI78">
        <f>'Grid_Requirement'!CG3</f>
        <v/>
      </c>
      <c r="CJ78">
        <f>'Grid_Requirement'!CH3</f>
        <v/>
      </c>
      <c r="CK78">
        <f>'Grid_Requirement'!CI3</f>
        <v/>
      </c>
      <c r="CL78">
        <f>'Grid_Requirement'!CJ3</f>
        <v/>
      </c>
      <c r="CM78">
        <f>'Grid_Requirement'!CK3</f>
        <v/>
      </c>
      <c r="CN78">
        <f>'Grid_Requirement'!CL3</f>
        <v/>
      </c>
      <c r="CO78">
        <f>'Grid_Requirement'!CM3</f>
        <v/>
      </c>
      <c r="CP78">
        <f>'Grid_Requirement'!CN3</f>
        <v/>
      </c>
      <c r="CQ78">
        <f>'Grid_Requirement'!CO3</f>
        <v/>
      </c>
      <c r="CR78">
        <f>'Grid_Requirement'!CP3</f>
        <v/>
      </c>
      <c r="CS78">
        <f>'Grid_Requirement'!CQ3</f>
        <v/>
      </c>
      <c r="CT78">
        <f>'Grid_Requirement'!CR3</f>
        <v/>
      </c>
      <c r="CU78">
        <f>'Grid_Requirement'!CS3</f>
        <v/>
      </c>
      <c r="CV78">
        <f>'Grid_Requirement'!CT3</f>
        <v/>
      </c>
      <c r="CW78">
        <f>'Grid_Requirement'!CU3</f>
        <v/>
      </c>
      <c r="CX78">
        <f>'Grid_Requirement'!CV3</f>
        <v/>
      </c>
      <c r="CY78">
        <f>'Grid_Requirement'!CW3</f>
        <v/>
      </c>
      <c r="CZ78">
        <f>'Grid_Requirement'!CX3</f>
        <v/>
      </c>
      <c r="DA78">
        <f>'Grid_Requirement'!CY3</f>
        <v/>
      </c>
      <c r="DB78">
        <f>'Grid_Requirement'!CZ3</f>
        <v/>
      </c>
      <c r="DC78">
        <f>'Grid_Requirement'!DA3</f>
        <v/>
      </c>
    </row>
    <row r="79">
      <c r="B79" t="inlineStr">
        <is>
          <t>TTAF在庫(実績,kg)</t>
        </is>
      </c>
      <c r="D79">
        <f>'T_TTAFStock'!B7</f>
        <v/>
      </c>
      <c r="E79">
        <f>'T_TTAFStock'!C7</f>
        <v/>
      </c>
      <c r="F79">
        <f>'T_TTAFStock'!D7</f>
        <v/>
      </c>
      <c r="G79">
        <f>'T_TTAFStock'!E7</f>
        <v/>
      </c>
      <c r="H79">
        <f>'T_TTAFStock'!F7</f>
        <v/>
      </c>
      <c r="I79">
        <f>'T_TTAFStock'!G7</f>
        <v/>
      </c>
      <c r="J79">
        <f>'T_TTAFStock'!H7</f>
        <v/>
      </c>
      <c r="K79">
        <f>'T_TTAFStock'!I7</f>
        <v/>
      </c>
      <c r="L79">
        <f>'T_TTAFStock'!J7</f>
        <v/>
      </c>
      <c r="M79">
        <f>'T_TTAFStock'!K7</f>
        <v/>
      </c>
      <c r="N79">
        <f>'T_TTAFStock'!L7</f>
        <v/>
      </c>
      <c r="O79">
        <f>'T_TTAFStock'!M7</f>
        <v/>
      </c>
      <c r="P79">
        <f>'T_TTAFStock'!N7</f>
        <v/>
      </c>
      <c r="Q79">
        <f>'T_TTAFStock'!O7</f>
        <v/>
      </c>
      <c r="R79">
        <f>'T_TTAFStock'!P7</f>
        <v/>
      </c>
      <c r="S79">
        <f>'T_TTAFStock'!Q7</f>
        <v/>
      </c>
      <c r="T79">
        <f>'T_TTAFStock'!R7</f>
        <v/>
      </c>
      <c r="U79">
        <f>'T_TTAFStock'!S7</f>
        <v/>
      </c>
      <c r="V79">
        <f>'T_TTAFStock'!T7</f>
        <v/>
      </c>
      <c r="W79">
        <f>'T_TTAFStock'!U7</f>
        <v/>
      </c>
      <c r="X79">
        <f>'T_TTAFStock'!V7</f>
        <v/>
      </c>
      <c r="Y79">
        <f>'T_TTAFStock'!W7</f>
        <v/>
      </c>
      <c r="Z79">
        <f>'T_TTAFStock'!X7</f>
        <v/>
      </c>
      <c r="AA79">
        <f>'T_TTAFStock'!Y7</f>
        <v/>
      </c>
      <c r="AB79">
        <f>'T_TTAFStock'!Z7</f>
        <v/>
      </c>
      <c r="AC79">
        <f>'T_TTAFStock'!AA7</f>
        <v/>
      </c>
      <c r="AD79">
        <f>'T_TTAFStock'!AB7</f>
        <v/>
      </c>
      <c r="AE79">
        <f>'T_TTAFStock'!AC7</f>
        <v/>
      </c>
      <c r="AF79">
        <f>'T_TTAFStock'!AD7</f>
        <v/>
      </c>
      <c r="AG79">
        <f>'T_TTAFStock'!AE7</f>
        <v/>
      </c>
      <c r="AH79">
        <f>'T_TTAFStock'!AF7</f>
        <v/>
      </c>
      <c r="AI79">
        <f>'T_TTAFStock'!AG7</f>
        <v/>
      </c>
      <c r="AJ79">
        <f>'T_TTAFStock'!AH7</f>
        <v/>
      </c>
      <c r="AK79">
        <f>'T_TTAFStock'!AI7</f>
        <v/>
      </c>
      <c r="AL79">
        <f>'T_TTAFStock'!AJ7</f>
        <v/>
      </c>
      <c r="AM79">
        <f>'T_TTAFStock'!AK7</f>
        <v/>
      </c>
      <c r="AN79">
        <f>'T_TTAFStock'!AL7</f>
        <v/>
      </c>
      <c r="AO79">
        <f>'T_TTAFStock'!AM7</f>
        <v/>
      </c>
      <c r="AP79">
        <f>'T_TTAFStock'!AN7</f>
        <v/>
      </c>
      <c r="AQ79">
        <f>'T_TTAFStock'!AO7</f>
        <v/>
      </c>
      <c r="AR79">
        <f>'T_TTAFStock'!AP7</f>
        <v/>
      </c>
      <c r="AS79">
        <f>'T_TTAFStock'!AQ7</f>
        <v/>
      </c>
      <c r="AT79">
        <f>'T_TTAFStock'!AR7</f>
        <v/>
      </c>
      <c r="AU79">
        <f>'T_TTAFStock'!AS7</f>
        <v/>
      </c>
      <c r="AV79">
        <f>'T_TTAFStock'!AT7</f>
        <v/>
      </c>
      <c r="AW79">
        <f>'T_TTAFStock'!AU7</f>
        <v/>
      </c>
      <c r="AX79">
        <f>'T_TTAFStock'!AV7</f>
        <v/>
      </c>
      <c r="AY79">
        <f>'T_TTAFStock'!AW7</f>
        <v/>
      </c>
      <c r="AZ79">
        <f>'T_TTAFStock'!AX7</f>
        <v/>
      </c>
      <c r="BA79">
        <f>'T_TTAFStock'!AY7</f>
        <v/>
      </c>
      <c r="BB79">
        <f>'T_TTAFStock'!AZ7</f>
        <v/>
      </c>
      <c r="BC79">
        <f>'T_TTAFStock'!BA7</f>
        <v/>
      </c>
      <c r="BD79">
        <f>'T_TTAFStock'!BB7</f>
        <v/>
      </c>
      <c r="BE79">
        <f>'T_TTAFStock'!BC7</f>
        <v/>
      </c>
      <c r="BF79">
        <f>'T_TTAFStock'!BD7</f>
        <v/>
      </c>
      <c r="BG79">
        <f>'T_TTAFStock'!BE7</f>
        <v/>
      </c>
      <c r="BH79">
        <f>'T_TTAFStock'!BF7</f>
        <v/>
      </c>
      <c r="BI79">
        <f>'T_TTAFStock'!BG7</f>
        <v/>
      </c>
      <c r="BJ79">
        <f>'T_TTAFStock'!BH7</f>
        <v/>
      </c>
      <c r="BK79">
        <f>'T_TTAFStock'!BI7</f>
        <v/>
      </c>
      <c r="BL79">
        <f>'T_TTAFStock'!BJ7</f>
        <v/>
      </c>
      <c r="BM79">
        <f>'T_TTAFStock'!BK7</f>
        <v/>
      </c>
      <c r="BN79">
        <f>'T_TTAFStock'!BL7</f>
        <v/>
      </c>
      <c r="BO79">
        <f>'T_TTAFStock'!BM7</f>
        <v/>
      </c>
      <c r="BP79">
        <f>'T_TTAFStock'!BN7</f>
        <v/>
      </c>
      <c r="BQ79">
        <f>'T_TTAFStock'!BO7</f>
        <v/>
      </c>
      <c r="BR79">
        <f>'T_TTAFStock'!BP7</f>
        <v/>
      </c>
      <c r="BS79">
        <f>'T_TTAFStock'!BQ7</f>
        <v/>
      </c>
      <c r="BT79">
        <f>'T_TTAFStock'!BR7</f>
        <v/>
      </c>
      <c r="BU79">
        <f>'T_TTAFStock'!BS7</f>
        <v/>
      </c>
      <c r="BV79">
        <f>'T_TTAFStock'!BT7</f>
        <v/>
      </c>
      <c r="BW79">
        <f>'T_TTAFStock'!BU7</f>
        <v/>
      </c>
      <c r="BX79">
        <f>'T_TTAFStock'!BV7</f>
        <v/>
      </c>
      <c r="BY79">
        <f>'T_TTAFStock'!BW7</f>
        <v/>
      </c>
      <c r="BZ79">
        <f>'T_TTAFStock'!BX7</f>
        <v/>
      </c>
      <c r="CA79">
        <f>'T_TTAFStock'!BY7</f>
        <v/>
      </c>
      <c r="CB79">
        <f>'T_TTAFStock'!BZ7</f>
        <v/>
      </c>
      <c r="CC79">
        <f>'T_TTAFStock'!CA7</f>
        <v/>
      </c>
      <c r="CD79">
        <f>'T_TTAFStock'!CB7</f>
        <v/>
      </c>
      <c r="CE79">
        <f>'T_TTAFStock'!CC7</f>
        <v/>
      </c>
      <c r="CF79">
        <f>'T_TTAFStock'!CD7</f>
        <v/>
      </c>
      <c r="CG79">
        <f>'T_TTAFStock'!CE7</f>
        <v/>
      </c>
      <c r="CH79">
        <f>'T_TTAFStock'!CF7</f>
        <v/>
      </c>
      <c r="CI79">
        <f>'T_TTAFStock'!CG7</f>
        <v/>
      </c>
      <c r="CJ79">
        <f>'T_TTAFStock'!CH7</f>
        <v/>
      </c>
      <c r="CK79">
        <f>'T_TTAFStock'!CI7</f>
        <v/>
      </c>
      <c r="CL79">
        <f>'T_TTAFStock'!CJ7</f>
        <v/>
      </c>
      <c r="CM79">
        <f>'T_TTAFStock'!CK7</f>
        <v/>
      </c>
      <c r="CN79">
        <f>'T_TTAFStock'!CL7</f>
        <v/>
      </c>
      <c r="CO79">
        <f>'T_TTAFStock'!CM7</f>
        <v/>
      </c>
      <c r="CP79">
        <f>'T_TTAFStock'!CN7</f>
        <v/>
      </c>
      <c r="CQ79">
        <f>'T_TTAFStock'!CO7</f>
        <v/>
      </c>
      <c r="CR79">
        <f>'T_TTAFStock'!CP7</f>
        <v/>
      </c>
      <c r="CS79">
        <f>'T_TTAFStock'!CQ7</f>
        <v/>
      </c>
      <c r="CT79">
        <f>'T_TTAFStock'!CR7</f>
        <v/>
      </c>
      <c r="CU79">
        <f>'T_TTAFStock'!CS7</f>
        <v/>
      </c>
      <c r="CV79">
        <f>'T_TTAFStock'!CT7</f>
        <v/>
      </c>
      <c r="CW79">
        <f>'T_TTAFStock'!CU7</f>
        <v/>
      </c>
      <c r="CX79">
        <f>'T_TTAFStock'!CV7</f>
        <v/>
      </c>
      <c r="CY79">
        <f>'T_TTAFStock'!CW7</f>
        <v/>
      </c>
      <c r="CZ79">
        <f>'T_TTAFStock'!CX7</f>
        <v/>
      </c>
      <c r="DA79">
        <f>'T_TTAFStock'!CY7</f>
        <v/>
      </c>
      <c r="DB79">
        <f>'T_TTAFStock'!CZ7</f>
        <v/>
      </c>
      <c r="DC79">
        <f>'T_TTAFStock'!DA7</f>
        <v/>
      </c>
    </row>
    <row r="80">
      <c r="B80" t="inlineStr">
        <is>
          <t>自社在庫(実績,kg)</t>
        </is>
      </c>
      <c r="D80">
        <f>'T_SelfStock'!B7</f>
        <v/>
      </c>
      <c r="E80">
        <f>'T_SelfStock'!C7</f>
        <v/>
      </c>
      <c r="F80">
        <f>'T_SelfStock'!D7</f>
        <v/>
      </c>
      <c r="G80">
        <f>'T_SelfStock'!E7</f>
        <v/>
      </c>
      <c r="H80">
        <f>'T_SelfStock'!F7</f>
        <v/>
      </c>
      <c r="I80">
        <f>'T_SelfStock'!G7</f>
        <v/>
      </c>
      <c r="J80">
        <f>'T_SelfStock'!H7</f>
        <v/>
      </c>
      <c r="K80">
        <f>'T_SelfStock'!I7</f>
        <v/>
      </c>
      <c r="L80">
        <f>'T_SelfStock'!J7</f>
        <v/>
      </c>
      <c r="M80">
        <f>'T_SelfStock'!K7</f>
        <v/>
      </c>
      <c r="N80">
        <f>'T_SelfStock'!L7</f>
        <v/>
      </c>
      <c r="O80">
        <f>'T_SelfStock'!M7</f>
        <v/>
      </c>
      <c r="P80">
        <f>'T_SelfStock'!N7</f>
        <v/>
      </c>
      <c r="Q80">
        <f>'T_SelfStock'!O7</f>
        <v/>
      </c>
      <c r="R80">
        <f>'T_SelfStock'!P7</f>
        <v/>
      </c>
      <c r="S80">
        <f>'T_SelfStock'!Q7</f>
        <v/>
      </c>
      <c r="T80">
        <f>'T_SelfStock'!R7</f>
        <v/>
      </c>
      <c r="U80">
        <f>'T_SelfStock'!S7</f>
        <v/>
      </c>
      <c r="V80">
        <f>'T_SelfStock'!T7</f>
        <v/>
      </c>
      <c r="W80">
        <f>'T_SelfStock'!U7</f>
        <v/>
      </c>
      <c r="X80">
        <f>'T_SelfStock'!V7</f>
        <v/>
      </c>
      <c r="Y80">
        <f>'T_SelfStock'!W7</f>
        <v/>
      </c>
      <c r="Z80">
        <f>'T_SelfStock'!X7</f>
        <v/>
      </c>
      <c r="AA80">
        <f>'T_SelfStock'!Y7</f>
        <v/>
      </c>
      <c r="AB80">
        <f>'T_SelfStock'!Z7</f>
        <v/>
      </c>
      <c r="AC80">
        <f>'T_SelfStock'!AA7</f>
        <v/>
      </c>
      <c r="AD80">
        <f>'T_SelfStock'!AB7</f>
        <v/>
      </c>
      <c r="AE80">
        <f>'T_SelfStock'!AC7</f>
        <v/>
      </c>
      <c r="AF80">
        <f>'T_SelfStock'!AD7</f>
        <v/>
      </c>
      <c r="AG80">
        <f>'T_SelfStock'!AE7</f>
        <v/>
      </c>
      <c r="AH80">
        <f>'T_SelfStock'!AF7</f>
        <v/>
      </c>
      <c r="AI80">
        <f>'T_SelfStock'!AG7</f>
        <v/>
      </c>
      <c r="AJ80">
        <f>'T_SelfStock'!AH7</f>
        <v/>
      </c>
      <c r="AK80">
        <f>'T_SelfStock'!AI7</f>
        <v/>
      </c>
      <c r="AL80">
        <f>'T_SelfStock'!AJ7</f>
        <v/>
      </c>
      <c r="AM80">
        <f>'T_SelfStock'!AK7</f>
        <v/>
      </c>
      <c r="AN80">
        <f>'T_SelfStock'!AL7</f>
        <v/>
      </c>
      <c r="AO80">
        <f>'T_SelfStock'!AM7</f>
        <v/>
      </c>
      <c r="AP80">
        <f>'T_SelfStock'!AN7</f>
        <v/>
      </c>
      <c r="AQ80">
        <f>'T_SelfStock'!AO7</f>
        <v/>
      </c>
      <c r="AR80">
        <f>'T_SelfStock'!AP7</f>
        <v/>
      </c>
      <c r="AS80">
        <f>'T_SelfStock'!AQ7</f>
        <v/>
      </c>
      <c r="AT80">
        <f>'T_SelfStock'!AR7</f>
        <v/>
      </c>
      <c r="AU80">
        <f>'T_SelfStock'!AS7</f>
        <v/>
      </c>
      <c r="AV80">
        <f>'T_SelfStock'!AT7</f>
        <v/>
      </c>
      <c r="AW80">
        <f>'T_SelfStock'!AU7</f>
        <v/>
      </c>
      <c r="AX80">
        <f>'T_SelfStock'!AV7</f>
        <v/>
      </c>
      <c r="AY80">
        <f>'T_SelfStock'!AW7</f>
        <v/>
      </c>
      <c r="AZ80">
        <f>'T_SelfStock'!AX7</f>
        <v/>
      </c>
      <c r="BA80">
        <f>'T_SelfStock'!AY7</f>
        <v/>
      </c>
      <c r="BB80">
        <f>'T_SelfStock'!AZ7</f>
        <v/>
      </c>
      <c r="BC80">
        <f>'T_SelfStock'!BA7</f>
        <v/>
      </c>
      <c r="BD80">
        <f>'T_SelfStock'!BB7</f>
        <v/>
      </c>
      <c r="BE80">
        <f>'T_SelfStock'!BC7</f>
        <v/>
      </c>
      <c r="BF80">
        <f>'T_SelfStock'!BD7</f>
        <v/>
      </c>
      <c r="BG80">
        <f>'T_SelfStock'!BE7</f>
        <v/>
      </c>
      <c r="BH80">
        <f>'T_SelfStock'!BF7</f>
        <v/>
      </c>
      <c r="BI80">
        <f>'T_SelfStock'!BG7</f>
        <v/>
      </c>
      <c r="BJ80">
        <f>'T_SelfStock'!BH7</f>
        <v/>
      </c>
      <c r="BK80">
        <f>'T_SelfStock'!BI7</f>
        <v/>
      </c>
      <c r="BL80">
        <f>'T_SelfStock'!BJ7</f>
        <v/>
      </c>
      <c r="BM80">
        <f>'T_SelfStock'!BK7</f>
        <v/>
      </c>
      <c r="BN80">
        <f>'T_SelfStock'!BL7</f>
        <v/>
      </c>
      <c r="BO80">
        <f>'T_SelfStock'!BM7</f>
        <v/>
      </c>
      <c r="BP80">
        <f>'T_SelfStock'!BN7</f>
        <v/>
      </c>
      <c r="BQ80">
        <f>'T_SelfStock'!BO7</f>
        <v/>
      </c>
      <c r="BR80">
        <f>'T_SelfStock'!BP7</f>
        <v/>
      </c>
      <c r="BS80">
        <f>'T_SelfStock'!BQ7</f>
        <v/>
      </c>
      <c r="BT80">
        <f>'T_SelfStock'!BR7</f>
        <v/>
      </c>
      <c r="BU80">
        <f>'T_SelfStock'!BS7</f>
        <v/>
      </c>
      <c r="BV80">
        <f>'T_SelfStock'!BT7</f>
        <v/>
      </c>
      <c r="BW80">
        <f>'T_SelfStock'!BU7</f>
        <v/>
      </c>
      <c r="BX80">
        <f>'T_SelfStock'!BV7</f>
        <v/>
      </c>
      <c r="BY80">
        <f>'T_SelfStock'!BW7</f>
        <v/>
      </c>
      <c r="BZ80">
        <f>'T_SelfStock'!BX7</f>
        <v/>
      </c>
      <c r="CA80">
        <f>'T_SelfStock'!BY7</f>
        <v/>
      </c>
      <c r="CB80">
        <f>'T_SelfStock'!BZ7</f>
        <v/>
      </c>
      <c r="CC80">
        <f>'T_SelfStock'!CA7</f>
        <v/>
      </c>
      <c r="CD80">
        <f>'T_SelfStock'!CB7</f>
        <v/>
      </c>
      <c r="CE80">
        <f>'T_SelfStock'!CC7</f>
        <v/>
      </c>
      <c r="CF80">
        <f>'T_SelfStock'!CD7</f>
        <v/>
      </c>
      <c r="CG80">
        <f>'T_SelfStock'!CE7</f>
        <v/>
      </c>
      <c r="CH80">
        <f>'T_SelfStock'!CF7</f>
        <v/>
      </c>
      <c r="CI80">
        <f>'T_SelfStock'!CG7</f>
        <v/>
      </c>
      <c r="CJ80">
        <f>'T_SelfStock'!CH7</f>
        <v/>
      </c>
      <c r="CK80">
        <f>'T_SelfStock'!CI7</f>
        <v/>
      </c>
      <c r="CL80">
        <f>'T_SelfStock'!CJ7</f>
        <v/>
      </c>
      <c r="CM80">
        <f>'T_SelfStock'!CK7</f>
        <v/>
      </c>
      <c r="CN80">
        <f>'T_SelfStock'!CL7</f>
        <v/>
      </c>
      <c r="CO80">
        <f>'T_SelfStock'!CM7</f>
        <v/>
      </c>
      <c r="CP80">
        <f>'T_SelfStock'!CN7</f>
        <v/>
      </c>
      <c r="CQ80">
        <f>'T_SelfStock'!CO7</f>
        <v/>
      </c>
      <c r="CR80">
        <f>'T_SelfStock'!CP7</f>
        <v/>
      </c>
      <c r="CS80">
        <f>'T_SelfStock'!CQ7</f>
        <v/>
      </c>
      <c r="CT80">
        <f>'T_SelfStock'!CR7</f>
        <v/>
      </c>
      <c r="CU80">
        <f>'T_SelfStock'!CS7</f>
        <v/>
      </c>
      <c r="CV80">
        <f>'T_SelfStock'!CT7</f>
        <v/>
      </c>
      <c r="CW80">
        <f>'T_SelfStock'!CU7</f>
        <v/>
      </c>
      <c r="CX80">
        <f>'T_SelfStock'!CV7</f>
        <v/>
      </c>
      <c r="CY80">
        <f>'T_SelfStock'!CW7</f>
        <v/>
      </c>
      <c r="CZ80">
        <f>'T_SelfStock'!CX7</f>
        <v/>
      </c>
      <c r="DA80">
        <f>'T_SelfStock'!CY7</f>
        <v/>
      </c>
      <c r="DB80">
        <f>'T_SelfStock'!CZ7</f>
        <v/>
      </c>
      <c r="DC80">
        <f>'T_SelfStock'!DA7</f>
        <v/>
      </c>
    </row>
    <row r="81">
      <c r="B81" t="inlineStr">
        <is>
          <t>Order(発注予定,kg)</t>
        </is>
      </c>
      <c r="D81">
        <f>IF(SUMIFS(T_PlannedOrders[EffectiveQty],T_PlannedOrders[Part Name],$A59,T_PlannedOrders[WeekIndex],1)=0,"",SUMIFS(T_PlannedOrders[EffectiveQty],T_PlannedOrders[Part Name],$A59,T_PlannedOrders[WeekIndex],1)&amp;" ("&amp;TEXT(SUMPRODUCT(MAX((T_PlannedOrders[Part Name]=$A59)*(T_PlannedOrders[WeekIndex]=1)*(T_PlannedOrders[EffectiveQty]&gt;0)*T_PlannedOrders[Order_Month])),"m月")&amp;"発注)")</f>
        <v/>
      </c>
      <c r="E81">
        <f>IF(SUMIFS(T_PlannedOrders[EffectiveQty],T_PlannedOrders[Part Name],$A59,T_PlannedOrders[WeekIndex],2)=0,"",SUMIFS(T_PlannedOrders[EffectiveQty],T_PlannedOrders[Part Name],$A59,T_PlannedOrders[WeekIndex],2)&amp;" ("&amp;TEXT(SUMPRODUCT(MAX((T_PlannedOrders[Part Name]=$A59)*(T_PlannedOrders[WeekIndex]=2)*(T_PlannedOrders[EffectiveQty]&gt;0)*T_PlannedOrders[Order_Month])),"m月")&amp;"発注)")</f>
        <v/>
      </c>
      <c r="F81">
        <f>IF(SUMIFS(T_PlannedOrders[EffectiveQty],T_PlannedOrders[Part Name],$A59,T_PlannedOrders[WeekIndex],3)=0,"",SUMIFS(T_PlannedOrders[EffectiveQty],T_PlannedOrders[Part Name],$A59,T_PlannedOrders[WeekIndex],3)&amp;" ("&amp;TEXT(SUMPRODUCT(MAX((T_PlannedOrders[Part Name]=$A59)*(T_PlannedOrders[WeekIndex]=3)*(T_PlannedOrders[EffectiveQty]&gt;0)*T_PlannedOrders[Order_Month])),"m月")&amp;"発注)")</f>
        <v/>
      </c>
      <c r="G81">
        <f>IF(SUMIFS(T_PlannedOrders[EffectiveQty],T_PlannedOrders[Part Name],$A59,T_PlannedOrders[WeekIndex],4)=0,"",SUMIFS(T_PlannedOrders[EffectiveQty],T_PlannedOrders[Part Name],$A59,T_PlannedOrders[WeekIndex],4)&amp;" ("&amp;TEXT(SUMPRODUCT(MAX((T_PlannedOrders[Part Name]=$A59)*(T_PlannedOrders[WeekIndex]=4)*(T_PlannedOrders[EffectiveQty]&gt;0)*T_PlannedOrders[Order_Month])),"m月")&amp;"発注)")</f>
        <v/>
      </c>
      <c r="H81">
        <f>IF(SUMIFS(T_PlannedOrders[EffectiveQty],T_PlannedOrders[Part Name],$A59,T_PlannedOrders[WeekIndex],5)=0,"",SUMIFS(T_PlannedOrders[EffectiveQty],T_PlannedOrders[Part Name],$A59,T_PlannedOrders[WeekIndex],5)&amp;" ("&amp;TEXT(SUMPRODUCT(MAX((T_PlannedOrders[Part Name]=$A59)*(T_PlannedOrders[WeekIndex]=5)*(T_PlannedOrders[EffectiveQty]&gt;0)*T_PlannedOrders[Order_Month])),"m月")&amp;"発注)")</f>
        <v/>
      </c>
      <c r="I81">
        <f>IF(SUMIFS(T_PlannedOrders[EffectiveQty],T_PlannedOrders[Part Name],$A59,T_PlannedOrders[WeekIndex],6)=0,"",SUMIFS(T_PlannedOrders[EffectiveQty],T_PlannedOrders[Part Name],$A59,T_PlannedOrders[WeekIndex],6)&amp;" ("&amp;TEXT(SUMPRODUCT(MAX((T_PlannedOrders[Part Name]=$A59)*(T_PlannedOrders[WeekIndex]=6)*(T_PlannedOrders[EffectiveQty]&gt;0)*T_PlannedOrders[Order_Month])),"m月")&amp;"発注)")</f>
        <v/>
      </c>
      <c r="J81">
        <f>IF(SUMIFS(T_PlannedOrders[EffectiveQty],T_PlannedOrders[Part Name],$A59,T_PlannedOrders[WeekIndex],7)=0,"",SUMIFS(T_PlannedOrders[EffectiveQty],T_PlannedOrders[Part Name],$A59,T_PlannedOrders[WeekIndex],7)&amp;" ("&amp;TEXT(SUMPRODUCT(MAX((T_PlannedOrders[Part Name]=$A59)*(T_PlannedOrders[WeekIndex]=7)*(T_PlannedOrders[EffectiveQty]&gt;0)*T_PlannedOrders[Order_Month])),"m月")&amp;"発注)")</f>
        <v/>
      </c>
      <c r="K81">
        <f>IF(SUMIFS(T_PlannedOrders[EffectiveQty],T_PlannedOrders[Part Name],$A59,T_PlannedOrders[WeekIndex],8)=0,"",SUMIFS(T_PlannedOrders[EffectiveQty],T_PlannedOrders[Part Name],$A59,T_PlannedOrders[WeekIndex],8)&amp;" ("&amp;TEXT(SUMPRODUCT(MAX((T_PlannedOrders[Part Name]=$A59)*(T_PlannedOrders[WeekIndex]=8)*(T_PlannedOrders[EffectiveQty]&gt;0)*T_PlannedOrders[Order_Month])),"m月")&amp;"発注)")</f>
        <v/>
      </c>
      <c r="L81">
        <f>IF(SUMIFS(T_PlannedOrders[EffectiveQty],T_PlannedOrders[Part Name],$A59,T_PlannedOrders[WeekIndex],9)=0,"",SUMIFS(T_PlannedOrders[EffectiveQty],T_PlannedOrders[Part Name],$A59,T_PlannedOrders[WeekIndex],9)&amp;" ("&amp;TEXT(SUMPRODUCT(MAX((T_PlannedOrders[Part Name]=$A59)*(T_PlannedOrders[WeekIndex]=9)*(T_PlannedOrders[EffectiveQty]&gt;0)*T_PlannedOrders[Order_Month])),"m月")&amp;"発注)")</f>
        <v/>
      </c>
      <c r="M81">
        <f>IF(SUMIFS(T_PlannedOrders[EffectiveQty],T_PlannedOrders[Part Name],$A59,T_PlannedOrders[WeekIndex],10)=0,"",SUMIFS(T_PlannedOrders[EffectiveQty],T_PlannedOrders[Part Name],$A59,T_PlannedOrders[WeekIndex],10)&amp;" ("&amp;TEXT(SUMPRODUCT(MAX((T_PlannedOrders[Part Name]=$A59)*(T_PlannedOrders[WeekIndex]=10)*(T_PlannedOrders[EffectiveQty]&gt;0)*T_PlannedOrders[Order_Month])),"m月")&amp;"発注)")</f>
        <v/>
      </c>
      <c r="N81">
        <f>IF(SUMIFS(T_PlannedOrders[EffectiveQty],T_PlannedOrders[Part Name],$A59,T_PlannedOrders[WeekIndex],11)=0,"",SUMIFS(T_PlannedOrders[EffectiveQty],T_PlannedOrders[Part Name],$A59,T_PlannedOrders[WeekIndex],11)&amp;" ("&amp;TEXT(SUMPRODUCT(MAX((T_PlannedOrders[Part Name]=$A59)*(T_PlannedOrders[WeekIndex]=11)*(T_PlannedOrders[EffectiveQty]&gt;0)*T_PlannedOrders[Order_Month])),"m月")&amp;"発注)")</f>
        <v/>
      </c>
      <c r="O81">
        <f>IF(SUMIFS(T_PlannedOrders[EffectiveQty],T_PlannedOrders[Part Name],$A59,T_PlannedOrders[WeekIndex],12)=0,"",SUMIFS(T_PlannedOrders[EffectiveQty],T_PlannedOrders[Part Name],$A59,T_PlannedOrders[WeekIndex],12)&amp;" ("&amp;TEXT(SUMPRODUCT(MAX((T_PlannedOrders[Part Name]=$A59)*(T_PlannedOrders[WeekIndex]=12)*(T_PlannedOrders[EffectiveQty]&gt;0)*T_PlannedOrders[Order_Month])),"m月")&amp;"発注)")</f>
        <v/>
      </c>
      <c r="P81">
        <f>IF(SUMIFS(T_PlannedOrders[EffectiveQty],T_PlannedOrders[Part Name],$A59,T_PlannedOrders[WeekIndex],13)=0,"",SUMIFS(T_PlannedOrders[EffectiveQty],T_PlannedOrders[Part Name],$A59,T_PlannedOrders[WeekIndex],13)&amp;" ("&amp;TEXT(SUMPRODUCT(MAX((T_PlannedOrders[Part Name]=$A59)*(T_PlannedOrders[WeekIndex]=13)*(T_PlannedOrders[EffectiveQty]&gt;0)*T_PlannedOrders[Order_Month])),"m月")&amp;"発注)")</f>
        <v/>
      </c>
      <c r="Q81">
        <f>IF(SUMIFS(T_PlannedOrders[EffectiveQty],T_PlannedOrders[Part Name],$A59,T_PlannedOrders[WeekIndex],14)=0,"",SUMIFS(T_PlannedOrders[EffectiveQty],T_PlannedOrders[Part Name],$A59,T_PlannedOrders[WeekIndex],14)&amp;" ("&amp;TEXT(SUMPRODUCT(MAX((T_PlannedOrders[Part Name]=$A59)*(T_PlannedOrders[WeekIndex]=14)*(T_PlannedOrders[EffectiveQty]&gt;0)*T_PlannedOrders[Order_Month])),"m月")&amp;"発注)")</f>
        <v/>
      </c>
      <c r="R81">
        <f>IF(SUMIFS(T_PlannedOrders[EffectiveQty],T_PlannedOrders[Part Name],$A59,T_PlannedOrders[WeekIndex],15)=0,"",SUMIFS(T_PlannedOrders[EffectiveQty],T_PlannedOrders[Part Name],$A59,T_PlannedOrders[WeekIndex],15)&amp;" ("&amp;TEXT(SUMPRODUCT(MAX((T_PlannedOrders[Part Name]=$A59)*(T_PlannedOrders[WeekIndex]=15)*(T_PlannedOrders[EffectiveQty]&gt;0)*T_PlannedOrders[Order_Month])),"m月")&amp;"発注)")</f>
        <v/>
      </c>
      <c r="S81">
        <f>IF(SUMIFS(T_PlannedOrders[EffectiveQty],T_PlannedOrders[Part Name],$A59,T_PlannedOrders[WeekIndex],16)=0,"",SUMIFS(T_PlannedOrders[EffectiveQty],T_PlannedOrders[Part Name],$A59,T_PlannedOrders[WeekIndex],16)&amp;" ("&amp;TEXT(SUMPRODUCT(MAX((T_PlannedOrders[Part Name]=$A59)*(T_PlannedOrders[WeekIndex]=16)*(T_PlannedOrders[EffectiveQty]&gt;0)*T_PlannedOrders[Order_Month])),"m月")&amp;"発注)")</f>
        <v/>
      </c>
      <c r="T81">
        <f>IF(SUMIFS(T_PlannedOrders[EffectiveQty],T_PlannedOrders[Part Name],$A59,T_PlannedOrders[WeekIndex],17)=0,"",SUMIFS(T_PlannedOrders[EffectiveQty],T_PlannedOrders[Part Name],$A59,T_PlannedOrders[WeekIndex],17)&amp;" ("&amp;TEXT(SUMPRODUCT(MAX((T_PlannedOrders[Part Name]=$A59)*(T_PlannedOrders[WeekIndex]=17)*(T_PlannedOrders[EffectiveQty]&gt;0)*T_PlannedOrders[Order_Month])),"m月")&amp;"発注)")</f>
        <v/>
      </c>
      <c r="U81">
        <f>IF(SUMIFS(T_PlannedOrders[EffectiveQty],T_PlannedOrders[Part Name],$A59,T_PlannedOrders[WeekIndex],18)=0,"",SUMIFS(T_PlannedOrders[EffectiveQty],T_PlannedOrders[Part Name],$A59,T_PlannedOrders[WeekIndex],18)&amp;" ("&amp;TEXT(SUMPRODUCT(MAX((T_PlannedOrders[Part Name]=$A59)*(T_PlannedOrders[WeekIndex]=18)*(T_PlannedOrders[EffectiveQty]&gt;0)*T_PlannedOrders[Order_Month])),"m月")&amp;"発注)")</f>
        <v/>
      </c>
      <c r="V81">
        <f>IF(SUMIFS(T_PlannedOrders[EffectiveQty],T_PlannedOrders[Part Name],$A59,T_PlannedOrders[WeekIndex],19)=0,"",SUMIFS(T_PlannedOrders[EffectiveQty],T_PlannedOrders[Part Name],$A59,T_PlannedOrders[WeekIndex],19)&amp;" ("&amp;TEXT(SUMPRODUCT(MAX((T_PlannedOrders[Part Name]=$A59)*(T_PlannedOrders[WeekIndex]=19)*(T_PlannedOrders[EffectiveQty]&gt;0)*T_PlannedOrders[Order_Month])),"m月")&amp;"発注)")</f>
        <v/>
      </c>
      <c r="W81">
        <f>IF(SUMIFS(T_PlannedOrders[EffectiveQty],T_PlannedOrders[Part Name],$A59,T_PlannedOrders[WeekIndex],20)=0,"",SUMIFS(T_PlannedOrders[EffectiveQty],T_PlannedOrders[Part Name],$A59,T_PlannedOrders[WeekIndex],20)&amp;" ("&amp;TEXT(SUMPRODUCT(MAX((T_PlannedOrders[Part Name]=$A59)*(T_PlannedOrders[WeekIndex]=20)*(T_PlannedOrders[EffectiveQty]&gt;0)*T_PlannedOrders[Order_Month])),"m月")&amp;"発注)")</f>
        <v/>
      </c>
      <c r="X81">
        <f>IF(SUMIFS(T_PlannedOrders[EffectiveQty],T_PlannedOrders[Part Name],$A59,T_PlannedOrders[WeekIndex],21)=0,"",SUMIFS(T_PlannedOrders[EffectiveQty],T_PlannedOrders[Part Name],$A59,T_PlannedOrders[WeekIndex],21)&amp;" ("&amp;TEXT(SUMPRODUCT(MAX((T_PlannedOrders[Part Name]=$A59)*(T_PlannedOrders[WeekIndex]=21)*(T_PlannedOrders[EffectiveQty]&gt;0)*T_PlannedOrders[Order_Month])),"m月")&amp;"発注)")</f>
        <v/>
      </c>
      <c r="Y81">
        <f>IF(SUMIFS(T_PlannedOrders[EffectiveQty],T_PlannedOrders[Part Name],$A59,T_PlannedOrders[WeekIndex],22)=0,"",SUMIFS(T_PlannedOrders[EffectiveQty],T_PlannedOrders[Part Name],$A59,T_PlannedOrders[WeekIndex],22)&amp;" ("&amp;TEXT(SUMPRODUCT(MAX((T_PlannedOrders[Part Name]=$A59)*(T_PlannedOrders[WeekIndex]=22)*(T_PlannedOrders[EffectiveQty]&gt;0)*T_PlannedOrders[Order_Month])),"m月")&amp;"発注)")</f>
        <v/>
      </c>
      <c r="Z81">
        <f>IF(SUMIFS(T_PlannedOrders[EffectiveQty],T_PlannedOrders[Part Name],$A59,T_PlannedOrders[WeekIndex],23)=0,"",SUMIFS(T_PlannedOrders[EffectiveQty],T_PlannedOrders[Part Name],$A59,T_PlannedOrders[WeekIndex],23)&amp;" ("&amp;TEXT(SUMPRODUCT(MAX((T_PlannedOrders[Part Name]=$A59)*(T_PlannedOrders[WeekIndex]=23)*(T_PlannedOrders[EffectiveQty]&gt;0)*T_PlannedOrders[Order_Month])),"m月")&amp;"発注)")</f>
        <v/>
      </c>
      <c r="AA81">
        <f>IF(SUMIFS(T_PlannedOrders[EffectiveQty],T_PlannedOrders[Part Name],$A59,T_PlannedOrders[WeekIndex],24)=0,"",SUMIFS(T_PlannedOrders[EffectiveQty],T_PlannedOrders[Part Name],$A59,T_PlannedOrders[WeekIndex],24)&amp;" ("&amp;TEXT(SUMPRODUCT(MAX((T_PlannedOrders[Part Name]=$A59)*(T_PlannedOrders[WeekIndex]=24)*(T_PlannedOrders[EffectiveQty]&gt;0)*T_PlannedOrders[Order_Month])),"m月")&amp;"発注)")</f>
        <v/>
      </c>
      <c r="AB81">
        <f>IF(SUMIFS(T_PlannedOrders[EffectiveQty],T_PlannedOrders[Part Name],$A59,T_PlannedOrders[WeekIndex],25)=0,"",SUMIFS(T_PlannedOrders[EffectiveQty],T_PlannedOrders[Part Name],$A59,T_PlannedOrders[WeekIndex],25)&amp;" ("&amp;TEXT(SUMPRODUCT(MAX((T_PlannedOrders[Part Name]=$A59)*(T_PlannedOrders[WeekIndex]=25)*(T_PlannedOrders[EffectiveQty]&gt;0)*T_PlannedOrders[Order_Month])),"m月")&amp;"発注)")</f>
        <v/>
      </c>
      <c r="AC81">
        <f>IF(SUMIFS(T_PlannedOrders[EffectiveQty],T_PlannedOrders[Part Name],$A59,T_PlannedOrders[WeekIndex],26)=0,"",SUMIFS(T_PlannedOrders[EffectiveQty],T_PlannedOrders[Part Name],$A59,T_PlannedOrders[WeekIndex],26)&amp;" ("&amp;TEXT(SUMPRODUCT(MAX((T_PlannedOrders[Part Name]=$A59)*(T_PlannedOrders[WeekIndex]=26)*(T_PlannedOrders[EffectiveQty]&gt;0)*T_PlannedOrders[Order_Month])),"m月")&amp;"発注)")</f>
        <v/>
      </c>
      <c r="AD81">
        <f>IF(SUMIFS(T_PlannedOrders[EffectiveQty],T_PlannedOrders[Part Name],$A59,T_PlannedOrders[WeekIndex],27)=0,"",SUMIFS(T_PlannedOrders[EffectiveQty],T_PlannedOrders[Part Name],$A59,T_PlannedOrders[WeekIndex],27)&amp;" ("&amp;TEXT(SUMPRODUCT(MAX((T_PlannedOrders[Part Name]=$A59)*(T_PlannedOrders[WeekIndex]=27)*(T_PlannedOrders[EffectiveQty]&gt;0)*T_PlannedOrders[Order_Month])),"m月")&amp;"発注)")</f>
        <v/>
      </c>
      <c r="AE81">
        <f>IF(SUMIFS(T_PlannedOrders[EffectiveQty],T_PlannedOrders[Part Name],$A59,T_PlannedOrders[WeekIndex],28)=0,"",SUMIFS(T_PlannedOrders[EffectiveQty],T_PlannedOrders[Part Name],$A59,T_PlannedOrders[WeekIndex],28)&amp;" ("&amp;TEXT(SUMPRODUCT(MAX((T_PlannedOrders[Part Name]=$A59)*(T_PlannedOrders[WeekIndex]=28)*(T_PlannedOrders[EffectiveQty]&gt;0)*T_PlannedOrders[Order_Month])),"m月")&amp;"発注)")</f>
        <v/>
      </c>
      <c r="AF81">
        <f>IF(SUMIFS(T_PlannedOrders[EffectiveQty],T_PlannedOrders[Part Name],$A59,T_PlannedOrders[WeekIndex],29)=0,"",SUMIFS(T_PlannedOrders[EffectiveQty],T_PlannedOrders[Part Name],$A59,T_PlannedOrders[WeekIndex],29)&amp;" ("&amp;TEXT(SUMPRODUCT(MAX((T_PlannedOrders[Part Name]=$A59)*(T_PlannedOrders[WeekIndex]=29)*(T_PlannedOrders[EffectiveQty]&gt;0)*T_PlannedOrders[Order_Month])),"m月")&amp;"発注)")</f>
        <v/>
      </c>
      <c r="AG81">
        <f>IF(SUMIFS(T_PlannedOrders[EffectiveQty],T_PlannedOrders[Part Name],$A59,T_PlannedOrders[WeekIndex],30)=0,"",SUMIFS(T_PlannedOrders[EffectiveQty],T_PlannedOrders[Part Name],$A59,T_PlannedOrders[WeekIndex],30)&amp;" ("&amp;TEXT(SUMPRODUCT(MAX((T_PlannedOrders[Part Name]=$A59)*(T_PlannedOrders[WeekIndex]=30)*(T_PlannedOrders[EffectiveQty]&gt;0)*T_PlannedOrders[Order_Month])),"m月")&amp;"発注)")</f>
        <v/>
      </c>
      <c r="AH81">
        <f>IF(SUMIFS(T_PlannedOrders[EffectiveQty],T_PlannedOrders[Part Name],$A59,T_PlannedOrders[WeekIndex],31)=0,"",SUMIFS(T_PlannedOrders[EffectiveQty],T_PlannedOrders[Part Name],$A59,T_PlannedOrders[WeekIndex],31)&amp;" ("&amp;TEXT(SUMPRODUCT(MAX((T_PlannedOrders[Part Name]=$A59)*(T_PlannedOrders[WeekIndex]=31)*(T_PlannedOrders[EffectiveQty]&gt;0)*T_PlannedOrders[Order_Month])),"m月")&amp;"発注)")</f>
        <v/>
      </c>
      <c r="AI81">
        <f>IF(SUMIFS(T_PlannedOrders[EffectiveQty],T_PlannedOrders[Part Name],$A59,T_PlannedOrders[WeekIndex],32)=0,"",SUMIFS(T_PlannedOrders[EffectiveQty],T_PlannedOrders[Part Name],$A59,T_PlannedOrders[WeekIndex],32)&amp;" ("&amp;TEXT(SUMPRODUCT(MAX((T_PlannedOrders[Part Name]=$A59)*(T_PlannedOrders[WeekIndex]=32)*(T_PlannedOrders[EffectiveQty]&gt;0)*T_PlannedOrders[Order_Month])),"m月")&amp;"発注)")</f>
        <v/>
      </c>
      <c r="AJ81">
        <f>IF(SUMIFS(T_PlannedOrders[EffectiveQty],T_PlannedOrders[Part Name],$A59,T_PlannedOrders[WeekIndex],33)=0,"",SUMIFS(T_PlannedOrders[EffectiveQty],T_PlannedOrders[Part Name],$A59,T_PlannedOrders[WeekIndex],33)&amp;" ("&amp;TEXT(SUMPRODUCT(MAX((T_PlannedOrders[Part Name]=$A59)*(T_PlannedOrders[WeekIndex]=33)*(T_PlannedOrders[EffectiveQty]&gt;0)*T_PlannedOrders[Order_Month])),"m月")&amp;"発注)")</f>
        <v/>
      </c>
      <c r="AK81">
        <f>IF(SUMIFS(T_PlannedOrders[EffectiveQty],T_PlannedOrders[Part Name],$A59,T_PlannedOrders[WeekIndex],34)=0,"",SUMIFS(T_PlannedOrders[EffectiveQty],T_PlannedOrders[Part Name],$A59,T_PlannedOrders[WeekIndex],34)&amp;" ("&amp;TEXT(SUMPRODUCT(MAX((T_PlannedOrders[Part Name]=$A59)*(T_PlannedOrders[WeekIndex]=34)*(T_PlannedOrders[EffectiveQty]&gt;0)*T_PlannedOrders[Order_Month])),"m月")&amp;"発注)")</f>
        <v/>
      </c>
      <c r="AL81">
        <f>IF(SUMIFS(T_PlannedOrders[EffectiveQty],T_PlannedOrders[Part Name],$A59,T_PlannedOrders[WeekIndex],35)=0,"",SUMIFS(T_PlannedOrders[EffectiveQty],T_PlannedOrders[Part Name],$A59,T_PlannedOrders[WeekIndex],35)&amp;" ("&amp;TEXT(SUMPRODUCT(MAX((T_PlannedOrders[Part Name]=$A59)*(T_PlannedOrders[WeekIndex]=35)*(T_PlannedOrders[EffectiveQty]&gt;0)*T_PlannedOrders[Order_Month])),"m月")&amp;"発注)")</f>
        <v/>
      </c>
      <c r="AM81">
        <f>IF(SUMIFS(T_PlannedOrders[EffectiveQty],T_PlannedOrders[Part Name],$A59,T_PlannedOrders[WeekIndex],36)=0,"",SUMIFS(T_PlannedOrders[EffectiveQty],T_PlannedOrders[Part Name],$A59,T_PlannedOrders[WeekIndex],36)&amp;" ("&amp;TEXT(SUMPRODUCT(MAX((T_PlannedOrders[Part Name]=$A59)*(T_PlannedOrders[WeekIndex]=36)*(T_PlannedOrders[EffectiveQty]&gt;0)*T_PlannedOrders[Order_Month])),"m月")&amp;"発注)")</f>
        <v/>
      </c>
      <c r="AN81">
        <f>IF(SUMIFS(T_PlannedOrders[EffectiveQty],T_PlannedOrders[Part Name],$A59,T_PlannedOrders[WeekIndex],37)=0,"",SUMIFS(T_PlannedOrders[EffectiveQty],T_PlannedOrders[Part Name],$A59,T_PlannedOrders[WeekIndex],37)&amp;" ("&amp;TEXT(SUMPRODUCT(MAX((T_PlannedOrders[Part Name]=$A59)*(T_PlannedOrders[WeekIndex]=37)*(T_PlannedOrders[EffectiveQty]&gt;0)*T_PlannedOrders[Order_Month])),"m月")&amp;"発注)")</f>
        <v/>
      </c>
      <c r="AO81">
        <f>IF(SUMIFS(T_PlannedOrders[EffectiveQty],T_PlannedOrders[Part Name],$A59,T_PlannedOrders[WeekIndex],38)=0,"",SUMIFS(T_PlannedOrders[EffectiveQty],T_PlannedOrders[Part Name],$A59,T_PlannedOrders[WeekIndex],38)&amp;" ("&amp;TEXT(SUMPRODUCT(MAX((T_PlannedOrders[Part Name]=$A59)*(T_PlannedOrders[WeekIndex]=38)*(T_PlannedOrders[EffectiveQty]&gt;0)*T_PlannedOrders[Order_Month])),"m月")&amp;"発注)")</f>
        <v/>
      </c>
      <c r="AP81">
        <f>IF(SUMIFS(T_PlannedOrders[EffectiveQty],T_PlannedOrders[Part Name],$A59,T_PlannedOrders[WeekIndex],39)=0,"",SUMIFS(T_PlannedOrders[EffectiveQty],T_PlannedOrders[Part Name],$A59,T_PlannedOrders[WeekIndex],39)&amp;" ("&amp;TEXT(SUMPRODUCT(MAX((T_PlannedOrders[Part Name]=$A59)*(T_PlannedOrders[WeekIndex]=39)*(T_PlannedOrders[EffectiveQty]&gt;0)*T_PlannedOrders[Order_Month])),"m月")&amp;"発注)")</f>
        <v/>
      </c>
      <c r="AQ81">
        <f>IF(SUMIFS(T_PlannedOrders[EffectiveQty],T_PlannedOrders[Part Name],$A59,T_PlannedOrders[WeekIndex],40)=0,"",SUMIFS(T_PlannedOrders[EffectiveQty],T_PlannedOrders[Part Name],$A59,T_PlannedOrders[WeekIndex],40)&amp;" ("&amp;TEXT(SUMPRODUCT(MAX((T_PlannedOrders[Part Name]=$A59)*(T_PlannedOrders[WeekIndex]=40)*(T_PlannedOrders[EffectiveQty]&gt;0)*T_PlannedOrders[Order_Month])),"m月")&amp;"発注)")</f>
        <v/>
      </c>
      <c r="AR81">
        <f>IF(SUMIFS(T_PlannedOrders[EffectiveQty],T_PlannedOrders[Part Name],$A59,T_PlannedOrders[WeekIndex],41)=0,"",SUMIFS(T_PlannedOrders[EffectiveQty],T_PlannedOrders[Part Name],$A59,T_PlannedOrders[WeekIndex],41)&amp;" ("&amp;TEXT(SUMPRODUCT(MAX((T_PlannedOrders[Part Name]=$A59)*(T_PlannedOrders[WeekIndex]=41)*(T_PlannedOrders[EffectiveQty]&gt;0)*T_PlannedOrders[Order_Month])),"m月")&amp;"発注)")</f>
        <v/>
      </c>
      <c r="AS81">
        <f>IF(SUMIFS(T_PlannedOrders[EffectiveQty],T_PlannedOrders[Part Name],$A59,T_PlannedOrders[WeekIndex],42)=0,"",SUMIFS(T_PlannedOrders[EffectiveQty],T_PlannedOrders[Part Name],$A59,T_PlannedOrders[WeekIndex],42)&amp;" ("&amp;TEXT(SUMPRODUCT(MAX((T_PlannedOrders[Part Name]=$A59)*(T_PlannedOrders[WeekIndex]=42)*(T_PlannedOrders[EffectiveQty]&gt;0)*T_PlannedOrders[Order_Month])),"m月")&amp;"発注)")</f>
        <v/>
      </c>
      <c r="AT81">
        <f>IF(SUMIFS(T_PlannedOrders[EffectiveQty],T_PlannedOrders[Part Name],$A59,T_PlannedOrders[WeekIndex],43)=0,"",SUMIFS(T_PlannedOrders[EffectiveQty],T_PlannedOrders[Part Name],$A59,T_PlannedOrders[WeekIndex],43)&amp;" ("&amp;TEXT(SUMPRODUCT(MAX((T_PlannedOrders[Part Name]=$A59)*(T_PlannedOrders[WeekIndex]=43)*(T_PlannedOrders[EffectiveQty]&gt;0)*T_PlannedOrders[Order_Month])),"m月")&amp;"発注)")</f>
        <v/>
      </c>
      <c r="AU81">
        <f>IF(SUMIFS(T_PlannedOrders[EffectiveQty],T_PlannedOrders[Part Name],$A59,T_PlannedOrders[WeekIndex],44)=0,"",SUMIFS(T_PlannedOrders[EffectiveQty],T_PlannedOrders[Part Name],$A59,T_PlannedOrders[WeekIndex],44)&amp;" ("&amp;TEXT(SUMPRODUCT(MAX((T_PlannedOrders[Part Name]=$A59)*(T_PlannedOrders[WeekIndex]=44)*(T_PlannedOrders[EffectiveQty]&gt;0)*T_PlannedOrders[Order_Month])),"m月")&amp;"発注)")</f>
        <v/>
      </c>
      <c r="AV81">
        <f>IF(SUMIFS(T_PlannedOrders[EffectiveQty],T_PlannedOrders[Part Name],$A59,T_PlannedOrders[WeekIndex],45)=0,"",SUMIFS(T_PlannedOrders[EffectiveQty],T_PlannedOrders[Part Name],$A59,T_PlannedOrders[WeekIndex],45)&amp;" ("&amp;TEXT(SUMPRODUCT(MAX((T_PlannedOrders[Part Name]=$A59)*(T_PlannedOrders[WeekIndex]=45)*(T_PlannedOrders[EffectiveQty]&gt;0)*T_PlannedOrders[Order_Month])),"m月")&amp;"発注)")</f>
        <v/>
      </c>
      <c r="AW81">
        <f>IF(SUMIFS(T_PlannedOrders[EffectiveQty],T_PlannedOrders[Part Name],$A59,T_PlannedOrders[WeekIndex],46)=0,"",SUMIFS(T_PlannedOrders[EffectiveQty],T_PlannedOrders[Part Name],$A59,T_PlannedOrders[WeekIndex],46)&amp;" ("&amp;TEXT(SUMPRODUCT(MAX((T_PlannedOrders[Part Name]=$A59)*(T_PlannedOrders[WeekIndex]=46)*(T_PlannedOrders[EffectiveQty]&gt;0)*T_PlannedOrders[Order_Month])),"m月")&amp;"発注)")</f>
        <v/>
      </c>
      <c r="AX81">
        <f>IF(SUMIFS(T_PlannedOrders[EffectiveQty],T_PlannedOrders[Part Name],$A59,T_PlannedOrders[WeekIndex],47)=0,"",SUMIFS(T_PlannedOrders[EffectiveQty],T_PlannedOrders[Part Name],$A59,T_PlannedOrders[WeekIndex],47)&amp;" ("&amp;TEXT(SUMPRODUCT(MAX((T_PlannedOrders[Part Name]=$A59)*(T_PlannedOrders[WeekIndex]=47)*(T_PlannedOrders[EffectiveQty]&gt;0)*T_PlannedOrders[Order_Month])),"m月")&amp;"発注)")</f>
        <v/>
      </c>
      <c r="AY81">
        <f>IF(SUMIFS(T_PlannedOrders[EffectiveQty],T_PlannedOrders[Part Name],$A59,T_PlannedOrders[WeekIndex],48)=0,"",SUMIFS(T_PlannedOrders[EffectiveQty],T_PlannedOrders[Part Name],$A59,T_PlannedOrders[WeekIndex],48)&amp;" ("&amp;TEXT(SUMPRODUCT(MAX((T_PlannedOrders[Part Name]=$A59)*(T_PlannedOrders[WeekIndex]=48)*(T_PlannedOrders[EffectiveQty]&gt;0)*T_PlannedOrders[Order_Month])),"m月")&amp;"発注)")</f>
        <v/>
      </c>
      <c r="AZ81">
        <f>IF(SUMIFS(T_PlannedOrders[EffectiveQty],T_PlannedOrders[Part Name],$A59,T_PlannedOrders[WeekIndex],49)=0,"",SUMIFS(T_PlannedOrders[EffectiveQty],T_PlannedOrders[Part Name],$A59,T_PlannedOrders[WeekIndex],49)&amp;" ("&amp;TEXT(SUMPRODUCT(MAX((T_PlannedOrders[Part Name]=$A59)*(T_PlannedOrders[WeekIndex]=49)*(T_PlannedOrders[EffectiveQty]&gt;0)*T_PlannedOrders[Order_Month])),"m月")&amp;"発注)")</f>
        <v/>
      </c>
      <c r="BA81">
        <f>IF(SUMIFS(T_PlannedOrders[EffectiveQty],T_PlannedOrders[Part Name],$A59,T_PlannedOrders[WeekIndex],50)=0,"",SUMIFS(T_PlannedOrders[EffectiveQty],T_PlannedOrders[Part Name],$A59,T_PlannedOrders[WeekIndex],50)&amp;" ("&amp;TEXT(SUMPRODUCT(MAX((T_PlannedOrders[Part Name]=$A59)*(T_PlannedOrders[WeekIndex]=50)*(T_PlannedOrders[EffectiveQty]&gt;0)*T_PlannedOrders[Order_Month])),"m月")&amp;"発注)")</f>
        <v/>
      </c>
      <c r="BB81">
        <f>IF(SUMIFS(T_PlannedOrders[EffectiveQty],T_PlannedOrders[Part Name],$A59,T_PlannedOrders[WeekIndex],51)=0,"",SUMIFS(T_PlannedOrders[EffectiveQty],T_PlannedOrders[Part Name],$A59,T_PlannedOrders[WeekIndex],51)&amp;" ("&amp;TEXT(SUMPRODUCT(MAX((T_PlannedOrders[Part Name]=$A59)*(T_PlannedOrders[WeekIndex]=51)*(T_PlannedOrders[EffectiveQty]&gt;0)*T_PlannedOrders[Order_Month])),"m月")&amp;"発注)")</f>
        <v/>
      </c>
      <c r="BC81">
        <f>IF(SUMIFS(T_PlannedOrders[EffectiveQty],T_PlannedOrders[Part Name],$A59,T_PlannedOrders[WeekIndex],52)=0,"",SUMIFS(T_PlannedOrders[EffectiveQty],T_PlannedOrders[Part Name],$A59,T_PlannedOrders[WeekIndex],52)&amp;" ("&amp;TEXT(SUMPRODUCT(MAX((T_PlannedOrders[Part Name]=$A59)*(T_PlannedOrders[WeekIndex]=52)*(T_PlannedOrders[EffectiveQty]&gt;0)*T_PlannedOrders[Order_Month])),"m月")&amp;"発注)")</f>
        <v/>
      </c>
      <c r="BD81">
        <f>IF(SUMIFS(T_PlannedOrders[EffectiveQty],T_PlannedOrders[Part Name],$A59,T_PlannedOrders[WeekIndex],53)=0,"",SUMIFS(T_PlannedOrders[EffectiveQty],T_PlannedOrders[Part Name],$A59,T_PlannedOrders[WeekIndex],53)&amp;" ("&amp;TEXT(SUMPRODUCT(MAX((T_PlannedOrders[Part Name]=$A59)*(T_PlannedOrders[WeekIndex]=53)*(T_PlannedOrders[EffectiveQty]&gt;0)*T_PlannedOrders[Order_Month])),"m月")&amp;"発注)")</f>
        <v/>
      </c>
      <c r="BE81">
        <f>IF(SUMIFS(T_PlannedOrders[EffectiveQty],T_PlannedOrders[Part Name],$A59,T_PlannedOrders[WeekIndex],54)=0,"",SUMIFS(T_PlannedOrders[EffectiveQty],T_PlannedOrders[Part Name],$A59,T_PlannedOrders[WeekIndex],54)&amp;" ("&amp;TEXT(SUMPRODUCT(MAX((T_PlannedOrders[Part Name]=$A59)*(T_PlannedOrders[WeekIndex]=54)*(T_PlannedOrders[EffectiveQty]&gt;0)*T_PlannedOrders[Order_Month])),"m月")&amp;"発注)")</f>
        <v/>
      </c>
      <c r="BF81">
        <f>IF(SUMIFS(T_PlannedOrders[EffectiveQty],T_PlannedOrders[Part Name],$A59,T_PlannedOrders[WeekIndex],55)=0,"",SUMIFS(T_PlannedOrders[EffectiveQty],T_PlannedOrders[Part Name],$A59,T_PlannedOrders[WeekIndex],55)&amp;" ("&amp;TEXT(SUMPRODUCT(MAX((T_PlannedOrders[Part Name]=$A59)*(T_PlannedOrders[WeekIndex]=55)*(T_PlannedOrders[EffectiveQty]&gt;0)*T_PlannedOrders[Order_Month])),"m月")&amp;"発注)")</f>
        <v/>
      </c>
      <c r="BG81">
        <f>IF(SUMIFS(T_PlannedOrders[EffectiveQty],T_PlannedOrders[Part Name],$A59,T_PlannedOrders[WeekIndex],56)=0,"",SUMIFS(T_PlannedOrders[EffectiveQty],T_PlannedOrders[Part Name],$A59,T_PlannedOrders[WeekIndex],56)&amp;" ("&amp;TEXT(SUMPRODUCT(MAX((T_PlannedOrders[Part Name]=$A59)*(T_PlannedOrders[WeekIndex]=56)*(T_PlannedOrders[EffectiveQty]&gt;0)*T_PlannedOrders[Order_Month])),"m月")&amp;"発注)")</f>
        <v/>
      </c>
      <c r="BH81">
        <f>IF(SUMIFS(T_PlannedOrders[EffectiveQty],T_PlannedOrders[Part Name],$A59,T_PlannedOrders[WeekIndex],57)=0,"",SUMIFS(T_PlannedOrders[EffectiveQty],T_PlannedOrders[Part Name],$A59,T_PlannedOrders[WeekIndex],57)&amp;" ("&amp;TEXT(SUMPRODUCT(MAX((T_PlannedOrders[Part Name]=$A59)*(T_PlannedOrders[WeekIndex]=57)*(T_PlannedOrders[EffectiveQty]&gt;0)*T_PlannedOrders[Order_Month])),"m月")&amp;"発注)")</f>
        <v/>
      </c>
      <c r="BI81">
        <f>IF(SUMIFS(T_PlannedOrders[EffectiveQty],T_PlannedOrders[Part Name],$A59,T_PlannedOrders[WeekIndex],58)=0,"",SUMIFS(T_PlannedOrders[EffectiveQty],T_PlannedOrders[Part Name],$A59,T_PlannedOrders[WeekIndex],58)&amp;" ("&amp;TEXT(SUMPRODUCT(MAX((T_PlannedOrders[Part Name]=$A59)*(T_PlannedOrders[WeekIndex]=58)*(T_PlannedOrders[EffectiveQty]&gt;0)*T_PlannedOrders[Order_Month])),"m月")&amp;"発注)")</f>
        <v/>
      </c>
      <c r="BJ81">
        <f>IF(SUMIFS(T_PlannedOrders[EffectiveQty],T_PlannedOrders[Part Name],$A59,T_PlannedOrders[WeekIndex],59)=0,"",SUMIFS(T_PlannedOrders[EffectiveQty],T_PlannedOrders[Part Name],$A59,T_PlannedOrders[WeekIndex],59)&amp;" ("&amp;TEXT(SUMPRODUCT(MAX((T_PlannedOrders[Part Name]=$A59)*(T_PlannedOrders[WeekIndex]=59)*(T_PlannedOrders[EffectiveQty]&gt;0)*T_PlannedOrders[Order_Month])),"m月")&amp;"発注)")</f>
        <v/>
      </c>
      <c r="BK81">
        <f>IF(SUMIFS(T_PlannedOrders[EffectiveQty],T_PlannedOrders[Part Name],$A59,T_PlannedOrders[WeekIndex],60)=0,"",SUMIFS(T_PlannedOrders[EffectiveQty],T_PlannedOrders[Part Name],$A59,T_PlannedOrders[WeekIndex],60)&amp;" ("&amp;TEXT(SUMPRODUCT(MAX((T_PlannedOrders[Part Name]=$A59)*(T_PlannedOrders[WeekIndex]=60)*(T_PlannedOrders[EffectiveQty]&gt;0)*T_PlannedOrders[Order_Month])),"m月")&amp;"発注)")</f>
        <v/>
      </c>
      <c r="BL81">
        <f>IF(SUMIFS(T_PlannedOrders[EffectiveQty],T_PlannedOrders[Part Name],$A59,T_PlannedOrders[WeekIndex],61)=0,"",SUMIFS(T_PlannedOrders[EffectiveQty],T_PlannedOrders[Part Name],$A59,T_PlannedOrders[WeekIndex],61)&amp;" ("&amp;TEXT(SUMPRODUCT(MAX((T_PlannedOrders[Part Name]=$A59)*(T_PlannedOrders[WeekIndex]=61)*(T_PlannedOrders[EffectiveQty]&gt;0)*T_PlannedOrders[Order_Month])),"m月")&amp;"発注)")</f>
        <v/>
      </c>
      <c r="BM81">
        <f>IF(SUMIFS(T_PlannedOrders[EffectiveQty],T_PlannedOrders[Part Name],$A59,T_PlannedOrders[WeekIndex],62)=0,"",SUMIFS(T_PlannedOrders[EffectiveQty],T_PlannedOrders[Part Name],$A59,T_PlannedOrders[WeekIndex],62)&amp;" ("&amp;TEXT(SUMPRODUCT(MAX((T_PlannedOrders[Part Name]=$A59)*(T_PlannedOrders[WeekIndex]=62)*(T_PlannedOrders[EffectiveQty]&gt;0)*T_PlannedOrders[Order_Month])),"m月")&amp;"発注)")</f>
        <v/>
      </c>
      <c r="BN81">
        <f>IF(SUMIFS(T_PlannedOrders[EffectiveQty],T_PlannedOrders[Part Name],$A59,T_PlannedOrders[WeekIndex],63)=0,"",SUMIFS(T_PlannedOrders[EffectiveQty],T_PlannedOrders[Part Name],$A59,T_PlannedOrders[WeekIndex],63)&amp;" ("&amp;TEXT(SUMPRODUCT(MAX((T_PlannedOrders[Part Name]=$A59)*(T_PlannedOrders[WeekIndex]=63)*(T_PlannedOrders[EffectiveQty]&gt;0)*T_PlannedOrders[Order_Month])),"m月")&amp;"発注)")</f>
        <v/>
      </c>
      <c r="BO81">
        <f>IF(SUMIFS(T_PlannedOrders[EffectiveQty],T_PlannedOrders[Part Name],$A59,T_PlannedOrders[WeekIndex],64)=0,"",SUMIFS(T_PlannedOrders[EffectiveQty],T_PlannedOrders[Part Name],$A59,T_PlannedOrders[WeekIndex],64)&amp;" ("&amp;TEXT(SUMPRODUCT(MAX((T_PlannedOrders[Part Name]=$A59)*(T_PlannedOrders[WeekIndex]=64)*(T_PlannedOrders[EffectiveQty]&gt;0)*T_PlannedOrders[Order_Month])),"m月")&amp;"発注)")</f>
        <v/>
      </c>
      <c r="BP81">
        <f>IF(SUMIFS(T_PlannedOrders[EffectiveQty],T_PlannedOrders[Part Name],$A59,T_PlannedOrders[WeekIndex],65)=0,"",SUMIFS(T_PlannedOrders[EffectiveQty],T_PlannedOrders[Part Name],$A59,T_PlannedOrders[WeekIndex],65)&amp;" ("&amp;TEXT(SUMPRODUCT(MAX((T_PlannedOrders[Part Name]=$A59)*(T_PlannedOrders[WeekIndex]=65)*(T_PlannedOrders[EffectiveQty]&gt;0)*T_PlannedOrders[Order_Month])),"m月")&amp;"発注)")</f>
        <v/>
      </c>
      <c r="BQ81">
        <f>IF(SUMIFS(T_PlannedOrders[EffectiveQty],T_PlannedOrders[Part Name],$A59,T_PlannedOrders[WeekIndex],66)=0,"",SUMIFS(T_PlannedOrders[EffectiveQty],T_PlannedOrders[Part Name],$A59,T_PlannedOrders[WeekIndex],66)&amp;" ("&amp;TEXT(SUMPRODUCT(MAX((T_PlannedOrders[Part Name]=$A59)*(T_PlannedOrders[WeekIndex]=66)*(T_PlannedOrders[EffectiveQty]&gt;0)*T_PlannedOrders[Order_Month])),"m月")&amp;"発注)")</f>
        <v/>
      </c>
      <c r="BR81">
        <f>IF(SUMIFS(T_PlannedOrders[EffectiveQty],T_PlannedOrders[Part Name],$A59,T_PlannedOrders[WeekIndex],67)=0,"",SUMIFS(T_PlannedOrders[EffectiveQty],T_PlannedOrders[Part Name],$A59,T_PlannedOrders[WeekIndex],67)&amp;" ("&amp;TEXT(SUMPRODUCT(MAX((T_PlannedOrders[Part Name]=$A59)*(T_PlannedOrders[WeekIndex]=67)*(T_PlannedOrders[EffectiveQty]&gt;0)*T_PlannedOrders[Order_Month])),"m月")&amp;"発注)")</f>
        <v/>
      </c>
      <c r="BS81">
        <f>IF(SUMIFS(T_PlannedOrders[EffectiveQty],T_PlannedOrders[Part Name],$A59,T_PlannedOrders[WeekIndex],68)=0,"",SUMIFS(T_PlannedOrders[EffectiveQty],T_PlannedOrders[Part Name],$A59,T_PlannedOrders[WeekIndex],68)&amp;" ("&amp;TEXT(SUMPRODUCT(MAX((T_PlannedOrders[Part Name]=$A59)*(T_PlannedOrders[WeekIndex]=68)*(T_PlannedOrders[EffectiveQty]&gt;0)*T_PlannedOrders[Order_Month])),"m月")&amp;"発注)")</f>
        <v/>
      </c>
      <c r="BT81">
        <f>IF(SUMIFS(T_PlannedOrders[EffectiveQty],T_PlannedOrders[Part Name],$A59,T_PlannedOrders[WeekIndex],69)=0,"",SUMIFS(T_PlannedOrders[EffectiveQty],T_PlannedOrders[Part Name],$A59,T_PlannedOrders[WeekIndex],69)&amp;" ("&amp;TEXT(SUMPRODUCT(MAX((T_PlannedOrders[Part Name]=$A59)*(T_PlannedOrders[WeekIndex]=69)*(T_PlannedOrders[EffectiveQty]&gt;0)*T_PlannedOrders[Order_Month])),"m月")&amp;"発注)")</f>
        <v/>
      </c>
      <c r="BU81">
        <f>IF(SUMIFS(T_PlannedOrders[EffectiveQty],T_PlannedOrders[Part Name],$A59,T_PlannedOrders[WeekIndex],70)=0,"",SUMIFS(T_PlannedOrders[EffectiveQty],T_PlannedOrders[Part Name],$A59,T_PlannedOrders[WeekIndex],70)&amp;" ("&amp;TEXT(SUMPRODUCT(MAX((T_PlannedOrders[Part Name]=$A59)*(T_PlannedOrders[WeekIndex]=70)*(T_PlannedOrders[EffectiveQty]&gt;0)*T_PlannedOrders[Order_Month])),"m月")&amp;"発注)")</f>
        <v/>
      </c>
      <c r="BV81">
        <f>IF(SUMIFS(T_PlannedOrders[EffectiveQty],T_PlannedOrders[Part Name],$A59,T_PlannedOrders[WeekIndex],71)=0,"",SUMIFS(T_PlannedOrders[EffectiveQty],T_PlannedOrders[Part Name],$A59,T_PlannedOrders[WeekIndex],71)&amp;" ("&amp;TEXT(SUMPRODUCT(MAX((T_PlannedOrders[Part Name]=$A59)*(T_PlannedOrders[WeekIndex]=71)*(T_PlannedOrders[EffectiveQty]&gt;0)*T_PlannedOrders[Order_Month])),"m月")&amp;"発注)")</f>
        <v/>
      </c>
      <c r="BW81">
        <f>IF(SUMIFS(T_PlannedOrders[EffectiveQty],T_PlannedOrders[Part Name],$A59,T_PlannedOrders[WeekIndex],72)=0,"",SUMIFS(T_PlannedOrders[EffectiveQty],T_PlannedOrders[Part Name],$A59,T_PlannedOrders[WeekIndex],72)&amp;" ("&amp;TEXT(SUMPRODUCT(MAX((T_PlannedOrders[Part Name]=$A59)*(T_PlannedOrders[WeekIndex]=72)*(T_PlannedOrders[EffectiveQty]&gt;0)*T_PlannedOrders[Order_Month])),"m月")&amp;"発注)")</f>
        <v/>
      </c>
      <c r="BX81">
        <f>IF(SUMIFS(T_PlannedOrders[EffectiveQty],T_PlannedOrders[Part Name],$A59,T_PlannedOrders[WeekIndex],73)=0,"",SUMIFS(T_PlannedOrders[EffectiveQty],T_PlannedOrders[Part Name],$A59,T_PlannedOrders[WeekIndex],73)&amp;" ("&amp;TEXT(SUMPRODUCT(MAX((T_PlannedOrders[Part Name]=$A59)*(T_PlannedOrders[WeekIndex]=73)*(T_PlannedOrders[EffectiveQty]&gt;0)*T_PlannedOrders[Order_Month])),"m月")&amp;"発注)")</f>
        <v/>
      </c>
      <c r="BY81">
        <f>IF(SUMIFS(T_PlannedOrders[EffectiveQty],T_PlannedOrders[Part Name],$A59,T_PlannedOrders[WeekIndex],74)=0,"",SUMIFS(T_PlannedOrders[EffectiveQty],T_PlannedOrders[Part Name],$A59,T_PlannedOrders[WeekIndex],74)&amp;" ("&amp;TEXT(SUMPRODUCT(MAX((T_PlannedOrders[Part Name]=$A59)*(T_PlannedOrders[WeekIndex]=74)*(T_PlannedOrders[EffectiveQty]&gt;0)*T_PlannedOrders[Order_Month])),"m月")&amp;"発注)")</f>
        <v/>
      </c>
      <c r="BZ81">
        <f>IF(SUMIFS(T_PlannedOrders[EffectiveQty],T_PlannedOrders[Part Name],$A59,T_PlannedOrders[WeekIndex],75)=0,"",SUMIFS(T_PlannedOrders[EffectiveQty],T_PlannedOrders[Part Name],$A59,T_PlannedOrders[WeekIndex],75)&amp;" ("&amp;TEXT(SUMPRODUCT(MAX((T_PlannedOrders[Part Name]=$A59)*(T_PlannedOrders[WeekIndex]=75)*(T_PlannedOrders[EffectiveQty]&gt;0)*T_PlannedOrders[Order_Month])),"m月")&amp;"発注)")</f>
        <v/>
      </c>
      <c r="CA81">
        <f>IF(SUMIFS(T_PlannedOrders[EffectiveQty],T_PlannedOrders[Part Name],$A59,T_PlannedOrders[WeekIndex],76)=0,"",SUMIFS(T_PlannedOrders[EffectiveQty],T_PlannedOrders[Part Name],$A59,T_PlannedOrders[WeekIndex],76)&amp;" ("&amp;TEXT(SUMPRODUCT(MAX((T_PlannedOrders[Part Name]=$A59)*(T_PlannedOrders[WeekIndex]=76)*(T_PlannedOrders[EffectiveQty]&gt;0)*T_PlannedOrders[Order_Month])),"m月")&amp;"発注)")</f>
        <v/>
      </c>
      <c r="CB81">
        <f>IF(SUMIFS(T_PlannedOrders[EffectiveQty],T_PlannedOrders[Part Name],$A59,T_PlannedOrders[WeekIndex],77)=0,"",SUMIFS(T_PlannedOrders[EffectiveQty],T_PlannedOrders[Part Name],$A59,T_PlannedOrders[WeekIndex],77)&amp;" ("&amp;TEXT(SUMPRODUCT(MAX((T_PlannedOrders[Part Name]=$A59)*(T_PlannedOrders[WeekIndex]=77)*(T_PlannedOrders[EffectiveQty]&gt;0)*T_PlannedOrders[Order_Month])),"m月")&amp;"発注)")</f>
        <v/>
      </c>
      <c r="CC81">
        <f>IF(SUMIFS(T_PlannedOrders[EffectiveQty],T_PlannedOrders[Part Name],$A59,T_PlannedOrders[WeekIndex],78)=0,"",SUMIFS(T_PlannedOrders[EffectiveQty],T_PlannedOrders[Part Name],$A59,T_PlannedOrders[WeekIndex],78)&amp;" ("&amp;TEXT(SUMPRODUCT(MAX((T_PlannedOrders[Part Name]=$A59)*(T_PlannedOrders[WeekIndex]=78)*(T_PlannedOrders[EffectiveQty]&gt;0)*T_PlannedOrders[Order_Month])),"m月")&amp;"発注)")</f>
        <v/>
      </c>
      <c r="CD81">
        <f>IF(SUMIFS(T_PlannedOrders[EffectiveQty],T_PlannedOrders[Part Name],$A59,T_PlannedOrders[WeekIndex],79)=0,"",SUMIFS(T_PlannedOrders[EffectiveQty],T_PlannedOrders[Part Name],$A59,T_PlannedOrders[WeekIndex],79)&amp;" ("&amp;TEXT(SUMPRODUCT(MAX((T_PlannedOrders[Part Name]=$A59)*(T_PlannedOrders[WeekIndex]=79)*(T_PlannedOrders[EffectiveQty]&gt;0)*T_PlannedOrders[Order_Month])),"m月")&amp;"発注)")</f>
        <v/>
      </c>
      <c r="CE81">
        <f>IF(SUMIFS(T_PlannedOrders[EffectiveQty],T_PlannedOrders[Part Name],$A59,T_PlannedOrders[WeekIndex],80)=0,"",SUMIFS(T_PlannedOrders[EffectiveQty],T_PlannedOrders[Part Name],$A59,T_PlannedOrders[WeekIndex],80)&amp;" ("&amp;TEXT(SUMPRODUCT(MAX((T_PlannedOrders[Part Name]=$A59)*(T_PlannedOrders[WeekIndex]=80)*(T_PlannedOrders[EffectiveQty]&gt;0)*T_PlannedOrders[Order_Month])),"m月")&amp;"発注)")</f>
        <v/>
      </c>
      <c r="CF81">
        <f>IF(SUMIFS(T_PlannedOrders[EffectiveQty],T_PlannedOrders[Part Name],$A59,T_PlannedOrders[WeekIndex],81)=0,"",SUMIFS(T_PlannedOrders[EffectiveQty],T_PlannedOrders[Part Name],$A59,T_PlannedOrders[WeekIndex],81)&amp;" ("&amp;TEXT(SUMPRODUCT(MAX((T_PlannedOrders[Part Name]=$A59)*(T_PlannedOrders[WeekIndex]=81)*(T_PlannedOrders[EffectiveQty]&gt;0)*T_PlannedOrders[Order_Month])),"m月")&amp;"発注)")</f>
        <v/>
      </c>
      <c r="CG81">
        <f>IF(SUMIFS(T_PlannedOrders[EffectiveQty],T_PlannedOrders[Part Name],$A59,T_PlannedOrders[WeekIndex],82)=0,"",SUMIFS(T_PlannedOrders[EffectiveQty],T_PlannedOrders[Part Name],$A59,T_PlannedOrders[WeekIndex],82)&amp;" ("&amp;TEXT(SUMPRODUCT(MAX((T_PlannedOrders[Part Name]=$A59)*(T_PlannedOrders[WeekIndex]=82)*(T_PlannedOrders[EffectiveQty]&gt;0)*T_PlannedOrders[Order_Month])),"m月")&amp;"発注)")</f>
        <v/>
      </c>
      <c r="CH81">
        <f>IF(SUMIFS(T_PlannedOrders[EffectiveQty],T_PlannedOrders[Part Name],$A59,T_PlannedOrders[WeekIndex],83)=0,"",SUMIFS(T_PlannedOrders[EffectiveQty],T_PlannedOrders[Part Name],$A59,T_PlannedOrders[WeekIndex],83)&amp;" ("&amp;TEXT(SUMPRODUCT(MAX((T_PlannedOrders[Part Name]=$A59)*(T_PlannedOrders[WeekIndex]=83)*(T_PlannedOrders[EffectiveQty]&gt;0)*T_PlannedOrders[Order_Month])),"m月")&amp;"発注)")</f>
        <v/>
      </c>
      <c r="CI81">
        <f>IF(SUMIFS(T_PlannedOrders[EffectiveQty],T_PlannedOrders[Part Name],$A59,T_PlannedOrders[WeekIndex],84)=0,"",SUMIFS(T_PlannedOrders[EffectiveQty],T_PlannedOrders[Part Name],$A59,T_PlannedOrders[WeekIndex],84)&amp;" ("&amp;TEXT(SUMPRODUCT(MAX((T_PlannedOrders[Part Name]=$A59)*(T_PlannedOrders[WeekIndex]=84)*(T_PlannedOrders[EffectiveQty]&gt;0)*T_PlannedOrders[Order_Month])),"m月")&amp;"発注)")</f>
        <v/>
      </c>
      <c r="CJ81">
        <f>IF(SUMIFS(T_PlannedOrders[EffectiveQty],T_PlannedOrders[Part Name],$A59,T_PlannedOrders[WeekIndex],85)=0,"",SUMIFS(T_PlannedOrders[EffectiveQty],T_PlannedOrders[Part Name],$A59,T_PlannedOrders[WeekIndex],85)&amp;" ("&amp;TEXT(SUMPRODUCT(MAX((T_PlannedOrders[Part Name]=$A59)*(T_PlannedOrders[WeekIndex]=85)*(T_PlannedOrders[EffectiveQty]&gt;0)*T_PlannedOrders[Order_Month])),"m月")&amp;"発注)")</f>
        <v/>
      </c>
      <c r="CK81">
        <f>IF(SUMIFS(T_PlannedOrders[EffectiveQty],T_PlannedOrders[Part Name],$A59,T_PlannedOrders[WeekIndex],86)=0,"",SUMIFS(T_PlannedOrders[EffectiveQty],T_PlannedOrders[Part Name],$A59,T_PlannedOrders[WeekIndex],86)&amp;" ("&amp;TEXT(SUMPRODUCT(MAX((T_PlannedOrders[Part Name]=$A59)*(T_PlannedOrders[WeekIndex]=86)*(T_PlannedOrders[EffectiveQty]&gt;0)*T_PlannedOrders[Order_Month])),"m月")&amp;"発注)")</f>
        <v/>
      </c>
      <c r="CL81">
        <f>IF(SUMIFS(T_PlannedOrders[EffectiveQty],T_PlannedOrders[Part Name],$A59,T_PlannedOrders[WeekIndex],87)=0,"",SUMIFS(T_PlannedOrders[EffectiveQty],T_PlannedOrders[Part Name],$A59,T_PlannedOrders[WeekIndex],87)&amp;" ("&amp;TEXT(SUMPRODUCT(MAX((T_PlannedOrders[Part Name]=$A59)*(T_PlannedOrders[WeekIndex]=87)*(T_PlannedOrders[EffectiveQty]&gt;0)*T_PlannedOrders[Order_Month])),"m月")&amp;"発注)")</f>
        <v/>
      </c>
      <c r="CM81">
        <f>IF(SUMIFS(T_PlannedOrders[EffectiveQty],T_PlannedOrders[Part Name],$A59,T_PlannedOrders[WeekIndex],88)=0,"",SUMIFS(T_PlannedOrders[EffectiveQty],T_PlannedOrders[Part Name],$A59,T_PlannedOrders[WeekIndex],88)&amp;" ("&amp;TEXT(SUMPRODUCT(MAX((T_PlannedOrders[Part Name]=$A59)*(T_PlannedOrders[WeekIndex]=88)*(T_PlannedOrders[EffectiveQty]&gt;0)*T_PlannedOrders[Order_Month])),"m月")&amp;"発注)")</f>
        <v/>
      </c>
      <c r="CN81">
        <f>IF(SUMIFS(T_PlannedOrders[EffectiveQty],T_PlannedOrders[Part Name],$A59,T_PlannedOrders[WeekIndex],89)=0,"",SUMIFS(T_PlannedOrders[EffectiveQty],T_PlannedOrders[Part Name],$A59,T_PlannedOrders[WeekIndex],89)&amp;" ("&amp;TEXT(SUMPRODUCT(MAX((T_PlannedOrders[Part Name]=$A59)*(T_PlannedOrders[WeekIndex]=89)*(T_PlannedOrders[EffectiveQty]&gt;0)*T_PlannedOrders[Order_Month])),"m月")&amp;"発注)")</f>
        <v/>
      </c>
      <c r="CO81">
        <f>IF(SUMIFS(T_PlannedOrders[EffectiveQty],T_PlannedOrders[Part Name],$A59,T_PlannedOrders[WeekIndex],90)=0,"",SUMIFS(T_PlannedOrders[EffectiveQty],T_PlannedOrders[Part Name],$A59,T_PlannedOrders[WeekIndex],90)&amp;" ("&amp;TEXT(SUMPRODUCT(MAX((T_PlannedOrders[Part Name]=$A59)*(T_PlannedOrders[WeekIndex]=90)*(T_PlannedOrders[EffectiveQty]&gt;0)*T_PlannedOrders[Order_Month])),"m月")&amp;"発注)")</f>
        <v/>
      </c>
      <c r="CP81">
        <f>IF(SUMIFS(T_PlannedOrders[EffectiveQty],T_PlannedOrders[Part Name],$A59,T_PlannedOrders[WeekIndex],91)=0,"",SUMIFS(T_PlannedOrders[EffectiveQty],T_PlannedOrders[Part Name],$A59,T_PlannedOrders[WeekIndex],91)&amp;" ("&amp;TEXT(SUMPRODUCT(MAX((T_PlannedOrders[Part Name]=$A59)*(T_PlannedOrders[WeekIndex]=91)*(T_PlannedOrders[EffectiveQty]&gt;0)*T_PlannedOrders[Order_Month])),"m月")&amp;"発注)")</f>
        <v/>
      </c>
      <c r="CQ81">
        <f>IF(SUMIFS(T_PlannedOrders[EffectiveQty],T_PlannedOrders[Part Name],$A59,T_PlannedOrders[WeekIndex],92)=0,"",SUMIFS(T_PlannedOrders[EffectiveQty],T_PlannedOrders[Part Name],$A59,T_PlannedOrders[WeekIndex],92)&amp;" ("&amp;TEXT(SUMPRODUCT(MAX((T_PlannedOrders[Part Name]=$A59)*(T_PlannedOrders[WeekIndex]=92)*(T_PlannedOrders[EffectiveQty]&gt;0)*T_PlannedOrders[Order_Month])),"m月")&amp;"発注)")</f>
        <v/>
      </c>
      <c r="CR81">
        <f>IF(SUMIFS(T_PlannedOrders[EffectiveQty],T_PlannedOrders[Part Name],$A59,T_PlannedOrders[WeekIndex],93)=0,"",SUMIFS(T_PlannedOrders[EffectiveQty],T_PlannedOrders[Part Name],$A59,T_PlannedOrders[WeekIndex],93)&amp;" ("&amp;TEXT(SUMPRODUCT(MAX((T_PlannedOrders[Part Name]=$A59)*(T_PlannedOrders[WeekIndex]=93)*(T_PlannedOrders[EffectiveQty]&gt;0)*T_PlannedOrders[Order_Month])),"m月")&amp;"発注)")</f>
        <v/>
      </c>
      <c r="CS81">
        <f>IF(SUMIFS(T_PlannedOrders[EffectiveQty],T_PlannedOrders[Part Name],$A59,T_PlannedOrders[WeekIndex],94)=0,"",SUMIFS(T_PlannedOrders[EffectiveQty],T_PlannedOrders[Part Name],$A59,T_PlannedOrders[WeekIndex],94)&amp;" ("&amp;TEXT(SUMPRODUCT(MAX((T_PlannedOrders[Part Name]=$A59)*(T_PlannedOrders[WeekIndex]=94)*(T_PlannedOrders[EffectiveQty]&gt;0)*T_PlannedOrders[Order_Month])),"m月")&amp;"発注)")</f>
        <v/>
      </c>
      <c r="CT81">
        <f>IF(SUMIFS(T_PlannedOrders[EffectiveQty],T_PlannedOrders[Part Name],$A59,T_PlannedOrders[WeekIndex],95)=0,"",SUMIFS(T_PlannedOrders[EffectiveQty],T_PlannedOrders[Part Name],$A59,T_PlannedOrders[WeekIndex],95)&amp;" ("&amp;TEXT(SUMPRODUCT(MAX((T_PlannedOrders[Part Name]=$A59)*(T_PlannedOrders[WeekIndex]=95)*(T_PlannedOrders[EffectiveQty]&gt;0)*T_PlannedOrders[Order_Month])),"m月")&amp;"発注)")</f>
        <v/>
      </c>
      <c r="CU81">
        <f>IF(SUMIFS(T_PlannedOrders[EffectiveQty],T_PlannedOrders[Part Name],$A59,T_PlannedOrders[WeekIndex],96)=0,"",SUMIFS(T_PlannedOrders[EffectiveQty],T_PlannedOrders[Part Name],$A59,T_PlannedOrders[WeekIndex],96)&amp;" ("&amp;TEXT(SUMPRODUCT(MAX((T_PlannedOrders[Part Name]=$A59)*(T_PlannedOrders[WeekIndex]=96)*(T_PlannedOrders[EffectiveQty]&gt;0)*T_PlannedOrders[Order_Month])),"m月")&amp;"発注)")</f>
        <v/>
      </c>
      <c r="CV81">
        <f>IF(SUMIFS(T_PlannedOrders[EffectiveQty],T_PlannedOrders[Part Name],$A59,T_PlannedOrders[WeekIndex],97)=0,"",SUMIFS(T_PlannedOrders[EffectiveQty],T_PlannedOrders[Part Name],$A59,T_PlannedOrders[WeekIndex],97)&amp;" ("&amp;TEXT(SUMPRODUCT(MAX((T_PlannedOrders[Part Name]=$A59)*(T_PlannedOrders[WeekIndex]=97)*(T_PlannedOrders[EffectiveQty]&gt;0)*T_PlannedOrders[Order_Month])),"m月")&amp;"発注)")</f>
        <v/>
      </c>
      <c r="CW81">
        <f>IF(SUMIFS(T_PlannedOrders[EffectiveQty],T_PlannedOrders[Part Name],$A59,T_PlannedOrders[WeekIndex],98)=0,"",SUMIFS(T_PlannedOrders[EffectiveQty],T_PlannedOrders[Part Name],$A59,T_PlannedOrders[WeekIndex],98)&amp;" ("&amp;TEXT(SUMPRODUCT(MAX((T_PlannedOrders[Part Name]=$A59)*(T_PlannedOrders[WeekIndex]=98)*(T_PlannedOrders[EffectiveQty]&gt;0)*T_PlannedOrders[Order_Month])),"m月")&amp;"発注)")</f>
        <v/>
      </c>
      <c r="CX81">
        <f>IF(SUMIFS(T_PlannedOrders[EffectiveQty],T_PlannedOrders[Part Name],$A59,T_PlannedOrders[WeekIndex],99)=0,"",SUMIFS(T_PlannedOrders[EffectiveQty],T_PlannedOrders[Part Name],$A59,T_PlannedOrders[WeekIndex],99)&amp;" ("&amp;TEXT(SUMPRODUCT(MAX((T_PlannedOrders[Part Name]=$A59)*(T_PlannedOrders[WeekIndex]=99)*(T_PlannedOrders[EffectiveQty]&gt;0)*T_PlannedOrders[Order_Month])),"m月")&amp;"発注)")</f>
        <v/>
      </c>
      <c r="CY81">
        <f>IF(SUMIFS(T_PlannedOrders[EffectiveQty],T_PlannedOrders[Part Name],$A59,T_PlannedOrders[WeekIndex],100)=0,"",SUMIFS(T_PlannedOrders[EffectiveQty],T_PlannedOrders[Part Name],$A59,T_PlannedOrders[WeekIndex],100)&amp;" ("&amp;TEXT(SUMPRODUCT(MAX((T_PlannedOrders[Part Name]=$A59)*(T_PlannedOrders[WeekIndex]=100)*(T_PlannedOrders[EffectiveQty]&gt;0)*T_PlannedOrders[Order_Month])),"m月")&amp;"発注)")</f>
        <v/>
      </c>
      <c r="CZ81">
        <f>IF(SUMIFS(T_PlannedOrders[EffectiveQty],T_PlannedOrders[Part Name],$A59,T_PlannedOrders[WeekIndex],101)=0,"",SUMIFS(T_PlannedOrders[EffectiveQty],T_PlannedOrders[Part Name],$A59,T_PlannedOrders[WeekIndex],101)&amp;" ("&amp;TEXT(SUMPRODUCT(MAX((T_PlannedOrders[Part Name]=$A59)*(T_PlannedOrders[WeekIndex]=101)*(T_PlannedOrders[EffectiveQty]&gt;0)*T_PlannedOrders[Order_Month])),"m月")&amp;"発注)")</f>
        <v/>
      </c>
      <c r="DA81">
        <f>IF(SUMIFS(T_PlannedOrders[EffectiveQty],T_PlannedOrders[Part Name],$A59,T_PlannedOrders[WeekIndex],102)=0,"",SUMIFS(T_PlannedOrders[EffectiveQty],T_PlannedOrders[Part Name],$A59,T_PlannedOrders[WeekIndex],102)&amp;" ("&amp;TEXT(SUMPRODUCT(MAX((T_PlannedOrders[Part Name]=$A59)*(T_PlannedOrders[WeekIndex]=102)*(T_PlannedOrders[EffectiveQty]&gt;0)*T_PlannedOrders[Order_Month])),"m月")&amp;"発注)")</f>
        <v/>
      </c>
      <c r="DB81">
        <f>IF(SUMIFS(T_PlannedOrders[EffectiveQty],T_PlannedOrders[Part Name],$A59,T_PlannedOrders[WeekIndex],103)=0,"",SUMIFS(T_PlannedOrders[EffectiveQty],T_PlannedOrders[Part Name],$A59,T_PlannedOrders[WeekIndex],103)&amp;" ("&amp;TEXT(SUMPRODUCT(MAX((T_PlannedOrders[Part Name]=$A59)*(T_PlannedOrders[WeekIndex]=103)*(T_PlannedOrders[EffectiveQty]&gt;0)*T_PlannedOrders[Order_Month])),"m月")&amp;"発注)")</f>
        <v/>
      </c>
      <c r="DC81">
        <f>IF(SUMIFS(T_PlannedOrders[EffectiveQty],T_PlannedOrders[Part Name],$A59,T_PlannedOrders[WeekIndex],104)=0,"",SUMIFS(T_PlannedOrders[EffectiveQty],T_PlannedOrders[Part Name],$A59,T_PlannedOrders[WeekIndex],104)&amp;" ("&amp;TEXT(SUMPRODUCT(MAX((T_PlannedOrders[Part Name]=$A59)*(T_PlannedOrders[WeekIndex]=104)*(T_PlannedOrders[EffectiveQty]&gt;0)*T_PlannedOrders[Order_Month])),"m月")&amp;"発注)")</f>
        <v/>
      </c>
    </row>
    <row r="82">
      <c r="B82" s="5" t="inlineStr">
        <is>
          <t>合計在庫(週末時点,kg)</t>
        </is>
      </c>
      <c r="D82">
        <f>'Grid_Stock'!B3</f>
        <v/>
      </c>
      <c r="E82">
        <f>'Grid_Stock'!C3</f>
        <v/>
      </c>
      <c r="F82">
        <f>'Grid_Stock'!D3</f>
        <v/>
      </c>
      <c r="G82">
        <f>'Grid_Stock'!E3</f>
        <v/>
      </c>
      <c r="H82">
        <f>'Grid_Stock'!F3</f>
        <v/>
      </c>
      <c r="I82">
        <f>'Grid_Stock'!G3</f>
        <v/>
      </c>
      <c r="J82">
        <f>'Grid_Stock'!H3</f>
        <v/>
      </c>
      <c r="K82">
        <f>'Grid_Stock'!I3</f>
        <v/>
      </c>
      <c r="L82">
        <f>'Grid_Stock'!J3</f>
        <v/>
      </c>
      <c r="M82">
        <f>'Grid_Stock'!K3</f>
        <v/>
      </c>
      <c r="N82">
        <f>'Grid_Stock'!L3</f>
        <v/>
      </c>
      <c r="O82">
        <f>'Grid_Stock'!M3</f>
        <v/>
      </c>
      <c r="P82">
        <f>'Grid_Stock'!N3</f>
        <v/>
      </c>
      <c r="Q82">
        <f>'Grid_Stock'!O3</f>
        <v/>
      </c>
      <c r="R82">
        <f>'Grid_Stock'!P3</f>
        <v/>
      </c>
      <c r="S82">
        <f>'Grid_Stock'!Q3</f>
        <v/>
      </c>
      <c r="T82">
        <f>'Grid_Stock'!R3</f>
        <v/>
      </c>
      <c r="U82">
        <f>'Grid_Stock'!S3</f>
        <v/>
      </c>
      <c r="V82">
        <f>'Grid_Stock'!T3</f>
        <v/>
      </c>
      <c r="W82">
        <f>'Grid_Stock'!U3</f>
        <v/>
      </c>
      <c r="X82">
        <f>'Grid_Stock'!V3</f>
        <v/>
      </c>
      <c r="Y82">
        <f>'Grid_Stock'!W3</f>
        <v/>
      </c>
      <c r="Z82">
        <f>'Grid_Stock'!X3</f>
        <v/>
      </c>
      <c r="AA82">
        <f>'Grid_Stock'!Y3</f>
        <v/>
      </c>
      <c r="AB82">
        <f>'Grid_Stock'!Z3</f>
        <v/>
      </c>
      <c r="AC82">
        <f>'Grid_Stock'!AA3</f>
        <v/>
      </c>
      <c r="AD82">
        <f>'Grid_Stock'!AB3</f>
        <v/>
      </c>
      <c r="AE82">
        <f>'Grid_Stock'!AC3</f>
        <v/>
      </c>
      <c r="AF82">
        <f>'Grid_Stock'!AD3</f>
        <v/>
      </c>
      <c r="AG82">
        <f>'Grid_Stock'!AE3</f>
        <v/>
      </c>
      <c r="AH82">
        <f>'Grid_Stock'!AF3</f>
        <v/>
      </c>
      <c r="AI82">
        <f>'Grid_Stock'!AG3</f>
        <v/>
      </c>
      <c r="AJ82">
        <f>'Grid_Stock'!AH3</f>
        <v/>
      </c>
      <c r="AK82">
        <f>'Grid_Stock'!AI3</f>
        <v/>
      </c>
      <c r="AL82">
        <f>'Grid_Stock'!AJ3</f>
        <v/>
      </c>
      <c r="AM82">
        <f>'Grid_Stock'!AK3</f>
        <v/>
      </c>
      <c r="AN82">
        <f>'Grid_Stock'!AL3</f>
        <v/>
      </c>
      <c r="AO82">
        <f>'Grid_Stock'!AM3</f>
        <v/>
      </c>
      <c r="AP82">
        <f>'Grid_Stock'!AN3</f>
        <v/>
      </c>
      <c r="AQ82">
        <f>'Grid_Stock'!AO3</f>
        <v/>
      </c>
      <c r="AR82">
        <f>'Grid_Stock'!AP3</f>
        <v/>
      </c>
      <c r="AS82">
        <f>'Grid_Stock'!AQ3</f>
        <v/>
      </c>
      <c r="AT82">
        <f>'Grid_Stock'!AR3</f>
        <v/>
      </c>
      <c r="AU82">
        <f>'Grid_Stock'!AS3</f>
        <v/>
      </c>
      <c r="AV82">
        <f>'Grid_Stock'!AT3</f>
        <v/>
      </c>
      <c r="AW82">
        <f>'Grid_Stock'!AU3</f>
        <v/>
      </c>
      <c r="AX82">
        <f>'Grid_Stock'!AV3</f>
        <v/>
      </c>
      <c r="AY82">
        <f>'Grid_Stock'!AW3</f>
        <v/>
      </c>
      <c r="AZ82">
        <f>'Grid_Stock'!AX3</f>
        <v/>
      </c>
      <c r="BA82">
        <f>'Grid_Stock'!AY3</f>
        <v/>
      </c>
      <c r="BB82">
        <f>'Grid_Stock'!AZ3</f>
        <v/>
      </c>
      <c r="BC82">
        <f>'Grid_Stock'!BA3</f>
        <v/>
      </c>
      <c r="BD82">
        <f>'Grid_Stock'!BB3</f>
        <v/>
      </c>
      <c r="BE82">
        <f>'Grid_Stock'!BC3</f>
        <v/>
      </c>
      <c r="BF82">
        <f>'Grid_Stock'!BD3</f>
        <v/>
      </c>
      <c r="BG82">
        <f>'Grid_Stock'!BE3</f>
        <v/>
      </c>
      <c r="BH82">
        <f>'Grid_Stock'!BF3</f>
        <v/>
      </c>
      <c r="BI82">
        <f>'Grid_Stock'!BG3</f>
        <v/>
      </c>
      <c r="BJ82">
        <f>'Grid_Stock'!BH3</f>
        <v/>
      </c>
      <c r="BK82">
        <f>'Grid_Stock'!BI3</f>
        <v/>
      </c>
      <c r="BL82">
        <f>'Grid_Stock'!BJ3</f>
        <v/>
      </c>
      <c r="BM82">
        <f>'Grid_Stock'!BK3</f>
        <v/>
      </c>
      <c r="BN82">
        <f>'Grid_Stock'!BL3</f>
        <v/>
      </c>
      <c r="BO82">
        <f>'Grid_Stock'!BM3</f>
        <v/>
      </c>
      <c r="BP82">
        <f>'Grid_Stock'!BN3</f>
        <v/>
      </c>
      <c r="BQ82">
        <f>'Grid_Stock'!BO3</f>
        <v/>
      </c>
      <c r="BR82">
        <f>'Grid_Stock'!BP3</f>
        <v/>
      </c>
      <c r="BS82">
        <f>'Grid_Stock'!BQ3</f>
        <v/>
      </c>
      <c r="BT82">
        <f>'Grid_Stock'!BR3</f>
        <v/>
      </c>
      <c r="BU82">
        <f>'Grid_Stock'!BS3</f>
        <v/>
      </c>
      <c r="BV82">
        <f>'Grid_Stock'!BT3</f>
        <v/>
      </c>
      <c r="BW82">
        <f>'Grid_Stock'!BU3</f>
        <v/>
      </c>
      <c r="BX82">
        <f>'Grid_Stock'!BV3</f>
        <v/>
      </c>
      <c r="BY82">
        <f>'Grid_Stock'!BW3</f>
        <v/>
      </c>
      <c r="BZ82">
        <f>'Grid_Stock'!BX3</f>
        <v/>
      </c>
      <c r="CA82">
        <f>'Grid_Stock'!BY3</f>
        <v/>
      </c>
      <c r="CB82">
        <f>'Grid_Stock'!BZ3</f>
        <v/>
      </c>
      <c r="CC82">
        <f>'Grid_Stock'!CA3</f>
        <v/>
      </c>
      <c r="CD82">
        <f>'Grid_Stock'!CB3</f>
        <v/>
      </c>
      <c r="CE82">
        <f>'Grid_Stock'!CC3</f>
        <v/>
      </c>
      <c r="CF82">
        <f>'Grid_Stock'!CD3</f>
        <v/>
      </c>
      <c r="CG82">
        <f>'Grid_Stock'!CE3</f>
        <v/>
      </c>
      <c r="CH82">
        <f>'Grid_Stock'!CF3</f>
        <v/>
      </c>
      <c r="CI82">
        <f>'Grid_Stock'!CG3</f>
        <v/>
      </c>
      <c r="CJ82">
        <f>'Grid_Stock'!CH3</f>
        <v/>
      </c>
      <c r="CK82">
        <f>'Grid_Stock'!CI3</f>
        <v/>
      </c>
      <c r="CL82">
        <f>'Grid_Stock'!CJ3</f>
        <v/>
      </c>
      <c r="CM82">
        <f>'Grid_Stock'!CK3</f>
        <v/>
      </c>
      <c r="CN82">
        <f>'Grid_Stock'!CL3</f>
        <v/>
      </c>
      <c r="CO82">
        <f>'Grid_Stock'!CM3</f>
        <v/>
      </c>
      <c r="CP82">
        <f>'Grid_Stock'!CN3</f>
        <v/>
      </c>
      <c r="CQ82">
        <f>'Grid_Stock'!CO3</f>
        <v/>
      </c>
      <c r="CR82">
        <f>'Grid_Stock'!CP3</f>
        <v/>
      </c>
      <c r="CS82">
        <f>'Grid_Stock'!CQ3</f>
        <v/>
      </c>
      <c r="CT82">
        <f>'Grid_Stock'!CR3</f>
        <v/>
      </c>
      <c r="CU82">
        <f>'Grid_Stock'!CS3</f>
        <v/>
      </c>
      <c r="CV82">
        <f>'Grid_Stock'!CT3</f>
        <v/>
      </c>
      <c r="CW82">
        <f>'Grid_Stock'!CU3</f>
        <v/>
      </c>
      <c r="CX82">
        <f>'Grid_Stock'!CV3</f>
        <v/>
      </c>
      <c r="CY82">
        <f>'Grid_Stock'!CW3</f>
        <v/>
      </c>
      <c r="CZ82">
        <f>'Grid_Stock'!CX3</f>
        <v/>
      </c>
      <c r="DA82">
        <f>'Grid_Stock'!CY3</f>
        <v/>
      </c>
      <c r="DB82">
        <f>'Grid_Stock'!CZ3</f>
        <v/>
      </c>
      <c r="DC82">
        <f>'Grid_Stock'!DA3</f>
        <v/>
      </c>
    </row>
    <row r="83">
      <c r="B83" s="23" t="inlineStr">
        <is>
          <t>（発注の目安はDashboardの基準在庫[下限/上限]と色分けを参照）</t>
        </is>
      </c>
    </row>
    <row r="85">
      <c r="A85" s="21" t="inlineStr">
        <is>
          <t>5JK</t>
        </is>
      </c>
      <c r="B85" s="21" t="inlineStr">
        <is>
          <t>Substrate NGK TP167-103-105xT2</t>
        </is>
      </c>
      <c r="C85" s="22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1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1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1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</row>
    <row r="86">
      <c r="B86" t="inlineStr">
        <is>
          <t>0T500</t>
        </is>
      </c>
      <c r="C86" t="inlineStr">
        <is>
          <t>No. of batches</t>
        </is>
      </c>
      <c r="D86">
        <f>IFERROR(INDEX(PP_Grid[#Data],$DD86,2),0)</f>
        <v/>
      </c>
      <c r="E86">
        <f>IFERROR(INDEX(PP_Grid[#Data],$DD86,3),0)</f>
        <v/>
      </c>
      <c r="F86">
        <f>IFERROR(INDEX(PP_Grid[#Data],$DD86,4),0)</f>
        <v/>
      </c>
      <c r="G86">
        <f>IFERROR(INDEX(PP_Grid[#Data],$DD86,5),0)</f>
        <v/>
      </c>
      <c r="H86">
        <f>IFERROR(INDEX(PP_Grid[#Data],$DD86,6),0)</f>
        <v/>
      </c>
      <c r="I86">
        <f>IFERROR(INDEX(PP_Grid[#Data],$DD86,7),0)</f>
        <v/>
      </c>
      <c r="J86">
        <f>IFERROR(INDEX(PP_Grid[#Data],$DD86,8),0)</f>
        <v/>
      </c>
      <c r="K86">
        <f>IFERROR(INDEX(PP_Grid[#Data],$DD86,9),0)</f>
        <v/>
      </c>
      <c r="L86">
        <f>IFERROR(INDEX(PP_Grid[#Data],$DD86,10),0)</f>
        <v/>
      </c>
      <c r="M86">
        <f>IFERROR(INDEX(PP_Grid[#Data],$DD86,11),0)</f>
        <v/>
      </c>
      <c r="N86">
        <f>IFERROR(INDEX(PP_Grid[#Data],$DD86,12),0)</f>
        <v/>
      </c>
      <c r="O86">
        <f>IFERROR(INDEX(PP_Grid[#Data],$DD86,13),0)</f>
        <v/>
      </c>
      <c r="P86">
        <f>IFERROR(INDEX(PP_Grid[#Data],$DD86,14),0)</f>
        <v/>
      </c>
      <c r="Q86">
        <f>IFERROR(INDEX(PP_Grid[#Data],$DD86,15),0)</f>
        <v/>
      </c>
      <c r="R86">
        <f>IFERROR(INDEX(PP_Grid[#Data],$DD86,16),0)</f>
        <v/>
      </c>
      <c r="S86">
        <f>IFERROR(INDEX(PP_Grid[#Data],$DD86,17),0)</f>
        <v/>
      </c>
      <c r="T86">
        <f>IFERROR(INDEX(PP_Grid[#Data],$DD86,18),0)</f>
        <v/>
      </c>
      <c r="U86">
        <f>IFERROR(INDEX(PP_Grid[#Data],$DD86,19),0)</f>
        <v/>
      </c>
      <c r="V86">
        <f>IFERROR(INDEX(PP_Grid[#Data],$DD86,20),0)</f>
        <v/>
      </c>
      <c r="W86">
        <f>IFERROR(INDEX(PP_Grid[#Data],$DD86,21),0)</f>
        <v/>
      </c>
      <c r="X86">
        <f>IFERROR(INDEX(PP_Grid[#Data],$DD86,22),0)</f>
        <v/>
      </c>
      <c r="Y86">
        <f>IFERROR(INDEX(PP_Grid[#Data],$DD86,23),0)</f>
        <v/>
      </c>
      <c r="Z86">
        <f>IFERROR(INDEX(PP_Grid[#Data],$DD86,24),0)</f>
        <v/>
      </c>
      <c r="AA86">
        <f>IFERROR(INDEX(PP_Grid[#Data],$DD86,25),0)</f>
        <v/>
      </c>
      <c r="AB86">
        <f>IFERROR(INDEX(PP_Grid[#Data],$DD86,26),0)</f>
        <v/>
      </c>
      <c r="AC86">
        <f>IFERROR(INDEX(PP_Grid[#Data],$DD86,27),0)</f>
        <v/>
      </c>
      <c r="AD86">
        <f>IFERROR(INDEX(PP_Grid[#Data],$DD86,28),0)</f>
        <v/>
      </c>
      <c r="AE86">
        <f>IFERROR(INDEX(PP_Grid[#Data],$DD86,29),0)</f>
        <v/>
      </c>
      <c r="AF86">
        <f>IFERROR(INDEX(PP_Grid[#Data],$DD86,30),0)</f>
        <v/>
      </c>
      <c r="AG86">
        <f>IFERROR(INDEX(PP_Grid[#Data],$DD86,31),0)</f>
        <v/>
      </c>
      <c r="AH86">
        <f>IFERROR(INDEX(PP_Grid[#Data],$DD86,32),0)</f>
        <v/>
      </c>
      <c r="AI86">
        <f>IFERROR(INDEX(PP_Grid[#Data],$DD86,33),0)</f>
        <v/>
      </c>
      <c r="AJ86">
        <f>IFERROR(INDEX(PP_Grid[#Data],$DD86,34),0)</f>
        <v/>
      </c>
      <c r="AK86">
        <f>IFERROR(INDEX(PP_Grid[#Data],$DD86,35),0)</f>
        <v/>
      </c>
      <c r="AL86">
        <f>IFERROR(INDEX(PP_Grid[#Data],$DD86,36),0)</f>
        <v/>
      </c>
      <c r="AM86">
        <f>IFERROR(INDEX(PP_Grid[#Data],$DD86,37),0)</f>
        <v/>
      </c>
      <c r="AN86">
        <f>IFERROR(INDEX(PP_Grid[#Data],$DD86,38),0)</f>
        <v/>
      </c>
      <c r="AO86">
        <f>IFERROR(INDEX(PP_Grid[#Data],$DD86,39),0)</f>
        <v/>
      </c>
      <c r="AP86">
        <f>IFERROR(INDEX(PP_Grid[#Data],$DD86,40),0)</f>
        <v/>
      </c>
      <c r="AQ86">
        <f>IFERROR(INDEX(PP_Grid[#Data],$DD86,41),0)</f>
        <v/>
      </c>
      <c r="AR86">
        <f>IFERROR(INDEX(PP_Grid[#Data],$DD86,42),0)</f>
        <v/>
      </c>
      <c r="AS86">
        <f>IFERROR(INDEX(PP_Grid[#Data],$DD86,43),0)</f>
        <v/>
      </c>
      <c r="AT86">
        <f>IFERROR(INDEX(PP_Grid[#Data],$DD86,44),0)</f>
        <v/>
      </c>
      <c r="AU86">
        <f>IFERROR(INDEX(PP_Grid[#Data],$DD86,45),0)</f>
        <v/>
      </c>
      <c r="AV86">
        <f>IFERROR(INDEX(PP_Grid[#Data],$DD86,46),0)</f>
        <v/>
      </c>
      <c r="AW86">
        <f>IFERROR(INDEX(PP_Grid[#Data],$DD86,47),0)</f>
        <v/>
      </c>
      <c r="AX86">
        <f>IFERROR(INDEX(PP_Grid[#Data],$DD86,48),0)</f>
        <v/>
      </c>
      <c r="AY86">
        <f>IFERROR(INDEX(PP_Grid[#Data],$DD86,49),0)</f>
        <v/>
      </c>
      <c r="AZ86">
        <f>IFERROR(INDEX(PP_Grid[#Data],$DD86,50),0)</f>
        <v/>
      </c>
      <c r="BA86">
        <f>IFERROR(INDEX(PP_Grid[#Data],$DD86,51),0)</f>
        <v/>
      </c>
      <c r="BB86">
        <f>IFERROR(INDEX(PP_Grid[#Data],$DD86,52),0)</f>
        <v/>
      </c>
      <c r="BC86">
        <f>IFERROR(INDEX(PP_Grid[#Data],$DD86,53),0)</f>
        <v/>
      </c>
      <c r="BD86">
        <f>IFERROR(INDEX(PP_Grid[#Data],$DD86,54),0)</f>
        <v/>
      </c>
      <c r="BE86">
        <f>IFERROR(INDEX(PP_Grid[#Data],$DD86,55),0)</f>
        <v/>
      </c>
      <c r="BF86">
        <f>IFERROR(INDEX(PP_Grid[#Data],$DD86,56),0)</f>
        <v/>
      </c>
      <c r="BG86">
        <f>IFERROR(INDEX(PP_Grid[#Data],$DD86,57),0)</f>
        <v/>
      </c>
      <c r="BH86">
        <f>IFERROR(INDEX(PP_Grid[#Data],$DD86,58),0)</f>
        <v/>
      </c>
      <c r="BI86">
        <f>IFERROR(INDEX(PP_Grid[#Data],$DD86,59),0)</f>
        <v/>
      </c>
      <c r="BJ86">
        <f>IFERROR(INDEX(PP_Grid[#Data],$DD86,60),0)</f>
        <v/>
      </c>
      <c r="BK86">
        <f>IFERROR(INDEX(PP_Grid[#Data],$DD86,61),0)</f>
        <v/>
      </c>
      <c r="BL86">
        <f>IFERROR(INDEX(PP_Grid[#Data],$DD86,62),0)</f>
        <v/>
      </c>
      <c r="BM86">
        <f>IFERROR(INDEX(PP_Grid[#Data],$DD86,63),0)</f>
        <v/>
      </c>
      <c r="BN86">
        <f>IFERROR(INDEX(PP_Grid[#Data],$DD86,64),0)</f>
        <v/>
      </c>
      <c r="BO86">
        <f>IFERROR(INDEX(PP_Grid[#Data],$DD86,65),0)</f>
        <v/>
      </c>
      <c r="BP86">
        <f>IFERROR(INDEX(PP_Grid[#Data],$DD86,66),0)</f>
        <v/>
      </c>
      <c r="BQ86">
        <f>IFERROR(INDEX(PP_Grid[#Data],$DD86,67),0)</f>
        <v/>
      </c>
      <c r="BR86">
        <f>IFERROR(INDEX(PP_Grid[#Data],$DD86,68),0)</f>
        <v/>
      </c>
      <c r="BS86">
        <f>IFERROR(INDEX(PP_Grid[#Data],$DD86,69),0)</f>
        <v/>
      </c>
      <c r="BT86">
        <f>IFERROR(INDEX(PP_Grid[#Data],$DD86,70),0)</f>
        <v/>
      </c>
      <c r="BU86">
        <f>IFERROR(INDEX(PP_Grid[#Data],$DD86,71),0)</f>
        <v/>
      </c>
      <c r="BV86">
        <f>IFERROR(INDEX(PP_Grid[#Data],$DD86,72),0)</f>
        <v/>
      </c>
      <c r="BW86">
        <f>IFERROR(INDEX(PP_Grid[#Data],$DD86,73),0)</f>
        <v/>
      </c>
      <c r="BX86">
        <f>IFERROR(INDEX(PP_Grid[#Data],$DD86,74),0)</f>
        <v/>
      </c>
      <c r="BY86">
        <f>IFERROR(INDEX(PP_Grid[#Data],$DD86,75),0)</f>
        <v/>
      </c>
      <c r="BZ86">
        <f>IFERROR(INDEX(PP_Grid[#Data],$DD86,76),0)</f>
        <v/>
      </c>
      <c r="CA86">
        <f>IFERROR(INDEX(PP_Grid[#Data],$DD86,77),0)</f>
        <v/>
      </c>
      <c r="CB86">
        <f>IFERROR(INDEX(PP_Grid[#Data],$DD86,78),0)</f>
        <v/>
      </c>
      <c r="CC86">
        <f>IFERROR(INDEX(PP_Grid[#Data],$DD86,79),0)</f>
        <v/>
      </c>
      <c r="CD86">
        <f>IFERROR(INDEX(PP_Grid[#Data],$DD86,80),0)</f>
        <v/>
      </c>
      <c r="CE86">
        <f>IFERROR(INDEX(PP_Grid[#Data],$DD86,81),0)</f>
        <v/>
      </c>
      <c r="CF86">
        <f>IFERROR(INDEX(PP_Grid[#Data],$DD86,82),0)</f>
        <v/>
      </c>
      <c r="CG86">
        <f>IFERROR(INDEX(PP_Grid[#Data],$DD86,83),0)</f>
        <v/>
      </c>
      <c r="CH86">
        <f>IFERROR(INDEX(PP_Grid[#Data],$DD86,84),0)</f>
        <v/>
      </c>
      <c r="CI86">
        <f>IFERROR(INDEX(PP_Grid[#Data],$DD86,85),0)</f>
        <v/>
      </c>
      <c r="CJ86">
        <f>IFERROR(INDEX(PP_Grid[#Data],$DD86,86),0)</f>
        <v/>
      </c>
      <c r="CK86">
        <f>IFERROR(INDEX(PP_Grid[#Data],$DD86,87),0)</f>
        <v/>
      </c>
      <c r="CL86">
        <f>IFERROR(INDEX(PP_Grid[#Data],$DD86,88),0)</f>
        <v/>
      </c>
      <c r="CM86">
        <f>IFERROR(INDEX(PP_Grid[#Data],$DD86,89),0)</f>
        <v/>
      </c>
      <c r="CN86">
        <f>IFERROR(INDEX(PP_Grid[#Data],$DD86,90),0)</f>
        <v/>
      </c>
      <c r="CO86">
        <f>IFERROR(INDEX(PP_Grid[#Data],$DD86,91),0)</f>
        <v/>
      </c>
      <c r="CP86">
        <f>IFERROR(INDEX(PP_Grid[#Data],$DD86,92),0)</f>
        <v/>
      </c>
      <c r="CQ86">
        <f>IFERROR(INDEX(PP_Grid[#Data],$DD86,93),0)</f>
        <v/>
      </c>
      <c r="CR86">
        <f>IFERROR(INDEX(PP_Grid[#Data],$DD86,94),0)</f>
        <v/>
      </c>
      <c r="CS86">
        <f>IFERROR(INDEX(PP_Grid[#Data],$DD86,95),0)</f>
        <v/>
      </c>
      <c r="CT86">
        <f>IFERROR(INDEX(PP_Grid[#Data],$DD86,96),0)</f>
        <v/>
      </c>
      <c r="CU86">
        <f>IFERROR(INDEX(PP_Grid[#Data],$DD86,97),0)</f>
        <v/>
      </c>
      <c r="CV86">
        <f>IFERROR(INDEX(PP_Grid[#Data],$DD86,98),0)</f>
        <v/>
      </c>
      <c r="CW86">
        <f>IFERROR(INDEX(PP_Grid[#Data],$DD86,99),0)</f>
        <v/>
      </c>
      <c r="CX86">
        <f>IFERROR(INDEX(PP_Grid[#Data],$DD86,100),0)</f>
        <v/>
      </c>
      <c r="CY86">
        <f>IFERROR(INDEX(PP_Grid[#Data],$DD86,101),0)</f>
        <v/>
      </c>
      <c r="CZ86">
        <f>IFERROR(INDEX(PP_Grid[#Data],$DD86,102),0)</f>
        <v/>
      </c>
      <c r="DA86">
        <f>IFERROR(INDEX(PP_Grid[#Data],$DD86,103),0)</f>
        <v/>
      </c>
      <c r="DB86">
        <f>IFERROR(INDEX(PP_Grid[#Data],$DD86,104),0)</f>
        <v/>
      </c>
      <c r="DC86">
        <f>IFERROR(INDEX(PP_Grid[#Data],$DD86,105),0)</f>
        <v/>
      </c>
      <c r="DD86" s="12">
        <f>IFERROR(MATCH($B86,PP_Grid[Intermediate],0),99999)</f>
        <v/>
      </c>
    </row>
    <row r="87">
      <c r="B87" t="inlineStr">
        <is>
          <t>使用量(kg)</t>
        </is>
      </c>
      <c r="C87">
        <f>SUMIFS(M_BOM[RM_Qty_Per_Batch],M_BOM[Intermediate],$B86,M_BOM[Part Name],$A85)</f>
        <v/>
      </c>
      <c r="D87">
        <f>$C87*D86</f>
        <v/>
      </c>
      <c r="E87">
        <f>$C87*E86</f>
        <v/>
      </c>
      <c r="F87">
        <f>$C87*F86</f>
        <v/>
      </c>
      <c r="G87">
        <f>$C87*G86</f>
        <v/>
      </c>
      <c r="H87">
        <f>$C87*H86</f>
        <v/>
      </c>
      <c r="I87">
        <f>$C87*I86</f>
        <v/>
      </c>
      <c r="J87">
        <f>$C87*J86</f>
        <v/>
      </c>
      <c r="K87">
        <f>$C87*K86</f>
        <v/>
      </c>
      <c r="L87">
        <f>$C87*L86</f>
        <v/>
      </c>
      <c r="M87">
        <f>$C87*M86</f>
        <v/>
      </c>
      <c r="N87">
        <f>$C87*N86</f>
        <v/>
      </c>
      <c r="O87">
        <f>$C87*O86</f>
        <v/>
      </c>
      <c r="P87">
        <f>$C87*P86</f>
        <v/>
      </c>
      <c r="Q87">
        <f>$C87*Q86</f>
        <v/>
      </c>
      <c r="R87">
        <f>$C87*R86</f>
        <v/>
      </c>
      <c r="S87">
        <f>$C87*S86</f>
        <v/>
      </c>
      <c r="T87">
        <f>$C87*T86</f>
        <v/>
      </c>
      <c r="U87">
        <f>$C87*U86</f>
        <v/>
      </c>
      <c r="V87">
        <f>$C87*V86</f>
        <v/>
      </c>
      <c r="W87">
        <f>$C87*W86</f>
        <v/>
      </c>
      <c r="X87">
        <f>$C87*X86</f>
        <v/>
      </c>
      <c r="Y87">
        <f>$C87*Y86</f>
        <v/>
      </c>
      <c r="Z87">
        <f>$C87*Z86</f>
        <v/>
      </c>
      <c r="AA87">
        <f>$C87*AA86</f>
        <v/>
      </c>
      <c r="AB87">
        <f>$C87*AB86</f>
        <v/>
      </c>
      <c r="AC87">
        <f>$C87*AC86</f>
        <v/>
      </c>
      <c r="AD87">
        <f>$C87*AD86</f>
        <v/>
      </c>
      <c r="AE87">
        <f>$C87*AE86</f>
        <v/>
      </c>
      <c r="AF87">
        <f>$C87*AF86</f>
        <v/>
      </c>
      <c r="AG87">
        <f>$C87*AG86</f>
        <v/>
      </c>
      <c r="AH87">
        <f>$C87*AH86</f>
        <v/>
      </c>
      <c r="AI87">
        <f>$C87*AI86</f>
        <v/>
      </c>
      <c r="AJ87">
        <f>$C87*AJ86</f>
        <v/>
      </c>
      <c r="AK87">
        <f>$C87*AK86</f>
        <v/>
      </c>
      <c r="AL87">
        <f>$C87*AL86</f>
        <v/>
      </c>
      <c r="AM87">
        <f>$C87*AM86</f>
        <v/>
      </c>
      <c r="AN87">
        <f>$C87*AN86</f>
        <v/>
      </c>
      <c r="AO87">
        <f>$C87*AO86</f>
        <v/>
      </c>
      <c r="AP87">
        <f>$C87*AP86</f>
        <v/>
      </c>
      <c r="AQ87">
        <f>$C87*AQ86</f>
        <v/>
      </c>
      <c r="AR87">
        <f>$C87*AR86</f>
        <v/>
      </c>
      <c r="AS87">
        <f>$C87*AS86</f>
        <v/>
      </c>
      <c r="AT87">
        <f>$C87*AT86</f>
        <v/>
      </c>
      <c r="AU87">
        <f>$C87*AU86</f>
        <v/>
      </c>
      <c r="AV87">
        <f>$C87*AV86</f>
        <v/>
      </c>
      <c r="AW87">
        <f>$C87*AW86</f>
        <v/>
      </c>
      <c r="AX87">
        <f>$C87*AX86</f>
        <v/>
      </c>
      <c r="AY87">
        <f>$C87*AY86</f>
        <v/>
      </c>
      <c r="AZ87">
        <f>$C87*AZ86</f>
        <v/>
      </c>
      <c r="BA87">
        <f>$C87*BA86</f>
        <v/>
      </c>
      <c r="BB87">
        <f>$C87*BB86</f>
        <v/>
      </c>
      <c r="BC87">
        <f>$C87*BC86</f>
        <v/>
      </c>
      <c r="BD87">
        <f>$C87*BD86</f>
        <v/>
      </c>
      <c r="BE87">
        <f>$C87*BE86</f>
        <v/>
      </c>
      <c r="BF87">
        <f>$C87*BF86</f>
        <v/>
      </c>
      <c r="BG87">
        <f>$C87*BG86</f>
        <v/>
      </c>
      <c r="BH87">
        <f>$C87*BH86</f>
        <v/>
      </c>
      <c r="BI87">
        <f>$C87*BI86</f>
        <v/>
      </c>
      <c r="BJ87">
        <f>$C87*BJ86</f>
        <v/>
      </c>
      <c r="BK87">
        <f>$C87*BK86</f>
        <v/>
      </c>
      <c r="BL87">
        <f>$C87*BL86</f>
        <v/>
      </c>
      <c r="BM87">
        <f>$C87*BM86</f>
        <v/>
      </c>
      <c r="BN87">
        <f>$C87*BN86</f>
        <v/>
      </c>
      <c r="BO87">
        <f>$C87*BO86</f>
        <v/>
      </c>
      <c r="BP87">
        <f>$C87*BP86</f>
        <v/>
      </c>
      <c r="BQ87">
        <f>$C87*BQ86</f>
        <v/>
      </c>
      <c r="BR87">
        <f>$C87*BR86</f>
        <v/>
      </c>
      <c r="BS87">
        <f>$C87*BS86</f>
        <v/>
      </c>
      <c r="BT87">
        <f>$C87*BT86</f>
        <v/>
      </c>
      <c r="BU87">
        <f>$C87*BU86</f>
        <v/>
      </c>
      <c r="BV87">
        <f>$C87*BV86</f>
        <v/>
      </c>
      <c r="BW87">
        <f>$C87*BW86</f>
        <v/>
      </c>
      <c r="BX87">
        <f>$C87*BX86</f>
        <v/>
      </c>
      <c r="BY87">
        <f>$C87*BY86</f>
        <v/>
      </c>
      <c r="BZ87">
        <f>$C87*BZ86</f>
        <v/>
      </c>
      <c r="CA87">
        <f>$C87*CA86</f>
        <v/>
      </c>
      <c r="CB87">
        <f>$C87*CB86</f>
        <v/>
      </c>
      <c r="CC87">
        <f>$C87*CC86</f>
        <v/>
      </c>
      <c r="CD87">
        <f>$C87*CD86</f>
        <v/>
      </c>
      <c r="CE87">
        <f>$C87*CE86</f>
        <v/>
      </c>
      <c r="CF87">
        <f>$C87*CF86</f>
        <v/>
      </c>
      <c r="CG87">
        <f>$C87*CG86</f>
        <v/>
      </c>
      <c r="CH87">
        <f>$C87*CH86</f>
        <v/>
      </c>
      <c r="CI87">
        <f>$C87*CI86</f>
        <v/>
      </c>
      <c r="CJ87">
        <f>$C87*CJ86</f>
        <v/>
      </c>
      <c r="CK87">
        <f>$C87*CK86</f>
        <v/>
      </c>
      <c r="CL87">
        <f>$C87*CL86</f>
        <v/>
      </c>
      <c r="CM87">
        <f>$C87*CM86</f>
        <v/>
      </c>
      <c r="CN87">
        <f>$C87*CN86</f>
        <v/>
      </c>
      <c r="CO87">
        <f>$C87*CO86</f>
        <v/>
      </c>
      <c r="CP87">
        <f>$C87*CP86</f>
        <v/>
      </c>
      <c r="CQ87">
        <f>$C87*CQ86</f>
        <v/>
      </c>
      <c r="CR87">
        <f>$C87*CR86</f>
        <v/>
      </c>
      <c r="CS87">
        <f>$C87*CS86</f>
        <v/>
      </c>
      <c r="CT87">
        <f>$C87*CT86</f>
        <v/>
      </c>
      <c r="CU87">
        <f>$C87*CU86</f>
        <v/>
      </c>
      <c r="CV87">
        <f>$C87*CV86</f>
        <v/>
      </c>
      <c r="CW87">
        <f>$C87*CW86</f>
        <v/>
      </c>
      <c r="CX87">
        <f>$C87*CX86</f>
        <v/>
      </c>
      <c r="CY87">
        <f>$C87*CY86</f>
        <v/>
      </c>
      <c r="CZ87">
        <f>$C87*CZ86</f>
        <v/>
      </c>
      <c r="DA87">
        <f>$C87*DA86</f>
        <v/>
      </c>
      <c r="DB87">
        <f>$C87*DB86</f>
        <v/>
      </c>
      <c r="DC87">
        <f>$C87*DC86</f>
        <v/>
      </c>
    </row>
    <row r="88">
      <c r="B88" s="5" t="inlineStr">
        <is>
          <t>合計使用量(kg)/週</t>
        </is>
      </c>
      <c r="D88">
        <f>'Grid_Requirement'!B18</f>
        <v/>
      </c>
      <c r="E88">
        <f>'Grid_Requirement'!C18</f>
        <v/>
      </c>
      <c r="F88">
        <f>'Grid_Requirement'!D18</f>
        <v/>
      </c>
      <c r="G88">
        <f>'Grid_Requirement'!E18</f>
        <v/>
      </c>
      <c r="H88">
        <f>'Grid_Requirement'!F18</f>
        <v/>
      </c>
      <c r="I88">
        <f>'Grid_Requirement'!G18</f>
        <v/>
      </c>
      <c r="J88">
        <f>'Grid_Requirement'!H18</f>
        <v/>
      </c>
      <c r="K88">
        <f>'Grid_Requirement'!I18</f>
        <v/>
      </c>
      <c r="L88">
        <f>'Grid_Requirement'!J18</f>
        <v/>
      </c>
      <c r="M88">
        <f>'Grid_Requirement'!K18</f>
        <v/>
      </c>
      <c r="N88">
        <f>'Grid_Requirement'!L18</f>
        <v/>
      </c>
      <c r="O88">
        <f>'Grid_Requirement'!M18</f>
        <v/>
      </c>
      <c r="P88">
        <f>'Grid_Requirement'!N18</f>
        <v/>
      </c>
      <c r="Q88">
        <f>'Grid_Requirement'!O18</f>
        <v/>
      </c>
      <c r="R88">
        <f>'Grid_Requirement'!P18</f>
        <v/>
      </c>
      <c r="S88">
        <f>'Grid_Requirement'!Q18</f>
        <v/>
      </c>
      <c r="T88">
        <f>'Grid_Requirement'!R18</f>
        <v/>
      </c>
      <c r="U88">
        <f>'Grid_Requirement'!S18</f>
        <v/>
      </c>
      <c r="V88">
        <f>'Grid_Requirement'!T18</f>
        <v/>
      </c>
      <c r="W88">
        <f>'Grid_Requirement'!U18</f>
        <v/>
      </c>
      <c r="X88">
        <f>'Grid_Requirement'!V18</f>
        <v/>
      </c>
      <c r="Y88">
        <f>'Grid_Requirement'!W18</f>
        <v/>
      </c>
      <c r="Z88">
        <f>'Grid_Requirement'!X18</f>
        <v/>
      </c>
      <c r="AA88">
        <f>'Grid_Requirement'!Y18</f>
        <v/>
      </c>
      <c r="AB88">
        <f>'Grid_Requirement'!Z18</f>
        <v/>
      </c>
      <c r="AC88">
        <f>'Grid_Requirement'!AA18</f>
        <v/>
      </c>
      <c r="AD88">
        <f>'Grid_Requirement'!AB18</f>
        <v/>
      </c>
      <c r="AE88">
        <f>'Grid_Requirement'!AC18</f>
        <v/>
      </c>
      <c r="AF88">
        <f>'Grid_Requirement'!AD18</f>
        <v/>
      </c>
      <c r="AG88">
        <f>'Grid_Requirement'!AE18</f>
        <v/>
      </c>
      <c r="AH88">
        <f>'Grid_Requirement'!AF18</f>
        <v/>
      </c>
      <c r="AI88">
        <f>'Grid_Requirement'!AG18</f>
        <v/>
      </c>
      <c r="AJ88">
        <f>'Grid_Requirement'!AH18</f>
        <v/>
      </c>
      <c r="AK88">
        <f>'Grid_Requirement'!AI18</f>
        <v/>
      </c>
      <c r="AL88">
        <f>'Grid_Requirement'!AJ18</f>
        <v/>
      </c>
      <c r="AM88">
        <f>'Grid_Requirement'!AK18</f>
        <v/>
      </c>
      <c r="AN88">
        <f>'Grid_Requirement'!AL18</f>
        <v/>
      </c>
      <c r="AO88">
        <f>'Grid_Requirement'!AM18</f>
        <v/>
      </c>
      <c r="AP88">
        <f>'Grid_Requirement'!AN18</f>
        <v/>
      </c>
      <c r="AQ88">
        <f>'Grid_Requirement'!AO18</f>
        <v/>
      </c>
      <c r="AR88">
        <f>'Grid_Requirement'!AP18</f>
        <v/>
      </c>
      <c r="AS88">
        <f>'Grid_Requirement'!AQ18</f>
        <v/>
      </c>
      <c r="AT88">
        <f>'Grid_Requirement'!AR18</f>
        <v/>
      </c>
      <c r="AU88">
        <f>'Grid_Requirement'!AS18</f>
        <v/>
      </c>
      <c r="AV88">
        <f>'Grid_Requirement'!AT18</f>
        <v/>
      </c>
      <c r="AW88">
        <f>'Grid_Requirement'!AU18</f>
        <v/>
      </c>
      <c r="AX88">
        <f>'Grid_Requirement'!AV18</f>
        <v/>
      </c>
      <c r="AY88">
        <f>'Grid_Requirement'!AW18</f>
        <v/>
      </c>
      <c r="AZ88">
        <f>'Grid_Requirement'!AX18</f>
        <v/>
      </c>
      <c r="BA88">
        <f>'Grid_Requirement'!AY18</f>
        <v/>
      </c>
      <c r="BB88">
        <f>'Grid_Requirement'!AZ18</f>
        <v/>
      </c>
      <c r="BC88">
        <f>'Grid_Requirement'!BA18</f>
        <v/>
      </c>
      <c r="BD88">
        <f>'Grid_Requirement'!BB18</f>
        <v/>
      </c>
      <c r="BE88">
        <f>'Grid_Requirement'!BC18</f>
        <v/>
      </c>
      <c r="BF88">
        <f>'Grid_Requirement'!BD18</f>
        <v/>
      </c>
      <c r="BG88">
        <f>'Grid_Requirement'!BE18</f>
        <v/>
      </c>
      <c r="BH88">
        <f>'Grid_Requirement'!BF18</f>
        <v/>
      </c>
      <c r="BI88">
        <f>'Grid_Requirement'!BG18</f>
        <v/>
      </c>
      <c r="BJ88">
        <f>'Grid_Requirement'!BH18</f>
        <v/>
      </c>
      <c r="BK88">
        <f>'Grid_Requirement'!BI18</f>
        <v/>
      </c>
      <c r="BL88">
        <f>'Grid_Requirement'!BJ18</f>
        <v/>
      </c>
      <c r="BM88">
        <f>'Grid_Requirement'!BK18</f>
        <v/>
      </c>
      <c r="BN88">
        <f>'Grid_Requirement'!BL18</f>
        <v/>
      </c>
      <c r="BO88">
        <f>'Grid_Requirement'!BM18</f>
        <v/>
      </c>
      <c r="BP88">
        <f>'Grid_Requirement'!BN18</f>
        <v/>
      </c>
      <c r="BQ88">
        <f>'Grid_Requirement'!BO18</f>
        <v/>
      </c>
      <c r="BR88">
        <f>'Grid_Requirement'!BP18</f>
        <v/>
      </c>
      <c r="BS88">
        <f>'Grid_Requirement'!BQ18</f>
        <v/>
      </c>
      <c r="BT88">
        <f>'Grid_Requirement'!BR18</f>
        <v/>
      </c>
      <c r="BU88">
        <f>'Grid_Requirement'!BS18</f>
        <v/>
      </c>
      <c r="BV88">
        <f>'Grid_Requirement'!BT18</f>
        <v/>
      </c>
      <c r="BW88">
        <f>'Grid_Requirement'!BU18</f>
        <v/>
      </c>
      <c r="BX88">
        <f>'Grid_Requirement'!BV18</f>
        <v/>
      </c>
      <c r="BY88">
        <f>'Grid_Requirement'!BW18</f>
        <v/>
      </c>
      <c r="BZ88">
        <f>'Grid_Requirement'!BX18</f>
        <v/>
      </c>
      <c r="CA88">
        <f>'Grid_Requirement'!BY18</f>
        <v/>
      </c>
      <c r="CB88">
        <f>'Grid_Requirement'!BZ18</f>
        <v/>
      </c>
      <c r="CC88">
        <f>'Grid_Requirement'!CA18</f>
        <v/>
      </c>
      <c r="CD88">
        <f>'Grid_Requirement'!CB18</f>
        <v/>
      </c>
      <c r="CE88">
        <f>'Grid_Requirement'!CC18</f>
        <v/>
      </c>
      <c r="CF88">
        <f>'Grid_Requirement'!CD18</f>
        <v/>
      </c>
      <c r="CG88">
        <f>'Grid_Requirement'!CE18</f>
        <v/>
      </c>
      <c r="CH88">
        <f>'Grid_Requirement'!CF18</f>
        <v/>
      </c>
      <c r="CI88">
        <f>'Grid_Requirement'!CG18</f>
        <v/>
      </c>
      <c r="CJ88">
        <f>'Grid_Requirement'!CH18</f>
        <v/>
      </c>
      <c r="CK88">
        <f>'Grid_Requirement'!CI18</f>
        <v/>
      </c>
      <c r="CL88">
        <f>'Grid_Requirement'!CJ18</f>
        <v/>
      </c>
      <c r="CM88">
        <f>'Grid_Requirement'!CK18</f>
        <v/>
      </c>
      <c r="CN88">
        <f>'Grid_Requirement'!CL18</f>
        <v/>
      </c>
      <c r="CO88">
        <f>'Grid_Requirement'!CM18</f>
        <v/>
      </c>
      <c r="CP88">
        <f>'Grid_Requirement'!CN18</f>
        <v/>
      </c>
      <c r="CQ88">
        <f>'Grid_Requirement'!CO18</f>
        <v/>
      </c>
      <c r="CR88">
        <f>'Grid_Requirement'!CP18</f>
        <v/>
      </c>
      <c r="CS88">
        <f>'Grid_Requirement'!CQ18</f>
        <v/>
      </c>
      <c r="CT88">
        <f>'Grid_Requirement'!CR18</f>
        <v/>
      </c>
      <c r="CU88">
        <f>'Grid_Requirement'!CS18</f>
        <v/>
      </c>
      <c r="CV88">
        <f>'Grid_Requirement'!CT18</f>
        <v/>
      </c>
      <c r="CW88">
        <f>'Grid_Requirement'!CU18</f>
        <v/>
      </c>
      <c r="CX88">
        <f>'Grid_Requirement'!CV18</f>
        <v/>
      </c>
      <c r="CY88">
        <f>'Grid_Requirement'!CW18</f>
        <v/>
      </c>
      <c r="CZ88">
        <f>'Grid_Requirement'!CX18</f>
        <v/>
      </c>
      <c r="DA88">
        <f>'Grid_Requirement'!CY18</f>
        <v/>
      </c>
      <c r="DB88">
        <f>'Grid_Requirement'!CZ18</f>
        <v/>
      </c>
      <c r="DC88">
        <f>'Grid_Requirement'!DA18</f>
        <v/>
      </c>
    </row>
    <row r="89">
      <c r="B89" t="inlineStr">
        <is>
          <t>TTAF在庫(実績,kg)</t>
        </is>
      </c>
      <c r="D89">
        <f>'T_TTAFStock'!B22</f>
        <v/>
      </c>
      <c r="E89">
        <f>'T_TTAFStock'!C22</f>
        <v/>
      </c>
      <c r="F89">
        <f>'T_TTAFStock'!D22</f>
        <v/>
      </c>
      <c r="G89">
        <f>'T_TTAFStock'!E22</f>
        <v/>
      </c>
      <c r="H89">
        <f>'T_TTAFStock'!F22</f>
        <v/>
      </c>
      <c r="I89">
        <f>'T_TTAFStock'!G22</f>
        <v/>
      </c>
      <c r="J89">
        <f>'T_TTAFStock'!H22</f>
        <v/>
      </c>
      <c r="K89">
        <f>'T_TTAFStock'!I22</f>
        <v/>
      </c>
      <c r="L89">
        <f>'T_TTAFStock'!J22</f>
        <v/>
      </c>
      <c r="M89">
        <f>'T_TTAFStock'!K22</f>
        <v/>
      </c>
      <c r="N89">
        <f>'T_TTAFStock'!L22</f>
        <v/>
      </c>
      <c r="O89">
        <f>'T_TTAFStock'!M22</f>
        <v/>
      </c>
      <c r="P89">
        <f>'T_TTAFStock'!N22</f>
        <v/>
      </c>
      <c r="Q89">
        <f>'T_TTAFStock'!O22</f>
        <v/>
      </c>
      <c r="R89">
        <f>'T_TTAFStock'!P22</f>
        <v/>
      </c>
      <c r="S89">
        <f>'T_TTAFStock'!Q22</f>
        <v/>
      </c>
      <c r="T89">
        <f>'T_TTAFStock'!R22</f>
        <v/>
      </c>
      <c r="U89">
        <f>'T_TTAFStock'!S22</f>
        <v/>
      </c>
      <c r="V89">
        <f>'T_TTAFStock'!T22</f>
        <v/>
      </c>
      <c r="W89">
        <f>'T_TTAFStock'!U22</f>
        <v/>
      </c>
      <c r="X89">
        <f>'T_TTAFStock'!V22</f>
        <v/>
      </c>
      <c r="Y89">
        <f>'T_TTAFStock'!W22</f>
        <v/>
      </c>
      <c r="Z89">
        <f>'T_TTAFStock'!X22</f>
        <v/>
      </c>
      <c r="AA89">
        <f>'T_TTAFStock'!Y22</f>
        <v/>
      </c>
      <c r="AB89">
        <f>'T_TTAFStock'!Z22</f>
        <v/>
      </c>
      <c r="AC89">
        <f>'T_TTAFStock'!AA22</f>
        <v/>
      </c>
      <c r="AD89">
        <f>'T_TTAFStock'!AB22</f>
        <v/>
      </c>
      <c r="AE89">
        <f>'T_TTAFStock'!AC22</f>
        <v/>
      </c>
      <c r="AF89">
        <f>'T_TTAFStock'!AD22</f>
        <v/>
      </c>
      <c r="AG89">
        <f>'T_TTAFStock'!AE22</f>
        <v/>
      </c>
      <c r="AH89">
        <f>'T_TTAFStock'!AF22</f>
        <v/>
      </c>
      <c r="AI89">
        <f>'T_TTAFStock'!AG22</f>
        <v/>
      </c>
      <c r="AJ89">
        <f>'T_TTAFStock'!AH22</f>
        <v/>
      </c>
      <c r="AK89">
        <f>'T_TTAFStock'!AI22</f>
        <v/>
      </c>
      <c r="AL89">
        <f>'T_TTAFStock'!AJ22</f>
        <v/>
      </c>
      <c r="AM89">
        <f>'T_TTAFStock'!AK22</f>
        <v/>
      </c>
      <c r="AN89">
        <f>'T_TTAFStock'!AL22</f>
        <v/>
      </c>
      <c r="AO89">
        <f>'T_TTAFStock'!AM22</f>
        <v/>
      </c>
      <c r="AP89">
        <f>'T_TTAFStock'!AN22</f>
        <v/>
      </c>
      <c r="AQ89">
        <f>'T_TTAFStock'!AO22</f>
        <v/>
      </c>
      <c r="AR89">
        <f>'T_TTAFStock'!AP22</f>
        <v/>
      </c>
      <c r="AS89">
        <f>'T_TTAFStock'!AQ22</f>
        <v/>
      </c>
      <c r="AT89">
        <f>'T_TTAFStock'!AR22</f>
        <v/>
      </c>
      <c r="AU89">
        <f>'T_TTAFStock'!AS22</f>
        <v/>
      </c>
      <c r="AV89">
        <f>'T_TTAFStock'!AT22</f>
        <v/>
      </c>
      <c r="AW89">
        <f>'T_TTAFStock'!AU22</f>
        <v/>
      </c>
      <c r="AX89">
        <f>'T_TTAFStock'!AV22</f>
        <v/>
      </c>
      <c r="AY89">
        <f>'T_TTAFStock'!AW22</f>
        <v/>
      </c>
      <c r="AZ89">
        <f>'T_TTAFStock'!AX22</f>
        <v/>
      </c>
      <c r="BA89">
        <f>'T_TTAFStock'!AY22</f>
        <v/>
      </c>
      <c r="BB89">
        <f>'T_TTAFStock'!AZ22</f>
        <v/>
      </c>
      <c r="BC89">
        <f>'T_TTAFStock'!BA22</f>
        <v/>
      </c>
      <c r="BD89">
        <f>'T_TTAFStock'!BB22</f>
        <v/>
      </c>
      <c r="BE89">
        <f>'T_TTAFStock'!BC22</f>
        <v/>
      </c>
      <c r="BF89">
        <f>'T_TTAFStock'!BD22</f>
        <v/>
      </c>
      <c r="BG89">
        <f>'T_TTAFStock'!BE22</f>
        <v/>
      </c>
      <c r="BH89">
        <f>'T_TTAFStock'!BF22</f>
        <v/>
      </c>
      <c r="BI89">
        <f>'T_TTAFStock'!BG22</f>
        <v/>
      </c>
      <c r="BJ89">
        <f>'T_TTAFStock'!BH22</f>
        <v/>
      </c>
      <c r="BK89">
        <f>'T_TTAFStock'!BI22</f>
        <v/>
      </c>
      <c r="BL89">
        <f>'T_TTAFStock'!BJ22</f>
        <v/>
      </c>
      <c r="BM89">
        <f>'T_TTAFStock'!BK22</f>
        <v/>
      </c>
      <c r="BN89">
        <f>'T_TTAFStock'!BL22</f>
        <v/>
      </c>
      <c r="BO89">
        <f>'T_TTAFStock'!BM22</f>
        <v/>
      </c>
      <c r="BP89">
        <f>'T_TTAFStock'!BN22</f>
        <v/>
      </c>
      <c r="BQ89">
        <f>'T_TTAFStock'!BO22</f>
        <v/>
      </c>
      <c r="BR89">
        <f>'T_TTAFStock'!BP22</f>
        <v/>
      </c>
      <c r="BS89">
        <f>'T_TTAFStock'!BQ22</f>
        <v/>
      </c>
      <c r="BT89">
        <f>'T_TTAFStock'!BR22</f>
        <v/>
      </c>
      <c r="BU89">
        <f>'T_TTAFStock'!BS22</f>
        <v/>
      </c>
      <c r="BV89">
        <f>'T_TTAFStock'!BT22</f>
        <v/>
      </c>
      <c r="BW89">
        <f>'T_TTAFStock'!BU22</f>
        <v/>
      </c>
      <c r="BX89">
        <f>'T_TTAFStock'!BV22</f>
        <v/>
      </c>
      <c r="BY89">
        <f>'T_TTAFStock'!BW22</f>
        <v/>
      </c>
      <c r="BZ89">
        <f>'T_TTAFStock'!BX22</f>
        <v/>
      </c>
      <c r="CA89">
        <f>'T_TTAFStock'!BY22</f>
        <v/>
      </c>
      <c r="CB89">
        <f>'T_TTAFStock'!BZ22</f>
        <v/>
      </c>
      <c r="CC89">
        <f>'T_TTAFStock'!CA22</f>
        <v/>
      </c>
      <c r="CD89">
        <f>'T_TTAFStock'!CB22</f>
        <v/>
      </c>
      <c r="CE89">
        <f>'T_TTAFStock'!CC22</f>
        <v/>
      </c>
      <c r="CF89">
        <f>'T_TTAFStock'!CD22</f>
        <v/>
      </c>
      <c r="CG89">
        <f>'T_TTAFStock'!CE22</f>
        <v/>
      </c>
      <c r="CH89">
        <f>'T_TTAFStock'!CF22</f>
        <v/>
      </c>
      <c r="CI89">
        <f>'T_TTAFStock'!CG22</f>
        <v/>
      </c>
      <c r="CJ89">
        <f>'T_TTAFStock'!CH22</f>
        <v/>
      </c>
      <c r="CK89">
        <f>'T_TTAFStock'!CI22</f>
        <v/>
      </c>
      <c r="CL89">
        <f>'T_TTAFStock'!CJ22</f>
        <v/>
      </c>
      <c r="CM89">
        <f>'T_TTAFStock'!CK22</f>
        <v/>
      </c>
      <c r="CN89">
        <f>'T_TTAFStock'!CL22</f>
        <v/>
      </c>
      <c r="CO89">
        <f>'T_TTAFStock'!CM22</f>
        <v/>
      </c>
      <c r="CP89">
        <f>'T_TTAFStock'!CN22</f>
        <v/>
      </c>
      <c r="CQ89">
        <f>'T_TTAFStock'!CO22</f>
        <v/>
      </c>
      <c r="CR89">
        <f>'T_TTAFStock'!CP22</f>
        <v/>
      </c>
      <c r="CS89">
        <f>'T_TTAFStock'!CQ22</f>
        <v/>
      </c>
      <c r="CT89">
        <f>'T_TTAFStock'!CR22</f>
        <v/>
      </c>
      <c r="CU89">
        <f>'T_TTAFStock'!CS22</f>
        <v/>
      </c>
      <c r="CV89">
        <f>'T_TTAFStock'!CT22</f>
        <v/>
      </c>
      <c r="CW89">
        <f>'T_TTAFStock'!CU22</f>
        <v/>
      </c>
      <c r="CX89">
        <f>'T_TTAFStock'!CV22</f>
        <v/>
      </c>
      <c r="CY89">
        <f>'T_TTAFStock'!CW22</f>
        <v/>
      </c>
      <c r="CZ89">
        <f>'T_TTAFStock'!CX22</f>
        <v/>
      </c>
      <c r="DA89">
        <f>'T_TTAFStock'!CY22</f>
        <v/>
      </c>
      <c r="DB89">
        <f>'T_TTAFStock'!CZ22</f>
        <v/>
      </c>
      <c r="DC89">
        <f>'T_TTAFStock'!DA22</f>
        <v/>
      </c>
    </row>
    <row r="90">
      <c r="B90" t="inlineStr">
        <is>
          <t>自社在庫(実績,kg)</t>
        </is>
      </c>
      <c r="D90">
        <f>'T_SelfStock'!B22</f>
        <v/>
      </c>
      <c r="E90">
        <f>'T_SelfStock'!C22</f>
        <v/>
      </c>
      <c r="F90">
        <f>'T_SelfStock'!D22</f>
        <v/>
      </c>
      <c r="G90">
        <f>'T_SelfStock'!E22</f>
        <v/>
      </c>
      <c r="H90">
        <f>'T_SelfStock'!F22</f>
        <v/>
      </c>
      <c r="I90">
        <f>'T_SelfStock'!G22</f>
        <v/>
      </c>
      <c r="J90">
        <f>'T_SelfStock'!H22</f>
        <v/>
      </c>
      <c r="K90">
        <f>'T_SelfStock'!I22</f>
        <v/>
      </c>
      <c r="L90">
        <f>'T_SelfStock'!J22</f>
        <v/>
      </c>
      <c r="M90">
        <f>'T_SelfStock'!K22</f>
        <v/>
      </c>
      <c r="N90">
        <f>'T_SelfStock'!L22</f>
        <v/>
      </c>
      <c r="O90">
        <f>'T_SelfStock'!M22</f>
        <v/>
      </c>
      <c r="P90">
        <f>'T_SelfStock'!N22</f>
        <v/>
      </c>
      <c r="Q90">
        <f>'T_SelfStock'!O22</f>
        <v/>
      </c>
      <c r="R90">
        <f>'T_SelfStock'!P22</f>
        <v/>
      </c>
      <c r="S90">
        <f>'T_SelfStock'!Q22</f>
        <v/>
      </c>
      <c r="T90">
        <f>'T_SelfStock'!R22</f>
        <v/>
      </c>
      <c r="U90">
        <f>'T_SelfStock'!S22</f>
        <v/>
      </c>
      <c r="V90">
        <f>'T_SelfStock'!T22</f>
        <v/>
      </c>
      <c r="W90">
        <f>'T_SelfStock'!U22</f>
        <v/>
      </c>
      <c r="X90">
        <f>'T_SelfStock'!V22</f>
        <v/>
      </c>
      <c r="Y90">
        <f>'T_SelfStock'!W22</f>
        <v/>
      </c>
      <c r="Z90">
        <f>'T_SelfStock'!X22</f>
        <v/>
      </c>
      <c r="AA90">
        <f>'T_SelfStock'!Y22</f>
        <v/>
      </c>
      <c r="AB90">
        <f>'T_SelfStock'!Z22</f>
        <v/>
      </c>
      <c r="AC90">
        <f>'T_SelfStock'!AA22</f>
        <v/>
      </c>
      <c r="AD90">
        <f>'T_SelfStock'!AB22</f>
        <v/>
      </c>
      <c r="AE90">
        <f>'T_SelfStock'!AC22</f>
        <v/>
      </c>
      <c r="AF90">
        <f>'T_SelfStock'!AD22</f>
        <v/>
      </c>
      <c r="AG90">
        <f>'T_SelfStock'!AE22</f>
        <v/>
      </c>
      <c r="AH90">
        <f>'T_SelfStock'!AF22</f>
        <v/>
      </c>
      <c r="AI90">
        <f>'T_SelfStock'!AG22</f>
        <v/>
      </c>
      <c r="AJ90">
        <f>'T_SelfStock'!AH22</f>
        <v/>
      </c>
      <c r="AK90">
        <f>'T_SelfStock'!AI22</f>
        <v/>
      </c>
      <c r="AL90">
        <f>'T_SelfStock'!AJ22</f>
        <v/>
      </c>
      <c r="AM90">
        <f>'T_SelfStock'!AK22</f>
        <v/>
      </c>
      <c r="AN90">
        <f>'T_SelfStock'!AL22</f>
        <v/>
      </c>
      <c r="AO90">
        <f>'T_SelfStock'!AM22</f>
        <v/>
      </c>
      <c r="AP90">
        <f>'T_SelfStock'!AN22</f>
        <v/>
      </c>
      <c r="AQ90">
        <f>'T_SelfStock'!AO22</f>
        <v/>
      </c>
      <c r="AR90">
        <f>'T_SelfStock'!AP22</f>
        <v/>
      </c>
      <c r="AS90">
        <f>'T_SelfStock'!AQ22</f>
        <v/>
      </c>
      <c r="AT90">
        <f>'T_SelfStock'!AR22</f>
        <v/>
      </c>
      <c r="AU90">
        <f>'T_SelfStock'!AS22</f>
        <v/>
      </c>
      <c r="AV90">
        <f>'T_SelfStock'!AT22</f>
        <v/>
      </c>
      <c r="AW90">
        <f>'T_SelfStock'!AU22</f>
        <v/>
      </c>
      <c r="AX90">
        <f>'T_SelfStock'!AV22</f>
        <v/>
      </c>
      <c r="AY90">
        <f>'T_SelfStock'!AW22</f>
        <v/>
      </c>
      <c r="AZ90">
        <f>'T_SelfStock'!AX22</f>
        <v/>
      </c>
      <c r="BA90">
        <f>'T_SelfStock'!AY22</f>
        <v/>
      </c>
      <c r="BB90">
        <f>'T_SelfStock'!AZ22</f>
        <v/>
      </c>
      <c r="BC90">
        <f>'T_SelfStock'!BA22</f>
        <v/>
      </c>
      <c r="BD90">
        <f>'T_SelfStock'!BB22</f>
        <v/>
      </c>
      <c r="BE90">
        <f>'T_SelfStock'!BC22</f>
        <v/>
      </c>
      <c r="BF90">
        <f>'T_SelfStock'!BD22</f>
        <v/>
      </c>
      <c r="BG90">
        <f>'T_SelfStock'!BE22</f>
        <v/>
      </c>
      <c r="BH90">
        <f>'T_SelfStock'!BF22</f>
        <v/>
      </c>
      <c r="BI90">
        <f>'T_SelfStock'!BG22</f>
        <v/>
      </c>
      <c r="BJ90">
        <f>'T_SelfStock'!BH22</f>
        <v/>
      </c>
      <c r="BK90">
        <f>'T_SelfStock'!BI22</f>
        <v/>
      </c>
      <c r="BL90">
        <f>'T_SelfStock'!BJ22</f>
        <v/>
      </c>
      <c r="BM90">
        <f>'T_SelfStock'!BK22</f>
        <v/>
      </c>
      <c r="BN90">
        <f>'T_SelfStock'!BL22</f>
        <v/>
      </c>
      <c r="BO90">
        <f>'T_SelfStock'!BM22</f>
        <v/>
      </c>
      <c r="BP90">
        <f>'T_SelfStock'!BN22</f>
        <v/>
      </c>
      <c r="BQ90">
        <f>'T_SelfStock'!BO22</f>
        <v/>
      </c>
      <c r="BR90">
        <f>'T_SelfStock'!BP22</f>
        <v/>
      </c>
      <c r="BS90">
        <f>'T_SelfStock'!BQ22</f>
        <v/>
      </c>
      <c r="BT90">
        <f>'T_SelfStock'!BR22</f>
        <v/>
      </c>
      <c r="BU90">
        <f>'T_SelfStock'!BS22</f>
        <v/>
      </c>
      <c r="BV90">
        <f>'T_SelfStock'!BT22</f>
        <v/>
      </c>
      <c r="BW90">
        <f>'T_SelfStock'!BU22</f>
        <v/>
      </c>
      <c r="BX90">
        <f>'T_SelfStock'!BV22</f>
        <v/>
      </c>
      <c r="BY90">
        <f>'T_SelfStock'!BW22</f>
        <v/>
      </c>
      <c r="BZ90">
        <f>'T_SelfStock'!BX22</f>
        <v/>
      </c>
      <c r="CA90">
        <f>'T_SelfStock'!BY22</f>
        <v/>
      </c>
      <c r="CB90">
        <f>'T_SelfStock'!BZ22</f>
        <v/>
      </c>
      <c r="CC90">
        <f>'T_SelfStock'!CA22</f>
        <v/>
      </c>
      <c r="CD90">
        <f>'T_SelfStock'!CB22</f>
        <v/>
      </c>
      <c r="CE90">
        <f>'T_SelfStock'!CC22</f>
        <v/>
      </c>
      <c r="CF90">
        <f>'T_SelfStock'!CD22</f>
        <v/>
      </c>
      <c r="CG90">
        <f>'T_SelfStock'!CE22</f>
        <v/>
      </c>
      <c r="CH90">
        <f>'T_SelfStock'!CF22</f>
        <v/>
      </c>
      <c r="CI90">
        <f>'T_SelfStock'!CG22</f>
        <v/>
      </c>
      <c r="CJ90">
        <f>'T_SelfStock'!CH22</f>
        <v/>
      </c>
      <c r="CK90">
        <f>'T_SelfStock'!CI22</f>
        <v/>
      </c>
      <c r="CL90">
        <f>'T_SelfStock'!CJ22</f>
        <v/>
      </c>
      <c r="CM90">
        <f>'T_SelfStock'!CK22</f>
        <v/>
      </c>
      <c r="CN90">
        <f>'T_SelfStock'!CL22</f>
        <v/>
      </c>
      <c r="CO90">
        <f>'T_SelfStock'!CM22</f>
        <v/>
      </c>
      <c r="CP90">
        <f>'T_SelfStock'!CN22</f>
        <v/>
      </c>
      <c r="CQ90">
        <f>'T_SelfStock'!CO22</f>
        <v/>
      </c>
      <c r="CR90">
        <f>'T_SelfStock'!CP22</f>
        <v/>
      </c>
      <c r="CS90">
        <f>'T_SelfStock'!CQ22</f>
        <v/>
      </c>
      <c r="CT90">
        <f>'T_SelfStock'!CR22</f>
        <v/>
      </c>
      <c r="CU90">
        <f>'T_SelfStock'!CS22</f>
        <v/>
      </c>
      <c r="CV90">
        <f>'T_SelfStock'!CT22</f>
        <v/>
      </c>
      <c r="CW90">
        <f>'T_SelfStock'!CU22</f>
        <v/>
      </c>
      <c r="CX90">
        <f>'T_SelfStock'!CV22</f>
        <v/>
      </c>
      <c r="CY90">
        <f>'T_SelfStock'!CW22</f>
        <v/>
      </c>
      <c r="CZ90">
        <f>'T_SelfStock'!CX22</f>
        <v/>
      </c>
      <c r="DA90">
        <f>'T_SelfStock'!CY22</f>
        <v/>
      </c>
      <c r="DB90">
        <f>'T_SelfStock'!CZ22</f>
        <v/>
      </c>
      <c r="DC90">
        <f>'T_SelfStock'!DA22</f>
        <v/>
      </c>
    </row>
    <row r="91">
      <c r="B91" t="inlineStr">
        <is>
          <t>Order(発注予定,kg)</t>
        </is>
      </c>
      <c r="D91">
        <f>IF(SUMIFS(T_PlannedOrders[EffectiveQty],T_PlannedOrders[Part Name],$A85,T_PlannedOrders[WeekIndex],1)=0,"",SUMIFS(T_PlannedOrders[EffectiveQty],T_PlannedOrders[Part Name],$A85,T_PlannedOrders[WeekIndex],1)&amp;" ("&amp;TEXT(SUMPRODUCT(MAX((T_PlannedOrders[Part Name]=$A85)*(T_PlannedOrders[WeekIndex]=1)*(T_PlannedOrders[EffectiveQty]&gt;0)*T_PlannedOrders[Order_Month])),"m月")&amp;"発注)")</f>
        <v/>
      </c>
      <c r="E91">
        <f>IF(SUMIFS(T_PlannedOrders[EffectiveQty],T_PlannedOrders[Part Name],$A85,T_PlannedOrders[WeekIndex],2)=0,"",SUMIFS(T_PlannedOrders[EffectiveQty],T_PlannedOrders[Part Name],$A85,T_PlannedOrders[WeekIndex],2)&amp;" ("&amp;TEXT(SUMPRODUCT(MAX((T_PlannedOrders[Part Name]=$A85)*(T_PlannedOrders[WeekIndex]=2)*(T_PlannedOrders[EffectiveQty]&gt;0)*T_PlannedOrders[Order_Month])),"m月")&amp;"発注)")</f>
        <v/>
      </c>
      <c r="F91">
        <f>IF(SUMIFS(T_PlannedOrders[EffectiveQty],T_PlannedOrders[Part Name],$A85,T_PlannedOrders[WeekIndex],3)=0,"",SUMIFS(T_PlannedOrders[EffectiveQty],T_PlannedOrders[Part Name],$A85,T_PlannedOrders[WeekIndex],3)&amp;" ("&amp;TEXT(SUMPRODUCT(MAX((T_PlannedOrders[Part Name]=$A85)*(T_PlannedOrders[WeekIndex]=3)*(T_PlannedOrders[EffectiveQty]&gt;0)*T_PlannedOrders[Order_Month])),"m月")&amp;"発注)")</f>
        <v/>
      </c>
      <c r="G91">
        <f>IF(SUMIFS(T_PlannedOrders[EffectiveQty],T_PlannedOrders[Part Name],$A85,T_PlannedOrders[WeekIndex],4)=0,"",SUMIFS(T_PlannedOrders[EffectiveQty],T_PlannedOrders[Part Name],$A85,T_PlannedOrders[WeekIndex],4)&amp;" ("&amp;TEXT(SUMPRODUCT(MAX((T_PlannedOrders[Part Name]=$A85)*(T_PlannedOrders[WeekIndex]=4)*(T_PlannedOrders[EffectiveQty]&gt;0)*T_PlannedOrders[Order_Month])),"m月")&amp;"発注)")</f>
        <v/>
      </c>
      <c r="H91">
        <f>IF(SUMIFS(T_PlannedOrders[EffectiveQty],T_PlannedOrders[Part Name],$A85,T_PlannedOrders[WeekIndex],5)=0,"",SUMIFS(T_PlannedOrders[EffectiveQty],T_PlannedOrders[Part Name],$A85,T_PlannedOrders[WeekIndex],5)&amp;" ("&amp;TEXT(SUMPRODUCT(MAX((T_PlannedOrders[Part Name]=$A85)*(T_PlannedOrders[WeekIndex]=5)*(T_PlannedOrders[EffectiveQty]&gt;0)*T_PlannedOrders[Order_Month])),"m月")&amp;"発注)")</f>
        <v/>
      </c>
      <c r="I91">
        <f>IF(SUMIFS(T_PlannedOrders[EffectiveQty],T_PlannedOrders[Part Name],$A85,T_PlannedOrders[WeekIndex],6)=0,"",SUMIFS(T_PlannedOrders[EffectiveQty],T_PlannedOrders[Part Name],$A85,T_PlannedOrders[WeekIndex],6)&amp;" ("&amp;TEXT(SUMPRODUCT(MAX((T_PlannedOrders[Part Name]=$A85)*(T_PlannedOrders[WeekIndex]=6)*(T_PlannedOrders[EffectiveQty]&gt;0)*T_PlannedOrders[Order_Month])),"m月")&amp;"発注)")</f>
        <v/>
      </c>
      <c r="J91">
        <f>IF(SUMIFS(T_PlannedOrders[EffectiveQty],T_PlannedOrders[Part Name],$A85,T_PlannedOrders[WeekIndex],7)=0,"",SUMIFS(T_PlannedOrders[EffectiveQty],T_PlannedOrders[Part Name],$A85,T_PlannedOrders[WeekIndex],7)&amp;" ("&amp;TEXT(SUMPRODUCT(MAX((T_PlannedOrders[Part Name]=$A85)*(T_PlannedOrders[WeekIndex]=7)*(T_PlannedOrders[EffectiveQty]&gt;0)*T_PlannedOrders[Order_Month])),"m月")&amp;"発注)")</f>
        <v/>
      </c>
      <c r="K91">
        <f>IF(SUMIFS(T_PlannedOrders[EffectiveQty],T_PlannedOrders[Part Name],$A85,T_PlannedOrders[WeekIndex],8)=0,"",SUMIFS(T_PlannedOrders[EffectiveQty],T_PlannedOrders[Part Name],$A85,T_PlannedOrders[WeekIndex],8)&amp;" ("&amp;TEXT(SUMPRODUCT(MAX((T_PlannedOrders[Part Name]=$A85)*(T_PlannedOrders[WeekIndex]=8)*(T_PlannedOrders[EffectiveQty]&gt;0)*T_PlannedOrders[Order_Month])),"m月")&amp;"発注)")</f>
        <v/>
      </c>
      <c r="L91">
        <f>IF(SUMIFS(T_PlannedOrders[EffectiveQty],T_PlannedOrders[Part Name],$A85,T_PlannedOrders[WeekIndex],9)=0,"",SUMIFS(T_PlannedOrders[EffectiveQty],T_PlannedOrders[Part Name],$A85,T_PlannedOrders[WeekIndex],9)&amp;" ("&amp;TEXT(SUMPRODUCT(MAX((T_PlannedOrders[Part Name]=$A85)*(T_PlannedOrders[WeekIndex]=9)*(T_PlannedOrders[EffectiveQty]&gt;0)*T_PlannedOrders[Order_Month])),"m月")&amp;"発注)")</f>
        <v/>
      </c>
      <c r="M91">
        <f>IF(SUMIFS(T_PlannedOrders[EffectiveQty],T_PlannedOrders[Part Name],$A85,T_PlannedOrders[WeekIndex],10)=0,"",SUMIFS(T_PlannedOrders[EffectiveQty],T_PlannedOrders[Part Name],$A85,T_PlannedOrders[WeekIndex],10)&amp;" ("&amp;TEXT(SUMPRODUCT(MAX((T_PlannedOrders[Part Name]=$A85)*(T_PlannedOrders[WeekIndex]=10)*(T_PlannedOrders[EffectiveQty]&gt;0)*T_PlannedOrders[Order_Month])),"m月")&amp;"発注)")</f>
        <v/>
      </c>
      <c r="N91">
        <f>IF(SUMIFS(T_PlannedOrders[EffectiveQty],T_PlannedOrders[Part Name],$A85,T_PlannedOrders[WeekIndex],11)=0,"",SUMIFS(T_PlannedOrders[EffectiveQty],T_PlannedOrders[Part Name],$A85,T_PlannedOrders[WeekIndex],11)&amp;" ("&amp;TEXT(SUMPRODUCT(MAX((T_PlannedOrders[Part Name]=$A85)*(T_PlannedOrders[WeekIndex]=11)*(T_PlannedOrders[EffectiveQty]&gt;0)*T_PlannedOrders[Order_Month])),"m月")&amp;"発注)")</f>
        <v/>
      </c>
      <c r="O91">
        <f>IF(SUMIFS(T_PlannedOrders[EffectiveQty],T_PlannedOrders[Part Name],$A85,T_PlannedOrders[WeekIndex],12)=0,"",SUMIFS(T_PlannedOrders[EffectiveQty],T_PlannedOrders[Part Name],$A85,T_PlannedOrders[WeekIndex],12)&amp;" ("&amp;TEXT(SUMPRODUCT(MAX((T_PlannedOrders[Part Name]=$A85)*(T_PlannedOrders[WeekIndex]=12)*(T_PlannedOrders[EffectiveQty]&gt;0)*T_PlannedOrders[Order_Month])),"m月")&amp;"発注)")</f>
        <v/>
      </c>
      <c r="P91">
        <f>IF(SUMIFS(T_PlannedOrders[EffectiveQty],T_PlannedOrders[Part Name],$A85,T_PlannedOrders[WeekIndex],13)=0,"",SUMIFS(T_PlannedOrders[EffectiveQty],T_PlannedOrders[Part Name],$A85,T_PlannedOrders[WeekIndex],13)&amp;" ("&amp;TEXT(SUMPRODUCT(MAX((T_PlannedOrders[Part Name]=$A85)*(T_PlannedOrders[WeekIndex]=13)*(T_PlannedOrders[EffectiveQty]&gt;0)*T_PlannedOrders[Order_Month])),"m月")&amp;"発注)")</f>
        <v/>
      </c>
      <c r="Q91">
        <f>IF(SUMIFS(T_PlannedOrders[EffectiveQty],T_PlannedOrders[Part Name],$A85,T_PlannedOrders[WeekIndex],14)=0,"",SUMIFS(T_PlannedOrders[EffectiveQty],T_PlannedOrders[Part Name],$A85,T_PlannedOrders[WeekIndex],14)&amp;" ("&amp;TEXT(SUMPRODUCT(MAX((T_PlannedOrders[Part Name]=$A85)*(T_PlannedOrders[WeekIndex]=14)*(T_PlannedOrders[EffectiveQty]&gt;0)*T_PlannedOrders[Order_Month])),"m月")&amp;"発注)")</f>
        <v/>
      </c>
      <c r="R91">
        <f>IF(SUMIFS(T_PlannedOrders[EffectiveQty],T_PlannedOrders[Part Name],$A85,T_PlannedOrders[WeekIndex],15)=0,"",SUMIFS(T_PlannedOrders[EffectiveQty],T_PlannedOrders[Part Name],$A85,T_PlannedOrders[WeekIndex],15)&amp;" ("&amp;TEXT(SUMPRODUCT(MAX((T_PlannedOrders[Part Name]=$A85)*(T_PlannedOrders[WeekIndex]=15)*(T_PlannedOrders[EffectiveQty]&gt;0)*T_PlannedOrders[Order_Month])),"m月")&amp;"発注)")</f>
        <v/>
      </c>
      <c r="S91">
        <f>IF(SUMIFS(T_PlannedOrders[EffectiveQty],T_PlannedOrders[Part Name],$A85,T_PlannedOrders[WeekIndex],16)=0,"",SUMIFS(T_PlannedOrders[EffectiveQty],T_PlannedOrders[Part Name],$A85,T_PlannedOrders[WeekIndex],16)&amp;" ("&amp;TEXT(SUMPRODUCT(MAX((T_PlannedOrders[Part Name]=$A85)*(T_PlannedOrders[WeekIndex]=16)*(T_PlannedOrders[EffectiveQty]&gt;0)*T_PlannedOrders[Order_Month])),"m月")&amp;"発注)")</f>
        <v/>
      </c>
      <c r="T91">
        <f>IF(SUMIFS(T_PlannedOrders[EffectiveQty],T_PlannedOrders[Part Name],$A85,T_PlannedOrders[WeekIndex],17)=0,"",SUMIFS(T_PlannedOrders[EffectiveQty],T_PlannedOrders[Part Name],$A85,T_PlannedOrders[WeekIndex],17)&amp;" ("&amp;TEXT(SUMPRODUCT(MAX((T_PlannedOrders[Part Name]=$A85)*(T_PlannedOrders[WeekIndex]=17)*(T_PlannedOrders[EffectiveQty]&gt;0)*T_PlannedOrders[Order_Month])),"m月")&amp;"発注)")</f>
        <v/>
      </c>
      <c r="U91">
        <f>IF(SUMIFS(T_PlannedOrders[EffectiveQty],T_PlannedOrders[Part Name],$A85,T_PlannedOrders[WeekIndex],18)=0,"",SUMIFS(T_PlannedOrders[EffectiveQty],T_PlannedOrders[Part Name],$A85,T_PlannedOrders[WeekIndex],18)&amp;" ("&amp;TEXT(SUMPRODUCT(MAX((T_PlannedOrders[Part Name]=$A85)*(T_PlannedOrders[WeekIndex]=18)*(T_PlannedOrders[EffectiveQty]&gt;0)*T_PlannedOrders[Order_Month])),"m月")&amp;"発注)")</f>
        <v/>
      </c>
      <c r="V91">
        <f>IF(SUMIFS(T_PlannedOrders[EffectiveQty],T_PlannedOrders[Part Name],$A85,T_PlannedOrders[WeekIndex],19)=0,"",SUMIFS(T_PlannedOrders[EffectiveQty],T_PlannedOrders[Part Name],$A85,T_PlannedOrders[WeekIndex],19)&amp;" ("&amp;TEXT(SUMPRODUCT(MAX((T_PlannedOrders[Part Name]=$A85)*(T_PlannedOrders[WeekIndex]=19)*(T_PlannedOrders[EffectiveQty]&gt;0)*T_PlannedOrders[Order_Month])),"m月")&amp;"発注)")</f>
        <v/>
      </c>
      <c r="W91">
        <f>IF(SUMIFS(T_PlannedOrders[EffectiveQty],T_PlannedOrders[Part Name],$A85,T_PlannedOrders[WeekIndex],20)=0,"",SUMIFS(T_PlannedOrders[EffectiveQty],T_PlannedOrders[Part Name],$A85,T_PlannedOrders[WeekIndex],20)&amp;" ("&amp;TEXT(SUMPRODUCT(MAX((T_PlannedOrders[Part Name]=$A85)*(T_PlannedOrders[WeekIndex]=20)*(T_PlannedOrders[EffectiveQty]&gt;0)*T_PlannedOrders[Order_Month])),"m月")&amp;"発注)")</f>
        <v/>
      </c>
      <c r="X91">
        <f>IF(SUMIFS(T_PlannedOrders[EffectiveQty],T_PlannedOrders[Part Name],$A85,T_PlannedOrders[WeekIndex],21)=0,"",SUMIFS(T_PlannedOrders[EffectiveQty],T_PlannedOrders[Part Name],$A85,T_PlannedOrders[WeekIndex],21)&amp;" ("&amp;TEXT(SUMPRODUCT(MAX((T_PlannedOrders[Part Name]=$A85)*(T_PlannedOrders[WeekIndex]=21)*(T_PlannedOrders[EffectiveQty]&gt;0)*T_PlannedOrders[Order_Month])),"m月")&amp;"発注)")</f>
        <v/>
      </c>
      <c r="Y91">
        <f>IF(SUMIFS(T_PlannedOrders[EffectiveQty],T_PlannedOrders[Part Name],$A85,T_PlannedOrders[WeekIndex],22)=0,"",SUMIFS(T_PlannedOrders[EffectiveQty],T_PlannedOrders[Part Name],$A85,T_PlannedOrders[WeekIndex],22)&amp;" ("&amp;TEXT(SUMPRODUCT(MAX((T_PlannedOrders[Part Name]=$A85)*(T_PlannedOrders[WeekIndex]=22)*(T_PlannedOrders[EffectiveQty]&gt;0)*T_PlannedOrders[Order_Month])),"m月")&amp;"発注)")</f>
        <v/>
      </c>
      <c r="Z91">
        <f>IF(SUMIFS(T_PlannedOrders[EffectiveQty],T_PlannedOrders[Part Name],$A85,T_PlannedOrders[WeekIndex],23)=0,"",SUMIFS(T_PlannedOrders[EffectiveQty],T_PlannedOrders[Part Name],$A85,T_PlannedOrders[WeekIndex],23)&amp;" ("&amp;TEXT(SUMPRODUCT(MAX((T_PlannedOrders[Part Name]=$A85)*(T_PlannedOrders[WeekIndex]=23)*(T_PlannedOrders[EffectiveQty]&gt;0)*T_PlannedOrders[Order_Month])),"m月")&amp;"発注)")</f>
        <v/>
      </c>
      <c r="AA91">
        <f>IF(SUMIFS(T_PlannedOrders[EffectiveQty],T_PlannedOrders[Part Name],$A85,T_PlannedOrders[WeekIndex],24)=0,"",SUMIFS(T_PlannedOrders[EffectiveQty],T_PlannedOrders[Part Name],$A85,T_PlannedOrders[WeekIndex],24)&amp;" ("&amp;TEXT(SUMPRODUCT(MAX((T_PlannedOrders[Part Name]=$A85)*(T_PlannedOrders[WeekIndex]=24)*(T_PlannedOrders[EffectiveQty]&gt;0)*T_PlannedOrders[Order_Month])),"m月")&amp;"発注)")</f>
        <v/>
      </c>
      <c r="AB91">
        <f>IF(SUMIFS(T_PlannedOrders[EffectiveQty],T_PlannedOrders[Part Name],$A85,T_PlannedOrders[WeekIndex],25)=0,"",SUMIFS(T_PlannedOrders[EffectiveQty],T_PlannedOrders[Part Name],$A85,T_PlannedOrders[WeekIndex],25)&amp;" ("&amp;TEXT(SUMPRODUCT(MAX((T_PlannedOrders[Part Name]=$A85)*(T_PlannedOrders[WeekIndex]=25)*(T_PlannedOrders[EffectiveQty]&gt;0)*T_PlannedOrders[Order_Month])),"m月")&amp;"発注)")</f>
        <v/>
      </c>
      <c r="AC91">
        <f>IF(SUMIFS(T_PlannedOrders[EffectiveQty],T_PlannedOrders[Part Name],$A85,T_PlannedOrders[WeekIndex],26)=0,"",SUMIFS(T_PlannedOrders[EffectiveQty],T_PlannedOrders[Part Name],$A85,T_PlannedOrders[WeekIndex],26)&amp;" ("&amp;TEXT(SUMPRODUCT(MAX((T_PlannedOrders[Part Name]=$A85)*(T_PlannedOrders[WeekIndex]=26)*(T_PlannedOrders[EffectiveQty]&gt;0)*T_PlannedOrders[Order_Month])),"m月")&amp;"発注)")</f>
        <v/>
      </c>
      <c r="AD91">
        <f>IF(SUMIFS(T_PlannedOrders[EffectiveQty],T_PlannedOrders[Part Name],$A85,T_PlannedOrders[WeekIndex],27)=0,"",SUMIFS(T_PlannedOrders[EffectiveQty],T_PlannedOrders[Part Name],$A85,T_PlannedOrders[WeekIndex],27)&amp;" ("&amp;TEXT(SUMPRODUCT(MAX((T_PlannedOrders[Part Name]=$A85)*(T_PlannedOrders[WeekIndex]=27)*(T_PlannedOrders[EffectiveQty]&gt;0)*T_PlannedOrders[Order_Month])),"m月")&amp;"発注)")</f>
        <v/>
      </c>
      <c r="AE91">
        <f>IF(SUMIFS(T_PlannedOrders[EffectiveQty],T_PlannedOrders[Part Name],$A85,T_PlannedOrders[WeekIndex],28)=0,"",SUMIFS(T_PlannedOrders[EffectiveQty],T_PlannedOrders[Part Name],$A85,T_PlannedOrders[WeekIndex],28)&amp;" ("&amp;TEXT(SUMPRODUCT(MAX((T_PlannedOrders[Part Name]=$A85)*(T_PlannedOrders[WeekIndex]=28)*(T_PlannedOrders[EffectiveQty]&gt;0)*T_PlannedOrders[Order_Month])),"m月")&amp;"発注)")</f>
        <v/>
      </c>
      <c r="AF91">
        <f>IF(SUMIFS(T_PlannedOrders[EffectiveQty],T_PlannedOrders[Part Name],$A85,T_PlannedOrders[WeekIndex],29)=0,"",SUMIFS(T_PlannedOrders[EffectiveQty],T_PlannedOrders[Part Name],$A85,T_PlannedOrders[WeekIndex],29)&amp;" ("&amp;TEXT(SUMPRODUCT(MAX((T_PlannedOrders[Part Name]=$A85)*(T_PlannedOrders[WeekIndex]=29)*(T_PlannedOrders[EffectiveQty]&gt;0)*T_PlannedOrders[Order_Month])),"m月")&amp;"発注)")</f>
        <v/>
      </c>
      <c r="AG91">
        <f>IF(SUMIFS(T_PlannedOrders[EffectiveQty],T_PlannedOrders[Part Name],$A85,T_PlannedOrders[WeekIndex],30)=0,"",SUMIFS(T_PlannedOrders[EffectiveQty],T_PlannedOrders[Part Name],$A85,T_PlannedOrders[WeekIndex],30)&amp;" ("&amp;TEXT(SUMPRODUCT(MAX((T_PlannedOrders[Part Name]=$A85)*(T_PlannedOrders[WeekIndex]=30)*(T_PlannedOrders[EffectiveQty]&gt;0)*T_PlannedOrders[Order_Month])),"m月")&amp;"発注)")</f>
        <v/>
      </c>
      <c r="AH91">
        <f>IF(SUMIFS(T_PlannedOrders[EffectiveQty],T_PlannedOrders[Part Name],$A85,T_PlannedOrders[WeekIndex],31)=0,"",SUMIFS(T_PlannedOrders[EffectiveQty],T_PlannedOrders[Part Name],$A85,T_PlannedOrders[WeekIndex],31)&amp;" ("&amp;TEXT(SUMPRODUCT(MAX((T_PlannedOrders[Part Name]=$A85)*(T_PlannedOrders[WeekIndex]=31)*(T_PlannedOrders[EffectiveQty]&gt;0)*T_PlannedOrders[Order_Month])),"m月")&amp;"発注)")</f>
        <v/>
      </c>
      <c r="AI91">
        <f>IF(SUMIFS(T_PlannedOrders[EffectiveQty],T_PlannedOrders[Part Name],$A85,T_PlannedOrders[WeekIndex],32)=0,"",SUMIFS(T_PlannedOrders[EffectiveQty],T_PlannedOrders[Part Name],$A85,T_PlannedOrders[WeekIndex],32)&amp;" ("&amp;TEXT(SUMPRODUCT(MAX((T_PlannedOrders[Part Name]=$A85)*(T_PlannedOrders[WeekIndex]=32)*(T_PlannedOrders[EffectiveQty]&gt;0)*T_PlannedOrders[Order_Month])),"m月")&amp;"発注)")</f>
        <v/>
      </c>
      <c r="AJ91">
        <f>IF(SUMIFS(T_PlannedOrders[EffectiveQty],T_PlannedOrders[Part Name],$A85,T_PlannedOrders[WeekIndex],33)=0,"",SUMIFS(T_PlannedOrders[EffectiveQty],T_PlannedOrders[Part Name],$A85,T_PlannedOrders[WeekIndex],33)&amp;" ("&amp;TEXT(SUMPRODUCT(MAX((T_PlannedOrders[Part Name]=$A85)*(T_PlannedOrders[WeekIndex]=33)*(T_PlannedOrders[EffectiveQty]&gt;0)*T_PlannedOrders[Order_Month])),"m月")&amp;"発注)")</f>
        <v/>
      </c>
      <c r="AK91">
        <f>IF(SUMIFS(T_PlannedOrders[EffectiveQty],T_PlannedOrders[Part Name],$A85,T_PlannedOrders[WeekIndex],34)=0,"",SUMIFS(T_PlannedOrders[EffectiveQty],T_PlannedOrders[Part Name],$A85,T_PlannedOrders[WeekIndex],34)&amp;" ("&amp;TEXT(SUMPRODUCT(MAX((T_PlannedOrders[Part Name]=$A85)*(T_PlannedOrders[WeekIndex]=34)*(T_PlannedOrders[EffectiveQty]&gt;0)*T_PlannedOrders[Order_Month])),"m月")&amp;"発注)")</f>
        <v/>
      </c>
      <c r="AL91">
        <f>IF(SUMIFS(T_PlannedOrders[EffectiveQty],T_PlannedOrders[Part Name],$A85,T_PlannedOrders[WeekIndex],35)=0,"",SUMIFS(T_PlannedOrders[EffectiveQty],T_PlannedOrders[Part Name],$A85,T_PlannedOrders[WeekIndex],35)&amp;" ("&amp;TEXT(SUMPRODUCT(MAX((T_PlannedOrders[Part Name]=$A85)*(T_PlannedOrders[WeekIndex]=35)*(T_PlannedOrders[EffectiveQty]&gt;0)*T_PlannedOrders[Order_Month])),"m月")&amp;"発注)")</f>
        <v/>
      </c>
      <c r="AM91">
        <f>IF(SUMIFS(T_PlannedOrders[EffectiveQty],T_PlannedOrders[Part Name],$A85,T_PlannedOrders[WeekIndex],36)=0,"",SUMIFS(T_PlannedOrders[EffectiveQty],T_PlannedOrders[Part Name],$A85,T_PlannedOrders[WeekIndex],36)&amp;" ("&amp;TEXT(SUMPRODUCT(MAX((T_PlannedOrders[Part Name]=$A85)*(T_PlannedOrders[WeekIndex]=36)*(T_PlannedOrders[EffectiveQty]&gt;0)*T_PlannedOrders[Order_Month])),"m月")&amp;"発注)")</f>
        <v/>
      </c>
      <c r="AN91">
        <f>IF(SUMIFS(T_PlannedOrders[EffectiveQty],T_PlannedOrders[Part Name],$A85,T_PlannedOrders[WeekIndex],37)=0,"",SUMIFS(T_PlannedOrders[EffectiveQty],T_PlannedOrders[Part Name],$A85,T_PlannedOrders[WeekIndex],37)&amp;" ("&amp;TEXT(SUMPRODUCT(MAX((T_PlannedOrders[Part Name]=$A85)*(T_PlannedOrders[WeekIndex]=37)*(T_PlannedOrders[EffectiveQty]&gt;0)*T_PlannedOrders[Order_Month])),"m月")&amp;"発注)")</f>
        <v/>
      </c>
      <c r="AO91">
        <f>IF(SUMIFS(T_PlannedOrders[EffectiveQty],T_PlannedOrders[Part Name],$A85,T_PlannedOrders[WeekIndex],38)=0,"",SUMIFS(T_PlannedOrders[EffectiveQty],T_PlannedOrders[Part Name],$A85,T_PlannedOrders[WeekIndex],38)&amp;" ("&amp;TEXT(SUMPRODUCT(MAX((T_PlannedOrders[Part Name]=$A85)*(T_PlannedOrders[WeekIndex]=38)*(T_PlannedOrders[EffectiveQty]&gt;0)*T_PlannedOrders[Order_Month])),"m月")&amp;"発注)")</f>
        <v/>
      </c>
      <c r="AP91">
        <f>IF(SUMIFS(T_PlannedOrders[EffectiveQty],T_PlannedOrders[Part Name],$A85,T_PlannedOrders[WeekIndex],39)=0,"",SUMIFS(T_PlannedOrders[EffectiveQty],T_PlannedOrders[Part Name],$A85,T_PlannedOrders[WeekIndex],39)&amp;" ("&amp;TEXT(SUMPRODUCT(MAX((T_PlannedOrders[Part Name]=$A85)*(T_PlannedOrders[WeekIndex]=39)*(T_PlannedOrders[EffectiveQty]&gt;0)*T_PlannedOrders[Order_Month])),"m月")&amp;"発注)")</f>
        <v/>
      </c>
      <c r="AQ91">
        <f>IF(SUMIFS(T_PlannedOrders[EffectiveQty],T_PlannedOrders[Part Name],$A85,T_PlannedOrders[WeekIndex],40)=0,"",SUMIFS(T_PlannedOrders[EffectiveQty],T_PlannedOrders[Part Name],$A85,T_PlannedOrders[WeekIndex],40)&amp;" ("&amp;TEXT(SUMPRODUCT(MAX((T_PlannedOrders[Part Name]=$A85)*(T_PlannedOrders[WeekIndex]=40)*(T_PlannedOrders[EffectiveQty]&gt;0)*T_PlannedOrders[Order_Month])),"m月")&amp;"発注)")</f>
        <v/>
      </c>
      <c r="AR91">
        <f>IF(SUMIFS(T_PlannedOrders[EffectiveQty],T_PlannedOrders[Part Name],$A85,T_PlannedOrders[WeekIndex],41)=0,"",SUMIFS(T_PlannedOrders[EffectiveQty],T_PlannedOrders[Part Name],$A85,T_PlannedOrders[WeekIndex],41)&amp;" ("&amp;TEXT(SUMPRODUCT(MAX((T_PlannedOrders[Part Name]=$A85)*(T_PlannedOrders[WeekIndex]=41)*(T_PlannedOrders[EffectiveQty]&gt;0)*T_PlannedOrders[Order_Month])),"m月")&amp;"発注)")</f>
        <v/>
      </c>
      <c r="AS91">
        <f>IF(SUMIFS(T_PlannedOrders[EffectiveQty],T_PlannedOrders[Part Name],$A85,T_PlannedOrders[WeekIndex],42)=0,"",SUMIFS(T_PlannedOrders[EffectiveQty],T_PlannedOrders[Part Name],$A85,T_PlannedOrders[WeekIndex],42)&amp;" ("&amp;TEXT(SUMPRODUCT(MAX((T_PlannedOrders[Part Name]=$A85)*(T_PlannedOrders[WeekIndex]=42)*(T_PlannedOrders[EffectiveQty]&gt;0)*T_PlannedOrders[Order_Month])),"m月")&amp;"発注)")</f>
        <v/>
      </c>
      <c r="AT91">
        <f>IF(SUMIFS(T_PlannedOrders[EffectiveQty],T_PlannedOrders[Part Name],$A85,T_PlannedOrders[WeekIndex],43)=0,"",SUMIFS(T_PlannedOrders[EffectiveQty],T_PlannedOrders[Part Name],$A85,T_PlannedOrders[WeekIndex],43)&amp;" ("&amp;TEXT(SUMPRODUCT(MAX((T_PlannedOrders[Part Name]=$A85)*(T_PlannedOrders[WeekIndex]=43)*(T_PlannedOrders[EffectiveQty]&gt;0)*T_PlannedOrders[Order_Month])),"m月")&amp;"発注)")</f>
        <v/>
      </c>
      <c r="AU91">
        <f>IF(SUMIFS(T_PlannedOrders[EffectiveQty],T_PlannedOrders[Part Name],$A85,T_PlannedOrders[WeekIndex],44)=0,"",SUMIFS(T_PlannedOrders[EffectiveQty],T_PlannedOrders[Part Name],$A85,T_PlannedOrders[WeekIndex],44)&amp;" ("&amp;TEXT(SUMPRODUCT(MAX((T_PlannedOrders[Part Name]=$A85)*(T_PlannedOrders[WeekIndex]=44)*(T_PlannedOrders[EffectiveQty]&gt;0)*T_PlannedOrders[Order_Month])),"m月")&amp;"発注)")</f>
        <v/>
      </c>
      <c r="AV91">
        <f>IF(SUMIFS(T_PlannedOrders[EffectiveQty],T_PlannedOrders[Part Name],$A85,T_PlannedOrders[WeekIndex],45)=0,"",SUMIFS(T_PlannedOrders[EffectiveQty],T_PlannedOrders[Part Name],$A85,T_PlannedOrders[WeekIndex],45)&amp;" ("&amp;TEXT(SUMPRODUCT(MAX((T_PlannedOrders[Part Name]=$A85)*(T_PlannedOrders[WeekIndex]=45)*(T_PlannedOrders[EffectiveQty]&gt;0)*T_PlannedOrders[Order_Month])),"m月")&amp;"発注)")</f>
        <v/>
      </c>
      <c r="AW91">
        <f>IF(SUMIFS(T_PlannedOrders[EffectiveQty],T_PlannedOrders[Part Name],$A85,T_PlannedOrders[WeekIndex],46)=0,"",SUMIFS(T_PlannedOrders[EffectiveQty],T_PlannedOrders[Part Name],$A85,T_PlannedOrders[WeekIndex],46)&amp;" ("&amp;TEXT(SUMPRODUCT(MAX((T_PlannedOrders[Part Name]=$A85)*(T_PlannedOrders[WeekIndex]=46)*(T_PlannedOrders[EffectiveQty]&gt;0)*T_PlannedOrders[Order_Month])),"m月")&amp;"発注)")</f>
        <v/>
      </c>
      <c r="AX91">
        <f>IF(SUMIFS(T_PlannedOrders[EffectiveQty],T_PlannedOrders[Part Name],$A85,T_PlannedOrders[WeekIndex],47)=0,"",SUMIFS(T_PlannedOrders[EffectiveQty],T_PlannedOrders[Part Name],$A85,T_PlannedOrders[WeekIndex],47)&amp;" ("&amp;TEXT(SUMPRODUCT(MAX((T_PlannedOrders[Part Name]=$A85)*(T_PlannedOrders[WeekIndex]=47)*(T_PlannedOrders[EffectiveQty]&gt;0)*T_PlannedOrders[Order_Month])),"m月")&amp;"発注)")</f>
        <v/>
      </c>
      <c r="AY91">
        <f>IF(SUMIFS(T_PlannedOrders[EffectiveQty],T_PlannedOrders[Part Name],$A85,T_PlannedOrders[WeekIndex],48)=0,"",SUMIFS(T_PlannedOrders[EffectiveQty],T_PlannedOrders[Part Name],$A85,T_PlannedOrders[WeekIndex],48)&amp;" ("&amp;TEXT(SUMPRODUCT(MAX((T_PlannedOrders[Part Name]=$A85)*(T_PlannedOrders[WeekIndex]=48)*(T_PlannedOrders[EffectiveQty]&gt;0)*T_PlannedOrders[Order_Month])),"m月")&amp;"発注)")</f>
        <v/>
      </c>
      <c r="AZ91">
        <f>IF(SUMIFS(T_PlannedOrders[EffectiveQty],T_PlannedOrders[Part Name],$A85,T_PlannedOrders[WeekIndex],49)=0,"",SUMIFS(T_PlannedOrders[EffectiveQty],T_PlannedOrders[Part Name],$A85,T_PlannedOrders[WeekIndex],49)&amp;" ("&amp;TEXT(SUMPRODUCT(MAX((T_PlannedOrders[Part Name]=$A85)*(T_PlannedOrders[WeekIndex]=49)*(T_PlannedOrders[EffectiveQty]&gt;0)*T_PlannedOrders[Order_Month])),"m月")&amp;"発注)")</f>
        <v/>
      </c>
      <c r="BA91">
        <f>IF(SUMIFS(T_PlannedOrders[EffectiveQty],T_PlannedOrders[Part Name],$A85,T_PlannedOrders[WeekIndex],50)=0,"",SUMIFS(T_PlannedOrders[EffectiveQty],T_PlannedOrders[Part Name],$A85,T_PlannedOrders[WeekIndex],50)&amp;" ("&amp;TEXT(SUMPRODUCT(MAX((T_PlannedOrders[Part Name]=$A85)*(T_PlannedOrders[WeekIndex]=50)*(T_PlannedOrders[EffectiveQty]&gt;0)*T_PlannedOrders[Order_Month])),"m月")&amp;"発注)")</f>
        <v/>
      </c>
      <c r="BB91">
        <f>IF(SUMIFS(T_PlannedOrders[EffectiveQty],T_PlannedOrders[Part Name],$A85,T_PlannedOrders[WeekIndex],51)=0,"",SUMIFS(T_PlannedOrders[EffectiveQty],T_PlannedOrders[Part Name],$A85,T_PlannedOrders[WeekIndex],51)&amp;" ("&amp;TEXT(SUMPRODUCT(MAX((T_PlannedOrders[Part Name]=$A85)*(T_PlannedOrders[WeekIndex]=51)*(T_PlannedOrders[EffectiveQty]&gt;0)*T_PlannedOrders[Order_Month])),"m月")&amp;"発注)")</f>
        <v/>
      </c>
      <c r="BC91">
        <f>IF(SUMIFS(T_PlannedOrders[EffectiveQty],T_PlannedOrders[Part Name],$A85,T_PlannedOrders[WeekIndex],52)=0,"",SUMIFS(T_PlannedOrders[EffectiveQty],T_PlannedOrders[Part Name],$A85,T_PlannedOrders[WeekIndex],52)&amp;" ("&amp;TEXT(SUMPRODUCT(MAX((T_PlannedOrders[Part Name]=$A85)*(T_PlannedOrders[WeekIndex]=52)*(T_PlannedOrders[EffectiveQty]&gt;0)*T_PlannedOrders[Order_Month])),"m月")&amp;"発注)")</f>
        <v/>
      </c>
      <c r="BD91">
        <f>IF(SUMIFS(T_PlannedOrders[EffectiveQty],T_PlannedOrders[Part Name],$A85,T_PlannedOrders[WeekIndex],53)=0,"",SUMIFS(T_PlannedOrders[EffectiveQty],T_PlannedOrders[Part Name],$A85,T_PlannedOrders[WeekIndex],53)&amp;" ("&amp;TEXT(SUMPRODUCT(MAX((T_PlannedOrders[Part Name]=$A85)*(T_PlannedOrders[WeekIndex]=53)*(T_PlannedOrders[EffectiveQty]&gt;0)*T_PlannedOrders[Order_Month])),"m月")&amp;"発注)")</f>
        <v/>
      </c>
      <c r="BE91">
        <f>IF(SUMIFS(T_PlannedOrders[EffectiveQty],T_PlannedOrders[Part Name],$A85,T_PlannedOrders[WeekIndex],54)=0,"",SUMIFS(T_PlannedOrders[EffectiveQty],T_PlannedOrders[Part Name],$A85,T_PlannedOrders[WeekIndex],54)&amp;" ("&amp;TEXT(SUMPRODUCT(MAX((T_PlannedOrders[Part Name]=$A85)*(T_PlannedOrders[WeekIndex]=54)*(T_PlannedOrders[EffectiveQty]&gt;0)*T_PlannedOrders[Order_Month])),"m月")&amp;"発注)")</f>
        <v/>
      </c>
      <c r="BF91">
        <f>IF(SUMIFS(T_PlannedOrders[EffectiveQty],T_PlannedOrders[Part Name],$A85,T_PlannedOrders[WeekIndex],55)=0,"",SUMIFS(T_PlannedOrders[EffectiveQty],T_PlannedOrders[Part Name],$A85,T_PlannedOrders[WeekIndex],55)&amp;" ("&amp;TEXT(SUMPRODUCT(MAX((T_PlannedOrders[Part Name]=$A85)*(T_PlannedOrders[WeekIndex]=55)*(T_PlannedOrders[EffectiveQty]&gt;0)*T_PlannedOrders[Order_Month])),"m月")&amp;"発注)")</f>
        <v/>
      </c>
      <c r="BG91">
        <f>IF(SUMIFS(T_PlannedOrders[EffectiveQty],T_PlannedOrders[Part Name],$A85,T_PlannedOrders[WeekIndex],56)=0,"",SUMIFS(T_PlannedOrders[EffectiveQty],T_PlannedOrders[Part Name],$A85,T_PlannedOrders[WeekIndex],56)&amp;" ("&amp;TEXT(SUMPRODUCT(MAX((T_PlannedOrders[Part Name]=$A85)*(T_PlannedOrders[WeekIndex]=56)*(T_PlannedOrders[EffectiveQty]&gt;0)*T_PlannedOrders[Order_Month])),"m月")&amp;"発注)")</f>
        <v/>
      </c>
      <c r="BH91">
        <f>IF(SUMIFS(T_PlannedOrders[EffectiveQty],T_PlannedOrders[Part Name],$A85,T_PlannedOrders[WeekIndex],57)=0,"",SUMIFS(T_PlannedOrders[EffectiveQty],T_PlannedOrders[Part Name],$A85,T_PlannedOrders[WeekIndex],57)&amp;" ("&amp;TEXT(SUMPRODUCT(MAX((T_PlannedOrders[Part Name]=$A85)*(T_PlannedOrders[WeekIndex]=57)*(T_PlannedOrders[EffectiveQty]&gt;0)*T_PlannedOrders[Order_Month])),"m月")&amp;"発注)")</f>
        <v/>
      </c>
      <c r="BI91">
        <f>IF(SUMIFS(T_PlannedOrders[EffectiveQty],T_PlannedOrders[Part Name],$A85,T_PlannedOrders[WeekIndex],58)=0,"",SUMIFS(T_PlannedOrders[EffectiveQty],T_PlannedOrders[Part Name],$A85,T_PlannedOrders[WeekIndex],58)&amp;" ("&amp;TEXT(SUMPRODUCT(MAX((T_PlannedOrders[Part Name]=$A85)*(T_PlannedOrders[WeekIndex]=58)*(T_PlannedOrders[EffectiveQty]&gt;0)*T_PlannedOrders[Order_Month])),"m月")&amp;"発注)")</f>
        <v/>
      </c>
      <c r="BJ91">
        <f>IF(SUMIFS(T_PlannedOrders[EffectiveQty],T_PlannedOrders[Part Name],$A85,T_PlannedOrders[WeekIndex],59)=0,"",SUMIFS(T_PlannedOrders[EffectiveQty],T_PlannedOrders[Part Name],$A85,T_PlannedOrders[WeekIndex],59)&amp;" ("&amp;TEXT(SUMPRODUCT(MAX((T_PlannedOrders[Part Name]=$A85)*(T_PlannedOrders[WeekIndex]=59)*(T_PlannedOrders[EffectiveQty]&gt;0)*T_PlannedOrders[Order_Month])),"m月")&amp;"発注)")</f>
        <v/>
      </c>
      <c r="BK91">
        <f>IF(SUMIFS(T_PlannedOrders[EffectiveQty],T_PlannedOrders[Part Name],$A85,T_PlannedOrders[WeekIndex],60)=0,"",SUMIFS(T_PlannedOrders[EffectiveQty],T_PlannedOrders[Part Name],$A85,T_PlannedOrders[WeekIndex],60)&amp;" ("&amp;TEXT(SUMPRODUCT(MAX((T_PlannedOrders[Part Name]=$A85)*(T_PlannedOrders[WeekIndex]=60)*(T_PlannedOrders[EffectiveQty]&gt;0)*T_PlannedOrders[Order_Month])),"m月")&amp;"発注)")</f>
        <v/>
      </c>
      <c r="BL91">
        <f>IF(SUMIFS(T_PlannedOrders[EffectiveQty],T_PlannedOrders[Part Name],$A85,T_PlannedOrders[WeekIndex],61)=0,"",SUMIFS(T_PlannedOrders[EffectiveQty],T_PlannedOrders[Part Name],$A85,T_PlannedOrders[WeekIndex],61)&amp;" ("&amp;TEXT(SUMPRODUCT(MAX((T_PlannedOrders[Part Name]=$A85)*(T_PlannedOrders[WeekIndex]=61)*(T_PlannedOrders[EffectiveQty]&gt;0)*T_PlannedOrders[Order_Month])),"m月")&amp;"発注)")</f>
        <v/>
      </c>
      <c r="BM91">
        <f>IF(SUMIFS(T_PlannedOrders[EffectiveQty],T_PlannedOrders[Part Name],$A85,T_PlannedOrders[WeekIndex],62)=0,"",SUMIFS(T_PlannedOrders[EffectiveQty],T_PlannedOrders[Part Name],$A85,T_PlannedOrders[WeekIndex],62)&amp;" ("&amp;TEXT(SUMPRODUCT(MAX((T_PlannedOrders[Part Name]=$A85)*(T_PlannedOrders[WeekIndex]=62)*(T_PlannedOrders[EffectiveQty]&gt;0)*T_PlannedOrders[Order_Month])),"m月")&amp;"発注)")</f>
        <v/>
      </c>
      <c r="BN91">
        <f>IF(SUMIFS(T_PlannedOrders[EffectiveQty],T_PlannedOrders[Part Name],$A85,T_PlannedOrders[WeekIndex],63)=0,"",SUMIFS(T_PlannedOrders[EffectiveQty],T_PlannedOrders[Part Name],$A85,T_PlannedOrders[WeekIndex],63)&amp;" ("&amp;TEXT(SUMPRODUCT(MAX((T_PlannedOrders[Part Name]=$A85)*(T_PlannedOrders[WeekIndex]=63)*(T_PlannedOrders[EffectiveQty]&gt;0)*T_PlannedOrders[Order_Month])),"m月")&amp;"発注)")</f>
        <v/>
      </c>
      <c r="BO91">
        <f>IF(SUMIFS(T_PlannedOrders[EffectiveQty],T_PlannedOrders[Part Name],$A85,T_PlannedOrders[WeekIndex],64)=0,"",SUMIFS(T_PlannedOrders[EffectiveQty],T_PlannedOrders[Part Name],$A85,T_PlannedOrders[WeekIndex],64)&amp;" ("&amp;TEXT(SUMPRODUCT(MAX((T_PlannedOrders[Part Name]=$A85)*(T_PlannedOrders[WeekIndex]=64)*(T_PlannedOrders[EffectiveQty]&gt;0)*T_PlannedOrders[Order_Month])),"m月")&amp;"発注)")</f>
        <v/>
      </c>
      <c r="BP91">
        <f>IF(SUMIFS(T_PlannedOrders[EffectiveQty],T_PlannedOrders[Part Name],$A85,T_PlannedOrders[WeekIndex],65)=0,"",SUMIFS(T_PlannedOrders[EffectiveQty],T_PlannedOrders[Part Name],$A85,T_PlannedOrders[WeekIndex],65)&amp;" ("&amp;TEXT(SUMPRODUCT(MAX((T_PlannedOrders[Part Name]=$A85)*(T_PlannedOrders[WeekIndex]=65)*(T_PlannedOrders[EffectiveQty]&gt;0)*T_PlannedOrders[Order_Month])),"m月")&amp;"発注)")</f>
        <v/>
      </c>
      <c r="BQ91">
        <f>IF(SUMIFS(T_PlannedOrders[EffectiveQty],T_PlannedOrders[Part Name],$A85,T_PlannedOrders[WeekIndex],66)=0,"",SUMIFS(T_PlannedOrders[EffectiveQty],T_PlannedOrders[Part Name],$A85,T_PlannedOrders[WeekIndex],66)&amp;" ("&amp;TEXT(SUMPRODUCT(MAX((T_PlannedOrders[Part Name]=$A85)*(T_PlannedOrders[WeekIndex]=66)*(T_PlannedOrders[EffectiveQty]&gt;0)*T_PlannedOrders[Order_Month])),"m月")&amp;"発注)")</f>
        <v/>
      </c>
      <c r="BR91">
        <f>IF(SUMIFS(T_PlannedOrders[EffectiveQty],T_PlannedOrders[Part Name],$A85,T_PlannedOrders[WeekIndex],67)=0,"",SUMIFS(T_PlannedOrders[EffectiveQty],T_PlannedOrders[Part Name],$A85,T_PlannedOrders[WeekIndex],67)&amp;" ("&amp;TEXT(SUMPRODUCT(MAX((T_PlannedOrders[Part Name]=$A85)*(T_PlannedOrders[WeekIndex]=67)*(T_PlannedOrders[EffectiveQty]&gt;0)*T_PlannedOrders[Order_Month])),"m月")&amp;"発注)")</f>
        <v/>
      </c>
      <c r="BS91">
        <f>IF(SUMIFS(T_PlannedOrders[EffectiveQty],T_PlannedOrders[Part Name],$A85,T_PlannedOrders[WeekIndex],68)=0,"",SUMIFS(T_PlannedOrders[EffectiveQty],T_PlannedOrders[Part Name],$A85,T_PlannedOrders[WeekIndex],68)&amp;" ("&amp;TEXT(SUMPRODUCT(MAX((T_PlannedOrders[Part Name]=$A85)*(T_PlannedOrders[WeekIndex]=68)*(T_PlannedOrders[EffectiveQty]&gt;0)*T_PlannedOrders[Order_Month])),"m月")&amp;"発注)")</f>
        <v/>
      </c>
      <c r="BT91">
        <f>IF(SUMIFS(T_PlannedOrders[EffectiveQty],T_PlannedOrders[Part Name],$A85,T_PlannedOrders[WeekIndex],69)=0,"",SUMIFS(T_PlannedOrders[EffectiveQty],T_PlannedOrders[Part Name],$A85,T_PlannedOrders[WeekIndex],69)&amp;" ("&amp;TEXT(SUMPRODUCT(MAX((T_PlannedOrders[Part Name]=$A85)*(T_PlannedOrders[WeekIndex]=69)*(T_PlannedOrders[EffectiveQty]&gt;0)*T_PlannedOrders[Order_Month])),"m月")&amp;"発注)")</f>
        <v/>
      </c>
      <c r="BU91">
        <f>IF(SUMIFS(T_PlannedOrders[EffectiveQty],T_PlannedOrders[Part Name],$A85,T_PlannedOrders[WeekIndex],70)=0,"",SUMIFS(T_PlannedOrders[EffectiveQty],T_PlannedOrders[Part Name],$A85,T_PlannedOrders[WeekIndex],70)&amp;" ("&amp;TEXT(SUMPRODUCT(MAX((T_PlannedOrders[Part Name]=$A85)*(T_PlannedOrders[WeekIndex]=70)*(T_PlannedOrders[EffectiveQty]&gt;0)*T_PlannedOrders[Order_Month])),"m月")&amp;"発注)")</f>
        <v/>
      </c>
      <c r="BV91">
        <f>IF(SUMIFS(T_PlannedOrders[EffectiveQty],T_PlannedOrders[Part Name],$A85,T_PlannedOrders[WeekIndex],71)=0,"",SUMIFS(T_PlannedOrders[EffectiveQty],T_PlannedOrders[Part Name],$A85,T_PlannedOrders[WeekIndex],71)&amp;" ("&amp;TEXT(SUMPRODUCT(MAX((T_PlannedOrders[Part Name]=$A85)*(T_PlannedOrders[WeekIndex]=71)*(T_PlannedOrders[EffectiveQty]&gt;0)*T_PlannedOrders[Order_Month])),"m月")&amp;"発注)")</f>
        <v/>
      </c>
      <c r="BW91">
        <f>IF(SUMIFS(T_PlannedOrders[EffectiveQty],T_PlannedOrders[Part Name],$A85,T_PlannedOrders[WeekIndex],72)=0,"",SUMIFS(T_PlannedOrders[EffectiveQty],T_PlannedOrders[Part Name],$A85,T_PlannedOrders[WeekIndex],72)&amp;" ("&amp;TEXT(SUMPRODUCT(MAX((T_PlannedOrders[Part Name]=$A85)*(T_PlannedOrders[WeekIndex]=72)*(T_PlannedOrders[EffectiveQty]&gt;0)*T_PlannedOrders[Order_Month])),"m月")&amp;"発注)")</f>
        <v/>
      </c>
      <c r="BX91">
        <f>IF(SUMIFS(T_PlannedOrders[EffectiveQty],T_PlannedOrders[Part Name],$A85,T_PlannedOrders[WeekIndex],73)=0,"",SUMIFS(T_PlannedOrders[EffectiveQty],T_PlannedOrders[Part Name],$A85,T_PlannedOrders[WeekIndex],73)&amp;" ("&amp;TEXT(SUMPRODUCT(MAX((T_PlannedOrders[Part Name]=$A85)*(T_PlannedOrders[WeekIndex]=73)*(T_PlannedOrders[EffectiveQty]&gt;0)*T_PlannedOrders[Order_Month])),"m月")&amp;"発注)")</f>
        <v/>
      </c>
      <c r="BY91">
        <f>IF(SUMIFS(T_PlannedOrders[EffectiveQty],T_PlannedOrders[Part Name],$A85,T_PlannedOrders[WeekIndex],74)=0,"",SUMIFS(T_PlannedOrders[EffectiveQty],T_PlannedOrders[Part Name],$A85,T_PlannedOrders[WeekIndex],74)&amp;" ("&amp;TEXT(SUMPRODUCT(MAX((T_PlannedOrders[Part Name]=$A85)*(T_PlannedOrders[WeekIndex]=74)*(T_PlannedOrders[EffectiveQty]&gt;0)*T_PlannedOrders[Order_Month])),"m月")&amp;"発注)")</f>
        <v/>
      </c>
      <c r="BZ91">
        <f>IF(SUMIFS(T_PlannedOrders[EffectiveQty],T_PlannedOrders[Part Name],$A85,T_PlannedOrders[WeekIndex],75)=0,"",SUMIFS(T_PlannedOrders[EffectiveQty],T_PlannedOrders[Part Name],$A85,T_PlannedOrders[WeekIndex],75)&amp;" ("&amp;TEXT(SUMPRODUCT(MAX((T_PlannedOrders[Part Name]=$A85)*(T_PlannedOrders[WeekIndex]=75)*(T_PlannedOrders[EffectiveQty]&gt;0)*T_PlannedOrders[Order_Month])),"m月")&amp;"発注)")</f>
        <v/>
      </c>
      <c r="CA91">
        <f>IF(SUMIFS(T_PlannedOrders[EffectiveQty],T_PlannedOrders[Part Name],$A85,T_PlannedOrders[WeekIndex],76)=0,"",SUMIFS(T_PlannedOrders[EffectiveQty],T_PlannedOrders[Part Name],$A85,T_PlannedOrders[WeekIndex],76)&amp;" ("&amp;TEXT(SUMPRODUCT(MAX((T_PlannedOrders[Part Name]=$A85)*(T_PlannedOrders[WeekIndex]=76)*(T_PlannedOrders[EffectiveQty]&gt;0)*T_PlannedOrders[Order_Month])),"m月")&amp;"発注)")</f>
        <v/>
      </c>
      <c r="CB91">
        <f>IF(SUMIFS(T_PlannedOrders[EffectiveQty],T_PlannedOrders[Part Name],$A85,T_PlannedOrders[WeekIndex],77)=0,"",SUMIFS(T_PlannedOrders[EffectiveQty],T_PlannedOrders[Part Name],$A85,T_PlannedOrders[WeekIndex],77)&amp;" ("&amp;TEXT(SUMPRODUCT(MAX((T_PlannedOrders[Part Name]=$A85)*(T_PlannedOrders[WeekIndex]=77)*(T_PlannedOrders[EffectiveQty]&gt;0)*T_PlannedOrders[Order_Month])),"m月")&amp;"発注)")</f>
        <v/>
      </c>
      <c r="CC91">
        <f>IF(SUMIFS(T_PlannedOrders[EffectiveQty],T_PlannedOrders[Part Name],$A85,T_PlannedOrders[WeekIndex],78)=0,"",SUMIFS(T_PlannedOrders[EffectiveQty],T_PlannedOrders[Part Name],$A85,T_PlannedOrders[WeekIndex],78)&amp;" ("&amp;TEXT(SUMPRODUCT(MAX((T_PlannedOrders[Part Name]=$A85)*(T_PlannedOrders[WeekIndex]=78)*(T_PlannedOrders[EffectiveQty]&gt;0)*T_PlannedOrders[Order_Month])),"m月")&amp;"発注)")</f>
        <v/>
      </c>
      <c r="CD91">
        <f>IF(SUMIFS(T_PlannedOrders[EffectiveQty],T_PlannedOrders[Part Name],$A85,T_PlannedOrders[WeekIndex],79)=0,"",SUMIFS(T_PlannedOrders[EffectiveQty],T_PlannedOrders[Part Name],$A85,T_PlannedOrders[WeekIndex],79)&amp;" ("&amp;TEXT(SUMPRODUCT(MAX((T_PlannedOrders[Part Name]=$A85)*(T_PlannedOrders[WeekIndex]=79)*(T_PlannedOrders[EffectiveQty]&gt;0)*T_PlannedOrders[Order_Month])),"m月")&amp;"発注)")</f>
        <v/>
      </c>
      <c r="CE91">
        <f>IF(SUMIFS(T_PlannedOrders[EffectiveQty],T_PlannedOrders[Part Name],$A85,T_PlannedOrders[WeekIndex],80)=0,"",SUMIFS(T_PlannedOrders[EffectiveQty],T_PlannedOrders[Part Name],$A85,T_PlannedOrders[WeekIndex],80)&amp;" ("&amp;TEXT(SUMPRODUCT(MAX((T_PlannedOrders[Part Name]=$A85)*(T_PlannedOrders[WeekIndex]=80)*(T_PlannedOrders[EffectiveQty]&gt;0)*T_PlannedOrders[Order_Month])),"m月")&amp;"発注)")</f>
        <v/>
      </c>
      <c r="CF91">
        <f>IF(SUMIFS(T_PlannedOrders[EffectiveQty],T_PlannedOrders[Part Name],$A85,T_PlannedOrders[WeekIndex],81)=0,"",SUMIFS(T_PlannedOrders[EffectiveQty],T_PlannedOrders[Part Name],$A85,T_PlannedOrders[WeekIndex],81)&amp;" ("&amp;TEXT(SUMPRODUCT(MAX((T_PlannedOrders[Part Name]=$A85)*(T_PlannedOrders[WeekIndex]=81)*(T_PlannedOrders[EffectiveQty]&gt;0)*T_PlannedOrders[Order_Month])),"m月")&amp;"発注)")</f>
        <v/>
      </c>
      <c r="CG91">
        <f>IF(SUMIFS(T_PlannedOrders[EffectiveQty],T_PlannedOrders[Part Name],$A85,T_PlannedOrders[WeekIndex],82)=0,"",SUMIFS(T_PlannedOrders[EffectiveQty],T_PlannedOrders[Part Name],$A85,T_PlannedOrders[WeekIndex],82)&amp;" ("&amp;TEXT(SUMPRODUCT(MAX((T_PlannedOrders[Part Name]=$A85)*(T_PlannedOrders[WeekIndex]=82)*(T_PlannedOrders[EffectiveQty]&gt;0)*T_PlannedOrders[Order_Month])),"m月")&amp;"発注)")</f>
        <v/>
      </c>
      <c r="CH91">
        <f>IF(SUMIFS(T_PlannedOrders[EffectiveQty],T_PlannedOrders[Part Name],$A85,T_PlannedOrders[WeekIndex],83)=0,"",SUMIFS(T_PlannedOrders[EffectiveQty],T_PlannedOrders[Part Name],$A85,T_PlannedOrders[WeekIndex],83)&amp;" ("&amp;TEXT(SUMPRODUCT(MAX((T_PlannedOrders[Part Name]=$A85)*(T_PlannedOrders[WeekIndex]=83)*(T_PlannedOrders[EffectiveQty]&gt;0)*T_PlannedOrders[Order_Month])),"m月")&amp;"発注)")</f>
        <v/>
      </c>
      <c r="CI91">
        <f>IF(SUMIFS(T_PlannedOrders[EffectiveQty],T_PlannedOrders[Part Name],$A85,T_PlannedOrders[WeekIndex],84)=0,"",SUMIFS(T_PlannedOrders[EffectiveQty],T_PlannedOrders[Part Name],$A85,T_PlannedOrders[WeekIndex],84)&amp;" ("&amp;TEXT(SUMPRODUCT(MAX((T_PlannedOrders[Part Name]=$A85)*(T_PlannedOrders[WeekIndex]=84)*(T_PlannedOrders[EffectiveQty]&gt;0)*T_PlannedOrders[Order_Month])),"m月")&amp;"発注)")</f>
        <v/>
      </c>
      <c r="CJ91">
        <f>IF(SUMIFS(T_PlannedOrders[EffectiveQty],T_PlannedOrders[Part Name],$A85,T_PlannedOrders[WeekIndex],85)=0,"",SUMIFS(T_PlannedOrders[EffectiveQty],T_PlannedOrders[Part Name],$A85,T_PlannedOrders[WeekIndex],85)&amp;" ("&amp;TEXT(SUMPRODUCT(MAX((T_PlannedOrders[Part Name]=$A85)*(T_PlannedOrders[WeekIndex]=85)*(T_PlannedOrders[EffectiveQty]&gt;0)*T_PlannedOrders[Order_Month])),"m月")&amp;"発注)")</f>
        <v/>
      </c>
      <c r="CK91">
        <f>IF(SUMIFS(T_PlannedOrders[EffectiveQty],T_PlannedOrders[Part Name],$A85,T_PlannedOrders[WeekIndex],86)=0,"",SUMIFS(T_PlannedOrders[EffectiveQty],T_PlannedOrders[Part Name],$A85,T_PlannedOrders[WeekIndex],86)&amp;" ("&amp;TEXT(SUMPRODUCT(MAX((T_PlannedOrders[Part Name]=$A85)*(T_PlannedOrders[WeekIndex]=86)*(T_PlannedOrders[EffectiveQty]&gt;0)*T_PlannedOrders[Order_Month])),"m月")&amp;"発注)")</f>
        <v/>
      </c>
      <c r="CL91">
        <f>IF(SUMIFS(T_PlannedOrders[EffectiveQty],T_PlannedOrders[Part Name],$A85,T_PlannedOrders[WeekIndex],87)=0,"",SUMIFS(T_PlannedOrders[EffectiveQty],T_PlannedOrders[Part Name],$A85,T_PlannedOrders[WeekIndex],87)&amp;" ("&amp;TEXT(SUMPRODUCT(MAX((T_PlannedOrders[Part Name]=$A85)*(T_PlannedOrders[WeekIndex]=87)*(T_PlannedOrders[EffectiveQty]&gt;0)*T_PlannedOrders[Order_Month])),"m月")&amp;"発注)")</f>
        <v/>
      </c>
      <c r="CM91">
        <f>IF(SUMIFS(T_PlannedOrders[EffectiveQty],T_PlannedOrders[Part Name],$A85,T_PlannedOrders[WeekIndex],88)=0,"",SUMIFS(T_PlannedOrders[EffectiveQty],T_PlannedOrders[Part Name],$A85,T_PlannedOrders[WeekIndex],88)&amp;" ("&amp;TEXT(SUMPRODUCT(MAX((T_PlannedOrders[Part Name]=$A85)*(T_PlannedOrders[WeekIndex]=88)*(T_PlannedOrders[EffectiveQty]&gt;0)*T_PlannedOrders[Order_Month])),"m月")&amp;"発注)")</f>
        <v/>
      </c>
      <c r="CN91">
        <f>IF(SUMIFS(T_PlannedOrders[EffectiveQty],T_PlannedOrders[Part Name],$A85,T_PlannedOrders[WeekIndex],89)=0,"",SUMIFS(T_PlannedOrders[EffectiveQty],T_PlannedOrders[Part Name],$A85,T_PlannedOrders[WeekIndex],89)&amp;" ("&amp;TEXT(SUMPRODUCT(MAX((T_PlannedOrders[Part Name]=$A85)*(T_PlannedOrders[WeekIndex]=89)*(T_PlannedOrders[EffectiveQty]&gt;0)*T_PlannedOrders[Order_Month])),"m月")&amp;"発注)")</f>
        <v/>
      </c>
      <c r="CO91">
        <f>IF(SUMIFS(T_PlannedOrders[EffectiveQty],T_PlannedOrders[Part Name],$A85,T_PlannedOrders[WeekIndex],90)=0,"",SUMIFS(T_PlannedOrders[EffectiveQty],T_PlannedOrders[Part Name],$A85,T_PlannedOrders[WeekIndex],90)&amp;" ("&amp;TEXT(SUMPRODUCT(MAX((T_PlannedOrders[Part Name]=$A85)*(T_PlannedOrders[WeekIndex]=90)*(T_PlannedOrders[EffectiveQty]&gt;0)*T_PlannedOrders[Order_Month])),"m月")&amp;"発注)")</f>
        <v/>
      </c>
      <c r="CP91">
        <f>IF(SUMIFS(T_PlannedOrders[EffectiveQty],T_PlannedOrders[Part Name],$A85,T_PlannedOrders[WeekIndex],91)=0,"",SUMIFS(T_PlannedOrders[EffectiveQty],T_PlannedOrders[Part Name],$A85,T_PlannedOrders[WeekIndex],91)&amp;" ("&amp;TEXT(SUMPRODUCT(MAX((T_PlannedOrders[Part Name]=$A85)*(T_PlannedOrders[WeekIndex]=91)*(T_PlannedOrders[EffectiveQty]&gt;0)*T_PlannedOrders[Order_Month])),"m月")&amp;"発注)")</f>
        <v/>
      </c>
      <c r="CQ91">
        <f>IF(SUMIFS(T_PlannedOrders[EffectiveQty],T_PlannedOrders[Part Name],$A85,T_PlannedOrders[WeekIndex],92)=0,"",SUMIFS(T_PlannedOrders[EffectiveQty],T_PlannedOrders[Part Name],$A85,T_PlannedOrders[WeekIndex],92)&amp;" ("&amp;TEXT(SUMPRODUCT(MAX((T_PlannedOrders[Part Name]=$A85)*(T_PlannedOrders[WeekIndex]=92)*(T_PlannedOrders[EffectiveQty]&gt;0)*T_PlannedOrders[Order_Month])),"m月")&amp;"発注)")</f>
        <v/>
      </c>
      <c r="CR91">
        <f>IF(SUMIFS(T_PlannedOrders[EffectiveQty],T_PlannedOrders[Part Name],$A85,T_PlannedOrders[WeekIndex],93)=0,"",SUMIFS(T_PlannedOrders[EffectiveQty],T_PlannedOrders[Part Name],$A85,T_PlannedOrders[WeekIndex],93)&amp;" ("&amp;TEXT(SUMPRODUCT(MAX((T_PlannedOrders[Part Name]=$A85)*(T_PlannedOrders[WeekIndex]=93)*(T_PlannedOrders[EffectiveQty]&gt;0)*T_PlannedOrders[Order_Month])),"m月")&amp;"発注)")</f>
        <v/>
      </c>
      <c r="CS91">
        <f>IF(SUMIFS(T_PlannedOrders[EffectiveQty],T_PlannedOrders[Part Name],$A85,T_PlannedOrders[WeekIndex],94)=0,"",SUMIFS(T_PlannedOrders[EffectiveQty],T_PlannedOrders[Part Name],$A85,T_PlannedOrders[WeekIndex],94)&amp;" ("&amp;TEXT(SUMPRODUCT(MAX((T_PlannedOrders[Part Name]=$A85)*(T_PlannedOrders[WeekIndex]=94)*(T_PlannedOrders[EffectiveQty]&gt;0)*T_PlannedOrders[Order_Month])),"m月")&amp;"発注)")</f>
        <v/>
      </c>
      <c r="CT91">
        <f>IF(SUMIFS(T_PlannedOrders[EffectiveQty],T_PlannedOrders[Part Name],$A85,T_PlannedOrders[WeekIndex],95)=0,"",SUMIFS(T_PlannedOrders[EffectiveQty],T_PlannedOrders[Part Name],$A85,T_PlannedOrders[WeekIndex],95)&amp;" ("&amp;TEXT(SUMPRODUCT(MAX((T_PlannedOrders[Part Name]=$A85)*(T_PlannedOrders[WeekIndex]=95)*(T_PlannedOrders[EffectiveQty]&gt;0)*T_PlannedOrders[Order_Month])),"m月")&amp;"発注)")</f>
        <v/>
      </c>
      <c r="CU91">
        <f>IF(SUMIFS(T_PlannedOrders[EffectiveQty],T_PlannedOrders[Part Name],$A85,T_PlannedOrders[WeekIndex],96)=0,"",SUMIFS(T_PlannedOrders[EffectiveQty],T_PlannedOrders[Part Name],$A85,T_PlannedOrders[WeekIndex],96)&amp;" ("&amp;TEXT(SUMPRODUCT(MAX((T_PlannedOrders[Part Name]=$A85)*(T_PlannedOrders[WeekIndex]=96)*(T_PlannedOrders[EffectiveQty]&gt;0)*T_PlannedOrders[Order_Month])),"m月")&amp;"発注)")</f>
        <v/>
      </c>
      <c r="CV91">
        <f>IF(SUMIFS(T_PlannedOrders[EffectiveQty],T_PlannedOrders[Part Name],$A85,T_PlannedOrders[WeekIndex],97)=0,"",SUMIFS(T_PlannedOrders[EffectiveQty],T_PlannedOrders[Part Name],$A85,T_PlannedOrders[WeekIndex],97)&amp;" ("&amp;TEXT(SUMPRODUCT(MAX((T_PlannedOrders[Part Name]=$A85)*(T_PlannedOrders[WeekIndex]=97)*(T_PlannedOrders[EffectiveQty]&gt;0)*T_PlannedOrders[Order_Month])),"m月")&amp;"発注)")</f>
        <v/>
      </c>
      <c r="CW91">
        <f>IF(SUMIFS(T_PlannedOrders[EffectiveQty],T_PlannedOrders[Part Name],$A85,T_PlannedOrders[WeekIndex],98)=0,"",SUMIFS(T_PlannedOrders[EffectiveQty],T_PlannedOrders[Part Name],$A85,T_PlannedOrders[WeekIndex],98)&amp;" ("&amp;TEXT(SUMPRODUCT(MAX((T_PlannedOrders[Part Name]=$A85)*(T_PlannedOrders[WeekIndex]=98)*(T_PlannedOrders[EffectiveQty]&gt;0)*T_PlannedOrders[Order_Month])),"m月")&amp;"発注)")</f>
        <v/>
      </c>
      <c r="CX91">
        <f>IF(SUMIFS(T_PlannedOrders[EffectiveQty],T_PlannedOrders[Part Name],$A85,T_PlannedOrders[WeekIndex],99)=0,"",SUMIFS(T_PlannedOrders[EffectiveQty],T_PlannedOrders[Part Name],$A85,T_PlannedOrders[WeekIndex],99)&amp;" ("&amp;TEXT(SUMPRODUCT(MAX((T_PlannedOrders[Part Name]=$A85)*(T_PlannedOrders[WeekIndex]=99)*(T_PlannedOrders[EffectiveQty]&gt;0)*T_PlannedOrders[Order_Month])),"m月")&amp;"発注)")</f>
        <v/>
      </c>
      <c r="CY91">
        <f>IF(SUMIFS(T_PlannedOrders[EffectiveQty],T_PlannedOrders[Part Name],$A85,T_PlannedOrders[WeekIndex],100)=0,"",SUMIFS(T_PlannedOrders[EffectiveQty],T_PlannedOrders[Part Name],$A85,T_PlannedOrders[WeekIndex],100)&amp;" ("&amp;TEXT(SUMPRODUCT(MAX((T_PlannedOrders[Part Name]=$A85)*(T_PlannedOrders[WeekIndex]=100)*(T_PlannedOrders[EffectiveQty]&gt;0)*T_PlannedOrders[Order_Month])),"m月")&amp;"発注)")</f>
        <v/>
      </c>
      <c r="CZ91">
        <f>IF(SUMIFS(T_PlannedOrders[EffectiveQty],T_PlannedOrders[Part Name],$A85,T_PlannedOrders[WeekIndex],101)=0,"",SUMIFS(T_PlannedOrders[EffectiveQty],T_PlannedOrders[Part Name],$A85,T_PlannedOrders[WeekIndex],101)&amp;" ("&amp;TEXT(SUMPRODUCT(MAX((T_PlannedOrders[Part Name]=$A85)*(T_PlannedOrders[WeekIndex]=101)*(T_PlannedOrders[EffectiveQty]&gt;0)*T_PlannedOrders[Order_Month])),"m月")&amp;"発注)")</f>
        <v/>
      </c>
      <c r="DA91">
        <f>IF(SUMIFS(T_PlannedOrders[EffectiveQty],T_PlannedOrders[Part Name],$A85,T_PlannedOrders[WeekIndex],102)=0,"",SUMIFS(T_PlannedOrders[EffectiveQty],T_PlannedOrders[Part Name],$A85,T_PlannedOrders[WeekIndex],102)&amp;" ("&amp;TEXT(SUMPRODUCT(MAX((T_PlannedOrders[Part Name]=$A85)*(T_PlannedOrders[WeekIndex]=102)*(T_PlannedOrders[EffectiveQty]&gt;0)*T_PlannedOrders[Order_Month])),"m月")&amp;"発注)")</f>
        <v/>
      </c>
      <c r="DB91">
        <f>IF(SUMIFS(T_PlannedOrders[EffectiveQty],T_PlannedOrders[Part Name],$A85,T_PlannedOrders[WeekIndex],103)=0,"",SUMIFS(T_PlannedOrders[EffectiveQty],T_PlannedOrders[Part Name],$A85,T_PlannedOrders[WeekIndex],103)&amp;" ("&amp;TEXT(SUMPRODUCT(MAX((T_PlannedOrders[Part Name]=$A85)*(T_PlannedOrders[WeekIndex]=103)*(T_PlannedOrders[EffectiveQty]&gt;0)*T_PlannedOrders[Order_Month])),"m月")&amp;"発注)")</f>
        <v/>
      </c>
      <c r="DC91">
        <f>IF(SUMIFS(T_PlannedOrders[EffectiveQty],T_PlannedOrders[Part Name],$A85,T_PlannedOrders[WeekIndex],104)=0,"",SUMIFS(T_PlannedOrders[EffectiveQty],T_PlannedOrders[Part Name],$A85,T_PlannedOrders[WeekIndex],104)&amp;" ("&amp;TEXT(SUMPRODUCT(MAX((T_PlannedOrders[Part Name]=$A85)*(T_PlannedOrders[WeekIndex]=104)*(T_PlannedOrders[EffectiveQty]&gt;0)*T_PlannedOrders[Order_Month])),"m月")&amp;"発注)")</f>
        <v/>
      </c>
    </row>
    <row r="92">
      <c r="B92" s="5" t="inlineStr">
        <is>
          <t>合計在庫(週末時点,kg)</t>
        </is>
      </c>
      <c r="D92">
        <f>'Grid_Stock'!B18</f>
        <v/>
      </c>
      <c r="E92">
        <f>'Grid_Stock'!C18</f>
        <v/>
      </c>
      <c r="F92">
        <f>'Grid_Stock'!D18</f>
        <v/>
      </c>
      <c r="G92">
        <f>'Grid_Stock'!E18</f>
        <v/>
      </c>
      <c r="H92">
        <f>'Grid_Stock'!F18</f>
        <v/>
      </c>
      <c r="I92">
        <f>'Grid_Stock'!G18</f>
        <v/>
      </c>
      <c r="J92">
        <f>'Grid_Stock'!H18</f>
        <v/>
      </c>
      <c r="K92">
        <f>'Grid_Stock'!I18</f>
        <v/>
      </c>
      <c r="L92">
        <f>'Grid_Stock'!J18</f>
        <v/>
      </c>
      <c r="M92">
        <f>'Grid_Stock'!K18</f>
        <v/>
      </c>
      <c r="N92">
        <f>'Grid_Stock'!L18</f>
        <v/>
      </c>
      <c r="O92">
        <f>'Grid_Stock'!M18</f>
        <v/>
      </c>
      <c r="P92">
        <f>'Grid_Stock'!N18</f>
        <v/>
      </c>
      <c r="Q92">
        <f>'Grid_Stock'!O18</f>
        <v/>
      </c>
      <c r="R92">
        <f>'Grid_Stock'!P18</f>
        <v/>
      </c>
      <c r="S92">
        <f>'Grid_Stock'!Q18</f>
        <v/>
      </c>
      <c r="T92">
        <f>'Grid_Stock'!R18</f>
        <v/>
      </c>
      <c r="U92">
        <f>'Grid_Stock'!S18</f>
        <v/>
      </c>
      <c r="V92">
        <f>'Grid_Stock'!T18</f>
        <v/>
      </c>
      <c r="W92">
        <f>'Grid_Stock'!U18</f>
        <v/>
      </c>
      <c r="X92">
        <f>'Grid_Stock'!V18</f>
        <v/>
      </c>
      <c r="Y92">
        <f>'Grid_Stock'!W18</f>
        <v/>
      </c>
      <c r="Z92">
        <f>'Grid_Stock'!X18</f>
        <v/>
      </c>
      <c r="AA92">
        <f>'Grid_Stock'!Y18</f>
        <v/>
      </c>
      <c r="AB92">
        <f>'Grid_Stock'!Z18</f>
        <v/>
      </c>
      <c r="AC92">
        <f>'Grid_Stock'!AA18</f>
        <v/>
      </c>
      <c r="AD92">
        <f>'Grid_Stock'!AB18</f>
        <v/>
      </c>
      <c r="AE92">
        <f>'Grid_Stock'!AC18</f>
        <v/>
      </c>
      <c r="AF92">
        <f>'Grid_Stock'!AD18</f>
        <v/>
      </c>
      <c r="AG92">
        <f>'Grid_Stock'!AE18</f>
        <v/>
      </c>
      <c r="AH92">
        <f>'Grid_Stock'!AF18</f>
        <v/>
      </c>
      <c r="AI92">
        <f>'Grid_Stock'!AG18</f>
        <v/>
      </c>
      <c r="AJ92">
        <f>'Grid_Stock'!AH18</f>
        <v/>
      </c>
      <c r="AK92">
        <f>'Grid_Stock'!AI18</f>
        <v/>
      </c>
      <c r="AL92">
        <f>'Grid_Stock'!AJ18</f>
        <v/>
      </c>
      <c r="AM92">
        <f>'Grid_Stock'!AK18</f>
        <v/>
      </c>
      <c r="AN92">
        <f>'Grid_Stock'!AL18</f>
        <v/>
      </c>
      <c r="AO92">
        <f>'Grid_Stock'!AM18</f>
        <v/>
      </c>
      <c r="AP92">
        <f>'Grid_Stock'!AN18</f>
        <v/>
      </c>
      <c r="AQ92">
        <f>'Grid_Stock'!AO18</f>
        <v/>
      </c>
      <c r="AR92">
        <f>'Grid_Stock'!AP18</f>
        <v/>
      </c>
      <c r="AS92">
        <f>'Grid_Stock'!AQ18</f>
        <v/>
      </c>
      <c r="AT92">
        <f>'Grid_Stock'!AR18</f>
        <v/>
      </c>
      <c r="AU92">
        <f>'Grid_Stock'!AS18</f>
        <v/>
      </c>
      <c r="AV92">
        <f>'Grid_Stock'!AT18</f>
        <v/>
      </c>
      <c r="AW92">
        <f>'Grid_Stock'!AU18</f>
        <v/>
      </c>
      <c r="AX92">
        <f>'Grid_Stock'!AV18</f>
        <v/>
      </c>
      <c r="AY92">
        <f>'Grid_Stock'!AW18</f>
        <v/>
      </c>
      <c r="AZ92">
        <f>'Grid_Stock'!AX18</f>
        <v/>
      </c>
      <c r="BA92">
        <f>'Grid_Stock'!AY18</f>
        <v/>
      </c>
      <c r="BB92">
        <f>'Grid_Stock'!AZ18</f>
        <v/>
      </c>
      <c r="BC92">
        <f>'Grid_Stock'!BA18</f>
        <v/>
      </c>
      <c r="BD92">
        <f>'Grid_Stock'!BB18</f>
        <v/>
      </c>
      <c r="BE92">
        <f>'Grid_Stock'!BC18</f>
        <v/>
      </c>
      <c r="BF92">
        <f>'Grid_Stock'!BD18</f>
        <v/>
      </c>
      <c r="BG92">
        <f>'Grid_Stock'!BE18</f>
        <v/>
      </c>
      <c r="BH92">
        <f>'Grid_Stock'!BF18</f>
        <v/>
      </c>
      <c r="BI92">
        <f>'Grid_Stock'!BG18</f>
        <v/>
      </c>
      <c r="BJ92">
        <f>'Grid_Stock'!BH18</f>
        <v/>
      </c>
      <c r="BK92">
        <f>'Grid_Stock'!BI18</f>
        <v/>
      </c>
      <c r="BL92">
        <f>'Grid_Stock'!BJ18</f>
        <v/>
      </c>
      <c r="BM92">
        <f>'Grid_Stock'!BK18</f>
        <v/>
      </c>
      <c r="BN92">
        <f>'Grid_Stock'!BL18</f>
        <v/>
      </c>
      <c r="BO92">
        <f>'Grid_Stock'!BM18</f>
        <v/>
      </c>
      <c r="BP92">
        <f>'Grid_Stock'!BN18</f>
        <v/>
      </c>
      <c r="BQ92">
        <f>'Grid_Stock'!BO18</f>
        <v/>
      </c>
      <c r="BR92">
        <f>'Grid_Stock'!BP18</f>
        <v/>
      </c>
      <c r="BS92">
        <f>'Grid_Stock'!BQ18</f>
        <v/>
      </c>
      <c r="BT92">
        <f>'Grid_Stock'!BR18</f>
        <v/>
      </c>
      <c r="BU92">
        <f>'Grid_Stock'!BS18</f>
        <v/>
      </c>
      <c r="BV92">
        <f>'Grid_Stock'!BT18</f>
        <v/>
      </c>
      <c r="BW92">
        <f>'Grid_Stock'!BU18</f>
        <v/>
      </c>
      <c r="BX92">
        <f>'Grid_Stock'!BV18</f>
        <v/>
      </c>
      <c r="BY92">
        <f>'Grid_Stock'!BW18</f>
        <v/>
      </c>
      <c r="BZ92">
        <f>'Grid_Stock'!BX18</f>
        <v/>
      </c>
      <c r="CA92">
        <f>'Grid_Stock'!BY18</f>
        <v/>
      </c>
      <c r="CB92">
        <f>'Grid_Stock'!BZ18</f>
        <v/>
      </c>
      <c r="CC92">
        <f>'Grid_Stock'!CA18</f>
        <v/>
      </c>
      <c r="CD92">
        <f>'Grid_Stock'!CB18</f>
        <v/>
      </c>
      <c r="CE92">
        <f>'Grid_Stock'!CC18</f>
        <v/>
      </c>
      <c r="CF92">
        <f>'Grid_Stock'!CD18</f>
        <v/>
      </c>
      <c r="CG92">
        <f>'Grid_Stock'!CE18</f>
        <v/>
      </c>
      <c r="CH92">
        <f>'Grid_Stock'!CF18</f>
        <v/>
      </c>
      <c r="CI92">
        <f>'Grid_Stock'!CG18</f>
        <v/>
      </c>
      <c r="CJ92">
        <f>'Grid_Stock'!CH18</f>
        <v/>
      </c>
      <c r="CK92">
        <f>'Grid_Stock'!CI18</f>
        <v/>
      </c>
      <c r="CL92">
        <f>'Grid_Stock'!CJ18</f>
        <v/>
      </c>
      <c r="CM92">
        <f>'Grid_Stock'!CK18</f>
        <v/>
      </c>
      <c r="CN92">
        <f>'Grid_Stock'!CL18</f>
        <v/>
      </c>
      <c r="CO92">
        <f>'Grid_Stock'!CM18</f>
        <v/>
      </c>
      <c r="CP92">
        <f>'Grid_Stock'!CN18</f>
        <v/>
      </c>
      <c r="CQ92">
        <f>'Grid_Stock'!CO18</f>
        <v/>
      </c>
      <c r="CR92">
        <f>'Grid_Stock'!CP18</f>
        <v/>
      </c>
      <c r="CS92">
        <f>'Grid_Stock'!CQ18</f>
        <v/>
      </c>
      <c r="CT92">
        <f>'Grid_Stock'!CR18</f>
        <v/>
      </c>
      <c r="CU92">
        <f>'Grid_Stock'!CS18</f>
        <v/>
      </c>
      <c r="CV92">
        <f>'Grid_Stock'!CT18</f>
        <v/>
      </c>
      <c r="CW92">
        <f>'Grid_Stock'!CU18</f>
        <v/>
      </c>
      <c r="CX92">
        <f>'Grid_Stock'!CV18</f>
        <v/>
      </c>
      <c r="CY92">
        <f>'Grid_Stock'!CW18</f>
        <v/>
      </c>
      <c r="CZ92">
        <f>'Grid_Stock'!CX18</f>
        <v/>
      </c>
      <c r="DA92">
        <f>'Grid_Stock'!CY18</f>
        <v/>
      </c>
      <c r="DB92">
        <f>'Grid_Stock'!CZ18</f>
        <v/>
      </c>
      <c r="DC92">
        <f>'Grid_Stock'!DA18</f>
        <v/>
      </c>
    </row>
    <row r="93">
      <c r="B93" s="23" t="inlineStr">
        <is>
          <t>（発注の目安はDashboardの基準在庫[下限/上限]と色分けを参照）</t>
        </is>
      </c>
    </row>
    <row r="95">
      <c r="A95" s="21" t="inlineStr">
        <is>
          <t>TDJ</t>
        </is>
      </c>
      <c r="B95" s="21" t="inlineStr">
        <is>
          <t>N60S/2-11R08 TTAF</t>
        </is>
      </c>
      <c r="C95" s="22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  <c r="AA95" s="21" t="n"/>
      <c r="AB95" s="21" t="n"/>
      <c r="AC95" s="21" t="n"/>
      <c r="AD95" s="21" t="n"/>
      <c r="AE95" s="21" t="n"/>
      <c r="AF95" s="21" t="n"/>
      <c r="AG95" s="21" t="n"/>
      <c r="AH95" s="21" t="n"/>
      <c r="AI95" s="21" t="n"/>
      <c r="AJ95" s="21" t="n"/>
      <c r="AK95" s="21" t="n"/>
      <c r="AL95" s="21" t="n"/>
      <c r="AM95" s="21" t="n"/>
      <c r="AN95" s="21" t="n"/>
      <c r="AO95" s="21" t="n"/>
      <c r="AP95" s="21" t="n"/>
      <c r="AQ95" s="21" t="n"/>
      <c r="AR95" s="21" t="n"/>
      <c r="AS95" s="21" t="n"/>
      <c r="AT95" s="21" t="n"/>
      <c r="AU95" s="21" t="n"/>
      <c r="AV95" s="21" t="n"/>
      <c r="AW95" s="21" t="n"/>
      <c r="AX95" s="21" t="n"/>
      <c r="AY95" s="21" t="n"/>
      <c r="AZ95" s="21" t="n"/>
      <c r="BA95" s="21" t="n"/>
      <c r="BB95" s="21" t="n"/>
      <c r="BC95" s="21" t="n"/>
      <c r="BD95" s="21" t="n"/>
      <c r="BE95" s="21" t="n"/>
      <c r="BF95" s="21" t="n"/>
      <c r="BG95" s="21" t="n"/>
      <c r="BH95" s="21" t="n"/>
      <c r="BI95" s="21" t="n"/>
      <c r="BJ95" s="21" t="n"/>
      <c r="BK95" s="21" t="n"/>
      <c r="BL95" s="21" t="n"/>
      <c r="BM95" s="21" t="n"/>
      <c r="BN95" s="21" t="n"/>
      <c r="BO95" s="21" t="n"/>
      <c r="BP95" s="21" t="n"/>
      <c r="BQ95" s="21" t="n"/>
      <c r="BR95" s="21" t="n"/>
      <c r="BS95" s="21" t="n"/>
      <c r="BT95" s="21" t="n"/>
      <c r="BU95" s="21" t="n"/>
      <c r="BV95" s="21" t="n"/>
      <c r="BW95" s="21" t="n"/>
      <c r="BX95" s="21" t="n"/>
      <c r="BY95" s="21" t="n"/>
      <c r="BZ95" s="21" t="n"/>
      <c r="CA95" s="21" t="n"/>
      <c r="CB95" s="21" t="n"/>
      <c r="CC95" s="21" t="n"/>
      <c r="CD95" s="21" t="n"/>
      <c r="CE95" s="21" t="n"/>
      <c r="CF95" s="21" t="n"/>
      <c r="CG95" s="21" t="n"/>
      <c r="CH95" s="21" t="n"/>
      <c r="CI95" s="21" t="n"/>
      <c r="CJ95" s="21" t="n"/>
      <c r="CK95" s="21" t="n"/>
      <c r="CL95" s="21" t="n"/>
      <c r="CM95" s="21" t="n"/>
      <c r="CN95" s="21" t="n"/>
      <c r="CO95" s="21" t="n"/>
      <c r="CP95" s="21" t="n"/>
      <c r="CQ95" s="21" t="n"/>
      <c r="CR95" s="21" t="n"/>
      <c r="CS95" s="21" t="n"/>
      <c r="CT95" s="21" t="n"/>
      <c r="CU95" s="21" t="n"/>
      <c r="CV95" s="21" t="n"/>
      <c r="CW95" s="21" t="n"/>
      <c r="CX95" s="21" t="n"/>
      <c r="CY95" s="21" t="n"/>
      <c r="CZ95" s="21" t="n"/>
      <c r="DA95" s="21" t="n"/>
      <c r="DB95" s="21" t="n"/>
      <c r="DC95" s="21" t="n"/>
    </row>
    <row r="96">
      <c r="B96" t="inlineStr">
        <is>
          <t>0TA30</t>
        </is>
      </c>
      <c r="C96" t="inlineStr">
        <is>
          <t>No. of batches</t>
        </is>
      </c>
      <c r="D96">
        <f>IFERROR(INDEX(PP_Grid[#Data],$DD96,2),0)</f>
        <v/>
      </c>
      <c r="E96">
        <f>IFERROR(INDEX(PP_Grid[#Data],$DD96,3),0)</f>
        <v/>
      </c>
      <c r="F96">
        <f>IFERROR(INDEX(PP_Grid[#Data],$DD96,4),0)</f>
        <v/>
      </c>
      <c r="G96">
        <f>IFERROR(INDEX(PP_Grid[#Data],$DD96,5),0)</f>
        <v/>
      </c>
      <c r="H96">
        <f>IFERROR(INDEX(PP_Grid[#Data],$DD96,6),0)</f>
        <v/>
      </c>
      <c r="I96">
        <f>IFERROR(INDEX(PP_Grid[#Data],$DD96,7),0)</f>
        <v/>
      </c>
      <c r="J96">
        <f>IFERROR(INDEX(PP_Grid[#Data],$DD96,8),0)</f>
        <v/>
      </c>
      <c r="K96">
        <f>IFERROR(INDEX(PP_Grid[#Data],$DD96,9),0)</f>
        <v/>
      </c>
      <c r="L96">
        <f>IFERROR(INDEX(PP_Grid[#Data],$DD96,10),0)</f>
        <v/>
      </c>
      <c r="M96">
        <f>IFERROR(INDEX(PP_Grid[#Data],$DD96,11),0)</f>
        <v/>
      </c>
      <c r="N96">
        <f>IFERROR(INDEX(PP_Grid[#Data],$DD96,12),0)</f>
        <v/>
      </c>
      <c r="O96">
        <f>IFERROR(INDEX(PP_Grid[#Data],$DD96,13),0)</f>
        <v/>
      </c>
      <c r="P96">
        <f>IFERROR(INDEX(PP_Grid[#Data],$DD96,14),0)</f>
        <v/>
      </c>
      <c r="Q96">
        <f>IFERROR(INDEX(PP_Grid[#Data],$DD96,15),0)</f>
        <v/>
      </c>
      <c r="R96">
        <f>IFERROR(INDEX(PP_Grid[#Data],$DD96,16),0)</f>
        <v/>
      </c>
      <c r="S96">
        <f>IFERROR(INDEX(PP_Grid[#Data],$DD96,17),0)</f>
        <v/>
      </c>
      <c r="T96">
        <f>IFERROR(INDEX(PP_Grid[#Data],$DD96,18),0)</f>
        <v/>
      </c>
      <c r="U96">
        <f>IFERROR(INDEX(PP_Grid[#Data],$DD96,19),0)</f>
        <v/>
      </c>
      <c r="V96">
        <f>IFERROR(INDEX(PP_Grid[#Data],$DD96,20),0)</f>
        <v/>
      </c>
      <c r="W96">
        <f>IFERROR(INDEX(PP_Grid[#Data],$DD96,21),0)</f>
        <v/>
      </c>
      <c r="X96">
        <f>IFERROR(INDEX(PP_Grid[#Data],$DD96,22),0)</f>
        <v/>
      </c>
      <c r="Y96">
        <f>IFERROR(INDEX(PP_Grid[#Data],$DD96,23),0)</f>
        <v/>
      </c>
      <c r="Z96">
        <f>IFERROR(INDEX(PP_Grid[#Data],$DD96,24),0)</f>
        <v/>
      </c>
      <c r="AA96">
        <f>IFERROR(INDEX(PP_Grid[#Data],$DD96,25),0)</f>
        <v/>
      </c>
      <c r="AB96">
        <f>IFERROR(INDEX(PP_Grid[#Data],$DD96,26),0)</f>
        <v/>
      </c>
      <c r="AC96">
        <f>IFERROR(INDEX(PP_Grid[#Data],$DD96,27),0)</f>
        <v/>
      </c>
      <c r="AD96">
        <f>IFERROR(INDEX(PP_Grid[#Data],$DD96,28),0)</f>
        <v/>
      </c>
      <c r="AE96">
        <f>IFERROR(INDEX(PP_Grid[#Data],$DD96,29),0)</f>
        <v/>
      </c>
      <c r="AF96">
        <f>IFERROR(INDEX(PP_Grid[#Data],$DD96,30),0)</f>
        <v/>
      </c>
      <c r="AG96">
        <f>IFERROR(INDEX(PP_Grid[#Data],$DD96,31),0)</f>
        <v/>
      </c>
      <c r="AH96">
        <f>IFERROR(INDEX(PP_Grid[#Data],$DD96,32),0)</f>
        <v/>
      </c>
      <c r="AI96">
        <f>IFERROR(INDEX(PP_Grid[#Data],$DD96,33),0)</f>
        <v/>
      </c>
      <c r="AJ96">
        <f>IFERROR(INDEX(PP_Grid[#Data],$DD96,34),0)</f>
        <v/>
      </c>
      <c r="AK96">
        <f>IFERROR(INDEX(PP_Grid[#Data],$DD96,35),0)</f>
        <v/>
      </c>
      <c r="AL96">
        <f>IFERROR(INDEX(PP_Grid[#Data],$DD96,36),0)</f>
        <v/>
      </c>
      <c r="AM96">
        <f>IFERROR(INDEX(PP_Grid[#Data],$DD96,37),0)</f>
        <v/>
      </c>
      <c r="AN96">
        <f>IFERROR(INDEX(PP_Grid[#Data],$DD96,38),0)</f>
        <v/>
      </c>
      <c r="AO96">
        <f>IFERROR(INDEX(PP_Grid[#Data],$DD96,39),0)</f>
        <v/>
      </c>
      <c r="AP96">
        <f>IFERROR(INDEX(PP_Grid[#Data],$DD96,40),0)</f>
        <v/>
      </c>
      <c r="AQ96">
        <f>IFERROR(INDEX(PP_Grid[#Data],$DD96,41),0)</f>
        <v/>
      </c>
      <c r="AR96">
        <f>IFERROR(INDEX(PP_Grid[#Data],$DD96,42),0)</f>
        <v/>
      </c>
      <c r="AS96">
        <f>IFERROR(INDEX(PP_Grid[#Data],$DD96,43),0)</f>
        <v/>
      </c>
      <c r="AT96">
        <f>IFERROR(INDEX(PP_Grid[#Data],$DD96,44),0)</f>
        <v/>
      </c>
      <c r="AU96">
        <f>IFERROR(INDEX(PP_Grid[#Data],$DD96,45),0)</f>
        <v/>
      </c>
      <c r="AV96">
        <f>IFERROR(INDEX(PP_Grid[#Data],$DD96,46),0)</f>
        <v/>
      </c>
      <c r="AW96">
        <f>IFERROR(INDEX(PP_Grid[#Data],$DD96,47),0)</f>
        <v/>
      </c>
      <c r="AX96">
        <f>IFERROR(INDEX(PP_Grid[#Data],$DD96,48),0)</f>
        <v/>
      </c>
      <c r="AY96">
        <f>IFERROR(INDEX(PP_Grid[#Data],$DD96,49),0)</f>
        <v/>
      </c>
      <c r="AZ96">
        <f>IFERROR(INDEX(PP_Grid[#Data],$DD96,50),0)</f>
        <v/>
      </c>
      <c r="BA96">
        <f>IFERROR(INDEX(PP_Grid[#Data],$DD96,51),0)</f>
        <v/>
      </c>
      <c r="BB96">
        <f>IFERROR(INDEX(PP_Grid[#Data],$DD96,52),0)</f>
        <v/>
      </c>
      <c r="BC96">
        <f>IFERROR(INDEX(PP_Grid[#Data],$DD96,53),0)</f>
        <v/>
      </c>
      <c r="BD96">
        <f>IFERROR(INDEX(PP_Grid[#Data],$DD96,54),0)</f>
        <v/>
      </c>
      <c r="BE96">
        <f>IFERROR(INDEX(PP_Grid[#Data],$DD96,55),0)</f>
        <v/>
      </c>
      <c r="BF96">
        <f>IFERROR(INDEX(PP_Grid[#Data],$DD96,56),0)</f>
        <v/>
      </c>
      <c r="BG96">
        <f>IFERROR(INDEX(PP_Grid[#Data],$DD96,57),0)</f>
        <v/>
      </c>
      <c r="BH96">
        <f>IFERROR(INDEX(PP_Grid[#Data],$DD96,58),0)</f>
        <v/>
      </c>
      <c r="BI96">
        <f>IFERROR(INDEX(PP_Grid[#Data],$DD96,59),0)</f>
        <v/>
      </c>
      <c r="BJ96">
        <f>IFERROR(INDEX(PP_Grid[#Data],$DD96,60),0)</f>
        <v/>
      </c>
      <c r="BK96">
        <f>IFERROR(INDEX(PP_Grid[#Data],$DD96,61),0)</f>
        <v/>
      </c>
      <c r="BL96">
        <f>IFERROR(INDEX(PP_Grid[#Data],$DD96,62),0)</f>
        <v/>
      </c>
      <c r="BM96">
        <f>IFERROR(INDEX(PP_Grid[#Data],$DD96,63),0)</f>
        <v/>
      </c>
      <c r="BN96">
        <f>IFERROR(INDEX(PP_Grid[#Data],$DD96,64),0)</f>
        <v/>
      </c>
      <c r="BO96">
        <f>IFERROR(INDEX(PP_Grid[#Data],$DD96,65),0)</f>
        <v/>
      </c>
      <c r="BP96">
        <f>IFERROR(INDEX(PP_Grid[#Data],$DD96,66),0)</f>
        <v/>
      </c>
      <c r="BQ96">
        <f>IFERROR(INDEX(PP_Grid[#Data],$DD96,67),0)</f>
        <v/>
      </c>
      <c r="BR96">
        <f>IFERROR(INDEX(PP_Grid[#Data],$DD96,68),0)</f>
        <v/>
      </c>
      <c r="BS96">
        <f>IFERROR(INDEX(PP_Grid[#Data],$DD96,69),0)</f>
        <v/>
      </c>
      <c r="BT96">
        <f>IFERROR(INDEX(PP_Grid[#Data],$DD96,70),0)</f>
        <v/>
      </c>
      <c r="BU96">
        <f>IFERROR(INDEX(PP_Grid[#Data],$DD96,71),0)</f>
        <v/>
      </c>
      <c r="BV96">
        <f>IFERROR(INDEX(PP_Grid[#Data],$DD96,72),0)</f>
        <v/>
      </c>
      <c r="BW96">
        <f>IFERROR(INDEX(PP_Grid[#Data],$DD96,73),0)</f>
        <v/>
      </c>
      <c r="BX96">
        <f>IFERROR(INDEX(PP_Grid[#Data],$DD96,74),0)</f>
        <v/>
      </c>
      <c r="BY96">
        <f>IFERROR(INDEX(PP_Grid[#Data],$DD96,75),0)</f>
        <v/>
      </c>
      <c r="BZ96">
        <f>IFERROR(INDEX(PP_Grid[#Data],$DD96,76),0)</f>
        <v/>
      </c>
      <c r="CA96">
        <f>IFERROR(INDEX(PP_Grid[#Data],$DD96,77),0)</f>
        <v/>
      </c>
      <c r="CB96">
        <f>IFERROR(INDEX(PP_Grid[#Data],$DD96,78),0)</f>
        <v/>
      </c>
      <c r="CC96">
        <f>IFERROR(INDEX(PP_Grid[#Data],$DD96,79),0)</f>
        <v/>
      </c>
      <c r="CD96">
        <f>IFERROR(INDEX(PP_Grid[#Data],$DD96,80),0)</f>
        <v/>
      </c>
      <c r="CE96">
        <f>IFERROR(INDEX(PP_Grid[#Data],$DD96,81),0)</f>
        <v/>
      </c>
      <c r="CF96">
        <f>IFERROR(INDEX(PP_Grid[#Data],$DD96,82),0)</f>
        <v/>
      </c>
      <c r="CG96">
        <f>IFERROR(INDEX(PP_Grid[#Data],$DD96,83),0)</f>
        <v/>
      </c>
      <c r="CH96">
        <f>IFERROR(INDEX(PP_Grid[#Data],$DD96,84),0)</f>
        <v/>
      </c>
      <c r="CI96">
        <f>IFERROR(INDEX(PP_Grid[#Data],$DD96,85),0)</f>
        <v/>
      </c>
      <c r="CJ96">
        <f>IFERROR(INDEX(PP_Grid[#Data],$DD96,86),0)</f>
        <v/>
      </c>
      <c r="CK96">
        <f>IFERROR(INDEX(PP_Grid[#Data],$DD96,87),0)</f>
        <v/>
      </c>
      <c r="CL96">
        <f>IFERROR(INDEX(PP_Grid[#Data],$DD96,88),0)</f>
        <v/>
      </c>
      <c r="CM96">
        <f>IFERROR(INDEX(PP_Grid[#Data],$DD96,89),0)</f>
        <v/>
      </c>
      <c r="CN96">
        <f>IFERROR(INDEX(PP_Grid[#Data],$DD96,90),0)</f>
        <v/>
      </c>
      <c r="CO96">
        <f>IFERROR(INDEX(PP_Grid[#Data],$DD96,91),0)</f>
        <v/>
      </c>
      <c r="CP96">
        <f>IFERROR(INDEX(PP_Grid[#Data],$DD96,92),0)</f>
        <v/>
      </c>
      <c r="CQ96">
        <f>IFERROR(INDEX(PP_Grid[#Data],$DD96,93),0)</f>
        <v/>
      </c>
      <c r="CR96">
        <f>IFERROR(INDEX(PP_Grid[#Data],$DD96,94),0)</f>
        <v/>
      </c>
      <c r="CS96">
        <f>IFERROR(INDEX(PP_Grid[#Data],$DD96,95),0)</f>
        <v/>
      </c>
      <c r="CT96">
        <f>IFERROR(INDEX(PP_Grid[#Data],$DD96,96),0)</f>
        <v/>
      </c>
      <c r="CU96">
        <f>IFERROR(INDEX(PP_Grid[#Data],$DD96,97),0)</f>
        <v/>
      </c>
      <c r="CV96">
        <f>IFERROR(INDEX(PP_Grid[#Data],$DD96,98),0)</f>
        <v/>
      </c>
      <c r="CW96">
        <f>IFERROR(INDEX(PP_Grid[#Data],$DD96,99),0)</f>
        <v/>
      </c>
      <c r="CX96">
        <f>IFERROR(INDEX(PP_Grid[#Data],$DD96,100),0)</f>
        <v/>
      </c>
      <c r="CY96">
        <f>IFERROR(INDEX(PP_Grid[#Data],$DD96,101),0)</f>
        <v/>
      </c>
      <c r="CZ96">
        <f>IFERROR(INDEX(PP_Grid[#Data],$DD96,102),0)</f>
        <v/>
      </c>
      <c r="DA96">
        <f>IFERROR(INDEX(PP_Grid[#Data],$DD96,103),0)</f>
        <v/>
      </c>
      <c r="DB96">
        <f>IFERROR(INDEX(PP_Grid[#Data],$DD96,104),0)</f>
        <v/>
      </c>
      <c r="DC96">
        <f>IFERROR(INDEX(PP_Grid[#Data],$DD96,105),0)</f>
        <v/>
      </c>
      <c r="DD96" s="12">
        <f>IFERROR(MATCH($B96,PP_Grid[Intermediate],0),99999)</f>
        <v/>
      </c>
    </row>
    <row r="97">
      <c r="B97" t="inlineStr">
        <is>
          <t>使用量(kg)</t>
        </is>
      </c>
      <c r="C97">
        <f>SUMIFS(M_BOM[RM_Qty_Per_Batch],M_BOM[Intermediate],$B96,M_BOM[Part Name],$A95)</f>
        <v/>
      </c>
      <c r="D97">
        <f>$C97*D96</f>
        <v/>
      </c>
      <c r="E97">
        <f>$C97*E96</f>
        <v/>
      </c>
      <c r="F97">
        <f>$C97*F96</f>
        <v/>
      </c>
      <c r="G97">
        <f>$C97*G96</f>
        <v/>
      </c>
      <c r="H97">
        <f>$C97*H96</f>
        <v/>
      </c>
      <c r="I97">
        <f>$C97*I96</f>
        <v/>
      </c>
      <c r="J97">
        <f>$C97*J96</f>
        <v/>
      </c>
      <c r="K97">
        <f>$C97*K96</f>
        <v/>
      </c>
      <c r="L97">
        <f>$C97*L96</f>
        <v/>
      </c>
      <c r="M97">
        <f>$C97*M96</f>
        <v/>
      </c>
      <c r="N97">
        <f>$C97*N96</f>
        <v/>
      </c>
      <c r="O97">
        <f>$C97*O96</f>
        <v/>
      </c>
      <c r="P97">
        <f>$C97*P96</f>
        <v/>
      </c>
      <c r="Q97">
        <f>$C97*Q96</f>
        <v/>
      </c>
      <c r="R97">
        <f>$C97*R96</f>
        <v/>
      </c>
      <c r="S97">
        <f>$C97*S96</f>
        <v/>
      </c>
      <c r="T97">
        <f>$C97*T96</f>
        <v/>
      </c>
      <c r="U97">
        <f>$C97*U96</f>
        <v/>
      </c>
      <c r="V97">
        <f>$C97*V96</f>
        <v/>
      </c>
      <c r="W97">
        <f>$C97*W96</f>
        <v/>
      </c>
      <c r="X97">
        <f>$C97*X96</f>
        <v/>
      </c>
      <c r="Y97">
        <f>$C97*Y96</f>
        <v/>
      </c>
      <c r="Z97">
        <f>$C97*Z96</f>
        <v/>
      </c>
      <c r="AA97">
        <f>$C97*AA96</f>
        <v/>
      </c>
      <c r="AB97">
        <f>$C97*AB96</f>
        <v/>
      </c>
      <c r="AC97">
        <f>$C97*AC96</f>
        <v/>
      </c>
      <c r="AD97">
        <f>$C97*AD96</f>
        <v/>
      </c>
      <c r="AE97">
        <f>$C97*AE96</f>
        <v/>
      </c>
      <c r="AF97">
        <f>$C97*AF96</f>
        <v/>
      </c>
      <c r="AG97">
        <f>$C97*AG96</f>
        <v/>
      </c>
      <c r="AH97">
        <f>$C97*AH96</f>
        <v/>
      </c>
      <c r="AI97">
        <f>$C97*AI96</f>
        <v/>
      </c>
      <c r="AJ97">
        <f>$C97*AJ96</f>
        <v/>
      </c>
      <c r="AK97">
        <f>$C97*AK96</f>
        <v/>
      </c>
      <c r="AL97">
        <f>$C97*AL96</f>
        <v/>
      </c>
      <c r="AM97">
        <f>$C97*AM96</f>
        <v/>
      </c>
      <c r="AN97">
        <f>$C97*AN96</f>
        <v/>
      </c>
      <c r="AO97">
        <f>$C97*AO96</f>
        <v/>
      </c>
      <c r="AP97">
        <f>$C97*AP96</f>
        <v/>
      </c>
      <c r="AQ97">
        <f>$C97*AQ96</f>
        <v/>
      </c>
      <c r="AR97">
        <f>$C97*AR96</f>
        <v/>
      </c>
      <c r="AS97">
        <f>$C97*AS96</f>
        <v/>
      </c>
      <c r="AT97">
        <f>$C97*AT96</f>
        <v/>
      </c>
      <c r="AU97">
        <f>$C97*AU96</f>
        <v/>
      </c>
      <c r="AV97">
        <f>$C97*AV96</f>
        <v/>
      </c>
      <c r="AW97">
        <f>$C97*AW96</f>
        <v/>
      </c>
      <c r="AX97">
        <f>$C97*AX96</f>
        <v/>
      </c>
      <c r="AY97">
        <f>$C97*AY96</f>
        <v/>
      </c>
      <c r="AZ97">
        <f>$C97*AZ96</f>
        <v/>
      </c>
      <c r="BA97">
        <f>$C97*BA96</f>
        <v/>
      </c>
      <c r="BB97">
        <f>$C97*BB96</f>
        <v/>
      </c>
      <c r="BC97">
        <f>$C97*BC96</f>
        <v/>
      </c>
      <c r="BD97">
        <f>$C97*BD96</f>
        <v/>
      </c>
      <c r="BE97">
        <f>$C97*BE96</f>
        <v/>
      </c>
      <c r="BF97">
        <f>$C97*BF96</f>
        <v/>
      </c>
      <c r="BG97">
        <f>$C97*BG96</f>
        <v/>
      </c>
      <c r="BH97">
        <f>$C97*BH96</f>
        <v/>
      </c>
      <c r="BI97">
        <f>$C97*BI96</f>
        <v/>
      </c>
      <c r="BJ97">
        <f>$C97*BJ96</f>
        <v/>
      </c>
      <c r="BK97">
        <f>$C97*BK96</f>
        <v/>
      </c>
      <c r="BL97">
        <f>$C97*BL96</f>
        <v/>
      </c>
      <c r="BM97">
        <f>$C97*BM96</f>
        <v/>
      </c>
      <c r="BN97">
        <f>$C97*BN96</f>
        <v/>
      </c>
      <c r="BO97">
        <f>$C97*BO96</f>
        <v/>
      </c>
      <c r="BP97">
        <f>$C97*BP96</f>
        <v/>
      </c>
      <c r="BQ97">
        <f>$C97*BQ96</f>
        <v/>
      </c>
      <c r="BR97">
        <f>$C97*BR96</f>
        <v/>
      </c>
      <c r="BS97">
        <f>$C97*BS96</f>
        <v/>
      </c>
      <c r="BT97">
        <f>$C97*BT96</f>
        <v/>
      </c>
      <c r="BU97">
        <f>$C97*BU96</f>
        <v/>
      </c>
      <c r="BV97">
        <f>$C97*BV96</f>
        <v/>
      </c>
      <c r="BW97">
        <f>$C97*BW96</f>
        <v/>
      </c>
      <c r="BX97">
        <f>$C97*BX96</f>
        <v/>
      </c>
      <c r="BY97">
        <f>$C97*BY96</f>
        <v/>
      </c>
      <c r="BZ97">
        <f>$C97*BZ96</f>
        <v/>
      </c>
      <c r="CA97">
        <f>$C97*CA96</f>
        <v/>
      </c>
      <c r="CB97">
        <f>$C97*CB96</f>
        <v/>
      </c>
      <c r="CC97">
        <f>$C97*CC96</f>
        <v/>
      </c>
      <c r="CD97">
        <f>$C97*CD96</f>
        <v/>
      </c>
      <c r="CE97">
        <f>$C97*CE96</f>
        <v/>
      </c>
      <c r="CF97">
        <f>$C97*CF96</f>
        <v/>
      </c>
      <c r="CG97">
        <f>$C97*CG96</f>
        <v/>
      </c>
      <c r="CH97">
        <f>$C97*CH96</f>
        <v/>
      </c>
      <c r="CI97">
        <f>$C97*CI96</f>
        <v/>
      </c>
      <c r="CJ97">
        <f>$C97*CJ96</f>
        <v/>
      </c>
      <c r="CK97">
        <f>$C97*CK96</f>
        <v/>
      </c>
      <c r="CL97">
        <f>$C97*CL96</f>
        <v/>
      </c>
      <c r="CM97">
        <f>$C97*CM96</f>
        <v/>
      </c>
      <c r="CN97">
        <f>$C97*CN96</f>
        <v/>
      </c>
      <c r="CO97">
        <f>$C97*CO96</f>
        <v/>
      </c>
      <c r="CP97">
        <f>$C97*CP96</f>
        <v/>
      </c>
      <c r="CQ97">
        <f>$C97*CQ96</f>
        <v/>
      </c>
      <c r="CR97">
        <f>$C97*CR96</f>
        <v/>
      </c>
      <c r="CS97">
        <f>$C97*CS96</f>
        <v/>
      </c>
      <c r="CT97">
        <f>$C97*CT96</f>
        <v/>
      </c>
      <c r="CU97">
        <f>$C97*CU96</f>
        <v/>
      </c>
      <c r="CV97">
        <f>$C97*CV96</f>
        <v/>
      </c>
      <c r="CW97">
        <f>$C97*CW96</f>
        <v/>
      </c>
      <c r="CX97">
        <f>$C97*CX96</f>
        <v/>
      </c>
      <c r="CY97">
        <f>$C97*CY96</f>
        <v/>
      </c>
      <c r="CZ97">
        <f>$C97*CZ96</f>
        <v/>
      </c>
      <c r="DA97">
        <f>$C97*DA96</f>
        <v/>
      </c>
      <c r="DB97">
        <f>$C97*DB96</f>
        <v/>
      </c>
      <c r="DC97">
        <f>$C97*DC96</f>
        <v/>
      </c>
    </row>
    <row r="98">
      <c r="B98" s="5" t="inlineStr">
        <is>
          <t>合計使用量(kg)/週</t>
        </is>
      </c>
      <c r="D98">
        <f>'Grid_Requirement'!B8</f>
        <v/>
      </c>
      <c r="E98">
        <f>'Grid_Requirement'!C8</f>
        <v/>
      </c>
      <c r="F98">
        <f>'Grid_Requirement'!D8</f>
        <v/>
      </c>
      <c r="G98">
        <f>'Grid_Requirement'!E8</f>
        <v/>
      </c>
      <c r="H98">
        <f>'Grid_Requirement'!F8</f>
        <v/>
      </c>
      <c r="I98">
        <f>'Grid_Requirement'!G8</f>
        <v/>
      </c>
      <c r="J98">
        <f>'Grid_Requirement'!H8</f>
        <v/>
      </c>
      <c r="K98">
        <f>'Grid_Requirement'!I8</f>
        <v/>
      </c>
      <c r="L98">
        <f>'Grid_Requirement'!J8</f>
        <v/>
      </c>
      <c r="M98">
        <f>'Grid_Requirement'!K8</f>
        <v/>
      </c>
      <c r="N98">
        <f>'Grid_Requirement'!L8</f>
        <v/>
      </c>
      <c r="O98">
        <f>'Grid_Requirement'!M8</f>
        <v/>
      </c>
      <c r="P98">
        <f>'Grid_Requirement'!N8</f>
        <v/>
      </c>
      <c r="Q98">
        <f>'Grid_Requirement'!O8</f>
        <v/>
      </c>
      <c r="R98">
        <f>'Grid_Requirement'!P8</f>
        <v/>
      </c>
      <c r="S98">
        <f>'Grid_Requirement'!Q8</f>
        <v/>
      </c>
      <c r="T98">
        <f>'Grid_Requirement'!R8</f>
        <v/>
      </c>
      <c r="U98">
        <f>'Grid_Requirement'!S8</f>
        <v/>
      </c>
      <c r="V98">
        <f>'Grid_Requirement'!T8</f>
        <v/>
      </c>
      <c r="W98">
        <f>'Grid_Requirement'!U8</f>
        <v/>
      </c>
      <c r="X98">
        <f>'Grid_Requirement'!V8</f>
        <v/>
      </c>
      <c r="Y98">
        <f>'Grid_Requirement'!W8</f>
        <v/>
      </c>
      <c r="Z98">
        <f>'Grid_Requirement'!X8</f>
        <v/>
      </c>
      <c r="AA98">
        <f>'Grid_Requirement'!Y8</f>
        <v/>
      </c>
      <c r="AB98">
        <f>'Grid_Requirement'!Z8</f>
        <v/>
      </c>
      <c r="AC98">
        <f>'Grid_Requirement'!AA8</f>
        <v/>
      </c>
      <c r="AD98">
        <f>'Grid_Requirement'!AB8</f>
        <v/>
      </c>
      <c r="AE98">
        <f>'Grid_Requirement'!AC8</f>
        <v/>
      </c>
      <c r="AF98">
        <f>'Grid_Requirement'!AD8</f>
        <v/>
      </c>
      <c r="AG98">
        <f>'Grid_Requirement'!AE8</f>
        <v/>
      </c>
      <c r="AH98">
        <f>'Grid_Requirement'!AF8</f>
        <v/>
      </c>
      <c r="AI98">
        <f>'Grid_Requirement'!AG8</f>
        <v/>
      </c>
      <c r="AJ98">
        <f>'Grid_Requirement'!AH8</f>
        <v/>
      </c>
      <c r="AK98">
        <f>'Grid_Requirement'!AI8</f>
        <v/>
      </c>
      <c r="AL98">
        <f>'Grid_Requirement'!AJ8</f>
        <v/>
      </c>
      <c r="AM98">
        <f>'Grid_Requirement'!AK8</f>
        <v/>
      </c>
      <c r="AN98">
        <f>'Grid_Requirement'!AL8</f>
        <v/>
      </c>
      <c r="AO98">
        <f>'Grid_Requirement'!AM8</f>
        <v/>
      </c>
      <c r="AP98">
        <f>'Grid_Requirement'!AN8</f>
        <v/>
      </c>
      <c r="AQ98">
        <f>'Grid_Requirement'!AO8</f>
        <v/>
      </c>
      <c r="AR98">
        <f>'Grid_Requirement'!AP8</f>
        <v/>
      </c>
      <c r="AS98">
        <f>'Grid_Requirement'!AQ8</f>
        <v/>
      </c>
      <c r="AT98">
        <f>'Grid_Requirement'!AR8</f>
        <v/>
      </c>
      <c r="AU98">
        <f>'Grid_Requirement'!AS8</f>
        <v/>
      </c>
      <c r="AV98">
        <f>'Grid_Requirement'!AT8</f>
        <v/>
      </c>
      <c r="AW98">
        <f>'Grid_Requirement'!AU8</f>
        <v/>
      </c>
      <c r="AX98">
        <f>'Grid_Requirement'!AV8</f>
        <v/>
      </c>
      <c r="AY98">
        <f>'Grid_Requirement'!AW8</f>
        <v/>
      </c>
      <c r="AZ98">
        <f>'Grid_Requirement'!AX8</f>
        <v/>
      </c>
      <c r="BA98">
        <f>'Grid_Requirement'!AY8</f>
        <v/>
      </c>
      <c r="BB98">
        <f>'Grid_Requirement'!AZ8</f>
        <v/>
      </c>
      <c r="BC98">
        <f>'Grid_Requirement'!BA8</f>
        <v/>
      </c>
      <c r="BD98">
        <f>'Grid_Requirement'!BB8</f>
        <v/>
      </c>
      <c r="BE98">
        <f>'Grid_Requirement'!BC8</f>
        <v/>
      </c>
      <c r="BF98">
        <f>'Grid_Requirement'!BD8</f>
        <v/>
      </c>
      <c r="BG98">
        <f>'Grid_Requirement'!BE8</f>
        <v/>
      </c>
      <c r="BH98">
        <f>'Grid_Requirement'!BF8</f>
        <v/>
      </c>
      <c r="BI98">
        <f>'Grid_Requirement'!BG8</f>
        <v/>
      </c>
      <c r="BJ98">
        <f>'Grid_Requirement'!BH8</f>
        <v/>
      </c>
      <c r="BK98">
        <f>'Grid_Requirement'!BI8</f>
        <v/>
      </c>
      <c r="BL98">
        <f>'Grid_Requirement'!BJ8</f>
        <v/>
      </c>
      <c r="BM98">
        <f>'Grid_Requirement'!BK8</f>
        <v/>
      </c>
      <c r="BN98">
        <f>'Grid_Requirement'!BL8</f>
        <v/>
      </c>
      <c r="BO98">
        <f>'Grid_Requirement'!BM8</f>
        <v/>
      </c>
      <c r="BP98">
        <f>'Grid_Requirement'!BN8</f>
        <v/>
      </c>
      <c r="BQ98">
        <f>'Grid_Requirement'!BO8</f>
        <v/>
      </c>
      <c r="BR98">
        <f>'Grid_Requirement'!BP8</f>
        <v/>
      </c>
      <c r="BS98">
        <f>'Grid_Requirement'!BQ8</f>
        <v/>
      </c>
      <c r="BT98">
        <f>'Grid_Requirement'!BR8</f>
        <v/>
      </c>
      <c r="BU98">
        <f>'Grid_Requirement'!BS8</f>
        <v/>
      </c>
      <c r="BV98">
        <f>'Grid_Requirement'!BT8</f>
        <v/>
      </c>
      <c r="BW98">
        <f>'Grid_Requirement'!BU8</f>
        <v/>
      </c>
      <c r="BX98">
        <f>'Grid_Requirement'!BV8</f>
        <v/>
      </c>
      <c r="BY98">
        <f>'Grid_Requirement'!BW8</f>
        <v/>
      </c>
      <c r="BZ98">
        <f>'Grid_Requirement'!BX8</f>
        <v/>
      </c>
      <c r="CA98">
        <f>'Grid_Requirement'!BY8</f>
        <v/>
      </c>
      <c r="CB98">
        <f>'Grid_Requirement'!BZ8</f>
        <v/>
      </c>
      <c r="CC98">
        <f>'Grid_Requirement'!CA8</f>
        <v/>
      </c>
      <c r="CD98">
        <f>'Grid_Requirement'!CB8</f>
        <v/>
      </c>
      <c r="CE98">
        <f>'Grid_Requirement'!CC8</f>
        <v/>
      </c>
      <c r="CF98">
        <f>'Grid_Requirement'!CD8</f>
        <v/>
      </c>
      <c r="CG98">
        <f>'Grid_Requirement'!CE8</f>
        <v/>
      </c>
      <c r="CH98">
        <f>'Grid_Requirement'!CF8</f>
        <v/>
      </c>
      <c r="CI98">
        <f>'Grid_Requirement'!CG8</f>
        <v/>
      </c>
      <c r="CJ98">
        <f>'Grid_Requirement'!CH8</f>
        <v/>
      </c>
      <c r="CK98">
        <f>'Grid_Requirement'!CI8</f>
        <v/>
      </c>
      <c r="CL98">
        <f>'Grid_Requirement'!CJ8</f>
        <v/>
      </c>
      <c r="CM98">
        <f>'Grid_Requirement'!CK8</f>
        <v/>
      </c>
      <c r="CN98">
        <f>'Grid_Requirement'!CL8</f>
        <v/>
      </c>
      <c r="CO98">
        <f>'Grid_Requirement'!CM8</f>
        <v/>
      </c>
      <c r="CP98">
        <f>'Grid_Requirement'!CN8</f>
        <v/>
      </c>
      <c r="CQ98">
        <f>'Grid_Requirement'!CO8</f>
        <v/>
      </c>
      <c r="CR98">
        <f>'Grid_Requirement'!CP8</f>
        <v/>
      </c>
      <c r="CS98">
        <f>'Grid_Requirement'!CQ8</f>
        <v/>
      </c>
      <c r="CT98">
        <f>'Grid_Requirement'!CR8</f>
        <v/>
      </c>
      <c r="CU98">
        <f>'Grid_Requirement'!CS8</f>
        <v/>
      </c>
      <c r="CV98">
        <f>'Grid_Requirement'!CT8</f>
        <v/>
      </c>
      <c r="CW98">
        <f>'Grid_Requirement'!CU8</f>
        <v/>
      </c>
      <c r="CX98">
        <f>'Grid_Requirement'!CV8</f>
        <v/>
      </c>
      <c r="CY98">
        <f>'Grid_Requirement'!CW8</f>
        <v/>
      </c>
      <c r="CZ98">
        <f>'Grid_Requirement'!CX8</f>
        <v/>
      </c>
      <c r="DA98">
        <f>'Grid_Requirement'!CY8</f>
        <v/>
      </c>
      <c r="DB98">
        <f>'Grid_Requirement'!CZ8</f>
        <v/>
      </c>
      <c r="DC98">
        <f>'Grid_Requirement'!DA8</f>
        <v/>
      </c>
    </row>
    <row r="99">
      <c r="B99" t="inlineStr">
        <is>
          <t>TTAF在庫(実績,kg)</t>
        </is>
      </c>
      <c r="D99">
        <f>'T_TTAFStock'!B12</f>
        <v/>
      </c>
      <c r="E99">
        <f>'T_TTAFStock'!C12</f>
        <v/>
      </c>
      <c r="F99">
        <f>'T_TTAFStock'!D12</f>
        <v/>
      </c>
      <c r="G99">
        <f>'T_TTAFStock'!E12</f>
        <v/>
      </c>
      <c r="H99">
        <f>'T_TTAFStock'!F12</f>
        <v/>
      </c>
      <c r="I99">
        <f>'T_TTAFStock'!G12</f>
        <v/>
      </c>
      <c r="J99">
        <f>'T_TTAFStock'!H12</f>
        <v/>
      </c>
      <c r="K99">
        <f>'T_TTAFStock'!I12</f>
        <v/>
      </c>
      <c r="L99">
        <f>'T_TTAFStock'!J12</f>
        <v/>
      </c>
      <c r="M99">
        <f>'T_TTAFStock'!K12</f>
        <v/>
      </c>
      <c r="N99">
        <f>'T_TTAFStock'!L12</f>
        <v/>
      </c>
      <c r="O99">
        <f>'T_TTAFStock'!M12</f>
        <v/>
      </c>
      <c r="P99">
        <f>'T_TTAFStock'!N12</f>
        <v/>
      </c>
      <c r="Q99">
        <f>'T_TTAFStock'!O12</f>
        <v/>
      </c>
      <c r="R99">
        <f>'T_TTAFStock'!P12</f>
        <v/>
      </c>
      <c r="S99">
        <f>'T_TTAFStock'!Q12</f>
        <v/>
      </c>
      <c r="T99">
        <f>'T_TTAFStock'!R12</f>
        <v/>
      </c>
      <c r="U99">
        <f>'T_TTAFStock'!S12</f>
        <v/>
      </c>
      <c r="V99">
        <f>'T_TTAFStock'!T12</f>
        <v/>
      </c>
      <c r="W99">
        <f>'T_TTAFStock'!U12</f>
        <v/>
      </c>
      <c r="X99">
        <f>'T_TTAFStock'!V12</f>
        <v/>
      </c>
      <c r="Y99">
        <f>'T_TTAFStock'!W12</f>
        <v/>
      </c>
      <c r="Z99">
        <f>'T_TTAFStock'!X12</f>
        <v/>
      </c>
      <c r="AA99">
        <f>'T_TTAFStock'!Y12</f>
        <v/>
      </c>
      <c r="AB99">
        <f>'T_TTAFStock'!Z12</f>
        <v/>
      </c>
      <c r="AC99">
        <f>'T_TTAFStock'!AA12</f>
        <v/>
      </c>
      <c r="AD99">
        <f>'T_TTAFStock'!AB12</f>
        <v/>
      </c>
      <c r="AE99">
        <f>'T_TTAFStock'!AC12</f>
        <v/>
      </c>
      <c r="AF99">
        <f>'T_TTAFStock'!AD12</f>
        <v/>
      </c>
      <c r="AG99">
        <f>'T_TTAFStock'!AE12</f>
        <v/>
      </c>
      <c r="AH99">
        <f>'T_TTAFStock'!AF12</f>
        <v/>
      </c>
      <c r="AI99">
        <f>'T_TTAFStock'!AG12</f>
        <v/>
      </c>
      <c r="AJ99">
        <f>'T_TTAFStock'!AH12</f>
        <v/>
      </c>
      <c r="AK99">
        <f>'T_TTAFStock'!AI12</f>
        <v/>
      </c>
      <c r="AL99">
        <f>'T_TTAFStock'!AJ12</f>
        <v/>
      </c>
      <c r="AM99">
        <f>'T_TTAFStock'!AK12</f>
        <v/>
      </c>
      <c r="AN99">
        <f>'T_TTAFStock'!AL12</f>
        <v/>
      </c>
      <c r="AO99">
        <f>'T_TTAFStock'!AM12</f>
        <v/>
      </c>
      <c r="AP99">
        <f>'T_TTAFStock'!AN12</f>
        <v/>
      </c>
      <c r="AQ99">
        <f>'T_TTAFStock'!AO12</f>
        <v/>
      </c>
      <c r="AR99">
        <f>'T_TTAFStock'!AP12</f>
        <v/>
      </c>
      <c r="AS99">
        <f>'T_TTAFStock'!AQ12</f>
        <v/>
      </c>
      <c r="AT99">
        <f>'T_TTAFStock'!AR12</f>
        <v/>
      </c>
      <c r="AU99">
        <f>'T_TTAFStock'!AS12</f>
        <v/>
      </c>
      <c r="AV99">
        <f>'T_TTAFStock'!AT12</f>
        <v/>
      </c>
      <c r="AW99">
        <f>'T_TTAFStock'!AU12</f>
        <v/>
      </c>
      <c r="AX99">
        <f>'T_TTAFStock'!AV12</f>
        <v/>
      </c>
      <c r="AY99">
        <f>'T_TTAFStock'!AW12</f>
        <v/>
      </c>
      <c r="AZ99">
        <f>'T_TTAFStock'!AX12</f>
        <v/>
      </c>
      <c r="BA99">
        <f>'T_TTAFStock'!AY12</f>
        <v/>
      </c>
      <c r="BB99">
        <f>'T_TTAFStock'!AZ12</f>
        <v/>
      </c>
      <c r="BC99">
        <f>'T_TTAFStock'!BA12</f>
        <v/>
      </c>
      <c r="BD99">
        <f>'T_TTAFStock'!BB12</f>
        <v/>
      </c>
      <c r="BE99">
        <f>'T_TTAFStock'!BC12</f>
        <v/>
      </c>
      <c r="BF99">
        <f>'T_TTAFStock'!BD12</f>
        <v/>
      </c>
      <c r="BG99">
        <f>'T_TTAFStock'!BE12</f>
        <v/>
      </c>
      <c r="BH99">
        <f>'T_TTAFStock'!BF12</f>
        <v/>
      </c>
      <c r="BI99">
        <f>'T_TTAFStock'!BG12</f>
        <v/>
      </c>
      <c r="BJ99">
        <f>'T_TTAFStock'!BH12</f>
        <v/>
      </c>
      <c r="BK99">
        <f>'T_TTAFStock'!BI12</f>
        <v/>
      </c>
      <c r="BL99">
        <f>'T_TTAFStock'!BJ12</f>
        <v/>
      </c>
      <c r="BM99">
        <f>'T_TTAFStock'!BK12</f>
        <v/>
      </c>
      <c r="BN99">
        <f>'T_TTAFStock'!BL12</f>
        <v/>
      </c>
      <c r="BO99">
        <f>'T_TTAFStock'!BM12</f>
        <v/>
      </c>
      <c r="BP99">
        <f>'T_TTAFStock'!BN12</f>
        <v/>
      </c>
      <c r="BQ99">
        <f>'T_TTAFStock'!BO12</f>
        <v/>
      </c>
      <c r="BR99">
        <f>'T_TTAFStock'!BP12</f>
        <v/>
      </c>
      <c r="BS99">
        <f>'T_TTAFStock'!BQ12</f>
        <v/>
      </c>
      <c r="BT99">
        <f>'T_TTAFStock'!BR12</f>
        <v/>
      </c>
      <c r="BU99">
        <f>'T_TTAFStock'!BS12</f>
        <v/>
      </c>
      <c r="BV99">
        <f>'T_TTAFStock'!BT12</f>
        <v/>
      </c>
      <c r="BW99">
        <f>'T_TTAFStock'!BU12</f>
        <v/>
      </c>
      <c r="BX99">
        <f>'T_TTAFStock'!BV12</f>
        <v/>
      </c>
      <c r="BY99">
        <f>'T_TTAFStock'!BW12</f>
        <v/>
      </c>
      <c r="BZ99">
        <f>'T_TTAFStock'!BX12</f>
        <v/>
      </c>
      <c r="CA99">
        <f>'T_TTAFStock'!BY12</f>
        <v/>
      </c>
      <c r="CB99">
        <f>'T_TTAFStock'!BZ12</f>
        <v/>
      </c>
      <c r="CC99">
        <f>'T_TTAFStock'!CA12</f>
        <v/>
      </c>
      <c r="CD99">
        <f>'T_TTAFStock'!CB12</f>
        <v/>
      </c>
      <c r="CE99">
        <f>'T_TTAFStock'!CC12</f>
        <v/>
      </c>
      <c r="CF99">
        <f>'T_TTAFStock'!CD12</f>
        <v/>
      </c>
      <c r="CG99">
        <f>'T_TTAFStock'!CE12</f>
        <v/>
      </c>
      <c r="CH99">
        <f>'T_TTAFStock'!CF12</f>
        <v/>
      </c>
      <c r="CI99">
        <f>'T_TTAFStock'!CG12</f>
        <v/>
      </c>
      <c r="CJ99">
        <f>'T_TTAFStock'!CH12</f>
        <v/>
      </c>
      <c r="CK99">
        <f>'T_TTAFStock'!CI12</f>
        <v/>
      </c>
      <c r="CL99">
        <f>'T_TTAFStock'!CJ12</f>
        <v/>
      </c>
      <c r="CM99">
        <f>'T_TTAFStock'!CK12</f>
        <v/>
      </c>
      <c r="CN99">
        <f>'T_TTAFStock'!CL12</f>
        <v/>
      </c>
      <c r="CO99">
        <f>'T_TTAFStock'!CM12</f>
        <v/>
      </c>
      <c r="CP99">
        <f>'T_TTAFStock'!CN12</f>
        <v/>
      </c>
      <c r="CQ99">
        <f>'T_TTAFStock'!CO12</f>
        <v/>
      </c>
      <c r="CR99">
        <f>'T_TTAFStock'!CP12</f>
        <v/>
      </c>
      <c r="CS99">
        <f>'T_TTAFStock'!CQ12</f>
        <v/>
      </c>
      <c r="CT99">
        <f>'T_TTAFStock'!CR12</f>
        <v/>
      </c>
      <c r="CU99">
        <f>'T_TTAFStock'!CS12</f>
        <v/>
      </c>
      <c r="CV99">
        <f>'T_TTAFStock'!CT12</f>
        <v/>
      </c>
      <c r="CW99">
        <f>'T_TTAFStock'!CU12</f>
        <v/>
      </c>
      <c r="CX99">
        <f>'T_TTAFStock'!CV12</f>
        <v/>
      </c>
      <c r="CY99">
        <f>'T_TTAFStock'!CW12</f>
        <v/>
      </c>
      <c r="CZ99">
        <f>'T_TTAFStock'!CX12</f>
        <v/>
      </c>
      <c r="DA99">
        <f>'T_TTAFStock'!CY12</f>
        <v/>
      </c>
      <c r="DB99">
        <f>'T_TTAFStock'!CZ12</f>
        <v/>
      </c>
      <c r="DC99">
        <f>'T_TTAFStock'!DA12</f>
        <v/>
      </c>
    </row>
    <row r="100">
      <c r="B100" t="inlineStr">
        <is>
          <t>自社在庫(実績,kg)</t>
        </is>
      </c>
      <c r="D100">
        <f>'T_SelfStock'!B12</f>
        <v/>
      </c>
      <c r="E100">
        <f>'T_SelfStock'!C12</f>
        <v/>
      </c>
      <c r="F100">
        <f>'T_SelfStock'!D12</f>
        <v/>
      </c>
      <c r="G100">
        <f>'T_SelfStock'!E12</f>
        <v/>
      </c>
      <c r="H100">
        <f>'T_SelfStock'!F12</f>
        <v/>
      </c>
      <c r="I100">
        <f>'T_SelfStock'!G12</f>
        <v/>
      </c>
      <c r="J100">
        <f>'T_SelfStock'!H12</f>
        <v/>
      </c>
      <c r="K100">
        <f>'T_SelfStock'!I12</f>
        <v/>
      </c>
      <c r="L100">
        <f>'T_SelfStock'!J12</f>
        <v/>
      </c>
      <c r="M100">
        <f>'T_SelfStock'!K12</f>
        <v/>
      </c>
      <c r="N100">
        <f>'T_SelfStock'!L12</f>
        <v/>
      </c>
      <c r="O100">
        <f>'T_SelfStock'!M12</f>
        <v/>
      </c>
      <c r="P100">
        <f>'T_SelfStock'!N12</f>
        <v/>
      </c>
      <c r="Q100">
        <f>'T_SelfStock'!O12</f>
        <v/>
      </c>
      <c r="R100">
        <f>'T_SelfStock'!P12</f>
        <v/>
      </c>
      <c r="S100">
        <f>'T_SelfStock'!Q12</f>
        <v/>
      </c>
      <c r="T100">
        <f>'T_SelfStock'!R12</f>
        <v/>
      </c>
      <c r="U100">
        <f>'T_SelfStock'!S12</f>
        <v/>
      </c>
      <c r="V100">
        <f>'T_SelfStock'!T12</f>
        <v/>
      </c>
      <c r="W100">
        <f>'T_SelfStock'!U12</f>
        <v/>
      </c>
      <c r="X100">
        <f>'T_SelfStock'!V12</f>
        <v/>
      </c>
      <c r="Y100">
        <f>'T_SelfStock'!W12</f>
        <v/>
      </c>
      <c r="Z100">
        <f>'T_SelfStock'!X12</f>
        <v/>
      </c>
      <c r="AA100">
        <f>'T_SelfStock'!Y12</f>
        <v/>
      </c>
      <c r="AB100">
        <f>'T_SelfStock'!Z12</f>
        <v/>
      </c>
      <c r="AC100">
        <f>'T_SelfStock'!AA12</f>
        <v/>
      </c>
      <c r="AD100">
        <f>'T_SelfStock'!AB12</f>
        <v/>
      </c>
      <c r="AE100">
        <f>'T_SelfStock'!AC12</f>
        <v/>
      </c>
      <c r="AF100">
        <f>'T_SelfStock'!AD12</f>
        <v/>
      </c>
      <c r="AG100">
        <f>'T_SelfStock'!AE12</f>
        <v/>
      </c>
      <c r="AH100">
        <f>'T_SelfStock'!AF12</f>
        <v/>
      </c>
      <c r="AI100">
        <f>'T_SelfStock'!AG12</f>
        <v/>
      </c>
      <c r="AJ100">
        <f>'T_SelfStock'!AH12</f>
        <v/>
      </c>
      <c r="AK100">
        <f>'T_SelfStock'!AI12</f>
        <v/>
      </c>
      <c r="AL100">
        <f>'T_SelfStock'!AJ12</f>
        <v/>
      </c>
      <c r="AM100">
        <f>'T_SelfStock'!AK12</f>
        <v/>
      </c>
      <c r="AN100">
        <f>'T_SelfStock'!AL12</f>
        <v/>
      </c>
      <c r="AO100">
        <f>'T_SelfStock'!AM12</f>
        <v/>
      </c>
      <c r="AP100">
        <f>'T_SelfStock'!AN12</f>
        <v/>
      </c>
      <c r="AQ100">
        <f>'T_SelfStock'!AO12</f>
        <v/>
      </c>
      <c r="AR100">
        <f>'T_SelfStock'!AP12</f>
        <v/>
      </c>
      <c r="AS100">
        <f>'T_SelfStock'!AQ12</f>
        <v/>
      </c>
      <c r="AT100">
        <f>'T_SelfStock'!AR12</f>
        <v/>
      </c>
      <c r="AU100">
        <f>'T_SelfStock'!AS12</f>
        <v/>
      </c>
      <c r="AV100">
        <f>'T_SelfStock'!AT12</f>
        <v/>
      </c>
      <c r="AW100">
        <f>'T_SelfStock'!AU12</f>
        <v/>
      </c>
      <c r="AX100">
        <f>'T_SelfStock'!AV12</f>
        <v/>
      </c>
      <c r="AY100">
        <f>'T_SelfStock'!AW12</f>
        <v/>
      </c>
      <c r="AZ100">
        <f>'T_SelfStock'!AX12</f>
        <v/>
      </c>
      <c r="BA100">
        <f>'T_SelfStock'!AY12</f>
        <v/>
      </c>
      <c r="BB100">
        <f>'T_SelfStock'!AZ12</f>
        <v/>
      </c>
      <c r="BC100">
        <f>'T_SelfStock'!BA12</f>
        <v/>
      </c>
      <c r="BD100">
        <f>'T_SelfStock'!BB12</f>
        <v/>
      </c>
      <c r="BE100">
        <f>'T_SelfStock'!BC12</f>
        <v/>
      </c>
      <c r="BF100">
        <f>'T_SelfStock'!BD12</f>
        <v/>
      </c>
      <c r="BG100">
        <f>'T_SelfStock'!BE12</f>
        <v/>
      </c>
      <c r="BH100">
        <f>'T_SelfStock'!BF12</f>
        <v/>
      </c>
      <c r="BI100">
        <f>'T_SelfStock'!BG12</f>
        <v/>
      </c>
      <c r="BJ100">
        <f>'T_SelfStock'!BH12</f>
        <v/>
      </c>
      <c r="BK100">
        <f>'T_SelfStock'!BI12</f>
        <v/>
      </c>
      <c r="BL100">
        <f>'T_SelfStock'!BJ12</f>
        <v/>
      </c>
      <c r="BM100">
        <f>'T_SelfStock'!BK12</f>
        <v/>
      </c>
      <c r="BN100">
        <f>'T_SelfStock'!BL12</f>
        <v/>
      </c>
      <c r="BO100">
        <f>'T_SelfStock'!BM12</f>
        <v/>
      </c>
      <c r="BP100">
        <f>'T_SelfStock'!BN12</f>
        <v/>
      </c>
      <c r="BQ100">
        <f>'T_SelfStock'!BO12</f>
        <v/>
      </c>
      <c r="BR100">
        <f>'T_SelfStock'!BP12</f>
        <v/>
      </c>
      <c r="BS100">
        <f>'T_SelfStock'!BQ12</f>
        <v/>
      </c>
      <c r="BT100">
        <f>'T_SelfStock'!BR12</f>
        <v/>
      </c>
      <c r="BU100">
        <f>'T_SelfStock'!BS12</f>
        <v/>
      </c>
      <c r="BV100">
        <f>'T_SelfStock'!BT12</f>
        <v/>
      </c>
      <c r="BW100">
        <f>'T_SelfStock'!BU12</f>
        <v/>
      </c>
      <c r="BX100">
        <f>'T_SelfStock'!BV12</f>
        <v/>
      </c>
      <c r="BY100">
        <f>'T_SelfStock'!BW12</f>
        <v/>
      </c>
      <c r="BZ100">
        <f>'T_SelfStock'!BX12</f>
        <v/>
      </c>
      <c r="CA100">
        <f>'T_SelfStock'!BY12</f>
        <v/>
      </c>
      <c r="CB100">
        <f>'T_SelfStock'!BZ12</f>
        <v/>
      </c>
      <c r="CC100">
        <f>'T_SelfStock'!CA12</f>
        <v/>
      </c>
      <c r="CD100">
        <f>'T_SelfStock'!CB12</f>
        <v/>
      </c>
      <c r="CE100">
        <f>'T_SelfStock'!CC12</f>
        <v/>
      </c>
      <c r="CF100">
        <f>'T_SelfStock'!CD12</f>
        <v/>
      </c>
      <c r="CG100">
        <f>'T_SelfStock'!CE12</f>
        <v/>
      </c>
      <c r="CH100">
        <f>'T_SelfStock'!CF12</f>
        <v/>
      </c>
      <c r="CI100">
        <f>'T_SelfStock'!CG12</f>
        <v/>
      </c>
      <c r="CJ100">
        <f>'T_SelfStock'!CH12</f>
        <v/>
      </c>
      <c r="CK100">
        <f>'T_SelfStock'!CI12</f>
        <v/>
      </c>
      <c r="CL100">
        <f>'T_SelfStock'!CJ12</f>
        <v/>
      </c>
      <c r="CM100">
        <f>'T_SelfStock'!CK12</f>
        <v/>
      </c>
      <c r="CN100">
        <f>'T_SelfStock'!CL12</f>
        <v/>
      </c>
      <c r="CO100">
        <f>'T_SelfStock'!CM12</f>
        <v/>
      </c>
      <c r="CP100">
        <f>'T_SelfStock'!CN12</f>
        <v/>
      </c>
      <c r="CQ100">
        <f>'T_SelfStock'!CO12</f>
        <v/>
      </c>
      <c r="CR100">
        <f>'T_SelfStock'!CP12</f>
        <v/>
      </c>
      <c r="CS100">
        <f>'T_SelfStock'!CQ12</f>
        <v/>
      </c>
      <c r="CT100">
        <f>'T_SelfStock'!CR12</f>
        <v/>
      </c>
      <c r="CU100">
        <f>'T_SelfStock'!CS12</f>
        <v/>
      </c>
      <c r="CV100">
        <f>'T_SelfStock'!CT12</f>
        <v/>
      </c>
      <c r="CW100">
        <f>'T_SelfStock'!CU12</f>
        <v/>
      </c>
      <c r="CX100">
        <f>'T_SelfStock'!CV12</f>
        <v/>
      </c>
      <c r="CY100">
        <f>'T_SelfStock'!CW12</f>
        <v/>
      </c>
      <c r="CZ100">
        <f>'T_SelfStock'!CX12</f>
        <v/>
      </c>
      <c r="DA100">
        <f>'T_SelfStock'!CY12</f>
        <v/>
      </c>
      <c r="DB100">
        <f>'T_SelfStock'!CZ12</f>
        <v/>
      </c>
      <c r="DC100">
        <f>'T_SelfStock'!DA12</f>
        <v/>
      </c>
    </row>
    <row r="101">
      <c r="B101" t="inlineStr">
        <is>
          <t>Order(発注予定,kg)</t>
        </is>
      </c>
      <c r="D101">
        <f>IF(SUMIFS(T_PlannedOrders[EffectiveQty],T_PlannedOrders[Part Name],$A95,T_PlannedOrders[WeekIndex],1)=0,"",SUMIFS(T_PlannedOrders[EffectiveQty],T_PlannedOrders[Part Name],$A95,T_PlannedOrders[WeekIndex],1)&amp;" ("&amp;TEXT(SUMPRODUCT(MAX((T_PlannedOrders[Part Name]=$A95)*(T_PlannedOrders[WeekIndex]=1)*(T_PlannedOrders[EffectiveQty]&gt;0)*T_PlannedOrders[Order_Month])),"m月")&amp;"発注)")</f>
        <v/>
      </c>
      <c r="E101">
        <f>IF(SUMIFS(T_PlannedOrders[EffectiveQty],T_PlannedOrders[Part Name],$A95,T_PlannedOrders[WeekIndex],2)=0,"",SUMIFS(T_PlannedOrders[EffectiveQty],T_PlannedOrders[Part Name],$A95,T_PlannedOrders[WeekIndex],2)&amp;" ("&amp;TEXT(SUMPRODUCT(MAX((T_PlannedOrders[Part Name]=$A95)*(T_PlannedOrders[WeekIndex]=2)*(T_PlannedOrders[EffectiveQty]&gt;0)*T_PlannedOrders[Order_Month])),"m月")&amp;"発注)")</f>
        <v/>
      </c>
      <c r="F101">
        <f>IF(SUMIFS(T_PlannedOrders[EffectiveQty],T_PlannedOrders[Part Name],$A95,T_PlannedOrders[WeekIndex],3)=0,"",SUMIFS(T_PlannedOrders[EffectiveQty],T_PlannedOrders[Part Name],$A95,T_PlannedOrders[WeekIndex],3)&amp;" ("&amp;TEXT(SUMPRODUCT(MAX((T_PlannedOrders[Part Name]=$A95)*(T_PlannedOrders[WeekIndex]=3)*(T_PlannedOrders[EffectiveQty]&gt;0)*T_PlannedOrders[Order_Month])),"m月")&amp;"発注)")</f>
        <v/>
      </c>
      <c r="G101">
        <f>IF(SUMIFS(T_PlannedOrders[EffectiveQty],T_PlannedOrders[Part Name],$A95,T_PlannedOrders[WeekIndex],4)=0,"",SUMIFS(T_PlannedOrders[EffectiveQty],T_PlannedOrders[Part Name],$A95,T_PlannedOrders[WeekIndex],4)&amp;" ("&amp;TEXT(SUMPRODUCT(MAX((T_PlannedOrders[Part Name]=$A95)*(T_PlannedOrders[WeekIndex]=4)*(T_PlannedOrders[EffectiveQty]&gt;0)*T_PlannedOrders[Order_Month])),"m月")&amp;"発注)")</f>
        <v/>
      </c>
      <c r="H101">
        <f>IF(SUMIFS(T_PlannedOrders[EffectiveQty],T_PlannedOrders[Part Name],$A95,T_PlannedOrders[WeekIndex],5)=0,"",SUMIFS(T_PlannedOrders[EffectiveQty],T_PlannedOrders[Part Name],$A95,T_PlannedOrders[WeekIndex],5)&amp;" ("&amp;TEXT(SUMPRODUCT(MAX((T_PlannedOrders[Part Name]=$A95)*(T_PlannedOrders[WeekIndex]=5)*(T_PlannedOrders[EffectiveQty]&gt;0)*T_PlannedOrders[Order_Month])),"m月")&amp;"発注)")</f>
        <v/>
      </c>
      <c r="I101">
        <f>IF(SUMIFS(T_PlannedOrders[EffectiveQty],T_PlannedOrders[Part Name],$A95,T_PlannedOrders[WeekIndex],6)=0,"",SUMIFS(T_PlannedOrders[EffectiveQty],T_PlannedOrders[Part Name],$A95,T_PlannedOrders[WeekIndex],6)&amp;" ("&amp;TEXT(SUMPRODUCT(MAX((T_PlannedOrders[Part Name]=$A95)*(T_PlannedOrders[WeekIndex]=6)*(T_PlannedOrders[EffectiveQty]&gt;0)*T_PlannedOrders[Order_Month])),"m月")&amp;"発注)")</f>
        <v/>
      </c>
      <c r="J101">
        <f>IF(SUMIFS(T_PlannedOrders[EffectiveQty],T_PlannedOrders[Part Name],$A95,T_PlannedOrders[WeekIndex],7)=0,"",SUMIFS(T_PlannedOrders[EffectiveQty],T_PlannedOrders[Part Name],$A95,T_PlannedOrders[WeekIndex],7)&amp;" ("&amp;TEXT(SUMPRODUCT(MAX((T_PlannedOrders[Part Name]=$A95)*(T_PlannedOrders[WeekIndex]=7)*(T_PlannedOrders[EffectiveQty]&gt;0)*T_PlannedOrders[Order_Month])),"m月")&amp;"発注)")</f>
        <v/>
      </c>
      <c r="K101">
        <f>IF(SUMIFS(T_PlannedOrders[EffectiveQty],T_PlannedOrders[Part Name],$A95,T_PlannedOrders[WeekIndex],8)=0,"",SUMIFS(T_PlannedOrders[EffectiveQty],T_PlannedOrders[Part Name],$A95,T_PlannedOrders[WeekIndex],8)&amp;" ("&amp;TEXT(SUMPRODUCT(MAX((T_PlannedOrders[Part Name]=$A95)*(T_PlannedOrders[WeekIndex]=8)*(T_PlannedOrders[EffectiveQty]&gt;0)*T_PlannedOrders[Order_Month])),"m月")&amp;"発注)")</f>
        <v/>
      </c>
      <c r="L101">
        <f>IF(SUMIFS(T_PlannedOrders[EffectiveQty],T_PlannedOrders[Part Name],$A95,T_PlannedOrders[WeekIndex],9)=0,"",SUMIFS(T_PlannedOrders[EffectiveQty],T_PlannedOrders[Part Name],$A95,T_PlannedOrders[WeekIndex],9)&amp;" ("&amp;TEXT(SUMPRODUCT(MAX((T_PlannedOrders[Part Name]=$A95)*(T_PlannedOrders[WeekIndex]=9)*(T_PlannedOrders[EffectiveQty]&gt;0)*T_PlannedOrders[Order_Month])),"m月")&amp;"発注)")</f>
        <v/>
      </c>
      <c r="M101">
        <f>IF(SUMIFS(T_PlannedOrders[EffectiveQty],T_PlannedOrders[Part Name],$A95,T_PlannedOrders[WeekIndex],10)=0,"",SUMIFS(T_PlannedOrders[EffectiveQty],T_PlannedOrders[Part Name],$A95,T_PlannedOrders[WeekIndex],10)&amp;" ("&amp;TEXT(SUMPRODUCT(MAX((T_PlannedOrders[Part Name]=$A95)*(T_PlannedOrders[WeekIndex]=10)*(T_PlannedOrders[EffectiveQty]&gt;0)*T_PlannedOrders[Order_Month])),"m月")&amp;"発注)")</f>
        <v/>
      </c>
      <c r="N101">
        <f>IF(SUMIFS(T_PlannedOrders[EffectiveQty],T_PlannedOrders[Part Name],$A95,T_PlannedOrders[WeekIndex],11)=0,"",SUMIFS(T_PlannedOrders[EffectiveQty],T_PlannedOrders[Part Name],$A95,T_PlannedOrders[WeekIndex],11)&amp;" ("&amp;TEXT(SUMPRODUCT(MAX((T_PlannedOrders[Part Name]=$A95)*(T_PlannedOrders[WeekIndex]=11)*(T_PlannedOrders[EffectiveQty]&gt;0)*T_PlannedOrders[Order_Month])),"m月")&amp;"発注)")</f>
        <v/>
      </c>
      <c r="O101">
        <f>IF(SUMIFS(T_PlannedOrders[EffectiveQty],T_PlannedOrders[Part Name],$A95,T_PlannedOrders[WeekIndex],12)=0,"",SUMIFS(T_PlannedOrders[EffectiveQty],T_PlannedOrders[Part Name],$A95,T_PlannedOrders[WeekIndex],12)&amp;" ("&amp;TEXT(SUMPRODUCT(MAX((T_PlannedOrders[Part Name]=$A95)*(T_PlannedOrders[WeekIndex]=12)*(T_PlannedOrders[EffectiveQty]&gt;0)*T_PlannedOrders[Order_Month])),"m月")&amp;"発注)")</f>
        <v/>
      </c>
      <c r="P101">
        <f>IF(SUMIFS(T_PlannedOrders[EffectiveQty],T_PlannedOrders[Part Name],$A95,T_PlannedOrders[WeekIndex],13)=0,"",SUMIFS(T_PlannedOrders[EffectiveQty],T_PlannedOrders[Part Name],$A95,T_PlannedOrders[WeekIndex],13)&amp;" ("&amp;TEXT(SUMPRODUCT(MAX((T_PlannedOrders[Part Name]=$A95)*(T_PlannedOrders[WeekIndex]=13)*(T_PlannedOrders[EffectiveQty]&gt;0)*T_PlannedOrders[Order_Month])),"m月")&amp;"発注)")</f>
        <v/>
      </c>
      <c r="Q101">
        <f>IF(SUMIFS(T_PlannedOrders[EffectiveQty],T_PlannedOrders[Part Name],$A95,T_PlannedOrders[WeekIndex],14)=0,"",SUMIFS(T_PlannedOrders[EffectiveQty],T_PlannedOrders[Part Name],$A95,T_PlannedOrders[WeekIndex],14)&amp;" ("&amp;TEXT(SUMPRODUCT(MAX((T_PlannedOrders[Part Name]=$A95)*(T_PlannedOrders[WeekIndex]=14)*(T_PlannedOrders[EffectiveQty]&gt;0)*T_PlannedOrders[Order_Month])),"m月")&amp;"発注)")</f>
        <v/>
      </c>
      <c r="R101">
        <f>IF(SUMIFS(T_PlannedOrders[EffectiveQty],T_PlannedOrders[Part Name],$A95,T_PlannedOrders[WeekIndex],15)=0,"",SUMIFS(T_PlannedOrders[EffectiveQty],T_PlannedOrders[Part Name],$A95,T_PlannedOrders[WeekIndex],15)&amp;" ("&amp;TEXT(SUMPRODUCT(MAX((T_PlannedOrders[Part Name]=$A95)*(T_PlannedOrders[WeekIndex]=15)*(T_PlannedOrders[EffectiveQty]&gt;0)*T_PlannedOrders[Order_Month])),"m月")&amp;"発注)")</f>
        <v/>
      </c>
      <c r="S101">
        <f>IF(SUMIFS(T_PlannedOrders[EffectiveQty],T_PlannedOrders[Part Name],$A95,T_PlannedOrders[WeekIndex],16)=0,"",SUMIFS(T_PlannedOrders[EffectiveQty],T_PlannedOrders[Part Name],$A95,T_PlannedOrders[WeekIndex],16)&amp;" ("&amp;TEXT(SUMPRODUCT(MAX((T_PlannedOrders[Part Name]=$A95)*(T_PlannedOrders[WeekIndex]=16)*(T_PlannedOrders[EffectiveQty]&gt;0)*T_PlannedOrders[Order_Month])),"m月")&amp;"発注)")</f>
        <v/>
      </c>
      <c r="T101">
        <f>IF(SUMIFS(T_PlannedOrders[EffectiveQty],T_PlannedOrders[Part Name],$A95,T_PlannedOrders[WeekIndex],17)=0,"",SUMIFS(T_PlannedOrders[EffectiveQty],T_PlannedOrders[Part Name],$A95,T_PlannedOrders[WeekIndex],17)&amp;" ("&amp;TEXT(SUMPRODUCT(MAX((T_PlannedOrders[Part Name]=$A95)*(T_PlannedOrders[WeekIndex]=17)*(T_PlannedOrders[EffectiveQty]&gt;0)*T_PlannedOrders[Order_Month])),"m月")&amp;"発注)")</f>
        <v/>
      </c>
      <c r="U101">
        <f>IF(SUMIFS(T_PlannedOrders[EffectiveQty],T_PlannedOrders[Part Name],$A95,T_PlannedOrders[WeekIndex],18)=0,"",SUMIFS(T_PlannedOrders[EffectiveQty],T_PlannedOrders[Part Name],$A95,T_PlannedOrders[WeekIndex],18)&amp;" ("&amp;TEXT(SUMPRODUCT(MAX((T_PlannedOrders[Part Name]=$A95)*(T_PlannedOrders[WeekIndex]=18)*(T_PlannedOrders[EffectiveQty]&gt;0)*T_PlannedOrders[Order_Month])),"m月")&amp;"発注)")</f>
        <v/>
      </c>
      <c r="V101">
        <f>IF(SUMIFS(T_PlannedOrders[EffectiveQty],T_PlannedOrders[Part Name],$A95,T_PlannedOrders[WeekIndex],19)=0,"",SUMIFS(T_PlannedOrders[EffectiveQty],T_PlannedOrders[Part Name],$A95,T_PlannedOrders[WeekIndex],19)&amp;" ("&amp;TEXT(SUMPRODUCT(MAX((T_PlannedOrders[Part Name]=$A95)*(T_PlannedOrders[WeekIndex]=19)*(T_PlannedOrders[EffectiveQty]&gt;0)*T_PlannedOrders[Order_Month])),"m月")&amp;"発注)")</f>
        <v/>
      </c>
      <c r="W101">
        <f>IF(SUMIFS(T_PlannedOrders[EffectiveQty],T_PlannedOrders[Part Name],$A95,T_PlannedOrders[WeekIndex],20)=0,"",SUMIFS(T_PlannedOrders[EffectiveQty],T_PlannedOrders[Part Name],$A95,T_PlannedOrders[WeekIndex],20)&amp;" ("&amp;TEXT(SUMPRODUCT(MAX((T_PlannedOrders[Part Name]=$A95)*(T_PlannedOrders[WeekIndex]=20)*(T_PlannedOrders[EffectiveQty]&gt;0)*T_PlannedOrders[Order_Month])),"m月")&amp;"発注)")</f>
        <v/>
      </c>
      <c r="X101">
        <f>IF(SUMIFS(T_PlannedOrders[EffectiveQty],T_PlannedOrders[Part Name],$A95,T_PlannedOrders[WeekIndex],21)=0,"",SUMIFS(T_PlannedOrders[EffectiveQty],T_PlannedOrders[Part Name],$A95,T_PlannedOrders[WeekIndex],21)&amp;" ("&amp;TEXT(SUMPRODUCT(MAX((T_PlannedOrders[Part Name]=$A95)*(T_PlannedOrders[WeekIndex]=21)*(T_PlannedOrders[EffectiveQty]&gt;0)*T_PlannedOrders[Order_Month])),"m月")&amp;"発注)")</f>
        <v/>
      </c>
      <c r="Y101">
        <f>IF(SUMIFS(T_PlannedOrders[EffectiveQty],T_PlannedOrders[Part Name],$A95,T_PlannedOrders[WeekIndex],22)=0,"",SUMIFS(T_PlannedOrders[EffectiveQty],T_PlannedOrders[Part Name],$A95,T_PlannedOrders[WeekIndex],22)&amp;" ("&amp;TEXT(SUMPRODUCT(MAX((T_PlannedOrders[Part Name]=$A95)*(T_PlannedOrders[WeekIndex]=22)*(T_PlannedOrders[EffectiveQty]&gt;0)*T_PlannedOrders[Order_Month])),"m月")&amp;"発注)")</f>
        <v/>
      </c>
      <c r="Z101">
        <f>IF(SUMIFS(T_PlannedOrders[EffectiveQty],T_PlannedOrders[Part Name],$A95,T_PlannedOrders[WeekIndex],23)=0,"",SUMIFS(T_PlannedOrders[EffectiveQty],T_PlannedOrders[Part Name],$A95,T_PlannedOrders[WeekIndex],23)&amp;" ("&amp;TEXT(SUMPRODUCT(MAX((T_PlannedOrders[Part Name]=$A95)*(T_PlannedOrders[WeekIndex]=23)*(T_PlannedOrders[EffectiveQty]&gt;0)*T_PlannedOrders[Order_Month])),"m月")&amp;"発注)")</f>
        <v/>
      </c>
      <c r="AA101">
        <f>IF(SUMIFS(T_PlannedOrders[EffectiveQty],T_PlannedOrders[Part Name],$A95,T_PlannedOrders[WeekIndex],24)=0,"",SUMIFS(T_PlannedOrders[EffectiveQty],T_PlannedOrders[Part Name],$A95,T_PlannedOrders[WeekIndex],24)&amp;" ("&amp;TEXT(SUMPRODUCT(MAX((T_PlannedOrders[Part Name]=$A95)*(T_PlannedOrders[WeekIndex]=24)*(T_PlannedOrders[EffectiveQty]&gt;0)*T_PlannedOrders[Order_Month])),"m月")&amp;"発注)")</f>
        <v/>
      </c>
      <c r="AB101">
        <f>IF(SUMIFS(T_PlannedOrders[EffectiveQty],T_PlannedOrders[Part Name],$A95,T_PlannedOrders[WeekIndex],25)=0,"",SUMIFS(T_PlannedOrders[EffectiveQty],T_PlannedOrders[Part Name],$A95,T_PlannedOrders[WeekIndex],25)&amp;" ("&amp;TEXT(SUMPRODUCT(MAX((T_PlannedOrders[Part Name]=$A95)*(T_PlannedOrders[WeekIndex]=25)*(T_PlannedOrders[EffectiveQty]&gt;0)*T_PlannedOrders[Order_Month])),"m月")&amp;"発注)")</f>
        <v/>
      </c>
      <c r="AC101">
        <f>IF(SUMIFS(T_PlannedOrders[EffectiveQty],T_PlannedOrders[Part Name],$A95,T_PlannedOrders[WeekIndex],26)=0,"",SUMIFS(T_PlannedOrders[EffectiveQty],T_PlannedOrders[Part Name],$A95,T_PlannedOrders[WeekIndex],26)&amp;" ("&amp;TEXT(SUMPRODUCT(MAX((T_PlannedOrders[Part Name]=$A95)*(T_PlannedOrders[WeekIndex]=26)*(T_PlannedOrders[EffectiveQty]&gt;0)*T_PlannedOrders[Order_Month])),"m月")&amp;"発注)")</f>
        <v/>
      </c>
      <c r="AD101">
        <f>IF(SUMIFS(T_PlannedOrders[EffectiveQty],T_PlannedOrders[Part Name],$A95,T_PlannedOrders[WeekIndex],27)=0,"",SUMIFS(T_PlannedOrders[EffectiveQty],T_PlannedOrders[Part Name],$A95,T_PlannedOrders[WeekIndex],27)&amp;" ("&amp;TEXT(SUMPRODUCT(MAX((T_PlannedOrders[Part Name]=$A95)*(T_PlannedOrders[WeekIndex]=27)*(T_PlannedOrders[EffectiveQty]&gt;0)*T_PlannedOrders[Order_Month])),"m月")&amp;"発注)")</f>
        <v/>
      </c>
      <c r="AE101">
        <f>IF(SUMIFS(T_PlannedOrders[EffectiveQty],T_PlannedOrders[Part Name],$A95,T_PlannedOrders[WeekIndex],28)=0,"",SUMIFS(T_PlannedOrders[EffectiveQty],T_PlannedOrders[Part Name],$A95,T_PlannedOrders[WeekIndex],28)&amp;" ("&amp;TEXT(SUMPRODUCT(MAX((T_PlannedOrders[Part Name]=$A95)*(T_PlannedOrders[WeekIndex]=28)*(T_PlannedOrders[EffectiveQty]&gt;0)*T_PlannedOrders[Order_Month])),"m月")&amp;"発注)")</f>
        <v/>
      </c>
      <c r="AF101">
        <f>IF(SUMIFS(T_PlannedOrders[EffectiveQty],T_PlannedOrders[Part Name],$A95,T_PlannedOrders[WeekIndex],29)=0,"",SUMIFS(T_PlannedOrders[EffectiveQty],T_PlannedOrders[Part Name],$A95,T_PlannedOrders[WeekIndex],29)&amp;" ("&amp;TEXT(SUMPRODUCT(MAX((T_PlannedOrders[Part Name]=$A95)*(T_PlannedOrders[WeekIndex]=29)*(T_PlannedOrders[EffectiveQty]&gt;0)*T_PlannedOrders[Order_Month])),"m月")&amp;"発注)")</f>
        <v/>
      </c>
      <c r="AG101">
        <f>IF(SUMIFS(T_PlannedOrders[EffectiveQty],T_PlannedOrders[Part Name],$A95,T_PlannedOrders[WeekIndex],30)=0,"",SUMIFS(T_PlannedOrders[EffectiveQty],T_PlannedOrders[Part Name],$A95,T_PlannedOrders[WeekIndex],30)&amp;" ("&amp;TEXT(SUMPRODUCT(MAX((T_PlannedOrders[Part Name]=$A95)*(T_PlannedOrders[WeekIndex]=30)*(T_PlannedOrders[EffectiveQty]&gt;0)*T_PlannedOrders[Order_Month])),"m月")&amp;"発注)")</f>
        <v/>
      </c>
      <c r="AH101">
        <f>IF(SUMIFS(T_PlannedOrders[EffectiveQty],T_PlannedOrders[Part Name],$A95,T_PlannedOrders[WeekIndex],31)=0,"",SUMIFS(T_PlannedOrders[EffectiveQty],T_PlannedOrders[Part Name],$A95,T_PlannedOrders[WeekIndex],31)&amp;" ("&amp;TEXT(SUMPRODUCT(MAX((T_PlannedOrders[Part Name]=$A95)*(T_PlannedOrders[WeekIndex]=31)*(T_PlannedOrders[EffectiveQty]&gt;0)*T_PlannedOrders[Order_Month])),"m月")&amp;"発注)")</f>
        <v/>
      </c>
      <c r="AI101">
        <f>IF(SUMIFS(T_PlannedOrders[EffectiveQty],T_PlannedOrders[Part Name],$A95,T_PlannedOrders[WeekIndex],32)=0,"",SUMIFS(T_PlannedOrders[EffectiveQty],T_PlannedOrders[Part Name],$A95,T_PlannedOrders[WeekIndex],32)&amp;" ("&amp;TEXT(SUMPRODUCT(MAX((T_PlannedOrders[Part Name]=$A95)*(T_PlannedOrders[WeekIndex]=32)*(T_PlannedOrders[EffectiveQty]&gt;0)*T_PlannedOrders[Order_Month])),"m月")&amp;"発注)")</f>
        <v/>
      </c>
      <c r="AJ101">
        <f>IF(SUMIFS(T_PlannedOrders[EffectiveQty],T_PlannedOrders[Part Name],$A95,T_PlannedOrders[WeekIndex],33)=0,"",SUMIFS(T_PlannedOrders[EffectiveQty],T_PlannedOrders[Part Name],$A95,T_PlannedOrders[WeekIndex],33)&amp;" ("&amp;TEXT(SUMPRODUCT(MAX((T_PlannedOrders[Part Name]=$A95)*(T_PlannedOrders[WeekIndex]=33)*(T_PlannedOrders[EffectiveQty]&gt;0)*T_PlannedOrders[Order_Month])),"m月")&amp;"発注)")</f>
        <v/>
      </c>
      <c r="AK101">
        <f>IF(SUMIFS(T_PlannedOrders[EffectiveQty],T_PlannedOrders[Part Name],$A95,T_PlannedOrders[WeekIndex],34)=0,"",SUMIFS(T_PlannedOrders[EffectiveQty],T_PlannedOrders[Part Name],$A95,T_PlannedOrders[WeekIndex],34)&amp;" ("&amp;TEXT(SUMPRODUCT(MAX((T_PlannedOrders[Part Name]=$A95)*(T_PlannedOrders[WeekIndex]=34)*(T_PlannedOrders[EffectiveQty]&gt;0)*T_PlannedOrders[Order_Month])),"m月")&amp;"発注)")</f>
        <v/>
      </c>
      <c r="AL101">
        <f>IF(SUMIFS(T_PlannedOrders[EffectiveQty],T_PlannedOrders[Part Name],$A95,T_PlannedOrders[WeekIndex],35)=0,"",SUMIFS(T_PlannedOrders[EffectiveQty],T_PlannedOrders[Part Name],$A95,T_PlannedOrders[WeekIndex],35)&amp;" ("&amp;TEXT(SUMPRODUCT(MAX((T_PlannedOrders[Part Name]=$A95)*(T_PlannedOrders[WeekIndex]=35)*(T_PlannedOrders[EffectiveQty]&gt;0)*T_PlannedOrders[Order_Month])),"m月")&amp;"発注)")</f>
        <v/>
      </c>
      <c r="AM101">
        <f>IF(SUMIFS(T_PlannedOrders[EffectiveQty],T_PlannedOrders[Part Name],$A95,T_PlannedOrders[WeekIndex],36)=0,"",SUMIFS(T_PlannedOrders[EffectiveQty],T_PlannedOrders[Part Name],$A95,T_PlannedOrders[WeekIndex],36)&amp;" ("&amp;TEXT(SUMPRODUCT(MAX((T_PlannedOrders[Part Name]=$A95)*(T_PlannedOrders[WeekIndex]=36)*(T_PlannedOrders[EffectiveQty]&gt;0)*T_PlannedOrders[Order_Month])),"m月")&amp;"発注)")</f>
        <v/>
      </c>
      <c r="AN101">
        <f>IF(SUMIFS(T_PlannedOrders[EffectiveQty],T_PlannedOrders[Part Name],$A95,T_PlannedOrders[WeekIndex],37)=0,"",SUMIFS(T_PlannedOrders[EffectiveQty],T_PlannedOrders[Part Name],$A95,T_PlannedOrders[WeekIndex],37)&amp;" ("&amp;TEXT(SUMPRODUCT(MAX((T_PlannedOrders[Part Name]=$A95)*(T_PlannedOrders[WeekIndex]=37)*(T_PlannedOrders[EffectiveQty]&gt;0)*T_PlannedOrders[Order_Month])),"m月")&amp;"発注)")</f>
        <v/>
      </c>
      <c r="AO101">
        <f>IF(SUMIFS(T_PlannedOrders[EffectiveQty],T_PlannedOrders[Part Name],$A95,T_PlannedOrders[WeekIndex],38)=0,"",SUMIFS(T_PlannedOrders[EffectiveQty],T_PlannedOrders[Part Name],$A95,T_PlannedOrders[WeekIndex],38)&amp;" ("&amp;TEXT(SUMPRODUCT(MAX((T_PlannedOrders[Part Name]=$A95)*(T_PlannedOrders[WeekIndex]=38)*(T_PlannedOrders[EffectiveQty]&gt;0)*T_PlannedOrders[Order_Month])),"m月")&amp;"発注)")</f>
        <v/>
      </c>
      <c r="AP101">
        <f>IF(SUMIFS(T_PlannedOrders[EffectiveQty],T_PlannedOrders[Part Name],$A95,T_PlannedOrders[WeekIndex],39)=0,"",SUMIFS(T_PlannedOrders[EffectiveQty],T_PlannedOrders[Part Name],$A95,T_PlannedOrders[WeekIndex],39)&amp;" ("&amp;TEXT(SUMPRODUCT(MAX((T_PlannedOrders[Part Name]=$A95)*(T_PlannedOrders[WeekIndex]=39)*(T_PlannedOrders[EffectiveQty]&gt;0)*T_PlannedOrders[Order_Month])),"m月")&amp;"発注)")</f>
        <v/>
      </c>
      <c r="AQ101">
        <f>IF(SUMIFS(T_PlannedOrders[EffectiveQty],T_PlannedOrders[Part Name],$A95,T_PlannedOrders[WeekIndex],40)=0,"",SUMIFS(T_PlannedOrders[EffectiveQty],T_PlannedOrders[Part Name],$A95,T_PlannedOrders[WeekIndex],40)&amp;" ("&amp;TEXT(SUMPRODUCT(MAX((T_PlannedOrders[Part Name]=$A95)*(T_PlannedOrders[WeekIndex]=40)*(T_PlannedOrders[EffectiveQty]&gt;0)*T_PlannedOrders[Order_Month])),"m月")&amp;"発注)")</f>
        <v/>
      </c>
      <c r="AR101">
        <f>IF(SUMIFS(T_PlannedOrders[EffectiveQty],T_PlannedOrders[Part Name],$A95,T_PlannedOrders[WeekIndex],41)=0,"",SUMIFS(T_PlannedOrders[EffectiveQty],T_PlannedOrders[Part Name],$A95,T_PlannedOrders[WeekIndex],41)&amp;" ("&amp;TEXT(SUMPRODUCT(MAX((T_PlannedOrders[Part Name]=$A95)*(T_PlannedOrders[WeekIndex]=41)*(T_PlannedOrders[EffectiveQty]&gt;0)*T_PlannedOrders[Order_Month])),"m月")&amp;"発注)")</f>
        <v/>
      </c>
      <c r="AS101">
        <f>IF(SUMIFS(T_PlannedOrders[EffectiveQty],T_PlannedOrders[Part Name],$A95,T_PlannedOrders[WeekIndex],42)=0,"",SUMIFS(T_PlannedOrders[EffectiveQty],T_PlannedOrders[Part Name],$A95,T_PlannedOrders[WeekIndex],42)&amp;" ("&amp;TEXT(SUMPRODUCT(MAX((T_PlannedOrders[Part Name]=$A95)*(T_PlannedOrders[WeekIndex]=42)*(T_PlannedOrders[EffectiveQty]&gt;0)*T_PlannedOrders[Order_Month])),"m月")&amp;"発注)")</f>
        <v/>
      </c>
      <c r="AT101">
        <f>IF(SUMIFS(T_PlannedOrders[EffectiveQty],T_PlannedOrders[Part Name],$A95,T_PlannedOrders[WeekIndex],43)=0,"",SUMIFS(T_PlannedOrders[EffectiveQty],T_PlannedOrders[Part Name],$A95,T_PlannedOrders[WeekIndex],43)&amp;" ("&amp;TEXT(SUMPRODUCT(MAX((T_PlannedOrders[Part Name]=$A95)*(T_PlannedOrders[WeekIndex]=43)*(T_PlannedOrders[EffectiveQty]&gt;0)*T_PlannedOrders[Order_Month])),"m月")&amp;"発注)")</f>
        <v/>
      </c>
      <c r="AU101">
        <f>IF(SUMIFS(T_PlannedOrders[EffectiveQty],T_PlannedOrders[Part Name],$A95,T_PlannedOrders[WeekIndex],44)=0,"",SUMIFS(T_PlannedOrders[EffectiveQty],T_PlannedOrders[Part Name],$A95,T_PlannedOrders[WeekIndex],44)&amp;" ("&amp;TEXT(SUMPRODUCT(MAX((T_PlannedOrders[Part Name]=$A95)*(T_PlannedOrders[WeekIndex]=44)*(T_PlannedOrders[EffectiveQty]&gt;0)*T_PlannedOrders[Order_Month])),"m月")&amp;"発注)")</f>
        <v/>
      </c>
      <c r="AV101">
        <f>IF(SUMIFS(T_PlannedOrders[EffectiveQty],T_PlannedOrders[Part Name],$A95,T_PlannedOrders[WeekIndex],45)=0,"",SUMIFS(T_PlannedOrders[EffectiveQty],T_PlannedOrders[Part Name],$A95,T_PlannedOrders[WeekIndex],45)&amp;" ("&amp;TEXT(SUMPRODUCT(MAX((T_PlannedOrders[Part Name]=$A95)*(T_PlannedOrders[WeekIndex]=45)*(T_PlannedOrders[EffectiveQty]&gt;0)*T_PlannedOrders[Order_Month])),"m月")&amp;"発注)")</f>
        <v/>
      </c>
      <c r="AW101">
        <f>IF(SUMIFS(T_PlannedOrders[EffectiveQty],T_PlannedOrders[Part Name],$A95,T_PlannedOrders[WeekIndex],46)=0,"",SUMIFS(T_PlannedOrders[EffectiveQty],T_PlannedOrders[Part Name],$A95,T_PlannedOrders[WeekIndex],46)&amp;" ("&amp;TEXT(SUMPRODUCT(MAX((T_PlannedOrders[Part Name]=$A95)*(T_PlannedOrders[WeekIndex]=46)*(T_PlannedOrders[EffectiveQty]&gt;0)*T_PlannedOrders[Order_Month])),"m月")&amp;"発注)")</f>
        <v/>
      </c>
      <c r="AX101">
        <f>IF(SUMIFS(T_PlannedOrders[EffectiveQty],T_PlannedOrders[Part Name],$A95,T_PlannedOrders[WeekIndex],47)=0,"",SUMIFS(T_PlannedOrders[EffectiveQty],T_PlannedOrders[Part Name],$A95,T_PlannedOrders[WeekIndex],47)&amp;" ("&amp;TEXT(SUMPRODUCT(MAX((T_PlannedOrders[Part Name]=$A95)*(T_PlannedOrders[WeekIndex]=47)*(T_PlannedOrders[EffectiveQty]&gt;0)*T_PlannedOrders[Order_Month])),"m月")&amp;"発注)")</f>
        <v/>
      </c>
      <c r="AY101">
        <f>IF(SUMIFS(T_PlannedOrders[EffectiveQty],T_PlannedOrders[Part Name],$A95,T_PlannedOrders[WeekIndex],48)=0,"",SUMIFS(T_PlannedOrders[EffectiveQty],T_PlannedOrders[Part Name],$A95,T_PlannedOrders[WeekIndex],48)&amp;" ("&amp;TEXT(SUMPRODUCT(MAX((T_PlannedOrders[Part Name]=$A95)*(T_PlannedOrders[WeekIndex]=48)*(T_PlannedOrders[EffectiveQty]&gt;0)*T_PlannedOrders[Order_Month])),"m月")&amp;"発注)")</f>
        <v/>
      </c>
      <c r="AZ101">
        <f>IF(SUMIFS(T_PlannedOrders[EffectiveQty],T_PlannedOrders[Part Name],$A95,T_PlannedOrders[WeekIndex],49)=0,"",SUMIFS(T_PlannedOrders[EffectiveQty],T_PlannedOrders[Part Name],$A95,T_PlannedOrders[WeekIndex],49)&amp;" ("&amp;TEXT(SUMPRODUCT(MAX((T_PlannedOrders[Part Name]=$A95)*(T_PlannedOrders[WeekIndex]=49)*(T_PlannedOrders[EffectiveQty]&gt;0)*T_PlannedOrders[Order_Month])),"m月")&amp;"発注)")</f>
        <v/>
      </c>
      <c r="BA101">
        <f>IF(SUMIFS(T_PlannedOrders[EffectiveQty],T_PlannedOrders[Part Name],$A95,T_PlannedOrders[WeekIndex],50)=0,"",SUMIFS(T_PlannedOrders[EffectiveQty],T_PlannedOrders[Part Name],$A95,T_PlannedOrders[WeekIndex],50)&amp;" ("&amp;TEXT(SUMPRODUCT(MAX((T_PlannedOrders[Part Name]=$A95)*(T_PlannedOrders[WeekIndex]=50)*(T_PlannedOrders[EffectiveQty]&gt;0)*T_PlannedOrders[Order_Month])),"m月")&amp;"発注)")</f>
        <v/>
      </c>
      <c r="BB101">
        <f>IF(SUMIFS(T_PlannedOrders[EffectiveQty],T_PlannedOrders[Part Name],$A95,T_PlannedOrders[WeekIndex],51)=0,"",SUMIFS(T_PlannedOrders[EffectiveQty],T_PlannedOrders[Part Name],$A95,T_PlannedOrders[WeekIndex],51)&amp;" ("&amp;TEXT(SUMPRODUCT(MAX((T_PlannedOrders[Part Name]=$A95)*(T_PlannedOrders[WeekIndex]=51)*(T_PlannedOrders[EffectiveQty]&gt;0)*T_PlannedOrders[Order_Month])),"m月")&amp;"発注)")</f>
        <v/>
      </c>
      <c r="BC101">
        <f>IF(SUMIFS(T_PlannedOrders[EffectiveQty],T_PlannedOrders[Part Name],$A95,T_PlannedOrders[WeekIndex],52)=0,"",SUMIFS(T_PlannedOrders[EffectiveQty],T_PlannedOrders[Part Name],$A95,T_PlannedOrders[WeekIndex],52)&amp;" ("&amp;TEXT(SUMPRODUCT(MAX((T_PlannedOrders[Part Name]=$A95)*(T_PlannedOrders[WeekIndex]=52)*(T_PlannedOrders[EffectiveQty]&gt;0)*T_PlannedOrders[Order_Month])),"m月")&amp;"発注)")</f>
        <v/>
      </c>
      <c r="BD101">
        <f>IF(SUMIFS(T_PlannedOrders[EffectiveQty],T_PlannedOrders[Part Name],$A95,T_PlannedOrders[WeekIndex],53)=0,"",SUMIFS(T_PlannedOrders[EffectiveQty],T_PlannedOrders[Part Name],$A95,T_PlannedOrders[WeekIndex],53)&amp;" ("&amp;TEXT(SUMPRODUCT(MAX((T_PlannedOrders[Part Name]=$A95)*(T_PlannedOrders[WeekIndex]=53)*(T_PlannedOrders[EffectiveQty]&gt;0)*T_PlannedOrders[Order_Month])),"m月")&amp;"発注)")</f>
        <v/>
      </c>
      <c r="BE101">
        <f>IF(SUMIFS(T_PlannedOrders[EffectiveQty],T_PlannedOrders[Part Name],$A95,T_PlannedOrders[WeekIndex],54)=0,"",SUMIFS(T_PlannedOrders[EffectiveQty],T_PlannedOrders[Part Name],$A95,T_PlannedOrders[WeekIndex],54)&amp;" ("&amp;TEXT(SUMPRODUCT(MAX((T_PlannedOrders[Part Name]=$A95)*(T_PlannedOrders[WeekIndex]=54)*(T_PlannedOrders[EffectiveQty]&gt;0)*T_PlannedOrders[Order_Month])),"m月")&amp;"発注)")</f>
        <v/>
      </c>
      <c r="BF101">
        <f>IF(SUMIFS(T_PlannedOrders[EffectiveQty],T_PlannedOrders[Part Name],$A95,T_PlannedOrders[WeekIndex],55)=0,"",SUMIFS(T_PlannedOrders[EffectiveQty],T_PlannedOrders[Part Name],$A95,T_PlannedOrders[WeekIndex],55)&amp;" ("&amp;TEXT(SUMPRODUCT(MAX((T_PlannedOrders[Part Name]=$A95)*(T_PlannedOrders[WeekIndex]=55)*(T_PlannedOrders[EffectiveQty]&gt;0)*T_PlannedOrders[Order_Month])),"m月")&amp;"発注)")</f>
        <v/>
      </c>
      <c r="BG101">
        <f>IF(SUMIFS(T_PlannedOrders[EffectiveQty],T_PlannedOrders[Part Name],$A95,T_PlannedOrders[WeekIndex],56)=0,"",SUMIFS(T_PlannedOrders[EffectiveQty],T_PlannedOrders[Part Name],$A95,T_PlannedOrders[WeekIndex],56)&amp;" ("&amp;TEXT(SUMPRODUCT(MAX((T_PlannedOrders[Part Name]=$A95)*(T_PlannedOrders[WeekIndex]=56)*(T_PlannedOrders[EffectiveQty]&gt;0)*T_PlannedOrders[Order_Month])),"m月")&amp;"発注)")</f>
        <v/>
      </c>
      <c r="BH101">
        <f>IF(SUMIFS(T_PlannedOrders[EffectiveQty],T_PlannedOrders[Part Name],$A95,T_PlannedOrders[WeekIndex],57)=0,"",SUMIFS(T_PlannedOrders[EffectiveQty],T_PlannedOrders[Part Name],$A95,T_PlannedOrders[WeekIndex],57)&amp;" ("&amp;TEXT(SUMPRODUCT(MAX((T_PlannedOrders[Part Name]=$A95)*(T_PlannedOrders[WeekIndex]=57)*(T_PlannedOrders[EffectiveQty]&gt;0)*T_PlannedOrders[Order_Month])),"m月")&amp;"発注)")</f>
        <v/>
      </c>
      <c r="BI101">
        <f>IF(SUMIFS(T_PlannedOrders[EffectiveQty],T_PlannedOrders[Part Name],$A95,T_PlannedOrders[WeekIndex],58)=0,"",SUMIFS(T_PlannedOrders[EffectiveQty],T_PlannedOrders[Part Name],$A95,T_PlannedOrders[WeekIndex],58)&amp;" ("&amp;TEXT(SUMPRODUCT(MAX((T_PlannedOrders[Part Name]=$A95)*(T_PlannedOrders[WeekIndex]=58)*(T_PlannedOrders[EffectiveQty]&gt;0)*T_PlannedOrders[Order_Month])),"m月")&amp;"発注)")</f>
        <v/>
      </c>
      <c r="BJ101">
        <f>IF(SUMIFS(T_PlannedOrders[EffectiveQty],T_PlannedOrders[Part Name],$A95,T_PlannedOrders[WeekIndex],59)=0,"",SUMIFS(T_PlannedOrders[EffectiveQty],T_PlannedOrders[Part Name],$A95,T_PlannedOrders[WeekIndex],59)&amp;" ("&amp;TEXT(SUMPRODUCT(MAX((T_PlannedOrders[Part Name]=$A95)*(T_PlannedOrders[WeekIndex]=59)*(T_PlannedOrders[EffectiveQty]&gt;0)*T_PlannedOrders[Order_Month])),"m月")&amp;"発注)")</f>
        <v/>
      </c>
      <c r="BK101">
        <f>IF(SUMIFS(T_PlannedOrders[EffectiveQty],T_PlannedOrders[Part Name],$A95,T_PlannedOrders[WeekIndex],60)=0,"",SUMIFS(T_PlannedOrders[EffectiveQty],T_PlannedOrders[Part Name],$A95,T_PlannedOrders[WeekIndex],60)&amp;" ("&amp;TEXT(SUMPRODUCT(MAX((T_PlannedOrders[Part Name]=$A95)*(T_PlannedOrders[WeekIndex]=60)*(T_PlannedOrders[EffectiveQty]&gt;0)*T_PlannedOrders[Order_Month])),"m月")&amp;"発注)")</f>
        <v/>
      </c>
      <c r="BL101">
        <f>IF(SUMIFS(T_PlannedOrders[EffectiveQty],T_PlannedOrders[Part Name],$A95,T_PlannedOrders[WeekIndex],61)=0,"",SUMIFS(T_PlannedOrders[EffectiveQty],T_PlannedOrders[Part Name],$A95,T_PlannedOrders[WeekIndex],61)&amp;" ("&amp;TEXT(SUMPRODUCT(MAX((T_PlannedOrders[Part Name]=$A95)*(T_PlannedOrders[WeekIndex]=61)*(T_PlannedOrders[EffectiveQty]&gt;0)*T_PlannedOrders[Order_Month])),"m月")&amp;"発注)")</f>
        <v/>
      </c>
      <c r="BM101">
        <f>IF(SUMIFS(T_PlannedOrders[EffectiveQty],T_PlannedOrders[Part Name],$A95,T_PlannedOrders[WeekIndex],62)=0,"",SUMIFS(T_PlannedOrders[EffectiveQty],T_PlannedOrders[Part Name],$A95,T_PlannedOrders[WeekIndex],62)&amp;" ("&amp;TEXT(SUMPRODUCT(MAX((T_PlannedOrders[Part Name]=$A95)*(T_PlannedOrders[WeekIndex]=62)*(T_PlannedOrders[EffectiveQty]&gt;0)*T_PlannedOrders[Order_Month])),"m月")&amp;"発注)")</f>
        <v/>
      </c>
      <c r="BN101">
        <f>IF(SUMIFS(T_PlannedOrders[EffectiveQty],T_PlannedOrders[Part Name],$A95,T_PlannedOrders[WeekIndex],63)=0,"",SUMIFS(T_PlannedOrders[EffectiveQty],T_PlannedOrders[Part Name],$A95,T_PlannedOrders[WeekIndex],63)&amp;" ("&amp;TEXT(SUMPRODUCT(MAX((T_PlannedOrders[Part Name]=$A95)*(T_PlannedOrders[WeekIndex]=63)*(T_PlannedOrders[EffectiveQty]&gt;0)*T_PlannedOrders[Order_Month])),"m月")&amp;"発注)")</f>
        <v/>
      </c>
      <c r="BO101">
        <f>IF(SUMIFS(T_PlannedOrders[EffectiveQty],T_PlannedOrders[Part Name],$A95,T_PlannedOrders[WeekIndex],64)=0,"",SUMIFS(T_PlannedOrders[EffectiveQty],T_PlannedOrders[Part Name],$A95,T_PlannedOrders[WeekIndex],64)&amp;" ("&amp;TEXT(SUMPRODUCT(MAX((T_PlannedOrders[Part Name]=$A95)*(T_PlannedOrders[WeekIndex]=64)*(T_PlannedOrders[EffectiveQty]&gt;0)*T_PlannedOrders[Order_Month])),"m月")&amp;"発注)")</f>
        <v/>
      </c>
      <c r="BP101">
        <f>IF(SUMIFS(T_PlannedOrders[EffectiveQty],T_PlannedOrders[Part Name],$A95,T_PlannedOrders[WeekIndex],65)=0,"",SUMIFS(T_PlannedOrders[EffectiveQty],T_PlannedOrders[Part Name],$A95,T_PlannedOrders[WeekIndex],65)&amp;" ("&amp;TEXT(SUMPRODUCT(MAX((T_PlannedOrders[Part Name]=$A95)*(T_PlannedOrders[WeekIndex]=65)*(T_PlannedOrders[EffectiveQty]&gt;0)*T_PlannedOrders[Order_Month])),"m月")&amp;"発注)")</f>
        <v/>
      </c>
      <c r="BQ101">
        <f>IF(SUMIFS(T_PlannedOrders[EffectiveQty],T_PlannedOrders[Part Name],$A95,T_PlannedOrders[WeekIndex],66)=0,"",SUMIFS(T_PlannedOrders[EffectiveQty],T_PlannedOrders[Part Name],$A95,T_PlannedOrders[WeekIndex],66)&amp;" ("&amp;TEXT(SUMPRODUCT(MAX((T_PlannedOrders[Part Name]=$A95)*(T_PlannedOrders[WeekIndex]=66)*(T_PlannedOrders[EffectiveQty]&gt;0)*T_PlannedOrders[Order_Month])),"m月")&amp;"発注)")</f>
        <v/>
      </c>
      <c r="BR101">
        <f>IF(SUMIFS(T_PlannedOrders[EffectiveQty],T_PlannedOrders[Part Name],$A95,T_PlannedOrders[WeekIndex],67)=0,"",SUMIFS(T_PlannedOrders[EffectiveQty],T_PlannedOrders[Part Name],$A95,T_PlannedOrders[WeekIndex],67)&amp;" ("&amp;TEXT(SUMPRODUCT(MAX((T_PlannedOrders[Part Name]=$A95)*(T_PlannedOrders[WeekIndex]=67)*(T_PlannedOrders[EffectiveQty]&gt;0)*T_PlannedOrders[Order_Month])),"m月")&amp;"発注)")</f>
        <v/>
      </c>
      <c r="BS101">
        <f>IF(SUMIFS(T_PlannedOrders[EffectiveQty],T_PlannedOrders[Part Name],$A95,T_PlannedOrders[WeekIndex],68)=0,"",SUMIFS(T_PlannedOrders[EffectiveQty],T_PlannedOrders[Part Name],$A95,T_PlannedOrders[WeekIndex],68)&amp;" ("&amp;TEXT(SUMPRODUCT(MAX((T_PlannedOrders[Part Name]=$A95)*(T_PlannedOrders[WeekIndex]=68)*(T_PlannedOrders[EffectiveQty]&gt;0)*T_PlannedOrders[Order_Month])),"m月")&amp;"発注)")</f>
        <v/>
      </c>
      <c r="BT101">
        <f>IF(SUMIFS(T_PlannedOrders[EffectiveQty],T_PlannedOrders[Part Name],$A95,T_PlannedOrders[WeekIndex],69)=0,"",SUMIFS(T_PlannedOrders[EffectiveQty],T_PlannedOrders[Part Name],$A95,T_PlannedOrders[WeekIndex],69)&amp;" ("&amp;TEXT(SUMPRODUCT(MAX((T_PlannedOrders[Part Name]=$A95)*(T_PlannedOrders[WeekIndex]=69)*(T_PlannedOrders[EffectiveQty]&gt;0)*T_PlannedOrders[Order_Month])),"m月")&amp;"発注)")</f>
        <v/>
      </c>
      <c r="BU101">
        <f>IF(SUMIFS(T_PlannedOrders[EffectiveQty],T_PlannedOrders[Part Name],$A95,T_PlannedOrders[WeekIndex],70)=0,"",SUMIFS(T_PlannedOrders[EffectiveQty],T_PlannedOrders[Part Name],$A95,T_PlannedOrders[WeekIndex],70)&amp;" ("&amp;TEXT(SUMPRODUCT(MAX((T_PlannedOrders[Part Name]=$A95)*(T_PlannedOrders[WeekIndex]=70)*(T_PlannedOrders[EffectiveQty]&gt;0)*T_PlannedOrders[Order_Month])),"m月")&amp;"発注)")</f>
        <v/>
      </c>
      <c r="BV101">
        <f>IF(SUMIFS(T_PlannedOrders[EffectiveQty],T_PlannedOrders[Part Name],$A95,T_PlannedOrders[WeekIndex],71)=0,"",SUMIFS(T_PlannedOrders[EffectiveQty],T_PlannedOrders[Part Name],$A95,T_PlannedOrders[WeekIndex],71)&amp;" ("&amp;TEXT(SUMPRODUCT(MAX((T_PlannedOrders[Part Name]=$A95)*(T_PlannedOrders[WeekIndex]=71)*(T_PlannedOrders[EffectiveQty]&gt;0)*T_PlannedOrders[Order_Month])),"m月")&amp;"発注)")</f>
        <v/>
      </c>
      <c r="BW101">
        <f>IF(SUMIFS(T_PlannedOrders[EffectiveQty],T_PlannedOrders[Part Name],$A95,T_PlannedOrders[WeekIndex],72)=0,"",SUMIFS(T_PlannedOrders[EffectiveQty],T_PlannedOrders[Part Name],$A95,T_PlannedOrders[WeekIndex],72)&amp;" ("&amp;TEXT(SUMPRODUCT(MAX((T_PlannedOrders[Part Name]=$A95)*(T_PlannedOrders[WeekIndex]=72)*(T_PlannedOrders[EffectiveQty]&gt;0)*T_PlannedOrders[Order_Month])),"m月")&amp;"発注)")</f>
        <v/>
      </c>
      <c r="BX101">
        <f>IF(SUMIFS(T_PlannedOrders[EffectiveQty],T_PlannedOrders[Part Name],$A95,T_PlannedOrders[WeekIndex],73)=0,"",SUMIFS(T_PlannedOrders[EffectiveQty],T_PlannedOrders[Part Name],$A95,T_PlannedOrders[WeekIndex],73)&amp;" ("&amp;TEXT(SUMPRODUCT(MAX((T_PlannedOrders[Part Name]=$A95)*(T_PlannedOrders[WeekIndex]=73)*(T_PlannedOrders[EffectiveQty]&gt;0)*T_PlannedOrders[Order_Month])),"m月")&amp;"発注)")</f>
        <v/>
      </c>
      <c r="BY101">
        <f>IF(SUMIFS(T_PlannedOrders[EffectiveQty],T_PlannedOrders[Part Name],$A95,T_PlannedOrders[WeekIndex],74)=0,"",SUMIFS(T_PlannedOrders[EffectiveQty],T_PlannedOrders[Part Name],$A95,T_PlannedOrders[WeekIndex],74)&amp;" ("&amp;TEXT(SUMPRODUCT(MAX((T_PlannedOrders[Part Name]=$A95)*(T_PlannedOrders[WeekIndex]=74)*(T_PlannedOrders[EffectiveQty]&gt;0)*T_PlannedOrders[Order_Month])),"m月")&amp;"発注)")</f>
        <v/>
      </c>
      <c r="BZ101">
        <f>IF(SUMIFS(T_PlannedOrders[EffectiveQty],T_PlannedOrders[Part Name],$A95,T_PlannedOrders[WeekIndex],75)=0,"",SUMIFS(T_PlannedOrders[EffectiveQty],T_PlannedOrders[Part Name],$A95,T_PlannedOrders[WeekIndex],75)&amp;" ("&amp;TEXT(SUMPRODUCT(MAX((T_PlannedOrders[Part Name]=$A95)*(T_PlannedOrders[WeekIndex]=75)*(T_PlannedOrders[EffectiveQty]&gt;0)*T_PlannedOrders[Order_Month])),"m月")&amp;"発注)")</f>
        <v/>
      </c>
      <c r="CA101">
        <f>IF(SUMIFS(T_PlannedOrders[EffectiveQty],T_PlannedOrders[Part Name],$A95,T_PlannedOrders[WeekIndex],76)=0,"",SUMIFS(T_PlannedOrders[EffectiveQty],T_PlannedOrders[Part Name],$A95,T_PlannedOrders[WeekIndex],76)&amp;" ("&amp;TEXT(SUMPRODUCT(MAX((T_PlannedOrders[Part Name]=$A95)*(T_PlannedOrders[WeekIndex]=76)*(T_PlannedOrders[EffectiveQty]&gt;0)*T_PlannedOrders[Order_Month])),"m月")&amp;"発注)")</f>
        <v/>
      </c>
      <c r="CB101">
        <f>IF(SUMIFS(T_PlannedOrders[EffectiveQty],T_PlannedOrders[Part Name],$A95,T_PlannedOrders[WeekIndex],77)=0,"",SUMIFS(T_PlannedOrders[EffectiveQty],T_PlannedOrders[Part Name],$A95,T_PlannedOrders[WeekIndex],77)&amp;" ("&amp;TEXT(SUMPRODUCT(MAX((T_PlannedOrders[Part Name]=$A95)*(T_PlannedOrders[WeekIndex]=77)*(T_PlannedOrders[EffectiveQty]&gt;0)*T_PlannedOrders[Order_Month])),"m月")&amp;"発注)")</f>
        <v/>
      </c>
      <c r="CC101">
        <f>IF(SUMIFS(T_PlannedOrders[EffectiveQty],T_PlannedOrders[Part Name],$A95,T_PlannedOrders[WeekIndex],78)=0,"",SUMIFS(T_PlannedOrders[EffectiveQty],T_PlannedOrders[Part Name],$A95,T_PlannedOrders[WeekIndex],78)&amp;" ("&amp;TEXT(SUMPRODUCT(MAX((T_PlannedOrders[Part Name]=$A95)*(T_PlannedOrders[WeekIndex]=78)*(T_PlannedOrders[EffectiveQty]&gt;0)*T_PlannedOrders[Order_Month])),"m月")&amp;"発注)")</f>
        <v/>
      </c>
      <c r="CD101">
        <f>IF(SUMIFS(T_PlannedOrders[EffectiveQty],T_PlannedOrders[Part Name],$A95,T_PlannedOrders[WeekIndex],79)=0,"",SUMIFS(T_PlannedOrders[EffectiveQty],T_PlannedOrders[Part Name],$A95,T_PlannedOrders[WeekIndex],79)&amp;" ("&amp;TEXT(SUMPRODUCT(MAX((T_PlannedOrders[Part Name]=$A95)*(T_PlannedOrders[WeekIndex]=79)*(T_PlannedOrders[EffectiveQty]&gt;0)*T_PlannedOrders[Order_Month])),"m月")&amp;"発注)")</f>
        <v/>
      </c>
      <c r="CE101">
        <f>IF(SUMIFS(T_PlannedOrders[EffectiveQty],T_PlannedOrders[Part Name],$A95,T_PlannedOrders[WeekIndex],80)=0,"",SUMIFS(T_PlannedOrders[EffectiveQty],T_PlannedOrders[Part Name],$A95,T_PlannedOrders[WeekIndex],80)&amp;" ("&amp;TEXT(SUMPRODUCT(MAX((T_PlannedOrders[Part Name]=$A95)*(T_PlannedOrders[WeekIndex]=80)*(T_PlannedOrders[EffectiveQty]&gt;0)*T_PlannedOrders[Order_Month])),"m月")&amp;"発注)")</f>
        <v/>
      </c>
      <c r="CF101">
        <f>IF(SUMIFS(T_PlannedOrders[EffectiveQty],T_PlannedOrders[Part Name],$A95,T_PlannedOrders[WeekIndex],81)=0,"",SUMIFS(T_PlannedOrders[EffectiveQty],T_PlannedOrders[Part Name],$A95,T_PlannedOrders[WeekIndex],81)&amp;" ("&amp;TEXT(SUMPRODUCT(MAX((T_PlannedOrders[Part Name]=$A95)*(T_PlannedOrders[WeekIndex]=81)*(T_PlannedOrders[EffectiveQty]&gt;0)*T_PlannedOrders[Order_Month])),"m月")&amp;"発注)")</f>
        <v/>
      </c>
      <c r="CG101">
        <f>IF(SUMIFS(T_PlannedOrders[EffectiveQty],T_PlannedOrders[Part Name],$A95,T_PlannedOrders[WeekIndex],82)=0,"",SUMIFS(T_PlannedOrders[EffectiveQty],T_PlannedOrders[Part Name],$A95,T_PlannedOrders[WeekIndex],82)&amp;" ("&amp;TEXT(SUMPRODUCT(MAX((T_PlannedOrders[Part Name]=$A95)*(T_PlannedOrders[WeekIndex]=82)*(T_PlannedOrders[EffectiveQty]&gt;0)*T_PlannedOrders[Order_Month])),"m月")&amp;"発注)")</f>
        <v/>
      </c>
      <c r="CH101">
        <f>IF(SUMIFS(T_PlannedOrders[EffectiveQty],T_PlannedOrders[Part Name],$A95,T_PlannedOrders[WeekIndex],83)=0,"",SUMIFS(T_PlannedOrders[EffectiveQty],T_PlannedOrders[Part Name],$A95,T_PlannedOrders[WeekIndex],83)&amp;" ("&amp;TEXT(SUMPRODUCT(MAX((T_PlannedOrders[Part Name]=$A95)*(T_PlannedOrders[WeekIndex]=83)*(T_PlannedOrders[EffectiveQty]&gt;0)*T_PlannedOrders[Order_Month])),"m月")&amp;"発注)")</f>
        <v/>
      </c>
      <c r="CI101">
        <f>IF(SUMIFS(T_PlannedOrders[EffectiveQty],T_PlannedOrders[Part Name],$A95,T_PlannedOrders[WeekIndex],84)=0,"",SUMIFS(T_PlannedOrders[EffectiveQty],T_PlannedOrders[Part Name],$A95,T_PlannedOrders[WeekIndex],84)&amp;" ("&amp;TEXT(SUMPRODUCT(MAX((T_PlannedOrders[Part Name]=$A95)*(T_PlannedOrders[WeekIndex]=84)*(T_PlannedOrders[EffectiveQty]&gt;0)*T_PlannedOrders[Order_Month])),"m月")&amp;"発注)")</f>
        <v/>
      </c>
      <c r="CJ101">
        <f>IF(SUMIFS(T_PlannedOrders[EffectiveQty],T_PlannedOrders[Part Name],$A95,T_PlannedOrders[WeekIndex],85)=0,"",SUMIFS(T_PlannedOrders[EffectiveQty],T_PlannedOrders[Part Name],$A95,T_PlannedOrders[WeekIndex],85)&amp;" ("&amp;TEXT(SUMPRODUCT(MAX((T_PlannedOrders[Part Name]=$A95)*(T_PlannedOrders[WeekIndex]=85)*(T_PlannedOrders[EffectiveQty]&gt;0)*T_PlannedOrders[Order_Month])),"m月")&amp;"発注)")</f>
        <v/>
      </c>
      <c r="CK101">
        <f>IF(SUMIFS(T_PlannedOrders[EffectiveQty],T_PlannedOrders[Part Name],$A95,T_PlannedOrders[WeekIndex],86)=0,"",SUMIFS(T_PlannedOrders[EffectiveQty],T_PlannedOrders[Part Name],$A95,T_PlannedOrders[WeekIndex],86)&amp;" ("&amp;TEXT(SUMPRODUCT(MAX((T_PlannedOrders[Part Name]=$A95)*(T_PlannedOrders[WeekIndex]=86)*(T_PlannedOrders[EffectiveQty]&gt;0)*T_PlannedOrders[Order_Month])),"m月")&amp;"発注)")</f>
        <v/>
      </c>
      <c r="CL101">
        <f>IF(SUMIFS(T_PlannedOrders[EffectiveQty],T_PlannedOrders[Part Name],$A95,T_PlannedOrders[WeekIndex],87)=0,"",SUMIFS(T_PlannedOrders[EffectiveQty],T_PlannedOrders[Part Name],$A95,T_PlannedOrders[WeekIndex],87)&amp;" ("&amp;TEXT(SUMPRODUCT(MAX((T_PlannedOrders[Part Name]=$A95)*(T_PlannedOrders[WeekIndex]=87)*(T_PlannedOrders[EffectiveQty]&gt;0)*T_PlannedOrders[Order_Month])),"m月")&amp;"発注)")</f>
        <v/>
      </c>
      <c r="CM101">
        <f>IF(SUMIFS(T_PlannedOrders[EffectiveQty],T_PlannedOrders[Part Name],$A95,T_PlannedOrders[WeekIndex],88)=0,"",SUMIFS(T_PlannedOrders[EffectiveQty],T_PlannedOrders[Part Name],$A95,T_PlannedOrders[WeekIndex],88)&amp;" ("&amp;TEXT(SUMPRODUCT(MAX((T_PlannedOrders[Part Name]=$A95)*(T_PlannedOrders[WeekIndex]=88)*(T_PlannedOrders[EffectiveQty]&gt;0)*T_PlannedOrders[Order_Month])),"m月")&amp;"発注)")</f>
        <v/>
      </c>
      <c r="CN101">
        <f>IF(SUMIFS(T_PlannedOrders[EffectiveQty],T_PlannedOrders[Part Name],$A95,T_PlannedOrders[WeekIndex],89)=0,"",SUMIFS(T_PlannedOrders[EffectiveQty],T_PlannedOrders[Part Name],$A95,T_PlannedOrders[WeekIndex],89)&amp;" ("&amp;TEXT(SUMPRODUCT(MAX((T_PlannedOrders[Part Name]=$A95)*(T_PlannedOrders[WeekIndex]=89)*(T_PlannedOrders[EffectiveQty]&gt;0)*T_PlannedOrders[Order_Month])),"m月")&amp;"発注)")</f>
        <v/>
      </c>
      <c r="CO101">
        <f>IF(SUMIFS(T_PlannedOrders[EffectiveQty],T_PlannedOrders[Part Name],$A95,T_PlannedOrders[WeekIndex],90)=0,"",SUMIFS(T_PlannedOrders[EffectiveQty],T_PlannedOrders[Part Name],$A95,T_PlannedOrders[WeekIndex],90)&amp;" ("&amp;TEXT(SUMPRODUCT(MAX((T_PlannedOrders[Part Name]=$A95)*(T_PlannedOrders[WeekIndex]=90)*(T_PlannedOrders[EffectiveQty]&gt;0)*T_PlannedOrders[Order_Month])),"m月")&amp;"発注)")</f>
        <v/>
      </c>
      <c r="CP101">
        <f>IF(SUMIFS(T_PlannedOrders[EffectiveQty],T_PlannedOrders[Part Name],$A95,T_PlannedOrders[WeekIndex],91)=0,"",SUMIFS(T_PlannedOrders[EffectiveQty],T_PlannedOrders[Part Name],$A95,T_PlannedOrders[WeekIndex],91)&amp;" ("&amp;TEXT(SUMPRODUCT(MAX((T_PlannedOrders[Part Name]=$A95)*(T_PlannedOrders[WeekIndex]=91)*(T_PlannedOrders[EffectiveQty]&gt;0)*T_PlannedOrders[Order_Month])),"m月")&amp;"発注)")</f>
        <v/>
      </c>
      <c r="CQ101">
        <f>IF(SUMIFS(T_PlannedOrders[EffectiveQty],T_PlannedOrders[Part Name],$A95,T_PlannedOrders[WeekIndex],92)=0,"",SUMIFS(T_PlannedOrders[EffectiveQty],T_PlannedOrders[Part Name],$A95,T_PlannedOrders[WeekIndex],92)&amp;" ("&amp;TEXT(SUMPRODUCT(MAX((T_PlannedOrders[Part Name]=$A95)*(T_PlannedOrders[WeekIndex]=92)*(T_PlannedOrders[EffectiveQty]&gt;0)*T_PlannedOrders[Order_Month])),"m月")&amp;"発注)")</f>
        <v/>
      </c>
      <c r="CR101">
        <f>IF(SUMIFS(T_PlannedOrders[EffectiveQty],T_PlannedOrders[Part Name],$A95,T_PlannedOrders[WeekIndex],93)=0,"",SUMIFS(T_PlannedOrders[EffectiveQty],T_PlannedOrders[Part Name],$A95,T_PlannedOrders[WeekIndex],93)&amp;" ("&amp;TEXT(SUMPRODUCT(MAX((T_PlannedOrders[Part Name]=$A95)*(T_PlannedOrders[WeekIndex]=93)*(T_PlannedOrders[EffectiveQty]&gt;0)*T_PlannedOrders[Order_Month])),"m月")&amp;"発注)")</f>
        <v/>
      </c>
      <c r="CS101">
        <f>IF(SUMIFS(T_PlannedOrders[EffectiveQty],T_PlannedOrders[Part Name],$A95,T_PlannedOrders[WeekIndex],94)=0,"",SUMIFS(T_PlannedOrders[EffectiveQty],T_PlannedOrders[Part Name],$A95,T_PlannedOrders[WeekIndex],94)&amp;" ("&amp;TEXT(SUMPRODUCT(MAX((T_PlannedOrders[Part Name]=$A95)*(T_PlannedOrders[WeekIndex]=94)*(T_PlannedOrders[EffectiveQty]&gt;0)*T_PlannedOrders[Order_Month])),"m月")&amp;"発注)")</f>
        <v/>
      </c>
      <c r="CT101">
        <f>IF(SUMIFS(T_PlannedOrders[EffectiveQty],T_PlannedOrders[Part Name],$A95,T_PlannedOrders[WeekIndex],95)=0,"",SUMIFS(T_PlannedOrders[EffectiveQty],T_PlannedOrders[Part Name],$A95,T_PlannedOrders[WeekIndex],95)&amp;" ("&amp;TEXT(SUMPRODUCT(MAX((T_PlannedOrders[Part Name]=$A95)*(T_PlannedOrders[WeekIndex]=95)*(T_PlannedOrders[EffectiveQty]&gt;0)*T_PlannedOrders[Order_Month])),"m月")&amp;"発注)")</f>
        <v/>
      </c>
      <c r="CU101">
        <f>IF(SUMIFS(T_PlannedOrders[EffectiveQty],T_PlannedOrders[Part Name],$A95,T_PlannedOrders[WeekIndex],96)=0,"",SUMIFS(T_PlannedOrders[EffectiveQty],T_PlannedOrders[Part Name],$A95,T_PlannedOrders[WeekIndex],96)&amp;" ("&amp;TEXT(SUMPRODUCT(MAX((T_PlannedOrders[Part Name]=$A95)*(T_PlannedOrders[WeekIndex]=96)*(T_PlannedOrders[EffectiveQty]&gt;0)*T_PlannedOrders[Order_Month])),"m月")&amp;"発注)")</f>
        <v/>
      </c>
      <c r="CV101">
        <f>IF(SUMIFS(T_PlannedOrders[EffectiveQty],T_PlannedOrders[Part Name],$A95,T_PlannedOrders[WeekIndex],97)=0,"",SUMIFS(T_PlannedOrders[EffectiveQty],T_PlannedOrders[Part Name],$A95,T_PlannedOrders[WeekIndex],97)&amp;" ("&amp;TEXT(SUMPRODUCT(MAX((T_PlannedOrders[Part Name]=$A95)*(T_PlannedOrders[WeekIndex]=97)*(T_PlannedOrders[EffectiveQty]&gt;0)*T_PlannedOrders[Order_Month])),"m月")&amp;"発注)")</f>
        <v/>
      </c>
      <c r="CW101">
        <f>IF(SUMIFS(T_PlannedOrders[EffectiveQty],T_PlannedOrders[Part Name],$A95,T_PlannedOrders[WeekIndex],98)=0,"",SUMIFS(T_PlannedOrders[EffectiveQty],T_PlannedOrders[Part Name],$A95,T_PlannedOrders[WeekIndex],98)&amp;" ("&amp;TEXT(SUMPRODUCT(MAX((T_PlannedOrders[Part Name]=$A95)*(T_PlannedOrders[WeekIndex]=98)*(T_PlannedOrders[EffectiveQty]&gt;0)*T_PlannedOrders[Order_Month])),"m月")&amp;"発注)")</f>
        <v/>
      </c>
      <c r="CX101">
        <f>IF(SUMIFS(T_PlannedOrders[EffectiveQty],T_PlannedOrders[Part Name],$A95,T_PlannedOrders[WeekIndex],99)=0,"",SUMIFS(T_PlannedOrders[EffectiveQty],T_PlannedOrders[Part Name],$A95,T_PlannedOrders[WeekIndex],99)&amp;" ("&amp;TEXT(SUMPRODUCT(MAX((T_PlannedOrders[Part Name]=$A95)*(T_PlannedOrders[WeekIndex]=99)*(T_PlannedOrders[EffectiveQty]&gt;0)*T_PlannedOrders[Order_Month])),"m月")&amp;"発注)")</f>
        <v/>
      </c>
      <c r="CY101">
        <f>IF(SUMIFS(T_PlannedOrders[EffectiveQty],T_PlannedOrders[Part Name],$A95,T_PlannedOrders[WeekIndex],100)=0,"",SUMIFS(T_PlannedOrders[EffectiveQty],T_PlannedOrders[Part Name],$A95,T_PlannedOrders[WeekIndex],100)&amp;" ("&amp;TEXT(SUMPRODUCT(MAX((T_PlannedOrders[Part Name]=$A95)*(T_PlannedOrders[WeekIndex]=100)*(T_PlannedOrders[EffectiveQty]&gt;0)*T_PlannedOrders[Order_Month])),"m月")&amp;"発注)")</f>
        <v/>
      </c>
      <c r="CZ101">
        <f>IF(SUMIFS(T_PlannedOrders[EffectiveQty],T_PlannedOrders[Part Name],$A95,T_PlannedOrders[WeekIndex],101)=0,"",SUMIFS(T_PlannedOrders[EffectiveQty],T_PlannedOrders[Part Name],$A95,T_PlannedOrders[WeekIndex],101)&amp;" ("&amp;TEXT(SUMPRODUCT(MAX((T_PlannedOrders[Part Name]=$A95)*(T_PlannedOrders[WeekIndex]=101)*(T_PlannedOrders[EffectiveQty]&gt;0)*T_PlannedOrders[Order_Month])),"m月")&amp;"発注)")</f>
        <v/>
      </c>
      <c r="DA101">
        <f>IF(SUMIFS(T_PlannedOrders[EffectiveQty],T_PlannedOrders[Part Name],$A95,T_PlannedOrders[WeekIndex],102)=0,"",SUMIFS(T_PlannedOrders[EffectiveQty],T_PlannedOrders[Part Name],$A95,T_PlannedOrders[WeekIndex],102)&amp;" ("&amp;TEXT(SUMPRODUCT(MAX((T_PlannedOrders[Part Name]=$A95)*(T_PlannedOrders[WeekIndex]=102)*(T_PlannedOrders[EffectiveQty]&gt;0)*T_PlannedOrders[Order_Month])),"m月")&amp;"発注)")</f>
        <v/>
      </c>
      <c r="DB101">
        <f>IF(SUMIFS(T_PlannedOrders[EffectiveQty],T_PlannedOrders[Part Name],$A95,T_PlannedOrders[WeekIndex],103)=0,"",SUMIFS(T_PlannedOrders[EffectiveQty],T_PlannedOrders[Part Name],$A95,T_PlannedOrders[WeekIndex],103)&amp;" ("&amp;TEXT(SUMPRODUCT(MAX((T_PlannedOrders[Part Name]=$A95)*(T_PlannedOrders[WeekIndex]=103)*(T_PlannedOrders[EffectiveQty]&gt;0)*T_PlannedOrders[Order_Month])),"m月")&amp;"発注)")</f>
        <v/>
      </c>
      <c r="DC101">
        <f>IF(SUMIFS(T_PlannedOrders[EffectiveQty],T_PlannedOrders[Part Name],$A95,T_PlannedOrders[WeekIndex],104)=0,"",SUMIFS(T_PlannedOrders[EffectiveQty],T_PlannedOrders[Part Name],$A95,T_PlannedOrders[WeekIndex],104)&amp;" ("&amp;TEXT(SUMPRODUCT(MAX((T_PlannedOrders[Part Name]=$A95)*(T_PlannedOrders[WeekIndex]=104)*(T_PlannedOrders[EffectiveQty]&gt;0)*T_PlannedOrders[Order_Month])),"m月")&amp;"発注)")</f>
        <v/>
      </c>
    </row>
    <row r="102">
      <c r="B102" s="5" t="inlineStr">
        <is>
          <t>合計在庫(週末時点,kg)</t>
        </is>
      </c>
      <c r="D102">
        <f>'Grid_Stock'!B8</f>
        <v/>
      </c>
      <c r="E102">
        <f>'Grid_Stock'!C8</f>
        <v/>
      </c>
      <c r="F102">
        <f>'Grid_Stock'!D8</f>
        <v/>
      </c>
      <c r="G102">
        <f>'Grid_Stock'!E8</f>
        <v/>
      </c>
      <c r="H102">
        <f>'Grid_Stock'!F8</f>
        <v/>
      </c>
      <c r="I102">
        <f>'Grid_Stock'!G8</f>
        <v/>
      </c>
      <c r="J102">
        <f>'Grid_Stock'!H8</f>
        <v/>
      </c>
      <c r="K102">
        <f>'Grid_Stock'!I8</f>
        <v/>
      </c>
      <c r="L102">
        <f>'Grid_Stock'!J8</f>
        <v/>
      </c>
      <c r="M102">
        <f>'Grid_Stock'!K8</f>
        <v/>
      </c>
      <c r="N102">
        <f>'Grid_Stock'!L8</f>
        <v/>
      </c>
      <c r="O102">
        <f>'Grid_Stock'!M8</f>
        <v/>
      </c>
      <c r="P102">
        <f>'Grid_Stock'!N8</f>
        <v/>
      </c>
      <c r="Q102">
        <f>'Grid_Stock'!O8</f>
        <v/>
      </c>
      <c r="R102">
        <f>'Grid_Stock'!P8</f>
        <v/>
      </c>
      <c r="S102">
        <f>'Grid_Stock'!Q8</f>
        <v/>
      </c>
      <c r="T102">
        <f>'Grid_Stock'!R8</f>
        <v/>
      </c>
      <c r="U102">
        <f>'Grid_Stock'!S8</f>
        <v/>
      </c>
      <c r="V102">
        <f>'Grid_Stock'!T8</f>
        <v/>
      </c>
      <c r="W102">
        <f>'Grid_Stock'!U8</f>
        <v/>
      </c>
      <c r="X102">
        <f>'Grid_Stock'!V8</f>
        <v/>
      </c>
      <c r="Y102">
        <f>'Grid_Stock'!W8</f>
        <v/>
      </c>
      <c r="Z102">
        <f>'Grid_Stock'!X8</f>
        <v/>
      </c>
      <c r="AA102">
        <f>'Grid_Stock'!Y8</f>
        <v/>
      </c>
      <c r="AB102">
        <f>'Grid_Stock'!Z8</f>
        <v/>
      </c>
      <c r="AC102">
        <f>'Grid_Stock'!AA8</f>
        <v/>
      </c>
      <c r="AD102">
        <f>'Grid_Stock'!AB8</f>
        <v/>
      </c>
      <c r="AE102">
        <f>'Grid_Stock'!AC8</f>
        <v/>
      </c>
      <c r="AF102">
        <f>'Grid_Stock'!AD8</f>
        <v/>
      </c>
      <c r="AG102">
        <f>'Grid_Stock'!AE8</f>
        <v/>
      </c>
      <c r="AH102">
        <f>'Grid_Stock'!AF8</f>
        <v/>
      </c>
      <c r="AI102">
        <f>'Grid_Stock'!AG8</f>
        <v/>
      </c>
      <c r="AJ102">
        <f>'Grid_Stock'!AH8</f>
        <v/>
      </c>
      <c r="AK102">
        <f>'Grid_Stock'!AI8</f>
        <v/>
      </c>
      <c r="AL102">
        <f>'Grid_Stock'!AJ8</f>
        <v/>
      </c>
      <c r="AM102">
        <f>'Grid_Stock'!AK8</f>
        <v/>
      </c>
      <c r="AN102">
        <f>'Grid_Stock'!AL8</f>
        <v/>
      </c>
      <c r="AO102">
        <f>'Grid_Stock'!AM8</f>
        <v/>
      </c>
      <c r="AP102">
        <f>'Grid_Stock'!AN8</f>
        <v/>
      </c>
      <c r="AQ102">
        <f>'Grid_Stock'!AO8</f>
        <v/>
      </c>
      <c r="AR102">
        <f>'Grid_Stock'!AP8</f>
        <v/>
      </c>
      <c r="AS102">
        <f>'Grid_Stock'!AQ8</f>
        <v/>
      </c>
      <c r="AT102">
        <f>'Grid_Stock'!AR8</f>
        <v/>
      </c>
      <c r="AU102">
        <f>'Grid_Stock'!AS8</f>
        <v/>
      </c>
      <c r="AV102">
        <f>'Grid_Stock'!AT8</f>
        <v/>
      </c>
      <c r="AW102">
        <f>'Grid_Stock'!AU8</f>
        <v/>
      </c>
      <c r="AX102">
        <f>'Grid_Stock'!AV8</f>
        <v/>
      </c>
      <c r="AY102">
        <f>'Grid_Stock'!AW8</f>
        <v/>
      </c>
      <c r="AZ102">
        <f>'Grid_Stock'!AX8</f>
        <v/>
      </c>
      <c r="BA102">
        <f>'Grid_Stock'!AY8</f>
        <v/>
      </c>
      <c r="BB102">
        <f>'Grid_Stock'!AZ8</f>
        <v/>
      </c>
      <c r="BC102">
        <f>'Grid_Stock'!BA8</f>
        <v/>
      </c>
      <c r="BD102">
        <f>'Grid_Stock'!BB8</f>
        <v/>
      </c>
      <c r="BE102">
        <f>'Grid_Stock'!BC8</f>
        <v/>
      </c>
      <c r="BF102">
        <f>'Grid_Stock'!BD8</f>
        <v/>
      </c>
      <c r="BG102">
        <f>'Grid_Stock'!BE8</f>
        <v/>
      </c>
      <c r="BH102">
        <f>'Grid_Stock'!BF8</f>
        <v/>
      </c>
      <c r="BI102">
        <f>'Grid_Stock'!BG8</f>
        <v/>
      </c>
      <c r="BJ102">
        <f>'Grid_Stock'!BH8</f>
        <v/>
      </c>
      <c r="BK102">
        <f>'Grid_Stock'!BI8</f>
        <v/>
      </c>
      <c r="BL102">
        <f>'Grid_Stock'!BJ8</f>
        <v/>
      </c>
      <c r="BM102">
        <f>'Grid_Stock'!BK8</f>
        <v/>
      </c>
      <c r="BN102">
        <f>'Grid_Stock'!BL8</f>
        <v/>
      </c>
      <c r="BO102">
        <f>'Grid_Stock'!BM8</f>
        <v/>
      </c>
      <c r="BP102">
        <f>'Grid_Stock'!BN8</f>
        <v/>
      </c>
      <c r="BQ102">
        <f>'Grid_Stock'!BO8</f>
        <v/>
      </c>
      <c r="BR102">
        <f>'Grid_Stock'!BP8</f>
        <v/>
      </c>
      <c r="BS102">
        <f>'Grid_Stock'!BQ8</f>
        <v/>
      </c>
      <c r="BT102">
        <f>'Grid_Stock'!BR8</f>
        <v/>
      </c>
      <c r="BU102">
        <f>'Grid_Stock'!BS8</f>
        <v/>
      </c>
      <c r="BV102">
        <f>'Grid_Stock'!BT8</f>
        <v/>
      </c>
      <c r="BW102">
        <f>'Grid_Stock'!BU8</f>
        <v/>
      </c>
      <c r="BX102">
        <f>'Grid_Stock'!BV8</f>
        <v/>
      </c>
      <c r="BY102">
        <f>'Grid_Stock'!BW8</f>
        <v/>
      </c>
      <c r="BZ102">
        <f>'Grid_Stock'!BX8</f>
        <v/>
      </c>
      <c r="CA102">
        <f>'Grid_Stock'!BY8</f>
        <v/>
      </c>
      <c r="CB102">
        <f>'Grid_Stock'!BZ8</f>
        <v/>
      </c>
      <c r="CC102">
        <f>'Grid_Stock'!CA8</f>
        <v/>
      </c>
      <c r="CD102">
        <f>'Grid_Stock'!CB8</f>
        <v/>
      </c>
      <c r="CE102">
        <f>'Grid_Stock'!CC8</f>
        <v/>
      </c>
      <c r="CF102">
        <f>'Grid_Stock'!CD8</f>
        <v/>
      </c>
      <c r="CG102">
        <f>'Grid_Stock'!CE8</f>
        <v/>
      </c>
      <c r="CH102">
        <f>'Grid_Stock'!CF8</f>
        <v/>
      </c>
      <c r="CI102">
        <f>'Grid_Stock'!CG8</f>
        <v/>
      </c>
      <c r="CJ102">
        <f>'Grid_Stock'!CH8</f>
        <v/>
      </c>
      <c r="CK102">
        <f>'Grid_Stock'!CI8</f>
        <v/>
      </c>
      <c r="CL102">
        <f>'Grid_Stock'!CJ8</f>
        <v/>
      </c>
      <c r="CM102">
        <f>'Grid_Stock'!CK8</f>
        <v/>
      </c>
      <c r="CN102">
        <f>'Grid_Stock'!CL8</f>
        <v/>
      </c>
      <c r="CO102">
        <f>'Grid_Stock'!CM8</f>
        <v/>
      </c>
      <c r="CP102">
        <f>'Grid_Stock'!CN8</f>
        <v/>
      </c>
      <c r="CQ102">
        <f>'Grid_Stock'!CO8</f>
        <v/>
      </c>
      <c r="CR102">
        <f>'Grid_Stock'!CP8</f>
        <v/>
      </c>
      <c r="CS102">
        <f>'Grid_Stock'!CQ8</f>
        <v/>
      </c>
      <c r="CT102">
        <f>'Grid_Stock'!CR8</f>
        <v/>
      </c>
      <c r="CU102">
        <f>'Grid_Stock'!CS8</f>
        <v/>
      </c>
      <c r="CV102">
        <f>'Grid_Stock'!CT8</f>
        <v/>
      </c>
      <c r="CW102">
        <f>'Grid_Stock'!CU8</f>
        <v/>
      </c>
      <c r="CX102">
        <f>'Grid_Stock'!CV8</f>
        <v/>
      </c>
      <c r="CY102">
        <f>'Grid_Stock'!CW8</f>
        <v/>
      </c>
      <c r="CZ102">
        <f>'Grid_Stock'!CX8</f>
        <v/>
      </c>
      <c r="DA102">
        <f>'Grid_Stock'!CY8</f>
        <v/>
      </c>
      <c r="DB102">
        <f>'Grid_Stock'!CZ8</f>
        <v/>
      </c>
      <c r="DC102">
        <f>'Grid_Stock'!DA8</f>
        <v/>
      </c>
    </row>
    <row r="103">
      <c r="B103" s="23" t="inlineStr">
        <is>
          <t>（発注の目安はDashboardの基準在庫[下限/上限]と色分けを参照）</t>
        </is>
      </c>
    </row>
    <row r="105">
      <c r="A105" s="21" t="inlineStr">
        <is>
          <t>1JN</t>
        </is>
      </c>
      <c r="B105" s="21" t="inlineStr">
        <is>
          <t>Substrate TTAF WF6</t>
        </is>
      </c>
      <c r="C105" s="22" t="n"/>
      <c r="D105" s="21" t="n"/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  <c r="AA105" s="21" t="n"/>
      <c r="AB105" s="21" t="n"/>
      <c r="AC105" s="21" t="n"/>
      <c r="AD105" s="21" t="n"/>
      <c r="AE105" s="21" t="n"/>
      <c r="AF105" s="21" t="n"/>
      <c r="AG105" s="21" t="n"/>
      <c r="AH105" s="21" t="n"/>
      <c r="AI105" s="21" t="n"/>
      <c r="AJ105" s="21" t="n"/>
      <c r="AK105" s="21" t="n"/>
      <c r="AL105" s="21" t="n"/>
      <c r="AM105" s="21" t="n"/>
      <c r="AN105" s="21" t="n"/>
      <c r="AO105" s="21" t="n"/>
      <c r="AP105" s="21" t="n"/>
      <c r="AQ105" s="21" t="n"/>
      <c r="AR105" s="21" t="n"/>
      <c r="AS105" s="21" t="n"/>
      <c r="AT105" s="21" t="n"/>
      <c r="AU105" s="21" t="n"/>
      <c r="AV105" s="21" t="n"/>
      <c r="AW105" s="21" t="n"/>
      <c r="AX105" s="21" t="n"/>
      <c r="AY105" s="21" t="n"/>
      <c r="AZ105" s="21" t="n"/>
      <c r="BA105" s="21" t="n"/>
      <c r="BB105" s="21" t="n"/>
      <c r="BC105" s="21" t="n"/>
      <c r="BD105" s="21" t="n"/>
      <c r="BE105" s="21" t="n"/>
      <c r="BF105" s="21" t="n"/>
      <c r="BG105" s="21" t="n"/>
      <c r="BH105" s="21" t="n"/>
      <c r="BI105" s="21" t="n"/>
      <c r="BJ105" s="21" t="n"/>
      <c r="BK105" s="21" t="n"/>
      <c r="BL105" s="21" t="n"/>
      <c r="BM105" s="21" t="n"/>
      <c r="BN105" s="21" t="n"/>
      <c r="BO105" s="21" t="n"/>
      <c r="BP105" s="21" t="n"/>
      <c r="BQ105" s="21" t="n"/>
      <c r="BR105" s="21" t="n"/>
      <c r="BS105" s="21" t="n"/>
      <c r="BT105" s="21" t="n"/>
      <c r="BU105" s="21" t="n"/>
      <c r="BV105" s="21" t="n"/>
      <c r="BW105" s="21" t="n"/>
      <c r="BX105" s="21" t="n"/>
      <c r="BY105" s="21" t="n"/>
      <c r="BZ105" s="21" t="n"/>
      <c r="CA105" s="21" t="n"/>
      <c r="CB105" s="21" t="n"/>
      <c r="CC105" s="21" t="n"/>
      <c r="CD105" s="21" t="n"/>
      <c r="CE105" s="21" t="n"/>
      <c r="CF105" s="21" t="n"/>
      <c r="CG105" s="21" t="n"/>
      <c r="CH105" s="21" t="n"/>
      <c r="CI105" s="21" t="n"/>
      <c r="CJ105" s="21" t="n"/>
      <c r="CK105" s="21" t="n"/>
      <c r="CL105" s="21" t="n"/>
      <c r="CM105" s="21" t="n"/>
      <c r="CN105" s="21" t="n"/>
      <c r="CO105" s="21" t="n"/>
      <c r="CP105" s="21" t="n"/>
      <c r="CQ105" s="21" t="n"/>
      <c r="CR105" s="21" t="n"/>
      <c r="CS105" s="21" t="n"/>
      <c r="CT105" s="21" t="n"/>
      <c r="CU105" s="21" t="n"/>
      <c r="CV105" s="21" t="n"/>
      <c r="CW105" s="21" t="n"/>
      <c r="CX105" s="21" t="n"/>
      <c r="CY105" s="21" t="n"/>
      <c r="CZ105" s="21" t="n"/>
      <c r="DA105" s="21" t="n"/>
      <c r="DB105" s="21" t="n"/>
      <c r="DC105" s="21" t="n"/>
    </row>
    <row r="106">
      <c r="B106" t="inlineStr">
        <is>
          <t>0Y460</t>
        </is>
      </c>
      <c r="C106" t="inlineStr">
        <is>
          <t>No. of batches</t>
        </is>
      </c>
      <c r="D106">
        <f>IFERROR(INDEX(PP_Grid[#Data],$DD106,2),0)</f>
        <v/>
      </c>
      <c r="E106">
        <f>IFERROR(INDEX(PP_Grid[#Data],$DD106,3),0)</f>
        <v/>
      </c>
      <c r="F106">
        <f>IFERROR(INDEX(PP_Grid[#Data],$DD106,4),0)</f>
        <v/>
      </c>
      <c r="G106">
        <f>IFERROR(INDEX(PP_Grid[#Data],$DD106,5),0)</f>
        <v/>
      </c>
      <c r="H106">
        <f>IFERROR(INDEX(PP_Grid[#Data],$DD106,6),0)</f>
        <v/>
      </c>
      <c r="I106">
        <f>IFERROR(INDEX(PP_Grid[#Data],$DD106,7),0)</f>
        <v/>
      </c>
      <c r="J106">
        <f>IFERROR(INDEX(PP_Grid[#Data],$DD106,8),0)</f>
        <v/>
      </c>
      <c r="K106">
        <f>IFERROR(INDEX(PP_Grid[#Data],$DD106,9),0)</f>
        <v/>
      </c>
      <c r="L106">
        <f>IFERROR(INDEX(PP_Grid[#Data],$DD106,10),0)</f>
        <v/>
      </c>
      <c r="M106">
        <f>IFERROR(INDEX(PP_Grid[#Data],$DD106,11),0)</f>
        <v/>
      </c>
      <c r="N106">
        <f>IFERROR(INDEX(PP_Grid[#Data],$DD106,12),0)</f>
        <v/>
      </c>
      <c r="O106">
        <f>IFERROR(INDEX(PP_Grid[#Data],$DD106,13),0)</f>
        <v/>
      </c>
      <c r="P106">
        <f>IFERROR(INDEX(PP_Grid[#Data],$DD106,14),0)</f>
        <v/>
      </c>
      <c r="Q106">
        <f>IFERROR(INDEX(PP_Grid[#Data],$DD106,15),0)</f>
        <v/>
      </c>
      <c r="R106">
        <f>IFERROR(INDEX(PP_Grid[#Data],$DD106,16),0)</f>
        <v/>
      </c>
      <c r="S106">
        <f>IFERROR(INDEX(PP_Grid[#Data],$DD106,17),0)</f>
        <v/>
      </c>
      <c r="T106">
        <f>IFERROR(INDEX(PP_Grid[#Data],$DD106,18),0)</f>
        <v/>
      </c>
      <c r="U106">
        <f>IFERROR(INDEX(PP_Grid[#Data],$DD106,19),0)</f>
        <v/>
      </c>
      <c r="V106">
        <f>IFERROR(INDEX(PP_Grid[#Data],$DD106,20),0)</f>
        <v/>
      </c>
      <c r="W106">
        <f>IFERROR(INDEX(PP_Grid[#Data],$DD106,21),0)</f>
        <v/>
      </c>
      <c r="X106">
        <f>IFERROR(INDEX(PP_Grid[#Data],$DD106,22),0)</f>
        <v/>
      </c>
      <c r="Y106">
        <f>IFERROR(INDEX(PP_Grid[#Data],$DD106,23),0)</f>
        <v/>
      </c>
      <c r="Z106">
        <f>IFERROR(INDEX(PP_Grid[#Data],$DD106,24),0)</f>
        <v/>
      </c>
      <c r="AA106">
        <f>IFERROR(INDEX(PP_Grid[#Data],$DD106,25),0)</f>
        <v/>
      </c>
      <c r="AB106">
        <f>IFERROR(INDEX(PP_Grid[#Data],$DD106,26),0)</f>
        <v/>
      </c>
      <c r="AC106">
        <f>IFERROR(INDEX(PP_Grid[#Data],$DD106,27),0)</f>
        <v/>
      </c>
      <c r="AD106">
        <f>IFERROR(INDEX(PP_Grid[#Data],$DD106,28),0)</f>
        <v/>
      </c>
      <c r="AE106">
        <f>IFERROR(INDEX(PP_Grid[#Data],$DD106,29),0)</f>
        <v/>
      </c>
      <c r="AF106">
        <f>IFERROR(INDEX(PP_Grid[#Data],$DD106,30),0)</f>
        <v/>
      </c>
      <c r="AG106">
        <f>IFERROR(INDEX(PP_Grid[#Data],$DD106,31),0)</f>
        <v/>
      </c>
      <c r="AH106">
        <f>IFERROR(INDEX(PP_Grid[#Data],$DD106,32),0)</f>
        <v/>
      </c>
      <c r="AI106">
        <f>IFERROR(INDEX(PP_Grid[#Data],$DD106,33),0)</f>
        <v/>
      </c>
      <c r="AJ106">
        <f>IFERROR(INDEX(PP_Grid[#Data],$DD106,34),0)</f>
        <v/>
      </c>
      <c r="AK106">
        <f>IFERROR(INDEX(PP_Grid[#Data],$DD106,35),0)</f>
        <v/>
      </c>
      <c r="AL106">
        <f>IFERROR(INDEX(PP_Grid[#Data],$DD106,36),0)</f>
        <v/>
      </c>
      <c r="AM106">
        <f>IFERROR(INDEX(PP_Grid[#Data],$DD106,37),0)</f>
        <v/>
      </c>
      <c r="AN106">
        <f>IFERROR(INDEX(PP_Grid[#Data],$DD106,38),0)</f>
        <v/>
      </c>
      <c r="AO106">
        <f>IFERROR(INDEX(PP_Grid[#Data],$DD106,39),0)</f>
        <v/>
      </c>
      <c r="AP106">
        <f>IFERROR(INDEX(PP_Grid[#Data],$DD106,40),0)</f>
        <v/>
      </c>
      <c r="AQ106">
        <f>IFERROR(INDEX(PP_Grid[#Data],$DD106,41),0)</f>
        <v/>
      </c>
      <c r="AR106">
        <f>IFERROR(INDEX(PP_Grid[#Data],$DD106,42),0)</f>
        <v/>
      </c>
      <c r="AS106">
        <f>IFERROR(INDEX(PP_Grid[#Data],$DD106,43),0)</f>
        <v/>
      </c>
      <c r="AT106">
        <f>IFERROR(INDEX(PP_Grid[#Data],$DD106,44),0)</f>
        <v/>
      </c>
      <c r="AU106">
        <f>IFERROR(INDEX(PP_Grid[#Data],$DD106,45),0)</f>
        <v/>
      </c>
      <c r="AV106">
        <f>IFERROR(INDEX(PP_Grid[#Data],$DD106,46),0)</f>
        <v/>
      </c>
      <c r="AW106">
        <f>IFERROR(INDEX(PP_Grid[#Data],$DD106,47),0)</f>
        <v/>
      </c>
      <c r="AX106">
        <f>IFERROR(INDEX(PP_Grid[#Data],$DD106,48),0)</f>
        <v/>
      </c>
      <c r="AY106">
        <f>IFERROR(INDEX(PP_Grid[#Data],$DD106,49),0)</f>
        <v/>
      </c>
      <c r="AZ106">
        <f>IFERROR(INDEX(PP_Grid[#Data],$DD106,50),0)</f>
        <v/>
      </c>
      <c r="BA106">
        <f>IFERROR(INDEX(PP_Grid[#Data],$DD106,51),0)</f>
        <v/>
      </c>
      <c r="BB106">
        <f>IFERROR(INDEX(PP_Grid[#Data],$DD106,52),0)</f>
        <v/>
      </c>
      <c r="BC106">
        <f>IFERROR(INDEX(PP_Grid[#Data],$DD106,53),0)</f>
        <v/>
      </c>
      <c r="BD106">
        <f>IFERROR(INDEX(PP_Grid[#Data],$DD106,54),0)</f>
        <v/>
      </c>
      <c r="BE106">
        <f>IFERROR(INDEX(PP_Grid[#Data],$DD106,55),0)</f>
        <v/>
      </c>
      <c r="BF106">
        <f>IFERROR(INDEX(PP_Grid[#Data],$DD106,56),0)</f>
        <v/>
      </c>
      <c r="BG106">
        <f>IFERROR(INDEX(PP_Grid[#Data],$DD106,57),0)</f>
        <v/>
      </c>
      <c r="BH106">
        <f>IFERROR(INDEX(PP_Grid[#Data],$DD106,58),0)</f>
        <v/>
      </c>
      <c r="BI106">
        <f>IFERROR(INDEX(PP_Grid[#Data],$DD106,59),0)</f>
        <v/>
      </c>
      <c r="BJ106">
        <f>IFERROR(INDEX(PP_Grid[#Data],$DD106,60),0)</f>
        <v/>
      </c>
      <c r="BK106">
        <f>IFERROR(INDEX(PP_Grid[#Data],$DD106,61),0)</f>
        <v/>
      </c>
      <c r="BL106">
        <f>IFERROR(INDEX(PP_Grid[#Data],$DD106,62),0)</f>
        <v/>
      </c>
      <c r="BM106">
        <f>IFERROR(INDEX(PP_Grid[#Data],$DD106,63),0)</f>
        <v/>
      </c>
      <c r="BN106">
        <f>IFERROR(INDEX(PP_Grid[#Data],$DD106,64),0)</f>
        <v/>
      </c>
      <c r="BO106">
        <f>IFERROR(INDEX(PP_Grid[#Data],$DD106,65),0)</f>
        <v/>
      </c>
      <c r="BP106">
        <f>IFERROR(INDEX(PP_Grid[#Data],$DD106,66),0)</f>
        <v/>
      </c>
      <c r="BQ106">
        <f>IFERROR(INDEX(PP_Grid[#Data],$DD106,67),0)</f>
        <v/>
      </c>
      <c r="BR106">
        <f>IFERROR(INDEX(PP_Grid[#Data],$DD106,68),0)</f>
        <v/>
      </c>
      <c r="BS106">
        <f>IFERROR(INDEX(PP_Grid[#Data],$DD106,69),0)</f>
        <v/>
      </c>
      <c r="BT106">
        <f>IFERROR(INDEX(PP_Grid[#Data],$DD106,70),0)</f>
        <v/>
      </c>
      <c r="BU106">
        <f>IFERROR(INDEX(PP_Grid[#Data],$DD106,71),0)</f>
        <v/>
      </c>
      <c r="BV106">
        <f>IFERROR(INDEX(PP_Grid[#Data],$DD106,72),0)</f>
        <v/>
      </c>
      <c r="BW106">
        <f>IFERROR(INDEX(PP_Grid[#Data],$DD106,73),0)</f>
        <v/>
      </c>
      <c r="BX106">
        <f>IFERROR(INDEX(PP_Grid[#Data],$DD106,74),0)</f>
        <v/>
      </c>
      <c r="BY106">
        <f>IFERROR(INDEX(PP_Grid[#Data],$DD106,75),0)</f>
        <v/>
      </c>
      <c r="BZ106">
        <f>IFERROR(INDEX(PP_Grid[#Data],$DD106,76),0)</f>
        <v/>
      </c>
      <c r="CA106">
        <f>IFERROR(INDEX(PP_Grid[#Data],$DD106,77),0)</f>
        <v/>
      </c>
      <c r="CB106">
        <f>IFERROR(INDEX(PP_Grid[#Data],$DD106,78),0)</f>
        <v/>
      </c>
      <c r="CC106">
        <f>IFERROR(INDEX(PP_Grid[#Data],$DD106,79),0)</f>
        <v/>
      </c>
      <c r="CD106">
        <f>IFERROR(INDEX(PP_Grid[#Data],$DD106,80),0)</f>
        <v/>
      </c>
      <c r="CE106">
        <f>IFERROR(INDEX(PP_Grid[#Data],$DD106,81),0)</f>
        <v/>
      </c>
      <c r="CF106">
        <f>IFERROR(INDEX(PP_Grid[#Data],$DD106,82),0)</f>
        <v/>
      </c>
      <c r="CG106">
        <f>IFERROR(INDEX(PP_Grid[#Data],$DD106,83),0)</f>
        <v/>
      </c>
      <c r="CH106">
        <f>IFERROR(INDEX(PP_Grid[#Data],$DD106,84),0)</f>
        <v/>
      </c>
      <c r="CI106">
        <f>IFERROR(INDEX(PP_Grid[#Data],$DD106,85),0)</f>
        <v/>
      </c>
      <c r="CJ106">
        <f>IFERROR(INDEX(PP_Grid[#Data],$DD106,86),0)</f>
        <v/>
      </c>
      <c r="CK106">
        <f>IFERROR(INDEX(PP_Grid[#Data],$DD106,87),0)</f>
        <v/>
      </c>
      <c r="CL106">
        <f>IFERROR(INDEX(PP_Grid[#Data],$DD106,88),0)</f>
        <v/>
      </c>
      <c r="CM106">
        <f>IFERROR(INDEX(PP_Grid[#Data],$DD106,89),0)</f>
        <v/>
      </c>
      <c r="CN106">
        <f>IFERROR(INDEX(PP_Grid[#Data],$DD106,90),0)</f>
        <v/>
      </c>
      <c r="CO106">
        <f>IFERROR(INDEX(PP_Grid[#Data],$DD106,91),0)</f>
        <v/>
      </c>
      <c r="CP106">
        <f>IFERROR(INDEX(PP_Grid[#Data],$DD106,92),0)</f>
        <v/>
      </c>
      <c r="CQ106">
        <f>IFERROR(INDEX(PP_Grid[#Data],$DD106,93),0)</f>
        <v/>
      </c>
      <c r="CR106">
        <f>IFERROR(INDEX(PP_Grid[#Data],$DD106,94),0)</f>
        <v/>
      </c>
      <c r="CS106">
        <f>IFERROR(INDEX(PP_Grid[#Data],$DD106,95),0)</f>
        <v/>
      </c>
      <c r="CT106">
        <f>IFERROR(INDEX(PP_Grid[#Data],$DD106,96),0)</f>
        <v/>
      </c>
      <c r="CU106">
        <f>IFERROR(INDEX(PP_Grid[#Data],$DD106,97),0)</f>
        <v/>
      </c>
      <c r="CV106">
        <f>IFERROR(INDEX(PP_Grid[#Data],$DD106,98),0)</f>
        <v/>
      </c>
      <c r="CW106">
        <f>IFERROR(INDEX(PP_Grid[#Data],$DD106,99),0)</f>
        <v/>
      </c>
      <c r="CX106">
        <f>IFERROR(INDEX(PP_Grid[#Data],$DD106,100),0)</f>
        <v/>
      </c>
      <c r="CY106">
        <f>IFERROR(INDEX(PP_Grid[#Data],$DD106,101),0)</f>
        <v/>
      </c>
      <c r="CZ106">
        <f>IFERROR(INDEX(PP_Grid[#Data],$DD106,102),0)</f>
        <v/>
      </c>
      <c r="DA106">
        <f>IFERROR(INDEX(PP_Grid[#Data],$DD106,103),0)</f>
        <v/>
      </c>
      <c r="DB106">
        <f>IFERROR(INDEX(PP_Grid[#Data],$DD106,104),0)</f>
        <v/>
      </c>
      <c r="DC106">
        <f>IFERROR(INDEX(PP_Grid[#Data],$DD106,105),0)</f>
        <v/>
      </c>
      <c r="DD106" s="12">
        <f>IFERROR(MATCH($B106,PP_Grid[Intermediate],0),99999)</f>
        <v/>
      </c>
    </row>
    <row r="107">
      <c r="B107" t="inlineStr">
        <is>
          <t>使用量(kg)</t>
        </is>
      </c>
      <c r="C107">
        <f>SUMIFS(M_BOM[RM_Qty_Per_Batch],M_BOM[Intermediate],$B106,M_BOM[Part Name],$A105)</f>
        <v/>
      </c>
      <c r="D107">
        <f>$C107*D106</f>
        <v/>
      </c>
      <c r="E107">
        <f>$C107*E106</f>
        <v/>
      </c>
      <c r="F107">
        <f>$C107*F106</f>
        <v/>
      </c>
      <c r="G107">
        <f>$C107*G106</f>
        <v/>
      </c>
      <c r="H107">
        <f>$C107*H106</f>
        <v/>
      </c>
      <c r="I107">
        <f>$C107*I106</f>
        <v/>
      </c>
      <c r="J107">
        <f>$C107*J106</f>
        <v/>
      </c>
      <c r="K107">
        <f>$C107*K106</f>
        <v/>
      </c>
      <c r="L107">
        <f>$C107*L106</f>
        <v/>
      </c>
      <c r="M107">
        <f>$C107*M106</f>
        <v/>
      </c>
      <c r="N107">
        <f>$C107*N106</f>
        <v/>
      </c>
      <c r="O107">
        <f>$C107*O106</f>
        <v/>
      </c>
      <c r="P107">
        <f>$C107*P106</f>
        <v/>
      </c>
      <c r="Q107">
        <f>$C107*Q106</f>
        <v/>
      </c>
      <c r="R107">
        <f>$C107*R106</f>
        <v/>
      </c>
      <c r="S107">
        <f>$C107*S106</f>
        <v/>
      </c>
      <c r="T107">
        <f>$C107*T106</f>
        <v/>
      </c>
      <c r="U107">
        <f>$C107*U106</f>
        <v/>
      </c>
      <c r="V107">
        <f>$C107*V106</f>
        <v/>
      </c>
      <c r="W107">
        <f>$C107*W106</f>
        <v/>
      </c>
      <c r="X107">
        <f>$C107*X106</f>
        <v/>
      </c>
      <c r="Y107">
        <f>$C107*Y106</f>
        <v/>
      </c>
      <c r="Z107">
        <f>$C107*Z106</f>
        <v/>
      </c>
      <c r="AA107">
        <f>$C107*AA106</f>
        <v/>
      </c>
      <c r="AB107">
        <f>$C107*AB106</f>
        <v/>
      </c>
      <c r="AC107">
        <f>$C107*AC106</f>
        <v/>
      </c>
      <c r="AD107">
        <f>$C107*AD106</f>
        <v/>
      </c>
      <c r="AE107">
        <f>$C107*AE106</f>
        <v/>
      </c>
      <c r="AF107">
        <f>$C107*AF106</f>
        <v/>
      </c>
      <c r="AG107">
        <f>$C107*AG106</f>
        <v/>
      </c>
      <c r="AH107">
        <f>$C107*AH106</f>
        <v/>
      </c>
      <c r="AI107">
        <f>$C107*AI106</f>
        <v/>
      </c>
      <c r="AJ107">
        <f>$C107*AJ106</f>
        <v/>
      </c>
      <c r="AK107">
        <f>$C107*AK106</f>
        <v/>
      </c>
      <c r="AL107">
        <f>$C107*AL106</f>
        <v/>
      </c>
      <c r="AM107">
        <f>$C107*AM106</f>
        <v/>
      </c>
      <c r="AN107">
        <f>$C107*AN106</f>
        <v/>
      </c>
      <c r="AO107">
        <f>$C107*AO106</f>
        <v/>
      </c>
      <c r="AP107">
        <f>$C107*AP106</f>
        <v/>
      </c>
      <c r="AQ107">
        <f>$C107*AQ106</f>
        <v/>
      </c>
      <c r="AR107">
        <f>$C107*AR106</f>
        <v/>
      </c>
      <c r="AS107">
        <f>$C107*AS106</f>
        <v/>
      </c>
      <c r="AT107">
        <f>$C107*AT106</f>
        <v/>
      </c>
      <c r="AU107">
        <f>$C107*AU106</f>
        <v/>
      </c>
      <c r="AV107">
        <f>$C107*AV106</f>
        <v/>
      </c>
      <c r="AW107">
        <f>$C107*AW106</f>
        <v/>
      </c>
      <c r="AX107">
        <f>$C107*AX106</f>
        <v/>
      </c>
      <c r="AY107">
        <f>$C107*AY106</f>
        <v/>
      </c>
      <c r="AZ107">
        <f>$C107*AZ106</f>
        <v/>
      </c>
      <c r="BA107">
        <f>$C107*BA106</f>
        <v/>
      </c>
      <c r="BB107">
        <f>$C107*BB106</f>
        <v/>
      </c>
      <c r="BC107">
        <f>$C107*BC106</f>
        <v/>
      </c>
      <c r="BD107">
        <f>$C107*BD106</f>
        <v/>
      </c>
      <c r="BE107">
        <f>$C107*BE106</f>
        <v/>
      </c>
      <c r="BF107">
        <f>$C107*BF106</f>
        <v/>
      </c>
      <c r="BG107">
        <f>$C107*BG106</f>
        <v/>
      </c>
      <c r="BH107">
        <f>$C107*BH106</f>
        <v/>
      </c>
      <c r="BI107">
        <f>$C107*BI106</f>
        <v/>
      </c>
      <c r="BJ107">
        <f>$C107*BJ106</f>
        <v/>
      </c>
      <c r="BK107">
        <f>$C107*BK106</f>
        <v/>
      </c>
      <c r="BL107">
        <f>$C107*BL106</f>
        <v/>
      </c>
      <c r="BM107">
        <f>$C107*BM106</f>
        <v/>
      </c>
      <c r="BN107">
        <f>$C107*BN106</f>
        <v/>
      </c>
      <c r="BO107">
        <f>$C107*BO106</f>
        <v/>
      </c>
      <c r="BP107">
        <f>$C107*BP106</f>
        <v/>
      </c>
      <c r="BQ107">
        <f>$C107*BQ106</f>
        <v/>
      </c>
      <c r="BR107">
        <f>$C107*BR106</f>
        <v/>
      </c>
      <c r="BS107">
        <f>$C107*BS106</f>
        <v/>
      </c>
      <c r="BT107">
        <f>$C107*BT106</f>
        <v/>
      </c>
      <c r="BU107">
        <f>$C107*BU106</f>
        <v/>
      </c>
      <c r="BV107">
        <f>$C107*BV106</f>
        <v/>
      </c>
      <c r="BW107">
        <f>$C107*BW106</f>
        <v/>
      </c>
      <c r="BX107">
        <f>$C107*BX106</f>
        <v/>
      </c>
      <c r="BY107">
        <f>$C107*BY106</f>
        <v/>
      </c>
      <c r="BZ107">
        <f>$C107*BZ106</f>
        <v/>
      </c>
      <c r="CA107">
        <f>$C107*CA106</f>
        <v/>
      </c>
      <c r="CB107">
        <f>$C107*CB106</f>
        <v/>
      </c>
      <c r="CC107">
        <f>$C107*CC106</f>
        <v/>
      </c>
      <c r="CD107">
        <f>$C107*CD106</f>
        <v/>
      </c>
      <c r="CE107">
        <f>$C107*CE106</f>
        <v/>
      </c>
      <c r="CF107">
        <f>$C107*CF106</f>
        <v/>
      </c>
      <c r="CG107">
        <f>$C107*CG106</f>
        <v/>
      </c>
      <c r="CH107">
        <f>$C107*CH106</f>
        <v/>
      </c>
      <c r="CI107">
        <f>$C107*CI106</f>
        <v/>
      </c>
      <c r="CJ107">
        <f>$C107*CJ106</f>
        <v/>
      </c>
      <c r="CK107">
        <f>$C107*CK106</f>
        <v/>
      </c>
      <c r="CL107">
        <f>$C107*CL106</f>
        <v/>
      </c>
      <c r="CM107">
        <f>$C107*CM106</f>
        <v/>
      </c>
      <c r="CN107">
        <f>$C107*CN106</f>
        <v/>
      </c>
      <c r="CO107">
        <f>$C107*CO106</f>
        <v/>
      </c>
      <c r="CP107">
        <f>$C107*CP106</f>
        <v/>
      </c>
      <c r="CQ107">
        <f>$C107*CQ106</f>
        <v/>
      </c>
      <c r="CR107">
        <f>$C107*CR106</f>
        <v/>
      </c>
      <c r="CS107">
        <f>$C107*CS106</f>
        <v/>
      </c>
      <c r="CT107">
        <f>$C107*CT106</f>
        <v/>
      </c>
      <c r="CU107">
        <f>$C107*CU106</f>
        <v/>
      </c>
      <c r="CV107">
        <f>$C107*CV106</f>
        <v/>
      </c>
      <c r="CW107">
        <f>$C107*CW106</f>
        <v/>
      </c>
      <c r="CX107">
        <f>$C107*CX106</f>
        <v/>
      </c>
      <c r="CY107">
        <f>$C107*CY106</f>
        <v/>
      </c>
      <c r="CZ107">
        <f>$C107*CZ106</f>
        <v/>
      </c>
      <c r="DA107">
        <f>$C107*DA106</f>
        <v/>
      </c>
      <c r="DB107">
        <f>$C107*DB106</f>
        <v/>
      </c>
      <c r="DC107">
        <f>$C107*DC106</f>
        <v/>
      </c>
    </row>
    <row r="108">
      <c r="B108" s="5" t="inlineStr">
        <is>
          <t>合計使用量(kg)/週</t>
        </is>
      </c>
      <c r="D108">
        <f>'Grid_Requirement'!B21</f>
        <v/>
      </c>
      <c r="E108">
        <f>'Grid_Requirement'!C21</f>
        <v/>
      </c>
      <c r="F108">
        <f>'Grid_Requirement'!D21</f>
        <v/>
      </c>
      <c r="G108">
        <f>'Grid_Requirement'!E21</f>
        <v/>
      </c>
      <c r="H108">
        <f>'Grid_Requirement'!F21</f>
        <v/>
      </c>
      <c r="I108">
        <f>'Grid_Requirement'!G21</f>
        <v/>
      </c>
      <c r="J108">
        <f>'Grid_Requirement'!H21</f>
        <v/>
      </c>
      <c r="K108">
        <f>'Grid_Requirement'!I21</f>
        <v/>
      </c>
      <c r="L108">
        <f>'Grid_Requirement'!J21</f>
        <v/>
      </c>
      <c r="M108">
        <f>'Grid_Requirement'!K21</f>
        <v/>
      </c>
      <c r="N108">
        <f>'Grid_Requirement'!L21</f>
        <v/>
      </c>
      <c r="O108">
        <f>'Grid_Requirement'!M21</f>
        <v/>
      </c>
      <c r="P108">
        <f>'Grid_Requirement'!N21</f>
        <v/>
      </c>
      <c r="Q108">
        <f>'Grid_Requirement'!O21</f>
        <v/>
      </c>
      <c r="R108">
        <f>'Grid_Requirement'!P21</f>
        <v/>
      </c>
      <c r="S108">
        <f>'Grid_Requirement'!Q21</f>
        <v/>
      </c>
      <c r="T108">
        <f>'Grid_Requirement'!R21</f>
        <v/>
      </c>
      <c r="U108">
        <f>'Grid_Requirement'!S21</f>
        <v/>
      </c>
      <c r="V108">
        <f>'Grid_Requirement'!T21</f>
        <v/>
      </c>
      <c r="W108">
        <f>'Grid_Requirement'!U21</f>
        <v/>
      </c>
      <c r="X108">
        <f>'Grid_Requirement'!V21</f>
        <v/>
      </c>
      <c r="Y108">
        <f>'Grid_Requirement'!W21</f>
        <v/>
      </c>
      <c r="Z108">
        <f>'Grid_Requirement'!X21</f>
        <v/>
      </c>
      <c r="AA108">
        <f>'Grid_Requirement'!Y21</f>
        <v/>
      </c>
      <c r="AB108">
        <f>'Grid_Requirement'!Z21</f>
        <v/>
      </c>
      <c r="AC108">
        <f>'Grid_Requirement'!AA21</f>
        <v/>
      </c>
      <c r="AD108">
        <f>'Grid_Requirement'!AB21</f>
        <v/>
      </c>
      <c r="AE108">
        <f>'Grid_Requirement'!AC21</f>
        <v/>
      </c>
      <c r="AF108">
        <f>'Grid_Requirement'!AD21</f>
        <v/>
      </c>
      <c r="AG108">
        <f>'Grid_Requirement'!AE21</f>
        <v/>
      </c>
      <c r="AH108">
        <f>'Grid_Requirement'!AF21</f>
        <v/>
      </c>
      <c r="AI108">
        <f>'Grid_Requirement'!AG21</f>
        <v/>
      </c>
      <c r="AJ108">
        <f>'Grid_Requirement'!AH21</f>
        <v/>
      </c>
      <c r="AK108">
        <f>'Grid_Requirement'!AI21</f>
        <v/>
      </c>
      <c r="AL108">
        <f>'Grid_Requirement'!AJ21</f>
        <v/>
      </c>
      <c r="AM108">
        <f>'Grid_Requirement'!AK21</f>
        <v/>
      </c>
      <c r="AN108">
        <f>'Grid_Requirement'!AL21</f>
        <v/>
      </c>
      <c r="AO108">
        <f>'Grid_Requirement'!AM21</f>
        <v/>
      </c>
      <c r="AP108">
        <f>'Grid_Requirement'!AN21</f>
        <v/>
      </c>
      <c r="AQ108">
        <f>'Grid_Requirement'!AO21</f>
        <v/>
      </c>
      <c r="AR108">
        <f>'Grid_Requirement'!AP21</f>
        <v/>
      </c>
      <c r="AS108">
        <f>'Grid_Requirement'!AQ21</f>
        <v/>
      </c>
      <c r="AT108">
        <f>'Grid_Requirement'!AR21</f>
        <v/>
      </c>
      <c r="AU108">
        <f>'Grid_Requirement'!AS21</f>
        <v/>
      </c>
      <c r="AV108">
        <f>'Grid_Requirement'!AT21</f>
        <v/>
      </c>
      <c r="AW108">
        <f>'Grid_Requirement'!AU21</f>
        <v/>
      </c>
      <c r="AX108">
        <f>'Grid_Requirement'!AV21</f>
        <v/>
      </c>
      <c r="AY108">
        <f>'Grid_Requirement'!AW21</f>
        <v/>
      </c>
      <c r="AZ108">
        <f>'Grid_Requirement'!AX21</f>
        <v/>
      </c>
      <c r="BA108">
        <f>'Grid_Requirement'!AY21</f>
        <v/>
      </c>
      <c r="BB108">
        <f>'Grid_Requirement'!AZ21</f>
        <v/>
      </c>
      <c r="BC108">
        <f>'Grid_Requirement'!BA21</f>
        <v/>
      </c>
      <c r="BD108">
        <f>'Grid_Requirement'!BB21</f>
        <v/>
      </c>
      <c r="BE108">
        <f>'Grid_Requirement'!BC21</f>
        <v/>
      </c>
      <c r="BF108">
        <f>'Grid_Requirement'!BD21</f>
        <v/>
      </c>
      <c r="BG108">
        <f>'Grid_Requirement'!BE21</f>
        <v/>
      </c>
      <c r="BH108">
        <f>'Grid_Requirement'!BF21</f>
        <v/>
      </c>
      <c r="BI108">
        <f>'Grid_Requirement'!BG21</f>
        <v/>
      </c>
      <c r="BJ108">
        <f>'Grid_Requirement'!BH21</f>
        <v/>
      </c>
      <c r="BK108">
        <f>'Grid_Requirement'!BI21</f>
        <v/>
      </c>
      <c r="BL108">
        <f>'Grid_Requirement'!BJ21</f>
        <v/>
      </c>
      <c r="BM108">
        <f>'Grid_Requirement'!BK21</f>
        <v/>
      </c>
      <c r="BN108">
        <f>'Grid_Requirement'!BL21</f>
        <v/>
      </c>
      <c r="BO108">
        <f>'Grid_Requirement'!BM21</f>
        <v/>
      </c>
      <c r="BP108">
        <f>'Grid_Requirement'!BN21</f>
        <v/>
      </c>
      <c r="BQ108">
        <f>'Grid_Requirement'!BO21</f>
        <v/>
      </c>
      <c r="BR108">
        <f>'Grid_Requirement'!BP21</f>
        <v/>
      </c>
      <c r="BS108">
        <f>'Grid_Requirement'!BQ21</f>
        <v/>
      </c>
      <c r="BT108">
        <f>'Grid_Requirement'!BR21</f>
        <v/>
      </c>
      <c r="BU108">
        <f>'Grid_Requirement'!BS21</f>
        <v/>
      </c>
      <c r="BV108">
        <f>'Grid_Requirement'!BT21</f>
        <v/>
      </c>
      <c r="BW108">
        <f>'Grid_Requirement'!BU21</f>
        <v/>
      </c>
      <c r="BX108">
        <f>'Grid_Requirement'!BV21</f>
        <v/>
      </c>
      <c r="BY108">
        <f>'Grid_Requirement'!BW21</f>
        <v/>
      </c>
      <c r="BZ108">
        <f>'Grid_Requirement'!BX21</f>
        <v/>
      </c>
      <c r="CA108">
        <f>'Grid_Requirement'!BY21</f>
        <v/>
      </c>
      <c r="CB108">
        <f>'Grid_Requirement'!BZ21</f>
        <v/>
      </c>
      <c r="CC108">
        <f>'Grid_Requirement'!CA21</f>
        <v/>
      </c>
      <c r="CD108">
        <f>'Grid_Requirement'!CB21</f>
        <v/>
      </c>
      <c r="CE108">
        <f>'Grid_Requirement'!CC21</f>
        <v/>
      </c>
      <c r="CF108">
        <f>'Grid_Requirement'!CD21</f>
        <v/>
      </c>
      <c r="CG108">
        <f>'Grid_Requirement'!CE21</f>
        <v/>
      </c>
      <c r="CH108">
        <f>'Grid_Requirement'!CF21</f>
        <v/>
      </c>
      <c r="CI108">
        <f>'Grid_Requirement'!CG21</f>
        <v/>
      </c>
      <c r="CJ108">
        <f>'Grid_Requirement'!CH21</f>
        <v/>
      </c>
      <c r="CK108">
        <f>'Grid_Requirement'!CI21</f>
        <v/>
      </c>
      <c r="CL108">
        <f>'Grid_Requirement'!CJ21</f>
        <v/>
      </c>
      <c r="CM108">
        <f>'Grid_Requirement'!CK21</f>
        <v/>
      </c>
      <c r="CN108">
        <f>'Grid_Requirement'!CL21</f>
        <v/>
      </c>
      <c r="CO108">
        <f>'Grid_Requirement'!CM21</f>
        <v/>
      </c>
      <c r="CP108">
        <f>'Grid_Requirement'!CN21</f>
        <v/>
      </c>
      <c r="CQ108">
        <f>'Grid_Requirement'!CO21</f>
        <v/>
      </c>
      <c r="CR108">
        <f>'Grid_Requirement'!CP21</f>
        <v/>
      </c>
      <c r="CS108">
        <f>'Grid_Requirement'!CQ21</f>
        <v/>
      </c>
      <c r="CT108">
        <f>'Grid_Requirement'!CR21</f>
        <v/>
      </c>
      <c r="CU108">
        <f>'Grid_Requirement'!CS21</f>
        <v/>
      </c>
      <c r="CV108">
        <f>'Grid_Requirement'!CT21</f>
        <v/>
      </c>
      <c r="CW108">
        <f>'Grid_Requirement'!CU21</f>
        <v/>
      </c>
      <c r="CX108">
        <f>'Grid_Requirement'!CV21</f>
        <v/>
      </c>
      <c r="CY108">
        <f>'Grid_Requirement'!CW21</f>
        <v/>
      </c>
      <c r="CZ108">
        <f>'Grid_Requirement'!CX21</f>
        <v/>
      </c>
      <c r="DA108">
        <f>'Grid_Requirement'!CY21</f>
        <v/>
      </c>
      <c r="DB108">
        <f>'Grid_Requirement'!CZ21</f>
        <v/>
      </c>
      <c r="DC108">
        <f>'Grid_Requirement'!DA21</f>
        <v/>
      </c>
    </row>
    <row r="109">
      <c r="B109" t="inlineStr">
        <is>
          <t>TTAF在庫(実績,kg)</t>
        </is>
      </c>
      <c r="D109">
        <f>'T_TTAFStock'!B25</f>
        <v/>
      </c>
      <c r="E109">
        <f>'T_TTAFStock'!C25</f>
        <v/>
      </c>
      <c r="F109">
        <f>'T_TTAFStock'!D25</f>
        <v/>
      </c>
      <c r="G109">
        <f>'T_TTAFStock'!E25</f>
        <v/>
      </c>
      <c r="H109">
        <f>'T_TTAFStock'!F25</f>
        <v/>
      </c>
      <c r="I109">
        <f>'T_TTAFStock'!G25</f>
        <v/>
      </c>
      <c r="J109">
        <f>'T_TTAFStock'!H25</f>
        <v/>
      </c>
      <c r="K109">
        <f>'T_TTAFStock'!I25</f>
        <v/>
      </c>
      <c r="L109">
        <f>'T_TTAFStock'!J25</f>
        <v/>
      </c>
      <c r="M109">
        <f>'T_TTAFStock'!K25</f>
        <v/>
      </c>
      <c r="N109">
        <f>'T_TTAFStock'!L25</f>
        <v/>
      </c>
      <c r="O109">
        <f>'T_TTAFStock'!M25</f>
        <v/>
      </c>
      <c r="P109">
        <f>'T_TTAFStock'!N25</f>
        <v/>
      </c>
      <c r="Q109">
        <f>'T_TTAFStock'!O25</f>
        <v/>
      </c>
      <c r="R109">
        <f>'T_TTAFStock'!P25</f>
        <v/>
      </c>
      <c r="S109">
        <f>'T_TTAFStock'!Q25</f>
        <v/>
      </c>
      <c r="T109">
        <f>'T_TTAFStock'!R25</f>
        <v/>
      </c>
      <c r="U109">
        <f>'T_TTAFStock'!S25</f>
        <v/>
      </c>
      <c r="V109">
        <f>'T_TTAFStock'!T25</f>
        <v/>
      </c>
      <c r="W109">
        <f>'T_TTAFStock'!U25</f>
        <v/>
      </c>
      <c r="X109">
        <f>'T_TTAFStock'!V25</f>
        <v/>
      </c>
      <c r="Y109">
        <f>'T_TTAFStock'!W25</f>
        <v/>
      </c>
      <c r="Z109">
        <f>'T_TTAFStock'!X25</f>
        <v/>
      </c>
      <c r="AA109">
        <f>'T_TTAFStock'!Y25</f>
        <v/>
      </c>
      <c r="AB109">
        <f>'T_TTAFStock'!Z25</f>
        <v/>
      </c>
      <c r="AC109">
        <f>'T_TTAFStock'!AA25</f>
        <v/>
      </c>
      <c r="AD109">
        <f>'T_TTAFStock'!AB25</f>
        <v/>
      </c>
      <c r="AE109">
        <f>'T_TTAFStock'!AC25</f>
        <v/>
      </c>
      <c r="AF109">
        <f>'T_TTAFStock'!AD25</f>
        <v/>
      </c>
      <c r="AG109">
        <f>'T_TTAFStock'!AE25</f>
        <v/>
      </c>
      <c r="AH109">
        <f>'T_TTAFStock'!AF25</f>
        <v/>
      </c>
      <c r="AI109">
        <f>'T_TTAFStock'!AG25</f>
        <v/>
      </c>
      <c r="AJ109">
        <f>'T_TTAFStock'!AH25</f>
        <v/>
      </c>
      <c r="AK109">
        <f>'T_TTAFStock'!AI25</f>
        <v/>
      </c>
      <c r="AL109">
        <f>'T_TTAFStock'!AJ25</f>
        <v/>
      </c>
      <c r="AM109">
        <f>'T_TTAFStock'!AK25</f>
        <v/>
      </c>
      <c r="AN109">
        <f>'T_TTAFStock'!AL25</f>
        <v/>
      </c>
      <c r="AO109">
        <f>'T_TTAFStock'!AM25</f>
        <v/>
      </c>
      <c r="AP109">
        <f>'T_TTAFStock'!AN25</f>
        <v/>
      </c>
      <c r="AQ109">
        <f>'T_TTAFStock'!AO25</f>
        <v/>
      </c>
      <c r="AR109">
        <f>'T_TTAFStock'!AP25</f>
        <v/>
      </c>
      <c r="AS109">
        <f>'T_TTAFStock'!AQ25</f>
        <v/>
      </c>
      <c r="AT109">
        <f>'T_TTAFStock'!AR25</f>
        <v/>
      </c>
      <c r="AU109">
        <f>'T_TTAFStock'!AS25</f>
        <v/>
      </c>
      <c r="AV109">
        <f>'T_TTAFStock'!AT25</f>
        <v/>
      </c>
      <c r="AW109">
        <f>'T_TTAFStock'!AU25</f>
        <v/>
      </c>
      <c r="AX109">
        <f>'T_TTAFStock'!AV25</f>
        <v/>
      </c>
      <c r="AY109">
        <f>'T_TTAFStock'!AW25</f>
        <v/>
      </c>
      <c r="AZ109">
        <f>'T_TTAFStock'!AX25</f>
        <v/>
      </c>
      <c r="BA109">
        <f>'T_TTAFStock'!AY25</f>
        <v/>
      </c>
      <c r="BB109">
        <f>'T_TTAFStock'!AZ25</f>
        <v/>
      </c>
      <c r="BC109">
        <f>'T_TTAFStock'!BA25</f>
        <v/>
      </c>
      <c r="BD109">
        <f>'T_TTAFStock'!BB25</f>
        <v/>
      </c>
      <c r="BE109">
        <f>'T_TTAFStock'!BC25</f>
        <v/>
      </c>
      <c r="BF109">
        <f>'T_TTAFStock'!BD25</f>
        <v/>
      </c>
      <c r="BG109">
        <f>'T_TTAFStock'!BE25</f>
        <v/>
      </c>
      <c r="BH109">
        <f>'T_TTAFStock'!BF25</f>
        <v/>
      </c>
      <c r="BI109">
        <f>'T_TTAFStock'!BG25</f>
        <v/>
      </c>
      <c r="BJ109">
        <f>'T_TTAFStock'!BH25</f>
        <v/>
      </c>
      <c r="BK109">
        <f>'T_TTAFStock'!BI25</f>
        <v/>
      </c>
      <c r="BL109">
        <f>'T_TTAFStock'!BJ25</f>
        <v/>
      </c>
      <c r="BM109">
        <f>'T_TTAFStock'!BK25</f>
        <v/>
      </c>
      <c r="BN109">
        <f>'T_TTAFStock'!BL25</f>
        <v/>
      </c>
      <c r="BO109">
        <f>'T_TTAFStock'!BM25</f>
        <v/>
      </c>
      <c r="BP109">
        <f>'T_TTAFStock'!BN25</f>
        <v/>
      </c>
      <c r="BQ109">
        <f>'T_TTAFStock'!BO25</f>
        <v/>
      </c>
      <c r="BR109">
        <f>'T_TTAFStock'!BP25</f>
        <v/>
      </c>
      <c r="BS109">
        <f>'T_TTAFStock'!BQ25</f>
        <v/>
      </c>
      <c r="BT109">
        <f>'T_TTAFStock'!BR25</f>
        <v/>
      </c>
      <c r="BU109">
        <f>'T_TTAFStock'!BS25</f>
        <v/>
      </c>
      <c r="BV109">
        <f>'T_TTAFStock'!BT25</f>
        <v/>
      </c>
      <c r="BW109">
        <f>'T_TTAFStock'!BU25</f>
        <v/>
      </c>
      <c r="BX109">
        <f>'T_TTAFStock'!BV25</f>
        <v/>
      </c>
      <c r="BY109">
        <f>'T_TTAFStock'!BW25</f>
        <v/>
      </c>
      <c r="BZ109">
        <f>'T_TTAFStock'!BX25</f>
        <v/>
      </c>
      <c r="CA109">
        <f>'T_TTAFStock'!BY25</f>
        <v/>
      </c>
      <c r="CB109">
        <f>'T_TTAFStock'!BZ25</f>
        <v/>
      </c>
      <c r="CC109">
        <f>'T_TTAFStock'!CA25</f>
        <v/>
      </c>
      <c r="CD109">
        <f>'T_TTAFStock'!CB25</f>
        <v/>
      </c>
      <c r="CE109">
        <f>'T_TTAFStock'!CC25</f>
        <v/>
      </c>
      <c r="CF109">
        <f>'T_TTAFStock'!CD25</f>
        <v/>
      </c>
      <c r="CG109">
        <f>'T_TTAFStock'!CE25</f>
        <v/>
      </c>
      <c r="CH109">
        <f>'T_TTAFStock'!CF25</f>
        <v/>
      </c>
      <c r="CI109">
        <f>'T_TTAFStock'!CG25</f>
        <v/>
      </c>
      <c r="CJ109">
        <f>'T_TTAFStock'!CH25</f>
        <v/>
      </c>
      <c r="CK109">
        <f>'T_TTAFStock'!CI25</f>
        <v/>
      </c>
      <c r="CL109">
        <f>'T_TTAFStock'!CJ25</f>
        <v/>
      </c>
      <c r="CM109">
        <f>'T_TTAFStock'!CK25</f>
        <v/>
      </c>
      <c r="CN109">
        <f>'T_TTAFStock'!CL25</f>
        <v/>
      </c>
      <c r="CO109">
        <f>'T_TTAFStock'!CM25</f>
        <v/>
      </c>
      <c r="CP109">
        <f>'T_TTAFStock'!CN25</f>
        <v/>
      </c>
      <c r="CQ109">
        <f>'T_TTAFStock'!CO25</f>
        <v/>
      </c>
      <c r="CR109">
        <f>'T_TTAFStock'!CP25</f>
        <v/>
      </c>
      <c r="CS109">
        <f>'T_TTAFStock'!CQ25</f>
        <v/>
      </c>
      <c r="CT109">
        <f>'T_TTAFStock'!CR25</f>
        <v/>
      </c>
      <c r="CU109">
        <f>'T_TTAFStock'!CS25</f>
        <v/>
      </c>
      <c r="CV109">
        <f>'T_TTAFStock'!CT25</f>
        <v/>
      </c>
      <c r="CW109">
        <f>'T_TTAFStock'!CU25</f>
        <v/>
      </c>
      <c r="CX109">
        <f>'T_TTAFStock'!CV25</f>
        <v/>
      </c>
      <c r="CY109">
        <f>'T_TTAFStock'!CW25</f>
        <v/>
      </c>
      <c r="CZ109">
        <f>'T_TTAFStock'!CX25</f>
        <v/>
      </c>
      <c r="DA109">
        <f>'T_TTAFStock'!CY25</f>
        <v/>
      </c>
      <c r="DB109">
        <f>'T_TTAFStock'!CZ25</f>
        <v/>
      </c>
      <c r="DC109">
        <f>'T_TTAFStock'!DA25</f>
        <v/>
      </c>
    </row>
    <row r="110">
      <c r="B110" t="inlineStr">
        <is>
          <t>自社在庫(実績,kg)</t>
        </is>
      </c>
      <c r="D110">
        <f>'T_SelfStock'!B25</f>
        <v/>
      </c>
      <c r="E110">
        <f>'T_SelfStock'!C25</f>
        <v/>
      </c>
      <c r="F110">
        <f>'T_SelfStock'!D25</f>
        <v/>
      </c>
      <c r="G110">
        <f>'T_SelfStock'!E25</f>
        <v/>
      </c>
      <c r="H110">
        <f>'T_SelfStock'!F25</f>
        <v/>
      </c>
      <c r="I110">
        <f>'T_SelfStock'!G25</f>
        <v/>
      </c>
      <c r="J110">
        <f>'T_SelfStock'!H25</f>
        <v/>
      </c>
      <c r="K110">
        <f>'T_SelfStock'!I25</f>
        <v/>
      </c>
      <c r="L110">
        <f>'T_SelfStock'!J25</f>
        <v/>
      </c>
      <c r="M110">
        <f>'T_SelfStock'!K25</f>
        <v/>
      </c>
      <c r="N110">
        <f>'T_SelfStock'!L25</f>
        <v/>
      </c>
      <c r="O110">
        <f>'T_SelfStock'!M25</f>
        <v/>
      </c>
      <c r="P110">
        <f>'T_SelfStock'!N25</f>
        <v/>
      </c>
      <c r="Q110">
        <f>'T_SelfStock'!O25</f>
        <v/>
      </c>
      <c r="R110">
        <f>'T_SelfStock'!P25</f>
        <v/>
      </c>
      <c r="S110">
        <f>'T_SelfStock'!Q25</f>
        <v/>
      </c>
      <c r="T110">
        <f>'T_SelfStock'!R25</f>
        <v/>
      </c>
      <c r="U110">
        <f>'T_SelfStock'!S25</f>
        <v/>
      </c>
      <c r="V110">
        <f>'T_SelfStock'!T25</f>
        <v/>
      </c>
      <c r="W110">
        <f>'T_SelfStock'!U25</f>
        <v/>
      </c>
      <c r="X110">
        <f>'T_SelfStock'!V25</f>
        <v/>
      </c>
      <c r="Y110">
        <f>'T_SelfStock'!W25</f>
        <v/>
      </c>
      <c r="Z110">
        <f>'T_SelfStock'!X25</f>
        <v/>
      </c>
      <c r="AA110">
        <f>'T_SelfStock'!Y25</f>
        <v/>
      </c>
      <c r="AB110">
        <f>'T_SelfStock'!Z25</f>
        <v/>
      </c>
      <c r="AC110">
        <f>'T_SelfStock'!AA25</f>
        <v/>
      </c>
      <c r="AD110">
        <f>'T_SelfStock'!AB25</f>
        <v/>
      </c>
      <c r="AE110">
        <f>'T_SelfStock'!AC25</f>
        <v/>
      </c>
      <c r="AF110">
        <f>'T_SelfStock'!AD25</f>
        <v/>
      </c>
      <c r="AG110">
        <f>'T_SelfStock'!AE25</f>
        <v/>
      </c>
      <c r="AH110">
        <f>'T_SelfStock'!AF25</f>
        <v/>
      </c>
      <c r="AI110">
        <f>'T_SelfStock'!AG25</f>
        <v/>
      </c>
      <c r="AJ110">
        <f>'T_SelfStock'!AH25</f>
        <v/>
      </c>
      <c r="AK110">
        <f>'T_SelfStock'!AI25</f>
        <v/>
      </c>
      <c r="AL110">
        <f>'T_SelfStock'!AJ25</f>
        <v/>
      </c>
      <c r="AM110">
        <f>'T_SelfStock'!AK25</f>
        <v/>
      </c>
      <c r="AN110">
        <f>'T_SelfStock'!AL25</f>
        <v/>
      </c>
      <c r="AO110">
        <f>'T_SelfStock'!AM25</f>
        <v/>
      </c>
      <c r="AP110">
        <f>'T_SelfStock'!AN25</f>
        <v/>
      </c>
      <c r="AQ110">
        <f>'T_SelfStock'!AO25</f>
        <v/>
      </c>
      <c r="AR110">
        <f>'T_SelfStock'!AP25</f>
        <v/>
      </c>
      <c r="AS110">
        <f>'T_SelfStock'!AQ25</f>
        <v/>
      </c>
      <c r="AT110">
        <f>'T_SelfStock'!AR25</f>
        <v/>
      </c>
      <c r="AU110">
        <f>'T_SelfStock'!AS25</f>
        <v/>
      </c>
      <c r="AV110">
        <f>'T_SelfStock'!AT25</f>
        <v/>
      </c>
      <c r="AW110">
        <f>'T_SelfStock'!AU25</f>
        <v/>
      </c>
      <c r="AX110">
        <f>'T_SelfStock'!AV25</f>
        <v/>
      </c>
      <c r="AY110">
        <f>'T_SelfStock'!AW25</f>
        <v/>
      </c>
      <c r="AZ110">
        <f>'T_SelfStock'!AX25</f>
        <v/>
      </c>
      <c r="BA110">
        <f>'T_SelfStock'!AY25</f>
        <v/>
      </c>
      <c r="BB110">
        <f>'T_SelfStock'!AZ25</f>
        <v/>
      </c>
      <c r="BC110">
        <f>'T_SelfStock'!BA25</f>
        <v/>
      </c>
      <c r="BD110">
        <f>'T_SelfStock'!BB25</f>
        <v/>
      </c>
      <c r="BE110">
        <f>'T_SelfStock'!BC25</f>
        <v/>
      </c>
      <c r="BF110">
        <f>'T_SelfStock'!BD25</f>
        <v/>
      </c>
      <c r="BG110">
        <f>'T_SelfStock'!BE25</f>
        <v/>
      </c>
      <c r="BH110">
        <f>'T_SelfStock'!BF25</f>
        <v/>
      </c>
      <c r="BI110">
        <f>'T_SelfStock'!BG25</f>
        <v/>
      </c>
      <c r="BJ110">
        <f>'T_SelfStock'!BH25</f>
        <v/>
      </c>
      <c r="BK110">
        <f>'T_SelfStock'!BI25</f>
        <v/>
      </c>
      <c r="BL110">
        <f>'T_SelfStock'!BJ25</f>
        <v/>
      </c>
      <c r="BM110">
        <f>'T_SelfStock'!BK25</f>
        <v/>
      </c>
      <c r="BN110">
        <f>'T_SelfStock'!BL25</f>
        <v/>
      </c>
      <c r="BO110">
        <f>'T_SelfStock'!BM25</f>
        <v/>
      </c>
      <c r="BP110">
        <f>'T_SelfStock'!BN25</f>
        <v/>
      </c>
      <c r="BQ110">
        <f>'T_SelfStock'!BO25</f>
        <v/>
      </c>
      <c r="BR110">
        <f>'T_SelfStock'!BP25</f>
        <v/>
      </c>
      <c r="BS110">
        <f>'T_SelfStock'!BQ25</f>
        <v/>
      </c>
      <c r="BT110">
        <f>'T_SelfStock'!BR25</f>
        <v/>
      </c>
      <c r="BU110">
        <f>'T_SelfStock'!BS25</f>
        <v/>
      </c>
      <c r="BV110">
        <f>'T_SelfStock'!BT25</f>
        <v/>
      </c>
      <c r="BW110">
        <f>'T_SelfStock'!BU25</f>
        <v/>
      </c>
      <c r="BX110">
        <f>'T_SelfStock'!BV25</f>
        <v/>
      </c>
      <c r="BY110">
        <f>'T_SelfStock'!BW25</f>
        <v/>
      </c>
      <c r="BZ110">
        <f>'T_SelfStock'!BX25</f>
        <v/>
      </c>
      <c r="CA110">
        <f>'T_SelfStock'!BY25</f>
        <v/>
      </c>
      <c r="CB110">
        <f>'T_SelfStock'!BZ25</f>
        <v/>
      </c>
      <c r="CC110">
        <f>'T_SelfStock'!CA25</f>
        <v/>
      </c>
      <c r="CD110">
        <f>'T_SelfStock'!CB25</f>
        <v/>
      </c>
      <c r="CE110">
        <f>'T_SelfStock'!CC25</f>
        <v/>
      </c>
      <c r="CF110">
        <f>'T_SelfStock'!CD25</f>
        <v/>
      </c>
      <c r="CG110">
        <f>'T_SelfStock'!CE25</f>
        <v/>
      </c>
      <c r="CH110">
        <f>'T_SelfStock'!CF25</f>
        <v/>
      </c>
      <c r="CI110">
        <f>'T_SelfStock'!CG25</f>
        <v/>
      </c>
      <c r="CJ110">
        <f>'T_SelfStock'!CH25</f>
        <v/>
      </c>
      <c r="CK110">
        <f>'T_SelfStock'!CI25</f>
        <v/>
      </c>
      <c r="CL110">
        <f>'T_SelfStock'!CJ25</f>
        <v/>
      </c>
      <c r="CM110">
        <f>'T_SelfStock'!CK25</f>
        <v/>
      </c>
      <c r="CN110">
        <f>'T_SelfStock'!CL25</f>
        <v/>
      </c>
      <c r="CO110">
        <f>'T_SelfStock'!CM25</f>
        <v/>
      </c>
      <c r="CP110">
        <f>'T_SelfStock'!CN25</f>
        <v/>
      </c>
      <c r="CQ110">
        <f>'T_SelfStock'!CO25</f>
        <v/>
      </c>
      <c r="CR110">
        <f>'T_SelfStock'!CP25</f>
        <v/>
      </c>
      <c r="CS110">
        <f>'T_SelfStock'!CQ25</f>
        <v/>
      </c>
      <c r="CT110">
        <f>'T_SelfStock'!CR25</f>
        <v/>
      </c>
      <c r="CU110">
        <f>'T_SelfStock'!CS25</f>
        <v/>
      </c>
      <c r="CV110">
        <f>'T_SelfStock'!CT25</f>
        <v/>
      </c>
      <c r="CW110">
        <f>'T_SelfStock'!CU25</f>
        <v/>
      </c>
      <c r="CX110">
        <f>'T_SelfStock'!CV25</f>
        <v/>
      </c>
      <c r="CY110">
        <f>'T_SelfStock'!CW25</f>
        <v/>
      </c>
      <c r="CZ110">
        <f>'T_SelfStock'!CX25</f>
        <v/>
      </c>
      <c r="DA110">
        <f>'T_SelfStock'!CY25</f>
        <v/>
      </c>
      <c r="DB110">
        <f>'T_SelfStock'!CZ25</f>
        <v/>
      </c>
      <c r="DC110">
        <f>'T_SelfStock'!DA25</f>
        <v/>
      </c>
    </row>
    <row r="111">
      <c r="B111" t="inlineStr">
        <is>
          <t>Order(発注予定,kg)</t>
        </is>
      </c>
      <c r="D111">
        <f>IF(SUMIFS(T_PlannedOrders[EffectiveQty],T_PlannedOrders[Part Name],$A105,T_PlannedOrders[WeekIndex],1)=0,"",SUMIFS(T_PlannedOrders[EffectiveQty],T_PlannedOrders[Part Name],$A105,T_PlannedOrders[WeekIndex],1)&amp;" ("&amp;TEXT(SUMPRODUCT(MAX((T_PlannedOrders[Part Name]=$A105)*(T_PlannedOrders[WeekIndex]=1)*(T_PlannedOrders[EffectiveQty]&gt;0)*T_PlannedOrders[Order_Month])),"m月")&amp;"発注)")</f>
        <v/>
      </c>
      <c r="E111">
        <f>IF(SUMIFS(T_PlannedOrders[EffectiveQty],T_PlannedOrders[Part Name],$A105,T_PlannedOrders[WeekIndex],2)=0,"",SUMIFS(T_PlannedOrders[EffectiveQty],T_PlannedOrders[Part Name],$A105,T_PlannedOrders[WeekIndex],2)&amp;" ("&amp;TEXT(SUMPRODUCT(MAX((T_PlannedOrders[Part Name]=$A105)*(T_PlannedOrders[WeekIndex]=2)*(T_PlannedOrders[EffectiveQty]&gt;0)*T_PlannedOrders[Order_Month])),"m月")&amp;"発注)")</f>
        <v/>
      </c>
      <c r="F111">
        <f>IF(SUMIFS(T_PlannedOrders[EffectiveQty],T_PlannedOrders[Part Name],$A105,T_PlannedOrders[WeekIndex],3)=0,"",SUMIFS(T_PlannedOrders[EffectiveQty],T_PlannedOrders[Part Name],$A105,T_PlannedOrders[WeekIndex],3)&amp;" ("&amp;TEXT(SUMPRODUCT(MAX((T_PlannedOrders[Part Name]=$A105)*(T_PlannedOrders[WeekIndex]=3)*(T_PlannedOrders[EffectiveQty]&gt;0)*T_PlannedOrders[Order_Month])),"m月")&amp;"発注)")</f>
        <v/>
      </c>
      <c r="G111">
        <f>IF(SUMIFS(T_PlannedOrders[EffectiveQty],T_PlannedOrders[Part Name],$A105,T_PlannedOrders[WeekIndex],4)=0,"",SUMIFS(T_PlannedOrders[EffectiveQty],T_PlannedOrders[Part Name],$A105,T_PlannedOrders[WeekIndex],4)&amp;" ("&amp;TEXT(SUMPRODUCT(MAX((T_PlannedOrders[Part Name]=$A105)*(T_PlannedOrders[WeekIndex]=4)*(T_PlannedOrders[EffectiveQty]&gt;0)*T_PlannedOrders[Order_Month])),"m月")&amp;"発注)")</f>
        <v/>
      </c>
      <c r="H111">
        <f>IF(SUMIFS(T_PlannedOrders[EffectiveQty],T_PlannedOrders[Part Name],$A105,T_PlannedOrders[WeekIndex],5)=0,"",SUMIFS(T_PlannedOrders[EffectiveQty],T_PlannedOrders[Part Name],$A105,T_PlannedOrders[WeekIndex],5)&amp;" ("&amp;TEXT(SUMPRODUCT(MAX((T_PlannedOrders[Part Name]=$A105)*(T_PlannedOrders[WeekIndex]=5)*(T_PlannedOrders[EffectiveQty]&gt;0)*T_PlannedOrders[Order_Month])),"m月")&amp;"発注)")</f>
        <v/>
      </c>
      <c r="I111">
        <f>IF(SUMIFS(T_PlannedOrders[EffectiveQty],T_PlannedOrders[Part Name],$A105,T_PlannedOrders[WeekIndex],6)=0,"",SUMIFS(T_PlannedOrders[EffectiveQty],T_PlannedOrders[Part Name],$A105,T_PlannedOrders[WeekIndex],6)&amp;" ("&amp;TEXT(SUMPRODUCT(MAX((T_PlannedOrders[Part Name]=$A105)*(T_PlannedOrders[WeekIndex]=6)*(T_PlannedOrders[EffectiveQty]&gt;0)*T_PlannedOrders[Order_Month])),"m月")&amp;"発注)")</f>
        <v/>
      </c>
      <c r="J111">
        <f>IF(SUMIFS(T_PlannedOrders[EffectiveQty],T_PlannedOrders[Part Name],$A105,T_PlannedOrders[WeekIndex],7)=0,"",SUMIFS(T_PlannedOrders[EffectiveQty],T_PlannedOrders[Part Name],$A105,T_PlannedOrders[WeekIndex],7)&amp;" ("&amp;TEXT(SUMPRODUCT(MAX((T_PlannedOrders[Part Name]=$A105)*(T_PlannedOrders[WeekIndex]=7)*(T_PlannedOrders[EffectiveQty]&gt;0)*T_PlannedOrders[Order_Month])),"m月")&amp;"発注)")</f>
        <v/>
      </c>
      <c r="K111">
        <f>IF(SUMIFS(T_PlannedOrders[EffectiveQty],T_PlannedOrders[Part Name],$A105,T_PlannedOrders[WeekIndex],8)=0,"",SUMIFS(T_PlannedOrders[EffectiveQty],T_PlannedOrders[Part Name],$A105,T_PlannedOrders[WeekIndex],8)&amp;" ("&amp;TEXT(SUMPRODUCT(MAX((T_PlannedOrders[Part Name]=$A105)*(T_PlannedOrders[WeekIndex]=8)*(T_PlannedOrders[EffectiveQty]&gt;0)*T_PlannedOrders[Order_Month])),"m月")&amp;"発注)")</f>
        <v/>
      </c>
      <c r="L111">
        <f>IF(SUMIFS(T_PlannedOrders[EffectiveQty],T_PlannedOrders[Part Name],$A105,T_PlannedOrders[WeekIndex],9)=0,"",SUMIFS(T_PlannedOrders[EffectiveQty],T_PlannedOrders[Part Name],$A105,T_PlannedOrders[WeekIndex],9)&amp;" ("&amp;TEXT(SUMPRODUCT(MAX((T_PlannedOrders[Part Name]=$A105)*(T_PlannedOrders[WeekIndex]=9)*(T_PlannedOrders[EffectiveQty]&gt;0)*T_PlannedOrders[Order_Month])),"m月")&amp;"発注)")</f>
        <v/>
      </c>
      <c r="M111">
        <f>IF(SUMIFS(T_PlannedOrders[EffectiveQty],T_PlannedOrders[Part Name],$A105,T_PlannedOrders[WeekIndex],10)=0,"",SUMIFS(T_PlannedOrders[EffectiveQty],T_PlannedOrders[Part Name],$A105,T_PlannedOrders[WeekIndex],10)&amp;" ("&amp;TEXT(SUMPRODUCT(MAX((T_PlannedOrders[Part Name]=$A105)*(T_PlannedOrders[WeekIndex]=10)*(T_PlannedOrders[EffectiveQty]&gt;0)*T_PlannedOrders[Order_Month])),"m月")&amp;"発注)")</f>
        <v/>
      </c>
      <c r="N111">
        <f>IF(SUMIFS(T_PlannedOrders[EffectiveQty],T_PlannedOrders[Part Name],$A105,T_PlannedOrders[WeekIndex],11)=0,"",SUMIFS(T_PlannedOrders[EffectiveQty],T_PlannedOrders[Part Name],$A105,T_PlannedOrders[WeekIndex],11)&amp;" ("&amp;TEXT(SUMPRODUCT(MAX((T_PlannedOrders[Part Name]=$A105)*(T_PlannedOrders[WeekIndex]=11)*(T_PlannedOrders[EffectiveQty]&gt;0)*T_PlannedOrders[Order_Month])),"m月")&amp;"発注)")</f>
        <v/>
      </c>
      <c r="O111">
        <f>IF(SUMIFS(T_PlannedOrders[EffectiveQty],T_PlannedOrders[Part Name],$A105,T_PlannedOrders[WeekIndex],12)=0,"",SUMIFS(T_PlannedOrders[EffectiveQty],T_PlannedOrders[Part Name],$A105,T_PlannedOrders[WeekIndex],12)&amp;" ("&amp;TEXT(SUMPRODUCT(MAX((T_PlannedOrders[Part Name]=$A105)*(T_PlannedOrders[WeekIndex]=12)*(T_PlannedOrders[EffectiveQty]&gt;0)*T_PlannedOrders[Order_Month])),"m月")&amp;"発注)")</f>
        <v/>
      </c>
      <c r="P111">
        <f>IF(SUMIFS(T_PlannedOrders[EffectiveQty],T_PlannedOrders[Part Name],$A105,T_PlannedOrders[WeekIndex],13)=0,"",SUMIFS(T_PlannedOrders[EffectiveQty],T_PlannedOrders[Part Name],$A105,T_PlannedOrders[WeekIndex],13)&amp;" ("&amp;TEXT(SUMPRODUCT(MAX((T_PlannedOrders[Part Name]=$A105)*(T_PlannedOrders[WeekIndex]=13)*(T_PlannedOrders[EffectiveQty]&gt;0)*T_PlannedOrders[Order_Month])),"m月")&amp;"発注)")</f>
        <v/>
      </c>
      <c r="Q111">
        <f>IF(SUMIFS(T_PlannedOrders[EffectiveQty],T_PlannedOrders[Part Name],$A105,T_PlannedOrders[WeekIndex],14)=0,"",SUMIFS(T_PlannedOrders[EffectiveQty],T_PlannedOrders[Part Name],$A105,T_PlannedOrders[WeekIndex],14)&amp;" ("&amp;TEXT(SUMPRODUCT(MAX((T_PlannedOrders[Part Name]=$A105)*(T_PlannedOrders[WeekIndex]=14)*(T_PlannedOrders[EffectiveQty]&gt;0)*T_PlannedOrders[Order_Month])),"m月")&amp;"発注)")</f>
        <v/>
      </c>
      <c r="R111">
        <f>IF(SUMIFS(T_PlannedOrders[EffectiveQty],T_PlannedOrders[Part Name],$A105,T_PlannedOrders[WeekIndex],15)=0,"",SUMIFS(T_PlannedOrders[EffectiveQty],T_PlannedOrders[Part Name],$A105,T_PlannedOrders[WeekIndex],15)&amp;" ("&amp;TEXT(SUMPRODUCT(MAX((T_PlannedOrders[Part Name]=$A105)*(T_PlannedOrders[WeekIndex]=15)*(T_PlannedOrders[EffectiveQty]&gt;0)*T_PlannedOrders[Order_Month])),"m月")&amp;"発注)")</f>
        <v/>
      </c>
      <c r="S111">
        <f>IF(SUMIFS(T_PlannedOrders[EffectiveQty],T_PlannedOrders[Part Name],$A105,T_PlannedOrders[WeekIndex],16)=0,"",SUMIFS(T_PlannedOrders[EffectiveQty],T_PlannedOrders[Part Name],$A105,T_PlannedOrders[WeekIndex],16)&amp;" ("&amp;TEXT(SUMPRODUCT(MAX((T_PlannedOrders[Part Name]=$A105)*(T_PlannedOrders[WeekIndex]=16)*(T_PlannedOrders[EffectiveQty]&gt;0)*T_PlannedOrders[Order_Month])),"m月")&amp;"発注)")</f>
        <v/>
      </c>
      <c r="T111">
        <f>IF(SUMIFS(T_PlannedOrders[EffectiveQty],T_PlannedOrders[Part Name],$A105,T_PlannedOrders[WeekIndex],17)=0,"",SUMIFS(T_PlannedOrders[EffectiveQty],T_PlannedOrders[Part Name],$A105,T_PlannedOrders[WeekIndex],17)&amp;" ("&amp;TEXT(SUMPRODUCT(MAX((T_PlannedOrders[Part Name]=$A105)*(T_PlannedOrders[WeekIndex]=17)*(T_PlannedOrders[EffectiveQty]&gt;0)*T_PlannedOrders[Order_Month])),"m月")&amp;"発注)")</f>
        <v/>
      </c>
      <c r="U111">
        <f>IF(SUMIFS(T_PlannedOrders[EffectiveQty],T_PlannedOrders[Part Name],$A105,T_PlannedOrders[WeekIndex],18)=0,"",SUMIFS(T_PlannedOrders[EffectiveQty],T_PlannedOrders[Part Name],$A105,T_PlannedOrders[WeekIndex],18)&amp;" ("&amp;TEXT(SUMPRODUCT(MAX((T_PlannedOrders[Part Name]=$A105)*(T_PlannedOrders[WeekIndex]=18)*(T_PlannedOrders[EffectiveQty]&gt;0)*T_PlannedOrders[Order_Month])),"m月")&amp;"発注)")</f>
        <v/>
      </c>
      <c r="V111">
        <f>IF(SUMIFS(T_PlannedOrders[EffectiveQty],T_PlannedOrders[Part Name],$A105,T_PlannedOrders[WeekIndex],19)=0,"",SUMIFS(T_PlannedOrders[EffectiveQty],T_PlannedOrders[Part Name],$A105,T_PlannedOrders[WeekIndex],19)&amp;" ("&amp;TEXT(SUMPRODUCT(MAX((T_PlannedOrders[Part Name]=$A105)*(T_PlannedOrders[WeekIndex]=19)*(T_PlannedOrders[EffectiveQty]&gt;0)*T_PlannedOrders[Order_Month])),"m月")&amp;"発注)")</f>
        <v/>
      </c>
      <c r="W111">
        <f>IF(SUMIFS(T_PlannedOrders[EffectiveQty],T_PlannedOrders[Part Name],$A105,T_PlannedOrders[WeekIndex],20)=0,"",SUMIFS(T_PlannedOrders[EffectiveQty],T_PlannedOrders[Part Name],$A105,T_PlannedOrders[WeekIndex],20)&amp;" ("&amp;TEXT(SUMPRODUCT(MAX((T_PlannedOrders[Part Name]=$A105)*(T_PlannedOrders[WeekIndex]=20)*(T_PlannedOrders[EffectiveQty]&gt;0)*T_PlannedOrders[Order_Month])),"m月")&amp;"発注)")</f>
        <v/>
      </c>
      <c r="X111">
        <f>IF(SUMIFS(T_PlannedOrders[EffectiveQty],T_PlannedOrders[Part Name],$A105,T_PlannedOrders[WeekIndex],21)=0,"",SUMIFS(T_PlannedOrders[EffectiveQty],T_PlannedOrders[Part Name],$A105,T_PlannedOrders[WeekIndex],21)&amp;" ("&amp;TEXT(SUMPRODUCT(MAX((T_PlannedOrders[Part Name]=$A105)*(T_PlannedOrders[WeekIndex]=21)*(T_PlannedOrders[EffectiveQty]&gt;0)*T_PlannedOrders[Order_Month])),"m月")&amp;"発注)")</f>
        <v/>
      </c>
      <c r="Y111">
        <f>IF(SUMIFS(T_PlannedOrders[EffectiveQty],T_PlannedOrders[Part Name],$A105,T_PlannedOrders[WeekIndex],22)=0,"",SUMIFS(T_PlannedOrders[EffectiveQty],T_PlannedOrders[Part Name],$A105,T_PlannedOrders[WeekIndex],22)&amp;" ("&amp;TEXT(SUMPRODUCT(MAX((T_PlannedOrders[Part Name]=$A105)*(T_PlannedOrders[WeekIndex]=22)*(T_PlannedOrders[EffectiveQty]&gt;0)*T_PlannedOrders[Order_Month])),"m月")&amp;"発注)")</f>
        <v/>
      </c>
      <c r="Z111">
        <f>IF(SUMIFS(T_PlannedOrders[EffectiveQty],T_PlannedOrders[Part Name],$A105,T_PlannedOrders[WeekIndex],23)=0,"",SUMIFS(T_PlannedOrders[EffectiveQty],T_PlannedOrders[Part Name],$A105,T_PlannedOrders[WeekIndex],23)&amp;" ("&amp;TEXT(SUMPRODUCT(MAX((T_PlannedOrders[Part Name]=$A105)*(T_PlannedOrders[WeekIndex]=23)*(T_PlannedOrders[EffectiveQty]&gt;0)*T_PlannedOrders[Order_Month])),"m月")&amp;"発注)")</f>
        <v/>
      </c>
      <c r="AA111">
        <f>IF(SUMIFS(T_PlannedOrders[EffectiveQty],T_PlannedOrders[Part Name],$A105,T_PlannedOrders[WeekIndex],24)=0,"",SUMIFS(T_PlannedOrders[EffectiveQty],T_PlannedOrders[Part Name],$A105,T_PlannedOrders[WeekIndex],24)&amp;" ("&amp;TEXT(SUMPRODUCT(MAX((T_PlannedOrders[Part Name]=$A105)*(T_PlannedOrders[WeekIndex]=24)*(T_PlannedOrders[EffectiveQty]&gt;0)*T_PlannedOrders[Order_Month])),"m月")&amp;"発注)")</f>
        <v/>
      </c>
      <c r="AB111">
        <f>IF(SUMIFS(T_PlannedOrders[EffectiveQty],T_PlannedOrders[Part Name],$A105,T_PlannedOrders[WeekIndex],25)=0,"",SUMIFS(T_PlannedOrders[EffectiveQty],T_PlannedOrders[Part Name],$A105,T_PlannedOrders[WeekIndex],25)&amp;" ("&amp;TEXT(SUMPRODUCT(MAX((T_PlannedOrders[Part Name]=$A105)*(T_PlannedOrders[WeekIndex]=25)*(T_PlannedOrders[EffectiveQty]&gt;0)*T_PlannedOrders[Order_Month])),"m月")&amp;"発注)")</f>
        <v/>
      </c>
      <c r="AC111">
        <f>IF(SUMIFS(T_PlannedOrders[EffectiveQty],T_PlannedOrders[Part Name],$A105,T_PlannedOrders[WeekIndex],26)=0,"",SUMIFS(T_PlannedOrders[EffectiveQty],T_PlannedOrders[Part Name],$A105,T_PlannedOrders[WeekIndex],26)&amp;" ("&amp;TEXT(SUMPRODUCT(MAX((T_PlannedOrders[Part Name]=$A105)*(T_PlannedOrders[WeekIndex]=26)*(T_PlannedOrders[EffectiveQty]&gt;0)*T_PlannedOrders[Order_Month])),"m月")&amp;"発注)")</f>
        <v/>
      </c>
      <c r="AD111">
        <f>IF(SUMIFS(T_PlannedOrders[EffectiveQty],T_PlannedOrders[Part Name],$A105,T_PlannedOrders[WeekIndex],27)=0,"",SUMIFS(T_PlannedOrders[EffectiveQty],T_PlannedOrders[Part Name],$A105,T_PlannedOrders[WeekIndex],27)&amp;" ("&amp;TEXT(SUMPRODUCT(MAX((T_PlannedOrders[Part Name]=$A105)*(T_PlannedOrders[WeekIndex]=27)*(T_PlannedOrders[EffectiveQty]&gt;0)*T_PlannedOrders[Order_Month])),"m月")&amp;"発注)")</f>
        <v/>
      </c>
      <c r="AE111">
        <f>IF(SUMIFS(T_PlannedOrders[EffectiveQty],T_PlannedOrders[Part Name],$A105,T_PlannedOrders[WeekIndex],28)=0,"",SUMIFS(T_PlannedOrders[EffectiveQty],T_PlannedOrders[Part Name],$A105,T_PlannedOrders[WeekIndex],28)&amp;" ("&amp;TEXT(SUMPRODUCT(MAX((T_PlannedOrders[Part Name]=$A105)*(T_PlannedOrders[WeekIndex]=28)*(T_PlannedOrders[EffectiveQty]&gt;0)*T_PlannedOrders[Order_Month])),"m月")&amp;"発注)")</f>
        <v/>
      </c>
      <c r="AF111">
        <f>IF(SUMIFS(T_PlannedOrders[EffectiveQty],T_PlannedOrders[Part Name],$A105,T_PlannedOrders[WeekIndex],29)=0,"",SUMIFS(T_PlannedOrders[EffectiveQty],T_PlannedOrders[Part Name],$A105,T_PlannedOrders[WeekIndex],29)&amp;" ("&amp;TEXT(SUMPRODUCT(MAX((T_PlannedOrders[Part Name]=$A105)*(T_PlannedOrders[WeekIndex]=29)*(T_PlannedOrders[EffectiveQty]&gt;0)*T_PlannedOrders[Order_Month])),"m月")&amp;"発注)")</f>
        <v/>
      </c>
      <c r="AG111">
        <f>IF(SUMIFS(T_PlannedOrders[EffectiveQty],T_PlannedOrders[Part Name],$A105,T_PlannedOrders[WeekIndex],30)=0,"",SUMIFS(T_PlannedOrders[EffectiveQty],T_PlannedOrders[Part Name],$A105,T_PlannedOrders[WeekIndex],30)&amp;" ("&amp;TEXT(SUMPRODUCT(MAX((T_PlannedOrders[Part Name]=$A105)*(T_PlannedOrders[WeekIndex]=30)*(T_PlannedOrders[EffectiveQty]&gt;0)*T_PlannedOrders[Order_Month])),"m月")&amp;"発注)")</f>
        <v/>
      </c>
      <c r="AH111">
        <f>IF(SUMIFS(T_PlannedOrders[EffectiveQty],T_PlannedOrders[Part Name],$A105,T_PlannedOrders[WeekIndex],31)=0,"",SUMIFS(T_PlannedOrders[EffectiveQty],T_PlannedOrders[Part Name],$A105,T_PlannedOrders[WeekIndex],31)&amp;" ("&amp;TEXT(SUMPRODUCT(MAX((T_PlannedOrders[Part Name]=$A105)*(T_PlannedOrders[WeekIndex]=31)*(T_PlannedOrders[EffectiveQty]&gt;0)*T_PlannedOrders[Order_Month])),"m月")&amp;"発注)")</f>
        <v/>
      </c>
      <c r="AI111">
        <f>IF(SUMIFS(T_PlannedOrders[EffectiveQty],T_PlannedOrders[Part Name],$A105,T_PlannedOrders[WeekIndex],32)=0,"",SUMIFS(T_PlannedOrders[EffectiveQty],T_PlannedOrders[Part Name],$A105,T_PlannedOrders[WeekIndex],32)&amp;" ("&amp;TEXT(SUMPRODUCT(MAX((T_PlannedOrders[Part Name]=$A105)*(T_PlannedOrders[WeekIndex]=32)*(T_PlannedOrders[EffectiveQty]&gt;0)*T_PlannedOrders[Order_Month])),"m月")&amp;"発注)")</f>
        <v/>
      </c>
      <c r="AJ111">
        <f>IF(SUMIFS(T_PlannedOrders[EffectiveQty],T_PlannedOrders[Part Name],$A105,T_PlannedOrders[WeekIndex],33)=0,"",SUMIFS(T_PlannedOrders[EffectiveQty],T_PlannedOrders[Part Name],$A105,T_PlannedOrders[WeekIndex],33)&amp;" ("&amp;TEXT(SUMPRODUCT(MAX((T_PlannedOrders[Part Name]=$A105)*(T_PlannedOrders[WeekIndex]=33)*(T_PlannedOrders[EffectiveQty]&gt;0)*T_PlannedOrders[Order_Month])),"m月")&amp;"発注)")</f>
        <v/>
      </c>
      <c r="AK111">
        <f>IF(SUMIFS(T_PlannedOrders[EffectiveQty],T_PlannedOrders[Part Name],$A105,T_PlannedOrders[WeekIndex],34)=0,"",SUMIFS(T_PlannedOrders[EffectiveQty],T_PlannedOrders[Part Name],$A105,T_PlannedOrders[WeekIndex],34)&amp;" ("&amp;TEXT(SUMPRODUCT(MAX((T_PlannedOrders[Part Name]=$A105)*(T_PlannedOrders[WeekIndex]=34)*(T_PlannedOrders[EffectiveQty]&gt;0)*T_PlannedOrders[Order_Month])),"m月")&amp;"発注)")</f>
        <v/>
      </c>
      <c r="AL111">
        <f>IF(SUMIFS(T_PlannedOrders[EffectiveQty],T_PlannedOrders[Part Name],$A105,T_PlannedOrders[WeekIndex],35)=0,"",SUMIFS(T_PlannedOrders[EffectiveQty],T_PlannedOrders[Part Name],$A105,T_PlannedOrders[WeekIndex],35)&amp;" ("&amp;TEXT(SUMPRODUCT(MAX((T_PlannedOrders[Part Name]=$A105)*(T_PlannedOrders[WeekIndex]=35)*(T_PlannedOrders[EffectiveQty]&gt;0)*T_PlannedOrders[Order_Month])),"m月")&amp;"発注)")</f>
        <v/>
      </c>
      <c r="AM111">
        <f>IF(SUMIFS(T_PlannedOrders[EffectiveQty],T_PlannedOrders[Part Name],$A105,T_PlannedOrders[WeekIndex],36)=0,"",SUMIFS(T_PlannedOrders[EffectiveQty],T_PlannedOrders[Part Name],$A105,T_PlannedOrders[WeekIndex],36)&amp;" ("&amp;TEXT(SUMPRODUCT(MAX((T_PlannedOrders[Part Name]=$A105)*(T_PlannedOrders[WeekIndex]=36)*(T_PlannedOrders[EffectiveQty]&gt;0)*T_PlannedOrders[Order_Month])),"m月")&amp;"発注)")</f>
        <v/>
      </c>
      <c r="AN111">
        <f>IF(SUMIFS(T_PlannedOrders[EffectiveQty],T_PlannedOrders[Part Name],$A105,T_PlannedOrders[WeekIndex],37)=0,"",SUMIFS(T_PlannedOrders[EffectiveQty],T_PlannedOrders[Part Name],$A105,T_PlannedOrders[WeekIndex],37)&amp;" ("&amp;TEXT(SUMPRODUCT(MAX((T_PlannedOrders[Part Name]=$A105)*(T_PlannedOrders[WeekIndex]=37)*(T_PlannedOrders[EffectiveQty]&gt;0)*T_PlannedOrders[Order_Month])),"m月")&amp;"発注)")</f>
        <v/>
      </c>
      <c r="AO111">
        <f>IF(SUMIFS(T_PlannedOrders[EffectiveQty],T_PlannedOrders[Part Name],$A105,T_PlannedOrders[WeekIndex],38)=0,"",SUMIFS(T_PlannedOrders[EffectiveQty],T_PlannedOrders[Part Name],$A105,T_PlannedOrders[WeekIndex],38)&amp;" ("&amp;TEXT(SUMPRODUCT(MAX((T_PlannedOrders[Part Name]=$A105)*(T_PlannedOrders[WeekIndex]=38)*(T_PlannedOrders[EffectiveQty]&gt;0)*T_PlannedOrders[Order_Month])),"m月")&amp;"発注)")</f>
        <v/>
      </c>
      <c r="AP111">
        <f>IF(SUMIFS(T_PlannedOrders[EffectiveQty],T_PlannedOrders[Part Name],$A105,T_PlannedOrders[WeekIndex],39)=0,"",SUMIFS(T_PlannedOrders[EffectiveQty],T_PlannedOrders[Part Name],$A105,T_PlannedOrders[WeekIndex],39)&amp;" ("&amp;TEXT(SUMPRODUCT(MAX((T_PlannedOrders[Part Name]=$A105)*(T_PlannedOrders[WeekIndex]=39)*(T_PlannedOrders[EffectiveQty]&gt;0)*T_PlannedOrders[Order_Month])),"m月")&amp;"発注)")</f>
        <v/>
      </c>
      <c r="AQ111">
        <f>IF(SUMIFS(T_PlannedOrders[EffectiveQty],T_PlannedOrders[Part Name],$A105,T_PlannedOrders[WeekIndex],40)=0,"",SUMIFS(T_PlannedOrders[EffectiveQty],T_PlannedOrders[Part Name],$A105,T_PlannedOrders[WeekIndex],40)&amp;" ("&amp;TEXT(SUMPRODUCT(MAX((T_PlannedOrders[Part Name]=$A105)*(T_PlannedOrders[WeekIndex]=40)*(T_PlannedOrders[EffectiveQty]&gt;0)*T_PlannedOrders[Order_Month])),"m月")&amp;"発注)")</f>
        <v/>
      </c>
      <c r="AR111">
        <f>IF(SUMIFS(T_PlannedOrders[EffectiveQty],T_PlannedOrders[Part Name],$A105,T_PlannedOrders[WeekIndex],41)=0,"",SUMIFS(T_PlannedOrders[EffectiveQty],T_PlannedOrders[Part Name],$A105,T_PlannedOrders[WeekIndex],41)&amp;" ("&amp;TEXT(SUMPRODUCT(MAX((T_PlannedOrders[Part Name]=$A105)*(T_PlannedOrders[WeekIndex]=41)*(T_PlannedOrders[EffectiveQty]&gt;0)*T_PlannedOrders[Order_Month])),"m月")&amp;"発注)")</f>
        <v/>
      </c>
      <c r="AS111">
        <f>IF(SUMIFS(T_PlannedOrders[EffectiveQty],T_PlannedOrders[Part Name],$A105,T_PlannedOrders[WeekIndex],42)=0,"",SUMIFS(T_PlannedOrders[EffectiveQty],T_PlannedOrders[Part Name],$A105,T_PlannedOrders[WeekIndex],42)&amp;" ("&amp;TEXT(SUMPRODUCT(MAX((T_PlannedOrders[Part Name]=$A105)*(T_PlannedOrders[WeekIndex]=42)*(T_PlannedOrders[EffectiveQty]&gt;0)*T_PlannedOrders[Order_Month])),"m月")&amp;"発注)")</f>
        <v/>
      </c>
      <c r="AT111">
        <f>IF(SUMIFS(T_PlannedOrders[EffectiveQty],T_PlannedOrders[Part Name],$A105,T_PlannedOrders[WeekIndex],43)=0,"",SUMIFS(T_PlannedOrders[EffectiveQty],T_PlannedOrders[Part Name],$A105,T_PlannedOrders[WeekIndex],43)&amp;" ("&amp;TEXT(SUMPRODUCT(MAX((T_PlannedOrders[Part Name]=$A105)*(T_PlannedOrders[WeekIndex]=43)*(T_PlannedOrders[EffectiveQty]&gt;0)*T_PlannedOrders[Order_Month])),"m月")&amp;"発注)")</f>
        <v/>
      </c>
      <c r="AU111">
        <f>IF(SUMIFS(T_PlannedOrders[EffectiveQty],T_PlannedOrders[Part Name],$A105,T_PlannedOrders[WeekIndex],44)=0,"",SUMIFS(T_PlannedOrders[EffectiveQty],T_PlannedOrders[Part Name],$A105,T_PlannedOrders[WeekIndex],44)&amp;" ("&amp;TEXT(SUMPRODUCT(MAX((T_PlannedOrders[Part Name]=$A105)*(T_PlannedOrders[WeekIndex]=44)*(T_PlannedOrders[EffectiveQty]&gt;0)*T_PlannedOrders[Order_Month])),"m月")&amp;"発注)")</f>
        <v/>
      </c>
      <c r="AV111">
        <f>IF(SUMIFS(T_PlannedOrders[EffectiveQty],T_PlannedOrders[Part Name],$A105,T_PlannedOrders[WeekIndex],45)=0,"",SUMIFS(T_PlannedOrders[EffectiveQty],T_PlannedOrders[Part Name],$A105,T_PlannedOrders[WeekIndex],45)&amp;" ("&amp;TEXT(SUMPRODUCT(MAX((T_PlannedOrders[Part Name]=$A105)*(T_PlannedOrders[WeekIndex]=45)*(T_PlannedOrders[EffectiveQty]&gt;0)*T_PlannedOrders[Order_Month])),"m月")&amp;"発注)")</f>
        <v/>
      </c>
      <c r="AW111">
        <f>IF(SUMIFS(T_PlannedOrders[EffectiveQty],T_PlannedOrders[Part Name],$A105,T_PlannedOrders[WeekIndex],46)=0,"",SUMIFS(T_PlannedOrders[EffectiveQty],T_PlannedOrders[Part Name],$A105,T_PlannedOrders[WeekIndex],46)&amp;" ("&amp;TEXT(SUMPRODUCT(MAX((T_PlannedOrders[Part Name]=$A105)*(T_PlannedOrders[WeekIndex]=46)*(T_PlannedOrders[EffectiveQty]&gt;0)*T_PlannedOrders[Order_Month])),"m月")&amp;"発注)")</f>
        <v/>
      </c>
      <c r="AX111">
        <f>IF(SUMIFS(T_PlannedOrders[EffectiveQty],T_PlannedOrders[Part Name],$A105,T_PlannedOrders[WeekIndex],47)=0,"",SUMIFS(T_PlannedOrders[EffectiveQty],T_PlannedOrders[Part Name],$A105,T_PlannedOrders[WeekIndex],47)&amp;" ("&amp;TEXT(SUMPRODUCT(MAX((T_PlannedOrders[Part Name]=$A105)*(T_PlannedOrders[WeekIndex]=47)*(T_PlannedOrders[EffectiveQty]&gt;0)*T_PlannedOrders[Order_Month])),"m月")&amp;"発注)")</f>
        <v/>
      </c>
      <c r="AY111">
        <f>IF(SUMIFS(T_PlannedOrders[EffectiveQty],T_PlannedOrders[Part Name],$A105,T_PlannedOrders[WeekIndex],48)=0,"",SUMIFS(T_PlannedOrders[EffectiveQty],T_PlannedOrders[Part Name],$A105,T_PlannedOrders[WeekIndex],48)&amp;" ("&amp;TEXT(SUMPRODUCT(MAX((T_PlannedOrders[Part Name]=$A105)*(T_PlannedOrders[WeekIndex]=48)*(T_PlannedOrders[EffectiveQty]&gt;0)*T_PlannedOrders[Order_Month])),"m月")&amp;"発注)")</f>
        <v/>
      </c>
      <c r="AZ111">
        <f>IF(SUMIFS(T_PlannedOrders[EffectiveQty],T_PlannedOrders[Part Name],$A105,T_PlannedOrders[WeekIndex],49)=0,"",SUMIFS(T_PlannedOrders[EffectiveQty],T_PlannedOrders[Part Name],$A105,T_PlannedOrders[WeekIndex],49)&amp;" ("&amp;TEXT(SUMPRODUCT(MAX((T_PlannedOrders[Part Name]=$A105)*(T_PlannedOrders[WeekIndex]=49)*(T_PlannedOrders[EffectiveQty]&gt;0)*T_PlannedOrders[Order_Month])),"m月")&amp;"発注)")</f>
        <v/>
      </c>
      <c r="BA111">
        <f>IF(SUMIFS(T_PlannedOrders[EffectiveQty],T_PlannedOrders[Part Name],$A105,T_PlannedOrders[WeekIndex],50)=0,"",SUMIFS(T_PlannedOrders[EffectiveQty],T_PlannedOrders[Part Name],$A105,T_PlannedOrders[WeekIndex],50)&amp;" ("&amp;TEXT(SUMPRODUCT(MAX((T_PlannedOrders[Part Name]=$A105)*(T_PlannedOrders[WeekIndex]=50)*(T_PlannedOrders[EffectiveQty]&gt;0)*T_PlannedOrders[Order_Month])),"m月")&amp;"発注)")</f>
        <v/>
      </c>
      <c r="BB111">
        <f>IF(SUMIFS(T_PlannedOrders[EffectiveQty],T_PlannedOrders[Part Name],$A105,T_PlannedOrders[WeekIndex],51)=0,"",SUMIFS(T_PlannedOrders[EffectiveQty],T_PlannedOrders[Part Name],$A105,T_PlannedOrders[WeekIndex],51)&amp;" ("&amp;TEXT(SUMPRODUCT(MAX((T_PlannedOrders[Part Name]=$A105)*(T_PlannedOrders[WeekIndex]=51)*(T_PlannedOrders[EffectiveQty]&gt;0)*T_PlannedOrders[Order_Month])),"m月")&amp;"発注)")</f>
        <v/>
      </c>
      <c r="BC111">
        <f>IF(SUMIFS(T_PlannedOrders[EffectiveQty],T_PlannedOrders[Part Name],$A105,T_PlannedOrders[WeekIndex],52)=0,"",SUMIFS(T_PlannedOrders[EffectiveQty],T_PlannedOrders[Part Name],$A105,T_PlannedOrders[WeekIndex],52)&amp;" ("&amp;TEXT(SUMPRODUCT(MAX((T_PlannedOrders[Part Name]=$A105)*(T_PlannedOrders[WeekIndex]=52)*(T_PlannedOrders[EffectiveQty]&gt;0)*T_PlannedOrders[Order_Month])),"m月")&amp;"発注)")</f>
        <v/>
      </c>
      <c r="BD111">
        <f>IF(SUMIFS(T_PlannedOrders[EffectiveQty],T_PlannedOrders[Part Name],$A105,T_PlannedOrders[WeekIndex],53)=0,"",SUMIFS(T_PlannedOrders[EffectiveQty],T_PlannedOrders[Part Name],$A105,T_PlannedOrders[WeekIndex],53)&amp;" ("&amp;TEXT(SUMPRODUCT(MAX((T_PlannedOrders[Part Name]=$A105)*(T_PlannedOrders[WeekIndex]=53)*(T_PlannedOrders[EffectiveQty]&gt;0)*T_PlannedOrders[Order_Month])),"m月")&amp;"発注)")</f>
        <v/>
      </c>
      <c r="BE111">
        <f>IF(SUMIFS(T_PlannedOrders[EffectiveQty],T_PlannedOrders[Part Name],$A105,T_PlannedOrders[WeekIndex],54)=0,"",SUMIFS(T_PlannedOrders[EffectiveQty],T_PlannedOrders[Part Name],$A105,T_PlannedOrders[WeekIndex],54)&amp;" ("&amp;TEXT(SUMPRODUCT(MAX((T_PlannedOrders[Part Name]=$A105)*(T_PlannedOrders[WeekIndex]=54)*(T_PlannedOrders[EffectiveQty]&gt;0)*T_PlannedOrders[Order_Month])),"m月")&amp;"発注)")</f>
        <v/>
      </c>
      <c r="BF111">
        <f>IF(SUMIFS(T_PlannedOrders[EffectiveQty],T_PlannedOrders[Part Name],$A105,T_PlannedOrders[WeekIndex],55)=0,"",SUMIFS(T_PlannedOrders[EffectiveQty],T_PlannedOrders[Part Name],$A105,T_PlannedOrders[WeekIndex],55)&amp;" ("&amp;TEXT(SUMPRODUCT(MAX((T_PlannedOrders[Part Name]=$A105)*(T_PlannedOrders[WeekIndex]=55)*(T_PlannedOrders[EffectiveQty]&gt;0)*T_PlannedOrders[Order_Month])),"m月")&amp;"発注)")</f>
        <v/>
      </c>
      <c r="BG111">
        <f>IF(SUMIFS(T_PlannedOrders[EffectiveQty],T_PlannedOrders[Part Name],$A105,T_PlannedOrders[WeekIndex],56)=0,"",SUMIFS(T_PlannedOrders[EffectiveQty],T_PlannedOrders[Part Name],$A105,T_PlannedOrders[WeekIndex],56)&amp;" ("&amp;TEXT(SUMPRODUCT(MAX((T_PlannedOrders[Part Name]=$A105)*(T_PlannedOrders[WeekIndex]=56)*(T_PlannedOrders[EffectiveQty]&gt;0)*T_PlannedOrders[Order_Month])),"m月")&amp;"発注)")</f>
        <v/>
      </c>
      <c r="BH111">
        <f>IF(SUMIFS(T_PlannedOrders[EffectiveQty],T_PlannedOrders[Part Name],$A105,T_PlannedOrders[WeekIndex],57)=0,"",SUMIFS(T_PlannedOrders[EffectiveQty],T_PlannedOrders[Part Name],$A105,T_PlannedOrders[WeekIndex],57)&amp;" ("&amp;TEXT(SUMPRODUCT(MAX((T_PlannedOrders[Part Name]=$A105)*(T_PlannedOrders[WeekIndex]=57)*(T_PlannedOrders[EffectiveQty]&gt;0)*T_PlannedOrders[Order_Month])),"m月")&amp;"発注)")</f>
        <v/>
      </c>
      <c r="BI111">
        <f>IF(SUMIFS(T_PlannedOrders[EffectiveQty],T_PlannedOrders[Part Name],$A105,T_PlannedOrders[WeekIndex],58)=0,"",SUMIFS(T_PlannedOrders[EffectiveQty],T_PlannedOrders[Part Name],$A105,T_PlannedOrders[WeekIndex],58)&amp;" ("&amp;TEXT(SUMPRODUCT(MAX((T_PlannedOrders[Part Name]=$A105)*(T_PlannedOrders[WeekIndex]=58)*(T_PlannedOrders[EffectiveQty]&gt;0)*T_PlannedOrders[Order_Month])),"m月")&amp;"発注)")</f>
        <v/>
      </c>
      <c r="BJ111">
        <f>IF(SUMIFS(T_PlannedOrders[EffectiveQty],T_PlannedOrders[Part Name],$A105,T_PlannedOrders[WeekIndex],59)=0,"",SUMIFS(T_PlannedOrders[EffectiveQty],T_PlannedOrders[Part Name],$A105,T_PlannedOrders[WeekIndex],59)&amp;" ("&amp;TEXT(SUMPRODUCT(MAX((T_PlannedOrders[Part Name]=$A105)*(T_PlannedOrders[WeekIndex]=59)*(T_PlannedOrders[EffectiveQty]&gt;0)*T_PlannedOrders[Order_Month])),"m月")&amp;"発注)")</f>
        <v/>
      </c>
      <c r="BK111">
        <f>IF(SUMIFS(T_PlannedOrders[EffectiveQty],T_PlannedOrders[Part Name],$A105,T_PlannedOrders[WeekIndex],60)=0,"",SUMIFS(T_PlannedOrders[EffectiveQty],T_PlannedOrders[Part Name],$A105,T_PlannedOrders[WeekIndex],60)&amp;" ("&amp;TEXT(SUMPRODUCT(MAX((T_PlannedOrders[Part Name]=$A105)*(T_PlannedOrders[WeekIndex]=60)*(T_PlannedOrders[EffectiveQty]&gt;0)*T_PlannedOrders[Order_Month])),"m月")&amp;"発注)")</f>
        <v/>
      </c>
      <c r="BL111">
        <f>IF(SUMIFS(T_PlannedOrders[EffectiveQty],T_PlannedOrders[Part Name],$A105,T_PlannedOrders[WeekIndex],61)=0,"",SUMIFS(T_PlannedOrders[EffectiveQty],T_PlannedOrders[Part Name],$A105,T_PlannedOrders[WeekIndex],61)&amp;" ("&amp;TEXT(SUMPRODUCT(MAX((T_PlannedOrders[Part Name]=$A105)*(T_PlannedOrders[WeekIndex]=61)*(T_PlannedOrders[EffectiveQty]&gt;0)*T_PlannedOrders[Order_Month])),"m月")&amp;"発注)")</f>
        <v/>
      </c>
      <c r="BM111">
        <f>IF(SUMIFS(T_PlannedOrders[EffectiveQty],T_PlannedOrders[Part Name],$A105,T_PlannedOrders[WeekIndex],62)=0,"",SUMIFS(T_PlannedOrders[EffectiveQty],T_PlannedOrders[Part Name],$A105,T_PlannedOrders[WeekIndex],62)&amp;" ("&amp;TEXT(SUMPRODUCT(MAX((T_PlannedOrders[Part Name]=$A105)*(T_PlannedOrders[WeekIndex]=62)*(T_PlannedOrders[EffectiveQty]&gt;0)*T_PlannedOrders[Order_Month])),"m月")&amp;"発注)")</f>
        <v/>
      </c>
      <c r="BN111">
        <f>IF(SUMIFS(T_PlannedOrders[EffectiveQty],T_PlannedOrders[Part Name],$A105,T_PlannedOrders[WeekIndex],63)=0,"",SUMIFS(T_PlannedOrders[EffectiveQty],T_PlannedOrders[Part Name],$A105,T_PlannedOrders[WeekIndex],63)&amp;" ("&amp;TEXT(SUMPRODUCT(MAX((T_PlannedOrders[Part Name]=$A105)*(T_PlannedOrders[WeekIndex]=63)*(T_PlannedOrders[EffectiveQty]&gt;0)*T_PlannedOrders[Order_Month])),"m月")&amp;"発注)")</f>
        <v/>
      </c>
      <c r="BO111">
        <f>IF(SUMIFS(T_PlannedOrders[EffectiveQty],T_PlannedOrders[Part Name],$A105,T_PlannedOrders[WeekIndex],64)=0,"",SUMIFS(T_PlannedOrders[EffectiveQty],T_PlannedOrders[Part Name],$A105,T_PlannedOrders[WeekIndex],64)&amp;" ("&amp;TEXT(SUMPRODUCT(MAX((T_PlannedOrders[Part Name]=$A105)*(T_PlannedOrders[WeekIndex]=64)*(T_PlannedOrders[EffectiveQty]&gt;0)*T_PlannedOrders[Order_Month])),"m月")&amp;"発注)")</f>
        <v/>
      </c>
      <c r="BP111">
        <f>IF(SUMIFS(T_PlannedOrders[EffectiveQty],T_PlannedOrders[Part Name],$A105,T_PlannedOrders[WeekIndex],65)=0,"",SUMIFS(T_PlannedOrders[EffectiveQty],T_PlannedOrders[Part Name],$A105,T_PlannedOrders[WeekIndex],65)&amp;" ("&amp;TEXT(SUMPRODUCT(MAX((T_PlannedOrders[Part Name]=$A105)*(T_PlannedOrders[WeekIndex]=65)*(T_PlannedOrders[EffectiveQty]&gt;0)*T_PlannedOrders[Order_Month])),"m月")&amp;"発注)")</f>
        <v/>
      </c>
      <c r="BQ111">
        <f>IF(SUMIFS(T_PlannedOrders[EffectiveQty],T_PlannedOrders[Part Name],$A105,T_PlannedOrders[WeekIndex],66)=0,"",SUMIFS(T_PlannedOrders[EffectiveQty],T_PlannedOrders[Part Name],$A105,T_PlannedOrders[WeekIndex],66)&amp;" ("&amp;TEXT(SUMPRODUCT(MAX((T_PlannedOrders[Part Name]=$A105)*(T_PlannedOrders[WeekIndex]=66)*(T_PlannedOrders[EffectiveQty]&gt;0)*T_PlannedOrders[Order_Month])),"m月")&amp;"発注)")</f>
        <v/>
      </c>
      <c r="BR111">
        <f>IF(SUMIFS(T_PlannedOrders[EffectiveQty],T_PlannedOrders[Part Name],$A105,T_PlannedOrders[WeekIndex],67)=0,"",SUMIFS(T_PlannedOrders[EffectiveQty],T_PlannedOrders[Part Name],$A105,T_PlannedOrders[WeekIndex],67)&amp;" ("&amp;TEXT(SUMPRODUCT(MAX((T_PlannedOrders[Part Name]=$A105)*(T_PlannedOrders[WeekIndex]=67)*(T_PlannedOrders[EffectiveQty]&gt;0)*T_PlannedOrders[Order_Month])),"m月")&amp;"発注)")</f>
        <v/>
      </c>
      <c r="BS111">
        <f>IF(SUMIFS(T_PlannedOrders[EffectiveQty],T_PlannedOrders[Part Name],$A105,T_PlannedOrders[WeekIndex],68)=0,"",SUMIFS(T_PlannedOrders[EffectiveQty],T_PlannedOrders[Part Name],$A105,T_PlannedOrders[WeekIndex],68)&amp;" ("&amp;TEXT(SUMPRODUCT(MAX((T_PlannedOrders[Part Name]=$A105)*(T_PlannedOrders[WeekIndex]=68)*(T_PlannedOrders[EffectiveQty]&gt;0)*T_PlannedOrders[Order_Month])),"m月")&amp;"発注)")</f>
        <v/>
      </c>
      <c r="BT111">
        <f>IF(SUMIFS(T_PlannedOrders[EffectiveQty],T_PlannedOrders[Part Name],$A105,T_PlannedOrders[WeekIndex],69)=0,"",SUMIFS(T_PlannedOrders[EffectiveQty],T_PlannedOrders[Part Name],$A105,T_PlannedOrders[WeekIndex],69)&amp;" ("&amp;TEXT(SUMPRODUCT(MAX((T_PlannedOrders[Part Name]=$A105)*(T_PlannedOrders[WeekIndex]=69)*(T_PlannedOrders[EffectiveQty]&gt;0)*T_PlannedOrders[Order_Month])),"m月")&amp;"発注)")</f>
        <v/>
      </c>
      <c r="BU111">
        <f>IF(SUMIFS(T_PlannedOrders[EffectiveQty],T_PlannedOrders[Part Name],$A105,T_PlannedOrders[WeekIndex],70)=0,"",SUMIFS(T_PlannedOrders[EffectiveQty],T_PlannedOrders[Part Name],$A105,T_PlannedOrders[WeekIndex],70)&amp;" ("&amp;TEXT(SUMPRODUCT(MAX((T_PlannedOrders[Part Name]=$A105)*(T_PlannedOrders[WeekIndex]=70)*(T_PlannedOrders[EffectiveQty]&gt;0)*T_PlannedOrders[Order_Month])),"m月")&amp;"発注)")</f>
        <v/>
      </c>
      <c r="BV111">
        <f>IF(SUMIFS(T_PlannedOrders[EffectiveQty],T_PlannedOrders[Part Name],$A105,T_PlannedOrders[WeekIndex],71)=0,"",SUMIFS(T_PlannedOrders[EffectiveQty],T_PlannedOrders[Part Name],$A105,T_PlannedOrders[WeekIndex],71)&amp;" ("&amp;TEXT(SUMPRODUCT(MAX((T_PlannedOrders[Part Name]=$A105)*(T_PlannedOrders[WeekIndex]=71)*(T_PlannedOrders[EffectiveQty]&gt;0)*T_PlannedOrders[Order_Month])),"m月")&amp;"発注)")</f>
        <v/>
      </c>
      <c r="BW111">
        <f>IF(SUMIFS(T_PlannedOrders[EffectiveQty],T_PlannedOrders[Part Name],$A105,T_PlannedOrders[WeekIndex],72)=0,"",SUMIFS(T_PlannedOrders[EffectiveQty],T_PlannedOrders[Part Name],$A105,T_PlannedOrders[WeekIndex],72)&amp;" ("&amp;TEXT(SUMPRODUCT(MAX((T_PlannedOrders[Part Name]=$A105)*(T_PlannedOrders[WeekIndex]=72)*(T_PlannedOrders[EffectiveQty]&gt;0)*T_PlannedOrders[Order_Month])),"m月")&amp;"発注)")</f>
        <v/>
      </c>
      <c r="BX111">
        <f>IF(SUMIFS(T_PlannedOrders[EffectiveQty],T_PlannedOrders[Part Name],$A105,T_PlannedOrders[WeekIndex],73)=0,"",SUMIFS(T_PlannedOrders[EffectiveQty],T_PlannedOrders[Part Name],$A105,T_PlannedOrders[WeekIndex],73)&amp;" ("&amp;TEXT(SUMPRODUCT(MAX((T_PlannedOrders[Part Name]=$A105)*(T_PlannedOrders[WeekIndex]=73)*(T_PlannedOrders[EffectiveQty]&gt;0)*T_PlannedOrders[Order_Month])),"m月")&amp;"発注)")</f>
        <v/>
      </c>
      <c r="BY111">
        <f>IF(SUMIFS(T_PlannedOrders[EffectiveQty],T_PlannedOrders[Part Name],$A105,T_PlannedOrders[WeekIndex],74)=0,"",SUMIFS(T_PlannedOrders[EffectiveQty],T_PlannedOrders[Part Name],$A105,T_PlannedOrders[WeekIndex],74)&amp;" ("&amp;TEXT(SUMPRODUCT(MAX((T_PlannedOrders[Part Name]=$A105)*(T_PlannedOrders[WeekIndex]=74)*(T_PlannedOrders[EffectiveQty]&gt;0)*T_PlannedOrders[Order_Month])),"m月")&amp;"発注)")</f>
        <v/>
      </c>
      <c r="BZ111">
        <f>IF(SUMIFS(T_PlannedOrders[EffectiveQty],T_PlannedOrders[Part Name],$A105,T_PlannedOrders[WeekIndex],75)=0,"",SUMIFS(T_PlannedOrders[EffectiveQty],T_PlannedOrders[Part Name],$A105,T_PlannedOrders[WeekIndex],75)&amp;" ("&amp;TEXT(SUMPRODUCT(MAX((T_PlannedOrders[Part Name]=$A105)*(T_PlannedOrders[WeekIndex]=75)*(T_PlannedOrders[EffectiveQty]&gt;0)*T_PlannedOrders[Order_Month])),"m月")&amp;"発注)")</f>
        <v/>
      </c>
      <c r="CA111">
        <f>IF(SUMIFS(T_PlannedOrders[EffectiveQty],T_PlannedOrders[Part Name],$A105,T_PlannedOrders[WeekIndex],76)=0,"",SUMIFS(T_PlannedOrders[EffectiveQty],T_PlannedOrders[Part Name],$A105,T_PlannedOrders[WeekIndex],76)&amp;" ("&amp;TEXT(SUMPRODUCT(MAX((T_PlannedOrders[Part Name]=$A105)*(T_PlannedOrders[WeekIndex]=76)*(T_PlannedOrders[EffectiveQty]&gt;0)*T_PlannedOrders[Order_Month])),"m月")&amp;"発注)")</f>
        <v/>
      </c>
      <c r="CB111">
        <f>IF(SUMIFS(T_PlannedOrders[EffectiveQty],T_PlannedOrders[Part Name],$A105,T_PlannedOrders[WeekIndex],77)=0,"",SUMIFS(T_PlannedOrders[EffectiveQty],T_PlannedOrders[Part Name],$A105,T_PlannedOrders[WeekIndex],77)&amp;" ("&amp;TEXT(SUMPRODUCT(MAX((T_PlannedOrders[Part Name]=$A105)*(T_PlannedOrders[WeekIndex]=77)*(T_PlannedOrders[EffectiveQty]&gt;0)*T_PlannedOrders[Order_Month])),"m月")&amp;"発注)")</f>
        <v/>
      </c>
      <c r="CC111">
        <f>IF(SUMIFS(T_PlannedOrders[EffectiveQty],T_PlannedOrders[Part Name],$A105,T_PlannedOrders[WeekIndex],78)=0,"",SUMIFS(T_PlannedOrders[EffectiveQty],T_PlannedOrders[Part Name],$A105,T_PlannedOrders[WeekIndex],78)&amp;" ("&amp;TEXT(SUMPRODUCT(MAX((T_PlannedOrders[Part Name]=$A105)*(T_PlannedOrders[WeekIndex]=78)*(T_PlannedOrders[EffectiveQty]&gt;0)*T_PlannedOrders[Order_Month])),"m月")&amp;"発注)")</f>
        <v/>
      </c>
      <c r="CD111">
        <f>IF(SUMIFS(T_PlannedOrders[EffectiveQty],T_PlannedOrders[Part Name],$A105,T_PlannedOrders[WeekIndex],79)=0,"",SUMIFS(T_PlannedOrders[EffectiveQty],T_PlannedOrders[Part Name],$A105,T_PlannedOrders[WeekIndex],79)&amp;" ("&amp;TEXT(SUMPRODUCT(MAX((T_PlannedOrders[Part Name]=$A105)*(T_PlannedOrders[WeekIndex]=79)*(T_PlannedOrders[EffectiveQty]&gt;0)*T_PlannedOrders[Order_Month])),"m月")&amp;"発注)")</f>
        <v/>
      </c>
      <c r="CE111">
        <f>IF(SUMIFS(T_PlannedOrders[EffectiveQty],T_PlannedOrders[Part Name],$A105,T_PlannedOrders[WeekIndex],80)=0,"",SUMIFS(T_PlannedOrders[EffectiveQty],T_PlannedOrders[Part Name],$A105,T_PlannedOrders[WeekIndex],80)&amp;" ("&amp;TEXT(SUMPRODUCT(MAX((T_PlannedOrders[Part Name]=$A105)*(T_PlannedOrders[WeekIndex]=80)*(T_PlannedOrders[EffectiveQty]&gt;0)*T_PlannedOrders[Order_Month])),"m月")&amp;"発注)")</f>
        <v/>
      </c>
      <c r="CF111">
        <f>IF(SUMIFS(T_PlannedOrders[EffectiveQty],T_PlannedOrders[Part Name],$A105,T_PlannedOrders[WeekIndex],81)=0,"",SUMIFS(T_PlannedOrders[EffectiveQty],T_PlannedOrders[Part Name],$A105,T_PlannedOrders[WeekIndex],81)&amp;" ("&amp;TEXT(SUMPRODUCT(MAX((T_PlannedOrders[Part Name]=$A105)*(T_PlannedOrders[WeekIndex]=81)*(T_PlannedOrders[EffectiveQty]&gt;0)*T_PlannedOrders[Order_Month])),"m月")&amp;"発注)")</f>
        <v/>
      </c>
      <c r="CG111">
        <f>IF(SUMIFS(T_PlannedOrders[EffectiveQty],T_PlannedOrders[Part Name],$A105,T_PlannedOrders[WeekIndex],82)=0,"",SUMIFS(T_PlannedOrders[EffectiveQty],T_PlannedOrders[Part Name],$A105,T_PlannedOrders[WeekIndex],82)&amp;" ("&amp;TEXT(SUMPRODUCT(MAX((T_PlannedOrders[Part Name]=$A105)*(T_PlannedOrders[WeekIndex]=82)*(T_PlannedOrders[EffectiveQty]&gt;0)*T_PlannedOrders[Order_Month])),"m月")&amp;"発注)")</f>
        <v/>
      </c>
      <c r="CH111">
        <f>IF(SUMIFS(T_PlannedOrders[EffectiveQty],T_PlannedOrders[Part Name],$A105,T_PlannedOrders[WeekIndex],83)=0,"",SUMIFS(T_PlannedOrders[EffectiveQty],T_PlannedOrders[Part Name],$A105,T_PlannedOrders[WeekIndex],83)&amp;" ("&amp;TEXT(SUMPRODUCT(MAX((T_PlannedOrders[Part Name]=$A105)*(T_PlannedOrders[WeekIndex]=83)*(T_PlannedOrders[EffectiveQty]&gt;0)*T_PlannedOrders[Order_Month])),"m月")&amp;"発注)")</f>
        <v/>
      </c>
      <c r="CI111">
        <f>IF(SUMIFS(T_PlannedOrders[EffectiveQty],T_PlannedOrders[Part Name],$A105,T_PlannedOrders[WeekIndex],84)=0,"",SUMIFS(T_PlannedOrders[EffectiveQty],T_PlannedOrders[Part Name],$A105,T_PlannedOrders[WeekIndex],84)&amp;" ("&amp;TEXT(SUMPRODUCT(MAX((T_PlannedOrders[Part Name]=$A105)*(T_PlannedOrders[WeekIndex]=84)*(T_PlannedOrders[EffectiveQty]&gt;0)*T_PlannedOrders[Order_Month])),"m月")&amp;"発注)")</f>
        <v/>
      </c>
      <c r="CJ111">
        <f>IF(SUMIFS(T_PlannedOrders[EffectiveQty],T_PlannedOrders[Part Name],$A105,T_PlannedOrders[WeekIndex],85)=0,"",SUMIFS(T_PlannedOrders[EffectiveQty],T_PlannedOrders[Part Name],$A105,T_PlannedOrders[WeekIndex],85)&amp;" ("&amp;TEXT(SUMPRODUCT(MAX((T_PlannedOrders[Part Name]=$A105)*(T_PlannedOrders[WeekIndex]=85)*(T_PlannedOrders[EffectiveQty]&gt;0)*T_PlannedOrders[Order_Month])),"m月")&amp;"発注)")</f>
        <v/>
      </c>
      <c r="CK111">
        <f>IF(SUMIFS(T_PlannedOrders[EffectiveQty],T_PlannedOrders[Part Name],$A105,T_PlannedOrders[WeekIndex],86)=0,"",SUMIFS(T_PlannedOrders[EffectiveQty],T_PlannedOrders[Part Name],$A105,T_PlannedOrders[WeekIndex],86)&amp;" ("&amp;TEXT(SUMPRODUCT(MAX((T_PlannedOrders[Part Name]=$A105)*(T_PlannedOrders[WeekIndex]=86)*(T_PlannedOrders[EffectiveQty]&gt;0)*T_PlannedOrders[Order_Month])),"m月")&amp;"発注)")</f>
        <v/>
      </c>
      <c r="CL111">
        <f>IF(SUMIFS(T_PlannedOrders[EffectiveQty],T_PlannedOrders[Part Name],$A105,T_PlannedOrders[WeekIndex],87)=0,"",SUMIFS(T_PlannedOrders[EffectiveQty],T_PlannedOrders[Part Name],$A105,T_PlannedOrders[WeekIndex],87)&amp;" ("&amp;TEXT(SUMPRODUCT(MAX((T_PlannedOrders[Part Name]=$A105)*(T_PlannedOrders[WeekIndex]=87)*(T_PlannedOrders[EffectiveQty]&gt;0)*T_PlannedOrders[Order_Month])),"m月")&amp;"発注)")</f>
        <v/>
      </c>
      <c r="CM111">
        <f>IF(SUMIFS(T_PlannedOrders[EffectiveQty],T_PlannedOrders[Part Name],$A105,T_PlannedOrders[WeekIndex],88)=0,"",SUMIFS(T_PlannedOrders[EffectiveQty],T_PlannedOrders[Part Name],$A105,T_PlannedOrders[WeekIndex],88)&amp;" ("&amp;TEXT(SUMPRODUCT(MAX((T_PlannedOrders[Part Name]=$A105)*(T_PlannedOrders[WeekIndex]=88)*(T_PlannedOrders[EffectiveQty]&gt;0)*T_PlannedOrders[Order_Month])),"m月")&amp;"発注)")</f>
        <v/>
      </c>
      <c r="CN111">
        <f>IF(SUMIFS(T_PlannedOrders[EffectiveQty],T_PlannedOrders[Part Name],$A105,T_PlannedOrders[WeekIndex],89)=0,"",SUMIFS(T_PlannedOrders[EffectiveQty],T_PlannedOrders[Part Name],$A105,T_PlannedOrders[WeekIndex],89)&amp;" ("&amp;TEXT(SUMPRODUCT(MAX((T_PlannedOrders[Part Name]=$A105)*(T_PlannedOrders[WeekIndex]=89)*(T_PlannedOrders[EffectiveQty]&gt;0)*T_PlannedOrders[Order_Month])),"m月")&amp;"発注)")</f>
        <v/>
      </c>
      <c r="CO111">
        <f>IF(SUMIFS(T_PlannedOrders[EffectiveQty],T_PlannedOrders[Part Name],$A105,T_PlannedOrders[WeekIndex],90)=0,"",SUMIFS(T_PlannedOrders[EffectiveQty],T_PlannedOrders[Part Name],$A105,T_PlannedOrders[WeekIndex],90)&amp;" ("&amp;TEXT(SUMPRODUCT(MAX((T_PlannedOrders[Part Name]=$A105)*(T_PlannedOrders[WeekIndex]=90)*(T_PlannedOrders[EffectiveQty]&gt;0)*T_PlannedOrders[Order_Month])),"m月")&amp;"発注)")</f>
        <v/>
      </c>
      <c r="CP111">
        <f>IF(SUMIFS(T_PlannedOrders[EffectiveQty],T_PlannedOrders[Part Name],$A105,T_PlannedOrders[WeekIndex],91)=0,"",SUMIFS(T_PlannedOrders[EffectiveQty],T_PlannedOrders[Part Name],$A105,T_PlannedOrders[WeekIndex],91)&amp;" ("&amp;TEXT(SUMPRODUCT(MAX((T_PlannedOrders[Part Name]=$A105)*(T_PlannedOrders[WeekIndex]=91)*(T_PlannedOrders[EffectiveQty]&gt;0)*T_PlannedOrders[Order_Month])),"m月")&amp;"発注)")</f>
        <v/>
      </c>
      <c r="CQ111">
        <f>IF(SUMIFS(T_PlannedOrders[EffectiveQty],T_PlannedOrders[Part Name],$A105,T_PlannedOrders[WeekIndex],92)=0,"",SUMIFS(T_PlannedOrders[EffectiveQty],T_PlannedOrders[Part Name],$A105,T_PlannedOrders[WeekIndex],92)&amp;" ("&amp;TEXT(SUMPRODUCT(MAX((T_PlannedOrders[Part Name]=$A105)*(T_PlannedOrders[WeekIndex]=92)*(T_PlannedOrders[EffectiveQty]&gt;0)*T_PlannedOrders[Order_Month])),"m月")&amp;"発注)")</f>
        <v/>
      </c>
      <c r="CR111">
        <f>IF(SUMIFS(T_PlannedOrders[EffectiveQty],T_PlannedOrders[Part Name],$A105,T_PlannedOrders[WeekIndex],93)=0,"",SUMIFS(T_PlannedOrders[EffectiveQty],T_PlannedOrders[Part Name],$A105,T_PlannedOrders[WeekIndex],93)&amp;" ("&amp;TEXT(SUMPRODUCT(MAX((T_PlannedOrders[Part Name]=$A105)*(T_PlannedOrders[WeekIndex]=93)*(T_PlannedOrders[EffectiveQty]&gt;0)*T_PlannedOrders[Order_Month])),"m月")&amp;"発注)")</f>
        <v/>
      </c>
      <c r="CS111">
        <f>IF(SUMIFS(T_PlannedOrders[EffectiveQty],T_PlannedOrders[Part Name],$A105,T_PlannedOrders[WeekIndex],94)=0,"",SUMIFS(T_PlannedOrders[EffectiveQty],T_PlannedOrders[Part Name],$A105,T_PlannedOrders[WeekIndex],94)&amp;" ("&amp;TEXT(SUMPRODUCT(MAX((T_PlannedOrders[Part Name]=$A105)*(T_PlannedOrders[WeekIndex]=94)*(T_PlannedOrders[EffectiveQty]&gt;0)*T_PlannedOrders[Order_Month])),"m月")&amp;"発注)")</f>
        <v/>
      </c>
      <c r="CT111">
        <f>IF(SUMIFS(T_PlannedOrders[EffectiveQty],T_PlannedOrders[Part Name],$A105,T_PlannedOrders[WeekIndex],95)=0,"",SUMIFS(T_PlannedOrders[EffectiveQty],T_PlannedOrders[Part Name],$A105,T_PlannedOrders[WeekIndex],95)&amp;" ("&amp;TEXT(SUMPRODUCT(MAX((T_PlannedOrders[Part Name]=$A105)*(T_PlannedOrders[WeekIndex]=95)*(T_PlannedOrders[EffectiveQty]&gt;0)*T_PlannedOrders[Order_Month])),"m月")&amp;"発注)")</f>
        <v/>
      </c>
      <c r="CU111">
        <f>IF(SUMIFS(T_PlannedOrders[EffectiveQty],T_PlannedOrders[Part Name],$A105,T_PlannedOrders[WeekIndex],96)=0,"",SUMIFS(T_PlannedOrders[EffectiveQty],T_PlannedOrders[Part Name],$A105,T_PlannedOrders[WeekIndex],96)&amp;" ("&amp;TEXT(SUMPRODUCT(MAX((T_PlannedOrders[Part Name]=$A105)*(T_PlannedOrders[WeekIndex]=96)*(T_PlannedOrders[EffectiveQty]&gt;0)*T_PlannedOrders[Order_Month])),"m月")&amp;"発注)")</f>
        <v/>
      </c>
      <c r="CV111">
        <f>IF(SUMIFS(T_PlannedOrders[EffectiveQty],T_PlannedOrders[Part Name],$A105,T_PlannedOrders[WeekIndex],97)=0,"",SUMIFS(T_PlannedOrders[EffectiveQty],T_PlannedOrders[Part Name],$A105,T_PlannedOrders[WeekIndex],97)&amp;" ("&amp;TEXT(SUMPRODUCT(MAX((T_PlannedOrders[Part Name]=$A105)*(T_PlannedOrders[WeekIndex]=97)*(T_PlannedOrders[EffectiveQty]&gt;0)*T_PlannedOrders[Order_Month])),"m月")&amp;"発注)")</f>
        <v/>
      </c>
      <c r="CW111">
        <f>IF(SUMIFS(T_PlannedOrders[EffectiveQty],T_PlannedOrders[Part Name],$A105,T_PlannedOrders[WeekIndex],98)=0,"",SUMIFS(T_PlannedOrders[EffectiveQty],T_PlannedOrders[Part Name],$A105,T_PlannedOrders[WeekIndex],98)&amp;" ("&amp;TEXT(SUMPRODUCT(MAX((T_PlannedOrders[Part Name]=$A105)*(T_PlannedOrders[WeekIndex]=98)*(T_PlannedOrders[EffectiveQty]&gt;0)*T_PlannedOrders[Order_Month])),"m月")&amp;"発注)")</f>
        <v/>
      </c>
      <c r="CX111">
        <f>IF(SUMIFS(T_PlannedOrders[EffectiveQty],T_PlannedOrders[Part Name],$A105,T_PlannedOrders[WeekIndex],99)=0,"",SUMIFS(T_PlannedOrders[EffectiveQty],T_PlannedOrders[Part Name],$A105,T_PlannedOrders[WeekIndex],99)&amp;" ("&amp;TEXT(SUMPRODUCT(MAX((T_PlannedOrders[Part Name]=$A105)*(T_PlannedOrders[WeekIndex]=99)*(T_PlannedOrders[EffectiveQty]&gt;0)*T_PlannedOrders[Order_Month])),"m月")&amp;"発注)")</f>
        <v/>
      </c>
      <c r="CY111">
        <f>IF(SUMIFS(T_PlannedOrders[EffectiveQty],T_PlannedOrders[Part Name],$A105,T_PlannedOrders[WeekIndex],100)=0,"",SUMIFS(T_PlannedOrders[EffectiveQty],T_PlannedOrders[Part Name],$A105,T_PlannedOrders[WeekIndex],100)&amp;" ("&amp;TEXT(SUMPRODUCT(MAX((T_PlannedOrders[Part Name]=$A105)*(T_PlannedOrders[WeekIndex]=100)*(T_PlannedOrders[EffectiveQty]&gt;0)*T_PlannedOrders[Order_Month])),"m月")&amp;"発注)")</f>
        <v/>
      </c>
      <c r="CZ111">
        <f>IF(SUMIFS(T_PlannedOrders[EffectiveQty],T_PlannedOrders[Part Name],$A105,T_PlannedOrders[WeekIndex],101)=0,"",SUMIFS(T_PlannedOrders[EffectiveQty],T_PlannedOrders[Part Name],$A105,T_PlannedOrders[WeekIndex],101)&amp;" ("&amp;TEXT(SUMPRODUCT(MAX((T_PlannedOrders[Part Name]=$A105)*(T_PlannedOrders[WeekIndex]=101)*(T_PlannedOrders[EffectiveQty]&gt;0)*T_PlannedOrders[Order_Month])),"m月")&amp;"発注)")</f>
        <v/>
      </c>
      <c r="DA111">
        <f>IF(SUMIFS(T_PlannedOrders[EffectiveQty],T_PlannedOrders[Part Name],$A105,T_PlannedOrders[WeekIndex],102)=0,"",SUMIFS(T_PlannedOrders[EffectiveQty],T_PlannedOrders[Part Name],$A105,T_PlannedOrders[WeekIndex],102)&amp;" ("&amp;TEXT(SUMPRODUCT(MAX((T_PlannedOrders[Part Name]=$A105)*(T_PlannedOrders[WeekIndex]=102)*(T_PlannedOrders[EffectiveQty]&gt;0)*T_PlannedOrders[Order_Month])),"m月")&amp;"発注)")</f>
        <v/>
      </c>
      <c r="DB111">
        <f>IF(SUMIFS(T_PlannedOrders[EffectiveQty],T_PlannedOrders[Part Name],$A105,T_PlannedOrders[WeekIndex],103)=0,"",SUMIFS(T_PlannedOrders[EffectiveQty],T_PlannedOrders[Part Name],$A105,T_PlannedOrders[WeekIndex],103)&amp;" ("&amp;TEXT(SUMPRODUCT(MAX((T_PlannedOrders[Part Name]=$A105)*(T_PlannedOrders[WeekIndex]=103)*(T_PlannedOrders[EffectiveQty]&gt;0)*T_PlannedOrders[Order_Month])),"m月")&amp;"発注)")</f>
        <v/>
      </c>
      <c r="DC111">
        <f>IF(SUMIFS(T_PlannedOrders[EffectiveQty],T_PlannedOrders[Part Name],$A105,T_PlannedOrders[WeekIndex],104)=0,"",SUMIFS(T_PlannedOrders[EffectiveQty],T_PlannedOrders[Part Name],$A105,T_PlannedOrders[WeekIndex],104)&amp;" ("&amp;TEXT(SUMPRODUCT(MAX((T_PlannedOrders[Part Name]=$A105)*(T_PlannedOrders[WeekIndex]=104)*(T_PlannedOrders[EffectiveQty]&gt;0)*T_PlannedOrders[Order_Month])),"m月")&amp;"発注)")</f>
        <v/>
      </c>
    </row>
    <row r="112">
      <c r="B112" s="5" t="inlineStr">
        <is>
          <t>合計在庫(週末時点,kg)</t>
        </is>
      </c>
      <c r="D112">
        <f>'Grid_Stock'!B21</f>
        <v/>
      </c>
      <c r="E112">
        <f>'Grid_Stock'!C21</f>
        <v/>
      </c>
      <c r="F112">
        <f>'Grid_Stock'!D21</f>
        <v/>
      </c>
      <c r="G112">
        <f>'Grid_Stock'!E21</f>
        <v/>
      </c>
      <c r="H112">
        <f>'Grid_Stock'!F21</f>
        <v/>
      </c>
      <c r="I112">
        <f>'Grid_Stock'!G21</f>
        <v/>
      </c>
      <c r="J112">
        <f>'Grid_Stock'!H21</f>
        <v/>
      </c>
      <c r="K112">
        <f>'Grid_Stock'!I21</f>
        <v/>
      </c>
      <c r="L112">
        <f>'Grid_Stock'!J21</f>
        <v/>
      </c>
      <c r="M112">
        <f>'Grid_Stock'!K21</f>
        <v/>
      </c>
      <c r="N112">
        <f>'Grid_Stock'!L21</f>
        <v/>
      </c>
      <c r="O112">
        <f>'Grid_Stock'!M21</f>
        <v/>
      </c>
      <c r="P112">
        <f>'Grid_Stock'!N21</f>
        <v/>
      </c>
      <c r="Q112">
        <f>'Grid_Stock'!O21</f>
        <v/>
      </c>
      <c r="R112">
        <f>'Grid_Stock'!P21</f>
        <v/>
      </c>
      <c r="S112">
        <f>'Grid_Stock'!Q21</f>
        <v/>
      </c>
      <c r="T112">
        <f>'Grid_Stock'!R21</f>
        <v/>
      </c>
      <c r="U112">
        <f>'Grid_Stock'!S21</f>
        <v/>
      </c>
      <c r="V112">
        <f>'Grid_Stock'!T21</f>
        <v/>
      </c>
      <c r="W112">
        <f>'Grid_Stock'!U21</f>
        <v/>
      </c>
      <c r="X112">
        <f>'Grid_Stock'!V21</f>
        <v/>
      </c>
      <c r="Y112">
        <f>'Grid_Stock'!W21</f>
        <v/>
      </c>
      <c r="Z112">
        <f>'Grid_Stock'!X21</f>
        <v/>
      </c>
      <c r="AA112">
        <f>'Grid_Stock'!Y21</f>
        <v/>
      </c>
      <c r="AB112">
        <f>'Grid_Stock'!Z21</f>
        <v/>
      </c>
      <c r="AC112">
        <f>'Grid_Stock'!AA21</f>
        <v/>
      </c>
      <c r="AD112">
        <f>'Grid_Stock'!AB21</f>
        <v/>
      </c>
      <c r="AE112">
        <f>'Grid_Stock'!AC21</f>
        <v/>
      </c>
      <c r="AF112">
        <f>'Grid_Stock'!AD21</f>
        <v/>
      </c>
      <c r="AG112">
        <f>'Grid_Stock'!AE21</f>
        <v/>
      </c>
      <c r="AH112">
        <f>'Grid_Stock'!AF21</f>
        <v/>
      </c>
      <c r="AI112">
        <f>'Grid_Stock'!AG21</f>
        <v/>
      </c>
      <c r="AJ112">
        <f>'Grid_Stock'!AH21</f>
        <v/>
      </c>
      <c r="AK112">
        <f>'Grid_Stock'!AI21</f>
        <v/>
      </c>
      <c r="AL112">
        <f>'Grid_Stock'!AJ21</f>
        <v/>
      </c>
      <c r="AM112">
        <f>'Grid_Stock'!AK21</f>
        <v/>
      </c>
      <c r="AN112">
        <f>'Grid_Stock'!AL21</f>
        <v/>
      </c>
      <c r="AO112">
        <f>'Grid_Stock'!AM21</f>
        <v/>
      </c>
      <c r="AP112">
        <f>'Grid_Stock'!AN21</f>
        <v/>
      </c>
      <c r="AQ112">
        <f>'Grid_Stock'!AO21</f>
        <v/>
      </c>
      <c r="AR112">
        <f>'Grid_Stock'!AP21</f>
        <v/>
      </c>
      <c r="AS112">
        <f>'Grid_Stock'!AQ21</f>
        <v/>
      </c>
      <c r="AT112">
        <f>'Grid_Stock'!AR21</f>
        <v/>
      </c>
      <c r="AU112">
        <f>'Grid_Stock'!AS21</f>
        <v/>
      </c>
      <c r="AV112">
        <f>'Grid_Stock'!AT21</f>
        <v/>
      </c>
      <c r="AW112">
        <f>'Grid_Stock'!AU21</f>
        <v/>
      </c>
      <c r="AX112">
        <f>'Grid_Stock'!AV21</f>
        <v/>
      </c>
      <c r="AY112">
        <f>'Grid_Stock'!AW21</f>
        <v/>
      </c>
      <c r="AZ112">
        <f>'Grid_Stock'!AX21</f>
        <v/>
      </c>
      <c r="BA112">
        <f>'Grid_Stock'!AY21</f>
        <v/>
      </c>
      <c r="BB112">
        <f>'Grid_Stock'!AZ21</f>
        <v/>
      </c>
      <c r="BC112">
        <f>'Grid_Stock'!BA21</f>
        <v/>
      </c>
      <c r="BD112">
        <f>'Grid_Stock'!BB21</f>
        <v/>
      </c>
      <c r="BE112">
        <f>'Grid_Stock'!BC21</f>
        <v/>
      </c>
      <c r="BF112">
        <f>'Grid_Stock'!BD21</f>
        <v/>
      </c>
      <c r="BG112">
        <f>'Grid_Stock'!BE21</f>
        <v/>
      </c>
      <c r="BH112">
        <f>'Grid_Stock'!BF21</f>
        <v/>
      </c>
      <c r="BI112">
        <f>'Grid_Stock'!BG21</f>
        <v/>
      </c>
      <c r="BJ112">
        <f>'Grid_Stock'!BH21</f>
        <v/>
      </c>
      <c r="BK112">
        <f>'Grid_Stock'!BI21</f>
        <v/>
      </c>
      <c r="BL112">
        <f>'Grid_Stock'!BJ21</f>
        <v/>
      </c>
      <c r="BM112">
        <f>'Grid_Stock'!BK21</f>
        <v/>
      </c>
      <c r="BN112">
        <f>'Grid_Stock'!BL21</f>
        <v/>
      </c>
      <c r="BO112">
        <f>'Grid_Stock'!BM21</f>
        <v/>
      </c>
      <c r="BP112">
        <f>'Grid_Stock'!BN21</f>
        <v/>
      </c>
      <c r="BQ112">
        <f>'Grid_Stock'!BO21</f>
        <v/>
      </c>
      <c r="BR112">
        <f>'Grid_Stock'!BP21</f>
        <v/>
      </c>
      <c r="BS112">
        <f>'Grid_Stock'!BQ21</f>
        <v/>
      </c>
      <c r="BT112">
        <f>'Grid_Stock'!BR21</f>
        <v/>
      </c>
      <c r="BU112">
        <f>'Grid_Stock'!BS21</f>
        <v/>
      </c>
      <c r="BV112">
        <f>'Grid_Stock'!BT21</f>
        <v/>
      </c>
      <c r="BW112">
        <f>'Grid_Stock'!BU21</f>
        <v/>
      </c>
      <c r="BX112">
        <f>'Grid_Stock'!BV21</f>
        <v/>
      </c>
      <c r="BY112">
        <f>'Grid_Stock'!BW21</f>
        <v/>
      </c>
      <c r="BZ112">
        <f>'Grid_Stock'!BX21</f>
        <v/>
      </c>
      <c r="CA112">
        <f>'Grid_Stock'!BY21</f>
        <v/>
      </c>
      <c r="CB112">
        <f>'Grid_Stock'!BZ21</f>
        <v/>
      </c>
      <c r="CC112">
        <f>'Grid_Stock'!CA21</f>
        <v/>
      </c>
      <c r="CD112">
        <f>'Grid_Stock'!CB21</f>
        <v/>
      </c>
      <c r="CE112">
        <f>'Grid_Stock'!CC21</f>
        <v/>
      </c>
      <c r="CF112">
        <f>'Grid_Stock'!CD21</f>
        <v/>
      </c>
      <c r="CG112">
        <f>'Grid_Stock'!CE21</f>
        <v/>
      </c>
      <c r="CH112">
        <f>'Grid_Stock'!CF21</f>
        <v/>
      </c>
      <c r="CI112">
        <f>'Grid_Stock'!CG21</f>
        <v/>
      </c>
      <c r="CJ112">
        <f>'Grid_Stock'!CH21</f>
        <v/>
      </c>
      <c r="CK112">
        <f>'Grid_Stock'!CI21</f>
        <v/>
      </c>
      <c r="CL112">
        <f>'Grid_Stock'!CJ21</f>
        <v/>
      </c>
      <c r="CM112">
        <f>'Grid_Stock'!CK21</f>
        <v/>
      </c>
      <c r="CN112">
        <f>'Grid_Stock'!CL21</f>
        <v/>
      </c>
      <c r="CO112">
        <f>'Grid_Stock'!CM21</f>
        <v/>
      </c>
      <c r="CP112">
        <f>'Grid_Stock'!CN21</f>
        <v/>
      </c>
      <c r="CQ112">
        <f>'Grid_Stock'!CO21</f>
        <v/>
      </c>
      <c r="CR112">
        <f>'Grid_Stock'!CP21</f>
        <v/>
      </c>
      <c r="CS112">
        <f>'Grid_Stock'!CQ21</f>
        <v/>
      </c>
      <c r="CT112">
        <f>'Grid_Stock'!CR21</f>
        <v/>
      </c>
      <c r="CU112">
        <f>'Grid_Stock'!CS21</f>
        <v/>
      </c>
      <c r="CV112">
        <f>'Grid_Stock'!CT21</f>
        <v/>
      </c>
      <c r="CW112">
        <f>'Grid_Stock'!CU21</f>
        <v/>
      </c>
      <c r="CX112">
        <f>'Grid_Stock'!CV21</f>
        <v/>
      </c>
      <c r="CY112">
        <f>'Grid_Stock'!CW21</f>
        <v/>
      </c>
      <c r="CZ112">
        <f>'Grid_Stock'!CX21</f>
        <v/>
      </c>
      <c r="DA112">
        <f>'Grid_Stock'!CY21</f>
        <v/>
      </c>
      <c r="DB112">
        <f>'Grid_Stock'!CZ21</f>
        <v/>
      </c>
      <c r="DC112">
        <f>'Grid_Stock'!DA21</f>
        <v/>
      </c>
    </row>
    <row r="113">
      <c r="B113" s="23" t="inlineStr">
        <is>
          <t>（発注の目安はDashboardの基準在庫[下限/上限]と色分けを参照）</t>
        </is>
      </c>
    </row>
    <row r="115">
      <c r="A115" s="21" t="inlineStr">
        <is>
          <t>7CL</t>
        </is>
      </c>
      <c r="B115" s="21" t="inlineStr">
        <is>
          <t>Substrate NGK TP167-103-096xT4</t>
        </is>
      </c>
      <c r="C115" s="22" t="n"/>
      <c r="D115" s="21" t="n"/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  <c r="AA115" s="21" t="n"/>
      <c r="AB115" s="21" t="n"/>
      <c r="AC115" s="21" t="n"/>
      <c r="AD115" s="21" t="n"/>
      <c r="AE115" s="21" t="n"/>
      <c r="AF115" s="21" t="n"/>
      <c r="AG115" s="21" t="n"/>
      <c r="AH115" s="21" t="n"/>
      <c r="AI115" s="21" t="n"/>
      <c r="AJ115" s="21" t="n"/>
      <c r="AK115" s="21" t="n"/>
      <c r="AL115" s="21" t="n"/>
      <c r="AM115" s="21" t="n"/>
      <c r="AN115" s="21" t="n"/>
      <c r="AO115" s="21" t="n"/>
      <c r="AP115" s="21" t="n"/>
      <c r="AQ115" s="21" t="n"/>
      <c r="AR115" s="21" t="n"/>
      <c r="AS115" s="21" t="n"/>
      <c r="AT115" s="21" t="n"/>
      <c r="AU115" s="21" t="n"/>
      <c r="AV115" s="21" t="n"/>
      <c r="AW115" s="21" t="n"/>
      <c r="AX115" s="21" t="n"/>
      <c r="AY115" s="21" t="n"/>
      <c r="AZ115" s="21" t="n"/>
      <c r="BA115" s="21" t="n"/>
      <c r="BB115" s="21" t="n"/>
      <c r="BC115" s="21" t="n"/>
      <c r="BD115" s="21" t="n"/>
      <c r="BE115" s="21" t="n"/>
      <c r="BF115" s="21" t="n"/>
      <c r="BG115" s="21" t="n"/>
      <c r="BH115" s="21" t="n"/>
      <c r="BI115" s="21" t="n"/>
      <c r="BJ115" s="21" t="n"/>
      <c r="BK115" s="21" t="n"/>
      <c r="BL115" s="21" t="n"/>
      <c r="BM115" s="21" t="n"/>
      <c r="BN115" s="21" t="n"/>
      <c r="BO115" s="21" t="n"/>
      <c r="BP115" s="21" t="n"/>
      <c r="BQ115" s="21" t="n"/>
      <c r="BR115" s="21" t="n"/>
      <c r="BS115" s="21" t="n"/>
      <c r="BT115" s="21" t="n"/>
      <c r="BU115" s="21" t="n"/>
      <c r="BV115" s="21" t="n"/>
      <c r="BW115" s="21" t="n"/>
      <c r="BX115" s="21" t="n"/>
      <c r="BY115" s="21" t="n"/>
      <c r="BZ115" s="21" t="n"/>
      <c r="CA115" s="21" t="n"/>
      <c r="CB115" s="21" t="n"/>
      <c r="CC115" s="21" t="n"/>
      <c r="CD115" s="21" t="n"/>
      <c r="CE115" s="21" t="n"/>
      <c r="CF115" s="21" t="n"/>
      <c r="CG115" s="21" t="n"/>
      <c r="CH115" s="21" t="n"/>
      <c r="CI115" s="21" t="n"/>
      <c r="CJ115" s="21" t="n"/>
      <c r="CK115" s="21" t="n"/>
      <c r="CL115" s="21" t="n"/>
      <c r="CM115" s="21" t="n"/>
      <c r="CN115" s="21" t="n"/>
      <c r="CO115" s="21" t="n"/>
      <c r="CP115" s="21" t="n"/>
      <c r="CQ115" s="21" t="n"/>
      <c r="CR115" s="21" t="n"/>
      <c r="CS115" s="21" t="n"/>
      <c r="CT115" s="21" t="n"/>
      <c r="CU115" s="21" t="n"/>
      <c r="CV115" s="21" t="n"/>
      <c r="CW115" s="21" t="n"/>
      <c r="CX115" s="21" t="n"/>
      <c r="CY115" s="21" t="n"/>
      <c r="CZ115" s="21" t="n"/>
      <c r="DA115" s="21" t="n"/>
      <c r="DB115" s="21" t="n"/>
      <c r="DC115" s="21" t="n"/>
    </row>
    <row r="116">
      <c r="B116" t="inlineStr">
        <is>
          <t>F0220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12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Name],$A115)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F2100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12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Name],$A115)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F2180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12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Name],$A115)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F2210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Name],$A115)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F2350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Name],$A115)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s="5" t="inlineStr">
        <is>
          <t>合計使用量(kg)/週</t>
        </is>
      </c>
      <c r="D126">
        <f>'Grid_Requirement'!B6</f>
        <v/>
      </c>
      <c r="E126">
        <f>'Grid_Requirement'!C6</f>
        <v/>
      </c>
      <c r="F126">
        <f>'Grid_Requirement'!D6</f>
        <v/>
      </c>
      <c r="G126">
        <f>'Grid_Requirement'!E6</f>
        <v/>
      </c>
      <c r="H126">
        <f>'Grid_Requirement'!F6</f>
        <v/>
      </c>
      <c r="I126">
        <f>'Grid_Requirement'!G6</f>
        <v/>
      </c>
      <c r="J126">
        <f>'Grid_Requirement'!H6</f>
        <v/>
      </c>
      <c r="K126">
        <f>'Grid_Requirement'!I6</f>
        <v/>
      </c>
      <c r="L126">
        <f>'Grid_Requirement'!J6</f>
        <v/>
      </c>
      <c r="M126">
        <f>'Grid_Requirement'!K6</f>
        <v/>
      </c>
      <c r="N126">
        <f>'Grid_Requirement'!L6</f>
        <v/>
      </c>
      <c r="O126">
        <f>'Grid_Requirement'!M6</f>
        <v/>
      </c>
      <c r="P126">
        <f>'Grid_Requirement'!N6</f>
        <v/>
      </c>
      <c r="Q126">
        <f>'Grid_Requirement'!O6</f>
        <v/>
      </c>
      <c r="R126">
        <f>'Grid_Requirement'!P6</f>
        <v/>
      </c>
      <c r="S126">
        <f>'Grid_Requirement'!Q6</f>
        <v/>
      </c>
      <c r="T126">
        <f>'Grid_Requirement'!R6</f>
        <v/>
      </c>
      <c r="U126">
        <f>'Grid_Requirement'!S6</f>
        <v/>
      </c>
      <c r="V126">
        <f>'Grid_Requirement'!T6</f>
        <v/>
      </c>
      <c r="W126">
        <f>'Grid_Requirement'!U6</f>
        <v/>
      </c>
      <c r="X126">
        <f>'Grid_Requirement'!V6</f>
        <v/>
      </c>
      <c r="Y126">
        <f>'Grid_Requirement'!W6</f>
        <v/>
      </c>
      <c r="Z126">
        <f>'Grid_Requirement'!X6</f>
        <v/>
      </c>
      <c r="AA126">
        <f>'Grid_Requirement'!Y6</f>
        <v/>
      </c>
      <c r="AB126">
        <f>'Grid_Requirement'!Z6</f>
        <v/>
      </c>
      <c r="AC126">
        <f>'Grid_Requirement'!AA6</f>
        <v/>
      </c>
      <c r="AD126">
        <f>'Grid_Requirement'!AB6</f>
        <v/>
      </c>
      <c r="AE126">
        <f>'Grid_Requirement'!AC6</f>
        <v/>
      </c>
      <c r="AF126">
        <f>'Grid_Requirement'!AD6</f>
        <v/>
      </c>
      <c r="AG126">
        <f>'Grid_Requirement'!AE6</f>
        <v/>
      </c>
      <c r="AH126">
        <f>'Grid_Requirement'!AF6</f>
        <v/>
      </c>
      <c r="AI126">
        <f>'Grid_Requirement'!AG6</f>
        <v/>
      </c>
      <c r="AJ126">
        <f>'Grid_Requirement'!AH6</f>
        <v/>
      </c>
      <c r="AK126">
        <f>'Grid_Requirement'!AI6</f>
        <v/>
      </c>
      <c r="AL126">
        <f>'Grid_Requirement'!AJ6</f>
        <v/>
      </c>
      <c r="AM126">
        <f>'Grid_Requirement'!AK6</f>
        <v/>
      </c>
      <c r="AN126">
        <f>'Grid_Requirement'!AL6</f>
        <v/>
      </c>
      <c r="AO126">
        <f>'Grid_Requirement'!AM6</f>
        <v/>
      </c>
      <c r="AP126">
        <f>'Grid_Requirement'!AN6</f>
        <v/>
      </c>
      <c r="AQ126">
        <f>'Grid_Requirement'!AO6</f>
        <v/>
      </c>
      <c r="AR126">
        <f>'Grid_Requirement'!AP6</f>
        <v/>
      </c>
      <c r="AS126">
        <f>'Grid_Requirement'!AQ6</f>
        <v/>
      </c>
      <c r="AT126">
        <f>'Grid_Requirement'!AR6</f>
        <v/>
      </c>
      <c r="AU126">
        <f>'Grid_Requirement'!AS6</f>
        <v/>
      </c>
      <c r="AV126">
        <f>'Grid_Requirement'!AT6</f>
        <v/>
      </c>
      <c r="AW126">
        <f>'Grid_Requirement'!AU6</f>
        <v/>
      </c>
      <c r="AX126">
        <f>'Grid_Requirement'!AV6</f>
        <v/>
      </c>
      <c r="AY126">
        <f>'Grid_Requirement'!AW6</f>
        <v/>
      </c>
      <c r="AZ126">
        <f>'Grid_Requirement'!AX6</f>
        <v/>
      </c>
      <c r="BA126">
        <f>'Grid_Requirement'!AY6</f>
        <v/>
      </c>
      <c r="BB126">
        <f>'Grid_Requirement'!AZ6</f>
        <v/>
      </c>
      <c r="BC126">
        <f>'Grid_Requirement'!BA6</f>
        <v/>
      </c>
      <c r="BD126">
        <f>'Grid_Requirement'!BB6</f>
        <v/>
      </c>
      <c r="BE126">
        <f>'Grid_Requirement'!BC6</f>
        <v/>
      </c>
      <c r="BF126">
        <f>'Grid_Requirement'!BD6</f>
        <v/>
      </c>
      <c r="BG126">
        <f>'Grid_Requirement'!BE6</f>
        <v/>
      </c>
      <c r="BH126">
        <f>'Grid_Requirement'!BF6</f>
        <v/>
      </c>
      <c r="BI126">
        <f>'Grid_Requirement'!BG6</f>
        <v/>
      </c>
      <c r="BJ126">
        <f>'Grid_Requirement'!BH6</f>
        <v/>
      </c>
      <c r="BK126">
        <f>'Grid_Requirement'!BI6</f>
        <v/>
      </c>
      <c r="BL126">
        <f>'Grid_Requirement'!BJ6</f>
        <v/>
      </c>
      <c r="BM126">
        <f>'Grid_Requirement'!BK6</f>
        <v/>
      </c>
      <c r="BN126">
        <f>'Grid_Requirement'!BL6</f>
        <v/>
      </c>
      <c r="BO126">
        <f>'Grid_Requirement'!BM6</f>
        <v/>
      </c>
      <c r="BP126">
        <f>'Grid_Requirement'!BN6</f>
        <v/>
      </c>
      <c r="BQ126">
        <f>'Grid_Requirement'!BO6</f>
        <v/>
      </c>
      <c r="BR126">
        <f>'Grid_Requirement'!BP6</f>
        <v/>
      </c>
      <c r="BS126">
        <f>'Grid_Requirement'!BQ6</f>
        <v/>
      </c>
      <c r="BT126">
        <f>'Grid_Requirement'!BR6</f>
        <v/>
      </c>
      <c r="BU126">
        <f>'Grid_Requirement'!BS6</f>
        <v/>
      </c>
      <c r="BV126">
        <f>'Grid_Requirement'!BT6</f>
        <v/>
      </c>
      <c r="BW126">
        <f>'Grid_Requirement'!BU6</f>
        <v/>
      </c>
      <c r="BX126">
        <f>'Grid_Requirement'!BV6</f>
        <v/>
      </c>
      <c r="BY126">
        <f>'Grid_Requirement'!BW6</f>
        <v/>
      </c>
      <c r="BZ126">
        <f>'Grid_Requirement'!BX6</f>
        <v/>
      </c>
      <c r="CA126">
        <f>'Grid_Requirement'!BY6</f>
        <v/>
      </c>
      <c r="CB126">
        <f>'Grid_Requirement'!BZ6</f>
        <v/>
      </c>
      <c r="CC126">
        <f>'Grid_Requirement'!CA6</f>
        <v/>
      </c>
      <c r="CD126">
        <f>'Grid_Requirement'!CB6</f>
        <v/>
      </c>
      <c r="CE126">
        <f>'Grid_Requirement'!CC6</f>
        <v/>
      </c>
      <c r="CF126">
        <f>'Grid_Requirement'!CD6</f>
        <v/>
      </c>
      <c r="CG126">
        <f>'Grid_Requirement'!CE6</f>
        <v/>
      </c>
      <c r="CH126">
        <f>'Grid_Requirement'!CF6</f>
        <v/>
      </c>
      <c r="CI126">
        <f>'Grid_Requirement'!CG6</f>
        <v/>
      </c>
      <c r="CJ126">
        <f>'Grid_Requirement'!CH6</f>
        <v/>
      </c>
      <c r="CK126">
        <f>'Grid_Requirement'!CI6</f>
        <v/>
      </c>
      <c r="CL126">
        <f>'Grid_Requirement'!CJ6</f>
        <v/>
      </c>
      <c r="CM126">
        <f>'Grid_Requirement'!CK6</f>
        <v/>
      </c>
      <c r="CN126">
        <f>'Grid_Requirement'!CL6</f>
        <v/>
      </c>
      <c r="CO126">
        <f>'Grid_Requirement'!CM6</f>
        <v/>
      </c>
      <c r="CP126">
        <f>'Grid_Requirement'!CN6</f>
        <v/>
      </c>
      <c r="CQ126">
        <f>'Grid_Requirement'!CO6</f>
        <v/>
      </c>
      <c r="CR126">
        <f>'Grid_Requirement'!CP6</f>
        <v/>
      </c>
      <c r="CS126">
        <f>'Grid_Requirement'!CQ6</f>
        <v/>
      </c>
      <c r="CT126">
        <f>'Grid_Requirement'!CR6</f>
        <v/>
      </c>
      <c r="CU126">
        <f>'Grid_Requirement'!CS6</f>
        <v/>
      </c>
      <c r="CV126">
        <f>'Grid_Requirement'!CT6</f>
        <v/>
      </c>
      <c r="CW126">
        <f>'Grid_Requirement'!CU6</f>
        <v/>
      </c>
      <c r="CX126">
        <f>'Grid_Requirement'!CV6</f>
        <v/>
      </c>
      <c r="CY126">
        <f>'Grid_Requirement'!CW6</f>
        <v/>
      </c>
      <c r="CZ126">
        <f>'Grid_Requirement'!CX6</f>
        <v/>
      </c>
      <c r="DA126">
        <f>'Grid_Requirement'!CY6</f>
        <v/>
      </c>
      <c r="DB126">
        <f>'Grid_Requirement'!CZ6</f>
        <v/>
      </c>
      <c r="DC126">
        <f>'Grid_Requirement'!DA6</f>
        <v/>
      </c>
    </row>
    <row r="127">
      <c r="B127" t="inlineStr">
        <is>
          <t>TTAF在庫(実績,kg)</t>
        </is>
      </c>
      <c r="D127">
        <f>'T_TTAFStock'!B10</f>
        <v/>
      </c>
      <c r="E127">
        <f>'T_TTAFStock'!C10</f>
        <v/>
      </c>
      <c r="F127">
        <f>'T_TTAFStock'!D10</f>
        <v/>
      </c>
      <c r="G127">
        <f>'T_TTAFStock'!E10</f>
        <v/>
      </c>
      <c r="H127">
        <f>'T_TTAFStock'!F10</f>
        <v/>
      </c>
      <c r="I127">
        <f>'T_TTAFStock'!G10</f>
        <v/>
      </c>
      <c r="J127">
        <f>'T_TTAFStock'!H10</f>
        <v/>
      </c>
      <c r="K127">
        <f>'T_TTAFStock'!I10</f>
        <v/>
      </c>
      <c r="L127">
        <f>'T_TTAFStock'!J10</f>
        <v/>
      </c>
      <c r="M127">
        <f>'T_TTAFStock'!K10</f>
        <v/>
      </c>
      <c r="N127">
        <f>'T_TTAFStock'!L10</f>
        <v/>
      </c>
      <c r="O127">
        <f>'T_TTAFStock'!M10</f>
        <v/>
      </c>
      <c r="P127">
        <f>'T_TTAFStock'!N10</f>
        <v/>
      </c>
      <c r="Q127">
        <f>'T_TTAFStock'!O10</f>
        <v/>
      </c>
      <c r="R127">
        <f>'T_TTAFStock'!P10</f>
        <v/>
      </c>
      <c r="S127">
        <f>'T_TTAFStock'!Q10</f>
        <v/>
      </c>
      <c r="T127">
        <f>'T_TTAFStock'!R10</f>
        <v/>
      </c>
      <c r="U127">
        <f>'T_TTAFStock'!S10</f>
        <v/>
      </c>
      <c r="V127">
        <f>'T_TTAFStock'!T10</f>
        <v/>
      </c>
      <c r="W127">
        <f>'T_TTAFStock'!U10</f>
        <v/>
      </c>
      <c r="X127">
        <f>'T_TTAFStock'!V10</f>
        <v/>
      </c>
      <c r="Y127">
        <f>'T_TTAFStock'!W10</f>
        <v/>
      </c>
      <c r="Z127">
        <f>'T_TTAFStock'!X10</f>
        <v/>
      </c>
      <c r="AA127">
        <f>'T_TTAFStock'!Y10</f>
        <v/>
      </c>
      <c r="AB127">
        <f>'T_TTAFStock'!Z10</f>
        <v/>
      </c>
      <c r="AC127">
        <f>'T_TTAFStock'!AA10</f>
        <v/>
      </c>
      <c r="AD127">
        <f>'T_TTAFStock'!AB10</f>
        <v/>
      </c>
      <c r="AE127">
        <f>'T_TTAFStock'!AC10</f>
        <v/>
      </c>
      <c r="AF127">
        <f>'T_TTAFStock'!AD10</f>
        <v/>
      </c>
      <c r="AG127">
        <f>'T_TTAFStock'!AE10</f>
        <v/>
      </c>
      <c r="AH127">
        <f>'T_TTAFStock'!AF10</f>
        <v/>
      </c>
      <c r="AI127">
        <f>'T_TTAFStock'!AG10</f>
        <v/>
      </c>
      <c r="AJ127">
        <f>'T_TTAFStock'!AH10</f>
        <v/>
      </c>
      <c r="AK127">
        <f>'T_TTAFStock'!AI10</f>
        <v/>
      </c>
      <c r="AL127">
        <f>'T_TTAFStock'!AJ10</f>
        <v/>
      </c>
      <c r="AM127">
        <f>'T_TTAFStock'!AK10</f>
        <v/>
      </c>
      <c r="AN127">
        <f>'T_TTAFStock'!AL10</f>
        <v/>
      </c>
      <c r="AO127">
        <f>'T_TTAFStock'!AM10</f>
        <v/>
      </c>
      <c r="AP127">
        <f>'T_TTAFStock'!AN10</f>
        <v/>
      </c>
      <c r="AQ127">
        <f>'T_TTAFStock'!AO10</f>
        <v/>
      </c>
      <c r="AR127">
        <f>'T_TTAFStock'!AP10</f>
        <v/>
      </c>
      <c r="AS127">
        <f>'T_TTAFStock'!AQ10</f>
        <v/>
      </c>
      <c r="AT127">
        <f>'T_TTAFStock'!AR10</f>
        <v/>
      </c>
      <c r="AU127">
        <f>'T_TTAFStock'!AS10</f>
        <v/>
      </c>
      <c r="AV127">
        <f>'T_TTAFStock'!AT10</f>
        <v/>
      </c>
      <c r="AW127">
        <f>'T_TTAFStock'!AU10</f>
        <v/>
      </c>
      <c r="AX127">
        <f>'T_TTAFStock'!AV10</f>
        <v/>
      </c>
      <c r="AY127">
        <f>'T_TTAFStock'!AW10</f>
        <v/>
      </c>
      <c r="AZ127">
        <f>'T_TTAFStock'!AX10</f>
        <v/>
      </c>
      <c r="BA127">
        <f>'T_TTAFStock'!AY10</f>
        <v/>
      </c>
      <c r="BB127">
        <f>'T_TTAFStock'!AZ10</f>
        <v/>
      </c>
      <c r="BC127">
        <f>'T_TTAFStock'!BA10</f>
        <v/>
      </c>
      <c r="BD127">
        <f>'T_TTAFStock'!BB10</f>
        <v/>
      </c>
      <c r="BE127">
        <f>'T_TTAFStock'!BC10</f>
        <v/>
      </c>
      <c r="BF127">
        <f>'T_TTAFStock'!BD10</f>
        <v/>
      </c>
      <c r="BG127">
        <f>'T_TTAFStock'!BE10</f>
        <v/>
      </c>
      <c r="BH127">
        <f>'T_TTAFStock'!BF10</f>
        <v/>
      </c>
      <c r="BI127">
        <f>'T_TTAFStock'!BG10</f>
        <v/>
      </c>
      <c r="BJ127">
        <f>'T_TTAFStock'!BH10</f>
        <v/>
      </c>
      <c r="BK127">
        <f>'T_TTAFStock'!BI10</f>
        <v/>
      </c>
      <c r="BL127">
        <f>'T_TTAFStock'!BJ10</f>
        <v/>
      </c>
      <c r="BM127">
        <f>'T_TTAFStock'!BK10</f>
        <v/>
      </c>
      <c r="BN127">
        <f>'T_TTAFStock'!BL10</f>
        <v/>
      </c>
      <c r="BO127">
        <f>'T_TTAFStock'!BM10</f>
        <v/>
      </c>
      <c r="BP127">
        <f>'T_TTAFStock'!BN10</f>
        <v/>
      </c>
      <c r="BQ127">
        <f>'T_TTAFStock'!BO10</f>
        <v/>
      </c>
      <c r="BR127">
        <f>'T_TTAFStock'!BP10</f>
        <v/>
      </c>
      <c r="BS127">
        <f>'T_TTAFStock'!BQ10</f>
        <v/>
      </c>
      <c r="BT127">
        <f>'T_TTAFStock'!BR10</f>
        <v/>
      </c>
      <c r="BU127">
        <f>'T_TTAFStock'!BS10</f>
        <v/>
      </c>
      <c r="BV127">
        <f>'T_TTAFStock'!BT10</f>
        <v/>
      </c>
      <c r="BW127">
        <f>'T_TTAFStock'!BU10</f>
        <v/>
      </c>
      <c r="BX127">
        <f>'T_TTAFStock'!BV10</f>
        <v/>
      </c>
      <c r="BY127">
        <f>'T_TTAFStock'!BW10</f>
        <v/>
      </c>
      <c r="BZ127">
        <f>'T_TTAFStock'!BX10</f>
        <v/>
      </c>
      <c r="CA127">
        <f>'T_TTAFStock'!BY10</f>
        <v/>
      </c>
      <c r="CB127">
        <f>'T_TTAFStock'!BZ10</f>
        <v/>
      </c>
      <c r="CC127">
        <f>'T_TTAFStock'!CA10</f>
        <v/>
      </c>
      <c r="CD127">
        <f>'T_TTAFStock'!CB10</f>
        <v/>
      </c>
      <c r="CE127">
        <f>'T_TTAFStock'!CC10</f>
        <v/>
      </c>
      <c r="CF127">
        <f>'T_TTAFStock'!CD10</f>
        <v/>
      </c>
      <c r="CG127">
        <f>'T_TTAFStock'!CE10</f>
        <v/>
      </c>
      <c r="CH127">
        <f>'T_TTAFStock'!CF10</f>
        <v/>
      </c>
      <c r="CI127">
        <f>'T_TTAFStock'!CG10</f>
        <v/>
      </c>
      <c r="CJ127">
        <f>'T_TTAFStock'!CH10</f>
        <v/>
      </c>
      <c r="CK127">
        <f>'T_TTAFStock'!CI10</f>
        <v/>
      </c>
      <c r="CL127">
        <f>'T_TTAFStock'!CJ10</f>
        <v/>
      </c>
      <c r="CM127">
        <f>'T_TTAFStock'!CK10</f>
        <v/>
      </c>
      <c r="CN127">
        <f>'T_TTAFStock'!CL10</f>
        <v/>
      </c>
      <c r="CO127">
        <f>'T_TTAFStock'!CM10</f>
        <v/>
      </c>
      <c r="CP127">
        <f>'T_TTAFStock'!CN10</f>
        <v/>
      </c>
      <c r="CQ127">
        <f>'T_TTAFStock'!CO10</f>
        <v/>
      </c>
      <c r="CR127">
        <f>'T_TTAFStock'!CP10</f>
        <v/>
      </c>
      <c r="CS127">
        <f>'T_TTAFStock'!CQ10</f>
        <v/>
      </c>
      <c r="CT127">
        <f>'T_TTAFStock'!CR10</f>
        <v/>
      </c>
      <c r="CU127">
        <f>'T_TTAFStock'!CS10</f>
        <v/>
      </c>
      <c r="CV127">
        <f>'T_TTAFStock'!CT10</f>
        <v/>
      </c>
      <c r="CW127">
        <f>'T_TTAFStock'!CU10</f>
        <v/>
      </c>
      <c r="CX127">
        <f>'T_TTAFStock'!CV10</f>
        <v/>
      </c>
      <c r="CY127">
        <f>'T_TTAFStock'!CW10</f>
        <v/>
      </c>
      <c r="CZ127">
        <f>'T_TTAFStock'!CX10</f>
        <v/>
      </c>
      <c r="DA127">
        <f>'T_TTAFStock'!CY10</f>
        <v/>
      </c>
      <c r="DB127">
        <f>'T_TTAFStock'!CZ10</f>
        <v/>
      </c>
      <c r="DC127">
        <f>'T_TTAFStock'!DA10</f>
        <v/>
      </c>
    </row>
    <row r="128">
      <c r="B128" t="inlineStr">
        <is>
          <t>自社在庫(実績,kg)</t>
        </is>
      </c>
      <c r="D128">
        <f>'T_SelfStock'!B10</f>
        <v/>
      </c>
      <c r="E128">
        <f>'T_SelfStock'!C10</f>
        <v/>
      </c>
      <c r="F128">
        <f>'T_SelfStock'!D10</f>
        <v/>
      </c>
      <c r="G128">
        <f>'T_SelfStock'!E10</f>
        <v/>
      </c>
      <c r="H128">
        <f>'T_SelfStock'!F10</f>
        <v/>
      </c>
      <c r="I128">
        <f>'T_SelfStock'!G10</f>
        <v/>
      </c>
      <c r="J128">
        <f>'T_SelfStock'!H10</f>
        <v/>
      </c>
      <c r="K128">
        <f>'T_SelfStock'!I10</f>
        <v/>
      </c>
      <c r="L128">
        <f>'T_SelfStock'!J10</f>
        <v/>
      </c>
      <c r="M128">
        <f>'T_SelfStock'!K10</f>
        <v/>
      </c>
      <c r="N128">
        <f>'T_SelfStock'!L10</f>
        <v/>
      </c>
      <c r="O128">
        <f>'T_SelfStock'!M10</f>
        <v/>
      </c>
      <c r="P128">
        <f>'T_SelfStock'!N10</f>
        <v/>
      </c>
      <c r="Q128">
        <f>'T_SelfStock'!O10</f>
        <v/>
      </c>
      <c r="R128">
        <f>'T_SelfStock'!P10</f>
        <v/>
      </c>
      <c r="S128">
        <f>'T_SelfStock'!Q10</f>
        <v/>
      </c>
      <c r="T128">
        <f>'T_SelfStock'!R10</f>
        <v/>
      </c>
      <c r="U128">
        <f>'T_SelfStock'!S10</f>
        <v/>
      </c>
      <c r="V128">
        <f>'T_SelfStock'!T10</f>
        <v/>
      </c>
      <c r="W128">
        <f>'T_SelfStock'!U10</f>
        <v/>
      </c>
      <c r="X128">
        <f>'T_SelfStock'!V10</f>
        <v/>
      </c>
      <c r="Y128">
        <f>'T_SelfStock'!W10</f>
        <v/>
      </c>
      <c r="Z128">
        <f>'T_SelfStock'!X10</f>
        <v/>
      </c>
      <c r="AA128">
        <f>'T_SelfStock'!Y10</f>
        <v/>
      </c>
      <c r="AB128">
        <f>'T_SelfStock'!Z10</f>
        <v/>
      </c>
      <c r="AC128">
        <f>'T_SelfStock'!AA10</f>
        <v/>
      </c>
      <c r="AD128">
        <f>'T_SelfStock'!AB10</f>
        <v/>
      </c>
      <c r="AE128">
        <f>'T_SelfStock'!AC10</f>
        <v/>
      </c>
      <c r="AF128">
        <f>'T_SelfStock'!AD10</f>
        <v/>
      </c>
      <c r="AG128">
        <f>'T_SelfStock'!AE10</f>
        <v/>
      </c>
      <c r="AH128">
        <f>'T_SelfStock'!AF10</f>
        <v/>
      </c>
      <c r="AI128">
        <f>'T_SelfStock'!AG10</f>
        <v/>
      </c>
      <c r="AJ128">
        <f>'T_SelfStock'!AH10</f>
        <v/>
      </c>
      <c r="AK128">
        <f>'T_SelfStock'!AI10</f>
        <v/>
      </c>
      <c r="AL128">
        <f>'T_SelfStock'!AJ10</f>
        <v/>
      </c>
      <c r="AM128">
        <f>'T_SelfStock'!AK10</f>
        <v/>
      </c>
      <c r="AN128">
        <f>'T_SelfStock'!AL10</f>
        <v/>
      </c>
      <c r="AO128">
        <f>'T_SelfStock'!AM10</f>
        <v/>
      </c>
      <c r="AP128">
        <f>'T_SelfStock'!AN10</f>
        <v/>
      </c>
      <c r="AQ128">
        <f>'T_SelfStock'!AO10</f>
        <v/>
      </c>
      <c r="AR128">
        <f>'T_SelfStock'!AP10</f>
        <v/>
      </c>
      <c r="AS128">
        <f>'T_SelfStock'!AQ10</f>
        <v/>
      </c>
      <c r="AT128">
        <f>'T_SelfStock'!AR10</f>
        <v/>
      </c>
      <c r="AU128">
        <f>'T_SelfStock'!AS10</f>
        <v/>
      </c>
      <c r="AV128">
        <f>'T_SelfStock'!AT10</f>
        <v/>
      </c>
      <c r="AW128">
        <f>'T_SelfStock'!AU10</f>
        <v/>
      </c>
      <c r="AX128">
        <f>'T_SelfStock'!AV10</f>
        <v/>
      </c>
      <c r="AY128">
        <f>'T_SelfStock'!AW10</f>
        <v/>
      </c>
      <c r="AZ128">
        <f>'T_SelfStock'!AX10</f>
        <v/>
      </c>
      <c r="BA128">
        <f>'T_SelfStock'!AY10</f>
        <v/>
      </c>
      <c r="BB128">
        <f>'T_SelfStock'!AZ10</f>
        <v/>
      </c>
      <c r="BC128">
        <f>'T_SelfStock'!BA10</f>
        <v/>
      </c>
      <c r="BD128">
        <f>'T_SelfStock'!BB10</f>
        <v/>
      </c>
      <c r="BE128">
        <f>'T_SelfStock'!BC10</f>
        <v/>
      </c>
      <c r="BF128">
        <f>'T_SelfStock'!BD10</f>
        <v/>
      </c>
      <c r="BG128">
        <f>'T_SelfStock'!BE10</f>
        <v/>
      </c>
      <c r="BH128">
        <f>'T_SelfStock'!BF10</f>
        <v/>
      </c>
      <c r="BI128">
        <f>'T_SelfStock'!BG10</f>
        <v/>
      </c>
      <c r="BJ128">
        <f>'T_SelfStock'!BH10</f>
        <v/>
      </c>
      <c r="BK128">
        <f>'T_SelfStock'!BI10</f>
        <v/>
      </c>
      <c r="BL128">
        <f>'T_SelfStock'!BJ10</f>
        <v/>
      </c>
      <c r="BM128">
        <f>'T_SelfStock'!BK10</f>
        <v/>
      </c>
      <c r="BN128">
        <f>'T_SelfStock'!BL10</f>
        <v/>
      </c>
      <c r="BO128">
        <f>'T_SelfStock'!BM10</f>
        <v/>
      </c>
      <c r="BP128">
        <f>'T_SelfStock'!BN10</f>
        <v/>
      </c>
      <c r="BQ128">
        <f>'T_SelfStock'!BO10</f>
        <v/>
      </c>
      <c r="BR128">
        <f>'T_SelfStock'!BP10</f>
        <v/>
      </c>
      <c r="BS128">
        <f>'T_SelfStock'!BQ10</f>
        <v/>
      </c>
      <c r="BT128">
        <f>'T_SelfStock'!BR10</f>
        <v/>
      </c>
      <c r="BU128">
        <f>'T_SelfStock'!BS10</f>
        <v/>
      </c>
      <c r="BV128">
        <f>'T_SelfStock'!BT10</f>
        <v/>
      </c>
      <c r="BW128">
        <f>'T_SelfStock'!BU10</f>
        <v/>
      </c>
      <c r="BX128">
        <f>'T_SelfStock'!BV10</f>
        <v/>
      </c>
      <c r="BY128">
        <f>'T_SelfStock'!BW10</f>
        <v/>
      </c>
      <c r="BZ128">
        <f>'T_SelfStock'!BX10</f>
        <v/>
      </c>
      <c r="CA128">
        <f>'T_SelfStock'!BY10</f>
        <v/>
      </c>
      <c r="CB128">
        <f>'T_SelfStock'!BZ10</f>
        <v/>
      </c>
      <c r="CC128">
        <f>'T_SelfStock'!CA10</f>
        <v/>
      </c>
      <c r="CD128">
        <f>'T_SelfStock'!CB10</f>
        <v/>
      </c>
      <c r="CE128">
        <f>'T_SelfStock'!CC10</f>
        <v/>
      </c>
      <c r="CF128">
        <f>'T_SelfStock'!CD10</f>
        <v/>
      </c>
      <c r="CG128">
        <f>'T_SelfStock'!CE10</f>
        <v/>
      </c>
      <c r="CH128">
        <f>'T_SelfStock'!CF10</f>
        <v/>
      </c>
      <c r="CI128">
        <f>'T_SelfStock'!CG10</f>
        <v/>
      </c>
      <c r="CJ128">
        <f>'T_SelfStock'!CH10</f>
        <v/>
      </c>
      <c r="CK128">
        <f>'T_SelfStock'!CI10</f>
        <v/>
      </c>
      <c r="CL128">
        <f>'T_SelfStock'!CJ10</f>
        <v/>
      </c>
      <c r="CM128">
        <f>'T_SelfStock'!CK10</f>
        <v/>
      </c>
      <c r="CN128">
        <f>'T_SelfStock'!CL10</f>
        <v/>
      </c>
      <c r="CO128">
        <f>'T_SelfStock'!CM10</f>
        <v/>
      </c>
      <c r="CP128">
        <f>'T_SelfStock'!CN10</f>
        <v/>
      </c>
      <c r="CQ128">
        <f>'T_SelfStock'!CO10</f>
        <v/>
      </c>
      <c r="CR128">
        <f>'T_SelfStock'!CP10</f>
        <v/>
      </c>
      <c r="CS128">
        <f>'T_SelfStock'!CQ10</f>
        <v/>
      </c>
      <c r="CT128">
        <f>'T_SelfStock'!CR10</f>
        <v/>
      </c>
      <c r="CU128">
        <f>'T_SelfStock'!CS10</f>
        <v/>
      </c>
      <c r="CV128">
        <f>'T_SelfStock'!CT10</f>
        <v/>
      </c>
      <c r="CW128">
        <f>'T_SelfStock'!CU10</f>
        <v/>
      </c>
      <c r="CX128">
        <f>'T_SelfStock'!CV10</f>
        <v/>
      </c>
      <c r="CY128">
        <f>'T_SelfStock'!CW10</f>
        <v/>
      </c>
      <c r="CZ128">
        <f>'T_SelfStock'!CX10</f>
        <v/>
      </c>
      <c r="DA128">
        <f>'T_SelfStock'!CY10</f>
        <v/>
      </c>
      <c r="DB128">
        <f>'T_SelfStock'!CZ10</f>
        <v/>
      </c>
      <c r="DC128">
        <f>'T_SelfStock'!DA10</f>
        <v/>
      </c>
    </row>
    <row r="129">
      <c r="B129" t="inlineStr">
        <is>
          <t>Order(発注予定,kg)</t>
        </is>
      </c>
      <c r="D129">
        <f>IF(SUMIFS(T_PlannedOrders[EffectiveQty],T_PlannedOrders[Part Name],$A115,T_PlannedOrders[WeekIndex],1)=0,"",SUMIFS(T_PlannedOrders[EffectiveQty],T_PlannedOrders[Part Name],$A115,T_PlannedOrders[WeekIndex],1)&amp;" ("&amp;TEXT(SUMPRODUCT(MAX((T_PlannedOrders[Part Name]=$A115)*(T_PlannedOrders[WeekIndex]=1)*(T_PlannedOrders[EffectiveQty]&gt;0)*T_PlannedOrders[Order_Month])),"m月")&amp;"発注)")</f>
        <v/>
      </c>
      <c r="E129">
        <f>IF(SUMIFS(T_PlannedOrders[EffectiveQty],T_PlannedOrders[Part Name],$A115,T_PlannedOrders[WeekIndex],2)=0,"",SUMIFS(T_PlannedOrders[EffectiveQty],T_PlannedOrders[Part Name],$A115,T_PlannedOrders[WeekIndex],2)&amp;" ("&amp;TEXT(SUMPRODUCT(MAX((T_PlannedOrders[Part Name]=$A115)*(T_PlannedOrders[WeekIndex]=2)*(T_PlannedOrders[EffectiveQty]&gt;0)*T_PlannedOrders[Order_Month])),"m月")&amp;"発注)")</f>
        <v/>
      </c>
      <c r="F129">
        <f>IF(SUMIFS(T_PlannedOrders[EffectiveQty],T_PlannedOrders[Part Name],$A115,T_PlannedOrders[WeekIndex],3)=0,"",SUMIFS(T_PlannedOrders[EffectiveQty],T_PlannedOrders[Part Name],$A115,T_PlannedOrders[WeekIndex],3)&amp;" ("&amp;TEXT(SUMPRODUCT(MAX((T_PlannedOrders[Part Name]=$A115)*(T_PlannedOrders[WeekIndex]=3)*(T_PlannedOrders[EffectiveQty]&gt;0)*T_PlannedOrders[Order_Month])),"m月")&amp;"発注)")</f>
        <v/>
      </c>
      <c r="G129">
        <f>IF(SUMIFS(T_PlannedOrders[EffectiveQty],T_PlannedOrders[Part Name],$A115,T_PlannedOrders[WeekIndex],4)=0,"",SUMIFS(T_PlannedOrders[EffectiveQty],T_PlannedOrders[Part Name],$A115,T_PlannedOrders[WeekIndex],4)&amp;" ("&amp;TEXT(SUMPRODUCT(MAX((T_PlannedOrders[Part Name]=$A115)*(T_PlannedOrders[WeekIndex]=4)*(T_PlannedOrders[EffectiveQty]&gt;0)*T_PlannedOrders[Order_Month])),"m月")&amp;"発注)")</f>
        <v/>
      </c>
      <c r="H129">
        <f>IF(SUMIFS(T_PlannedOrders[EffectiveQty],T_PlannedOrders[Part Name],$A115,T_PlannedOrders[WeekIndex],5)=0,"",SUMIFS(T_PlannedOrders[EffectiveQty],T_PlannedOrders[Part Name],$A115,T_PlannedOrders[WeekIndex],5)&amp;" ("&amp;TEXT(SUMPRODUCT(MAX((T_PlannedOrders[Part Name]=$A115)*(T_PlannedOrders[WeekIndex]=5)*(T_PlannedOrders[EffectiveQty]&gt;0)*T_PlannedOrders[Order_Month])),"m月")&amp;"発注)")</f>
        <v/>
      </c>
      <c r="I129">
        <f>IF(SUMIFS(T_PlannedOrders[EffectiveQty],T_PlannedOrders[Part Name],$A115,T_PlannedOrders[WeekIndex],6)=0,"",SUMIFS(T_PlannedOrders[EffectiveQty],T_PlannedOrders[Part Name],$A115,T_PlannedOrders[WeekIndex],6)&amp;" ("&amp;TEXT(SUMPRODUCT(MAX((T_PlannedOrders[Part Name]=$A115)*(T_PlannedOrders[WeekIndex]=6)*(T_PlannedOrders[EffectiveQty]&gt;0)*T_PlannedOrders[Order_Month])),"m月")&amp;"発注)")</f>
        <v/>
      </c>
      <c r="J129">
        <f>IF(SUMIFS(T_PlannedOrders[EffectiveQty],T_PlannedOrders[Part Name],$A115,T_PlannedOrders[WeekIndex],7)=0,"",SUMIFS(T_PlannedOrders[EffectiveQty],T_PlannedOrders[Part Name],$A115,T_PlannedOrders[WeekIndex],7)&amp;" ("&amp;TEXT(SUMPRODUCT(MAX((T_PlannedOrders[Part Name]=$A115)*(T_PlannedOrders[WeekIndex]=7)*(T_PlannedOrders[EffectiveQty]&gt;0)*T_PlannedOrders[Order_Month])),"m月")&amp;"発注)")</f>
        <v/>
      </c>
      <c r="K129">
        <f>IF(SUMIFS(T_PlannedOrders[EffectiveQty],T_PlannedOrders[Part Name],$A115,T_PlannedOrders[WeekIndex],8)=0,"",SUMIFS(T_PlannedOrders[EffectiveQty],T_PlannedOrders[Part Name],$A115,T_PlannedOrders[WeekIndex],8)&amp;" ("&amp;TEXT(SUMPRODUCT(MAX((T_PlannedOrders[Part Name]=$A115)*(T_PlannedOrders[WeekIndex]=8)*(T_PlannedOrders[EffectiveQty]&gt;0)*T_PlannedOrders[Order_Month])),"m月")&amp;"発注)")</f>
        <v/>
      </c>
      <c r="L129">
        <f>IF(SUMIFS(T_PlannedOrders[EffectiveQty],T_PlannedOrders[Part Name],$A115,T_PlannedOrders[WeekIndex],9)=0,"",SUMIFS(T_PlannedOrders[EffectiveQty],T_PlannedOrders[Part Name],$A115,T_PlannedOrders[WeekIndex],9)&amp;" ("&amp;TEXT(SUMPRODUCT(MAX((T_PlannedOrders[Part Name]=$A115)*(T_PlannedOrders[WeekIndex]=9)*(T_PlannedOrders[EffectiveQty]&gt;0)*T_PlannedOrders[Order_Month])),"m月")&amp;"発注)")</f>
        <v/>
      </c>
      <c r="M129">
        <f>IF(SUMIFS(T_PlannedOrders[EffectiveQty],T_PlannedOrders[Part Name],$A115,T_PlannedOrders[WeekIndex],10)=0,"",SUMIFS(T_PlannedOrders[EffectiveQty],T_PlannedOrders[Part Name],$A115,T_PlannedOrders[WeekIndex],10)&amp;" ("&amp;TEXT(SUMPRODUCT(MAX((T_PlannedOrders[Part Name]=$A115)*(T_PlannedOrders[WeekIndex]=10)*(T_PlannedOrders[EffectiveQty]&gt;0)*T_PlannedOrders[Order_Month])),"m月")&amp;"発注)")</f>
        <v/>
      </c>
      <c r="N129">
        <f>IF(SUMIFS(T_PlannedOrders[EffectiveQty],T_PlannedOrders[Part Name],$A115,T_PlannedOrders[WeekIndex],11)=0,"",SUMIFS(T_PlannedOrders[EffectiveQty],T_PlannedOrders[Part Name],$A115,T_PlannedOrders[WeekIndex],11)&amp;" ("&amp;TEXT(SUMPRODUCT(MAX((T_PlannedOrders[Part Name]=$A115)*(T_PlannedOrders[WeekIndex]=11)*(T_PlannedOrders[EffectiveQty]&gt;0)*T_PlannedOrders[Order_Month])),"m月")&amp;"発注)")</f>
        <v/>
      </c>
      <c r="O129">
        <f>IF(SUMIFS(T_PlannedOrders[EffectiveQty],T_PlannedOrders[Part Name],$A115,T_PlannedOrders[WeekIndex],12)=0,"",SUMIFS(T_PlannedOrders[EffectiveQty],T_PlannedOrders[Part Name],$A115,T_PlannedOrders[WeekIndex],12)&amp;" ("&amp;TEXT(SUMPRODUCT(MAX((T_PlannedOrders[Part Name]=$A115)*(T_PlannedOrders[WeekIndex]=12)*(T_PlannedOrders[EffectiveQty]&gt;0)*T_PlannedOrders[Order_Month])),"m月")&amp;"発注)")</f>
        <v/>
      </c>
      <c r="P129">
        <f>IF(SUMIFS(T_PlannedOrders[EffectiveQty],T_PlannedOrders[Part Name],$A115,T_PlannedOrders[WeekIndex],13)=0,"",SUMIFS(T_PlannedOrders[EffectiveQty],T_PlannedOrders[Part Name],$A115,T_PlannedOrders[WeekIndex],13)&amp;" ("&amp;TEXT(SUMPRODUCT(MAX((T_PlannedOrders[Part Name]=$A115)*(T_PlannedOrders[WeekIndex]=13)*(T_PlannedOrders[EffectiveQty]&gt;0)*T_PlannedOrders[Order_Month])),"m月")&amp;"発注)")</f>
        <v/>
      </c>
      <c r="Q129">
        <f>IF(SUMIFS(T_PlannedOrders[EffectiveQty],T_PlannedOrders[Part Name],$A115,T_PlannedOrders[WeekIndex],14)=0,"",SUMIFS(T_PlannedOrders[EffectiveQty],T_PlannedOrders[Part Name],$A115,T_PlannedOrders[WeekIndex],14)&amp;" ("&amp;TEXT(SUMPRODUCT(MAX((T_PlannedOrders[Part Name]=$A115)*(T_PlannedOrders[WeekIndex]=14)*(T_PlannedOrders[EffectiveQty]&gt;0)*T_PlannedOrders[Order_Month])),"m月")&amp;"発注)")</f>
        <v/>
      </c>
      <c r="R129">
        <f>IF(SUMIFS(T_PlannedOrders[EffectiveQty],T_PlannedOrders[Part Name],$A115,T_PlannedOrders[WeekIndex],15)=0,"",SUMIFS(T_PlannedOrders[EffectiveQty],T_PlannedOrders[Part Name],$A115,T_PlannedOrders[WeekIndex],15)&amp;" ("&amp;TEXT(SUMPRODUCT(MAX((T_PlannedOrders[Part Name]=$A115)*(T_PlannedOrders[WeekIndex]=15)*(T_PlannedOrders[EffectiveQty]&gt;0)*T_PlannedOrders[Order_Month])),"m月")&amp;"発注)")</f>
        <v/>
      </c>
      <c r="S129">
        <f>IF(SUMIFS(T_PlannedOrders[EffectiveQty],T_PlannedOrders[Part Name],$A115,T_PlannedOrders[WeekIndex],16)=0,"",SUMIFS(T_PlannedOrders[EffectiveQty],T_PlannedOrders[Part Name],$A115,T_PlannedOrders[WeekIndex],16)&amp;" ("&amp;TEXT(SUMPRODUCT(MAX((T_PlannedOrders[Part Name]=$A115)*(T_PlannedOrders[WeekIndex]=16)*(T_PlannedOrders[EffectiveQty]&gt;0)*T_PlannedOrders[Order_Month])),"m月")&amp;"発注)")</f>
        <v/>
      </c>
      <c r="T129">
        <f>IF(SUMIFS(T_PlannedOrders[EffectiveQty],T_PlannedOrders[Part Name],$A115,T_PlannedOrders[WeekIndex],17)=0,"",SUMIFS(T_PlannedOrders[EffectiveQty],T_PlannedOrders[Part Name],$A115,T_PlannedOrders[WeekIndex],17)&amp;" ("&amp;TEXT(SUMPRODUCT(MAX((T_PlannedOrders[Part Name]=$A115)*(T_PlannedOrders[WeekIndex]=17)*(T_PlannedOrders[EffectiveQty]&gt;0)*T_PlannedOrders[Order_Month])),"m月")&amp;"発注)")</f>
        <v/>
      </c>
      <c r="U129">
        <f>IF(SUMIFS(T_PlannedOrders[EffectiveQty],T_PlannedOrders[Part Name],$A115,T_PlannedOrders[WeekIndex],18)=0,"",SUMIFS(T_PlannedOrders[EffectiveQty],T_PlannedOrders[Part Name],$A115,T_PlannedOrders[WeekIndex],18)&amp;" ("&amp;TEXT(SUMPRODUCT(MAX((T_PlannedOrders[Part Name]=$A115)*(T_PlannedOrders[WeekIndex]=18)*(T_PlannedOrders[EffectiveQty]&gt;0)*T_PlannedOrders[Order_Month])),"m月")&amp;"発注)")</f>
        <v/>
      </c>
      <c r="V129">
        <f>IF(SUMIFS(T_PlannedOrders[EffectiveQty],T_PlannedOrders[Part Name],$A115,T_PlannedOrders[WeekIndex],19)=0,"",SUMIFS(T_PlannedOrders[EffectiveQty],T_PlannedOrders[Part Name],$A115,T_PlannedOrders[WeekIndex],19)&amp;" ("&amp;TEXT(SUMPRODUCT(MAX((T_PlannedOrders[Part Name]=$A115)*(T_PlannedOrders[WeekIndex]=19)*(T_PlannedOrders[EffectiveQty]&gt;0)*T_PlannedOrders[Order_Month])),"m月")&amp;"発注)")</f>
        <v/>
      </c>
      <c r="W129">
        <f>IF(SUMIFS(T_PlannedOrders[EffectiveQty],T_PlannedOrders[Part Name],$A115,T_PlannedOrders[WeekIndex],20)=0,"",SUMIFS(T_PlannedOrders[EffectiveQty],T_PlannedOrders[Part Name],$A115,T_PlannedOrders[WeekIndex],20)&amp;" ("&amp;TEXT(SUMPRODUCT(MAX((T_PlannedOrders[Part Name]=$A115)*(T_PlannedOrders[WeekIndex]=20)*(T_PlannedOrders[EffectiveQty]&gt;0)*T_PlannedOrders[Order_Month])),"m月")&amp;"発注)")</f>
        <v/>
      </c>
      <c r="X129">
        <f>IF(SUMIFS(T_PlannedOrders[EffectiveQty],T_PlannedOrders[Part Name],$A115,T_PlannedOrders[WeekIndex],21)=0,"",SUMIFS(T_PlannedOrders[EffectiveQty],T_PlannedOrders[Part Name],$A115,T_PlannedOrders[WeekIndex],21)&amp;" ("&amp;TEXT(SUMPRODUCT(MAX((T_PlannedOrders[Part Name]=$A115)*(T_PlannedOrders[WeekIndex]=21)*(T_PlannedOrders[EffectiveQty]&gt;0)*T_PlannedOrders[Order_Month])),"m月")&amp;"発注)")</f>
        <v/>
      </c>
      <c r="Y129">
        <f>IF(SUMIFS(T_PlannedOrders[EffectiveQty],T_PlannedOrders[Part Name],$A115,T_PlannedOrders[WeekIndex],22)=0,"",SUMIFS(T_PlannedOrders[EffectiveQty],T_PlannedOrders[Part Name],$A115,T_PlannedOrders[WeekIndex],22)&amp;" ("&amp;TEXT(SUMPRODUCT(MAX((T_PlannedOrders[Part Name]=$A115)*(T_PlannedOrders[WeekIndex]=22)*(T_PlannedOrders[EffectiveQty]&gt;0)*T_PlannedOrders[Order_Month])),"m月")&amp;"発注)")</f>
        <v/>
      </c>
      <c r="Z129">
        <f>IF(SUMIFS(T_PlannedOrders[EffectiveQty],T_PlannedOrders[Part Name],$A115,T_PlannedOrders[WeekIndex],23)=0,"",SUMIFS(T_PlannedOrders[EffectiveQty],T_PlannedOrders[Part Name],$A115,T_PlannedOrders[WeekIndex],23)&amp;" ("&amp;TEXT(SUMPRODUCT(MAX((T_PlannedOrders[Part Name]=$A115)*(T_PlannedOrders[WeekIndex]=23)*(T_PlannedOrders[EffectiveQty]&gt;0)*T_PlannedOrders[Order_Month])),"m月")&amp;"発注)")</f>
        <v/>
      </c>
      <c r="AA129">
        <f>IF(SUMIFS(T_PlannedOrders[EffectiveQty],T_PlannedOrders[Part Name],$A115,T_PlannedOrders[WeekIndex],24)=0,"",SUMIFS(T_PlannedOrders[EffectiveQty],T_PlannedOrders[Part Name],$A115,T_PlannedOrders[WeekIndex],24)&amp;" ("&amp;TEXT(SUMPRODUCT(MAX((T_PlannedOrders[Part Name]=$A115)*(T_PlannedOrders[WeekIndex]=24)*(T_PlannedOrders[EffectiveQty]&gt;0)*T_PlannedOrders[Order_Month])),"m月")&amp;"発注)")</f>
        <v/>
      </c>
      <c r="AB129">
        <f>IF(SUMIFS(T_PlannedOrders[EffectiveQty],T_PlannedOrders[Part Name],$A115,T_PlannedOrders[WeekIndex],25)=0,"",SUMIFS(T_PlannedOrders[EffectiveQty],T_PlannedOrders[Part Name],$A115,T_PlannedOrders[WeekIndex],25)&amp;" ("&amp;TEXT(SUMPRODUCT(MAX((T_PlannedOrders[Part Name]=$A115)*(T_PlannedOrders[WeekIndex]=25)*(T_PlannedOrders[EffectiveQty]&gt;0)*T_PlannedOrders[Order_Month])),"m月")&amp;"発注)")</f>
        <v/>
      </c>
      <c r="AC129">
        <f>IF(SUMIFS(T_PlannedOrders[EffectiveQty],T_PlannedOrders[Part Name],$A115,T_PlannedOrders[WeekIndex],26)=0,"",SUMIFS(T_PlannedOrders[EffectiveQty],T_PlannedOrders[Part Name],$A115,T_PlannedOrders[WeekIndex],26)&amp;" ("&amp;TEXT(SUMPRODUCT(MAX((T_PlannedOrders[Part Name]=$A115)*(T_PlannedOrders[WeekIndex]=26)*(T_PlannedOrders[EffectiveQty]&gt;0)*T_PlannedOrders[Order_Month])),"m月")&amp;"発注)")</f>
        <v/>
      </c>
      <c r="AD129">
        <f>IF(SUMIFS(T_PlannedOrders[EffectiveQty],T_PlannedOrders[Part Name],$A115,T_PlannedOrders[WeekIndex],27)=0,"",SUMIFS(T_PlannedOrders[EffectiveQty],T_PlannedOrders[Part Name],$A115,T_PlannedOrders[WeekIndex],27)&amp;" ("&amp;TEXT(SUMPRODUCT(MAX((T_PlannedOrders[Part Name]=$A115)*(T_PlannedOrders[WeekIndex]=27)*(T_PlannedOrders[EffectiveQty]&gt;0)*T_PlannedOrders[Order_Month])),"m月")&amp;"発注)")</f>
        <v/>
      </c>
      <c r="AE129">
        <f>IF(SUMIFS(T_PlannedOrders[EffectiveQty],T_PlannedOrders[Part Name],$A115,T_PlannedOrders[WeekIndex],28)=0,"",SUMIFS(T_PlannedOrders[EffectiveQty],T_PlannedOrders[Part Name],$A115,T_PlannedOrders[WeekIndex],28)&amp;" ("&amp;TEXT(SUMPRODUCT(MAX((T_PlannedOrders[Part Name]=$A115)*(T_PlannedOrders[WeekIndex]=28)*(T_PlannedOrders[EffectiveQty]&gt;0)*T_PlannedOrders[Order_Month])),"m月")&amp;"発注)")</f>
        <v/>
      </c>
      <c r="AF129">
        <f>IF(SUMIFS(T_PlannedOrders[EffectiveQty],T_PlannedOrders[Part Name],$A115,T_PlannedOrders[WeekIndex],29)=0,"",SUMIFS(T_PlannedOrders[EffectiveQty],T_PlannedOrders[Part Name],$A115,T_PlannedOrders[WeekIndex],29)&amp;" ("&amp;TEXT(SUMPRODUCT(MAX((T_PlannedOrders[Part Name]=$A115)*(T_PlannedOrders[WeekIndex]=29)*(T_PlannedOrders[EffectiveQty]&gt;0)*T_PlannedOrders[Order_Month])),"m月")&amp;"発注)")</f>
        <v/>
      </c>
      <c r="AG129">
        <f>IF(SUMIFS(T_PlannedOrders[EffectiveQty],T_PlannedOrders[Part Name],$A115,T_PlannedOrders[WeekIndex],30)=0,"",SUMIFS(T_PlannedOrders[EffectiveQty],T_PlannedOrders[Part Name],$A115,T_PlannedOrders[WeekIndex],30)&amp;" ("&amp;TEXT(SUMPRODUCT(MAX((T_PlannedOrders[Part Name]=$A115)*(T_PlannedOrders[WeekIndex]=30)*(T_PlannedOrders[EffectiveQty]&gt;0)*T_PlannedOrders[Order_Month])),"m月")&amp;"発注)")</f>
        <v/>
      </c>
      <c r="AH129">
        <f>IF(SUMIFS(T_PlannedOrders[EffectiveQty],T_PlannedOrders[Part Name],$A115,T_PlannedOrders[WeekIndex],31)=0,"",SUMIFS(T_PlannedOrders[EffectiveQty],T_PlannedOrders[Part Name],$A115,T_PlannedOrders[WeekIndex],31)&amp;" ("&amp;TEXT(SUMPRODUCT(MAX((T_PlannedOrders[Part Name]=$A115)*(T_PlannedOrders[WeekIndex]=31)*(T_PlannedOrders[EffectiveQty]&gt;0)*T_PlannedOrders[Order_Month])),"m月")&amp;"発注)")</f>
        <v/>
      </c>
      <c r="AI129">
        <f>IF(SUMIFS(T_PlannedOrders[EffectiveQty],T_PlannedOrders[Part Name],$A115,T_PlannedOrders[WeekIndex],32)=0,"",SUMIFS(T_PlannedOrders[EffectiveQty],T_PlannedOrders[Part Name],$A115,T_PlannedOrders[WeekIndex],32)&amp;" ("&amp;TEXT(SUMPRODUCT(MAX((T_PlannedOrders[Part Name]=$A115)*(T_PlannedOrders[WeekIndex]=32)*(T_PlannedOrders[EffectiveQty]&gt;0)*T_PlannedOrders[Order_Month])),"m月")&amp;"発注)")</f>
        <v/>
      </c>
      <c r="AJ129">
        <f>IF(SUMIFS(T_PlannedOrders[EffectiveQty],T_PlannedOrders[Part Name],$A115,T_PlannedOrders[WeekIndex],33)=0,"",SUMIFS(T_PlannedOrders[EffectiveQty],T_PlannedOrders[Part Name],$A115,T_PlannedOrders[WeekIndex],33)&amp;" ("&amp;TEXT(SUMPRODUCT(MAX((T_PlannedOrders[Part Name]=$A115)*(T_PlannedOrders[WeekIndex]=33)*(T_PlannedOrders[EffectiveQty]&gt;0)*T_PlannedOrders[Order_Month])),"m月")&amp;"発注)")</f>
        <v/>
      </c>
      <c r="AK129">
        <f>IF(SUMIFS(T_PlannedOrders[EffectiveQty],T_PlannedOrders[Part Name],$A115,T_PlannedOrders[WeekIndex],34)=0,"",SUMIFS(T_PlannedOrders[EffectiveQty],T_PlannedOrders[Part Name],$A115,T_PlannedOrders[WeekIndex],34)&amp;" ("&amp;TEXT(SUMPRODUCT(MAX((T_PlannedOrders[Part Name]=$A115)*(T_PlannedOrders[WeekIndex]=34)*(T_PlannedOrders[EffectiveQty]&gt;0)*T_PlannedOrders[Order_Month])),"m月")&amp;"発注)")</f>
        <v/>
      </c>
      <c r="AL129">
        <f>IF(SUMIFS(T_PlannedOrders[EffectiveQty],T_PlannedOrders[Part Name],$A115,T_PlannedOrders[WeekIndex],35)=0,"",SUMIFS(T_PlannedOrders[EffectiveQty],T_PlannedOrders[Part Name],$A115,T_PlannedOrders[WeekIndex],35)&amp;" ("&amp;TEXT(SUMPRODUCT(MAX((T_PlannedOrders[Part Name]=$A115)*(T_PlannedOrders[WeekIndex]=35)*(T_PlannedOrders[EffectiveQty]&gt;0)*T_PlannedOrders[Order_Month])),"m月")&amp;"発注)")</f>
        <v/>
      </c>
      <c r="AM129">
        <f>IF(SUMIFS(T_PlannedOrders[EffectiveQty],T_PlannedOrders[Part Name],$A115,T_PlannedOrders[WeekIndex],36)=0,"",SUMIFS(T_PlannedOrders[EffectiveQty],T_PlannedOrders[Part Name],$A115,T_PlannedOrders[WeekIndex],36)&amp;" ("&amp;TEXT(SUMPRODUCT(MAX((T_PlannedOrders[Part Name]=$A115)*(T_PlannedOrders[WeekIndex]=36)*(T_PlannedOrders[EffectiveQty]&gt;0)*T_PlannedOrders[Order_Month])),"m月")&amp;"発注)")</f>
        <v/>
      </c>
      <c r="AN129">
        <f>IF(SUMIFS(T_PlannedOrders[EffectiveQty],T_PlannedOrders[Part Name],$A115,T_PlannedOrders[WeekIndex],37)=0,"",SUMIFS(T_PlannedOrders[EffectiveQty],T_PlannedOrders[Part Name],$A115,T_PlannedOrders[WeekIndex],37)&amp;" ("&amp;TEXT(SUMPRODUCT(MAX((T_PlannedOrders[Part Name]=$A115)*(T_PlannedOrders[WeekIndex]=37)*(T_PlannedOrders[EffectiveQty]&gt;0)*T_PlannedOrders[Order_Month])),"m月")&amp;"発注)")</f>
        <v/>
      </c>
      <c r="AO129">
        <f>IF(SUMIFS(T_PlannedOrders[EffectiveQty],T_PlannedOrders[Part Name],$A115,T_PlannedOrders[WeekIndex],38)=0,"",SUMIFS(T_PlannedOrders[EffectiveQty],T_PlannedOrders[Part Name],$A115,T_PlannedOrders[WeekIndex],38)&amp;" ("&amp;TEXT(SUMPRODUCT(MAX((T_PlannedOrders[Part Name]=$A115)*(T_PlannedOrders[WeekIndex]=38)*(T_PlannedOrders[EffectiveQty]&gt;0)*T_PlannedOrders[Order_Month])),"m月")&amp;"発注)")</f>
        <v/>
      </c>
      <c r="AP129">
        <f>IF(SUMIFS(T_PlannedOrders[EffectiveQty],T_PlannedOrders[Part Name],$A115,T_PlannedOrders[WeekIndex],39)=0,"",SUMIFS(T_PlannedOrders[EffectiveQty],T_PlannedOrders[Part Name],$A115,T_PlannedOrders[WeekIndex],39)&amp;" ("&amp;TEXT(SUMPRODUCT(MAX((T_PlannedOrders[Part Name]=$A115)*(T_PlannedOrders[WeekIndex]=39)*(T_PlannedOrders[EffectiveQty]&gt;0)*T_PlannedOrders[Order_Month])),"m月")&amp;"発注)")</f>
        <v/>
      </c>
      <c r="AQ129">
        <f>IF(SUMIFS(T_PlannedOrders[EffectiveQty],T_PlannedOrders[Part Name],$A115,T_PlannedOrders[WeekIndex],40)=0,"",SUMIFS(T_PlannedOrders[EffectiveQty],T_PlannedOrders[Part Name],$A115,T_PlannedOrders[WeekIndex],40)&amp;" ("&amp;TEXT(SUMPRODUCT(MAX((T_PlannedOrders[Part Name]=$A115)*(T_PlannedOrders[WeekIndex]=40)*(T_PlannedOrders[EffectiveQty]&gt;0)*T_PlannedOrders[Order_Month])),"m月")&amp;"発注)")</f>
        <v/>
      </c>
      <c r="AR129">
        <f>IF(SUMIFS(T_PlannedOrders[EffectiveQty],T_PlannedOrders[Part Name],$A115,T_PlannedOrders[WeekIndex],41)=0,"",SUMIFS(T_PlannedOrders[EffectiveQty],T_PlannedOrders[Part Name],$A115,T_PlannedOrders[WeekIndex],41)&amp;" ("&amp;TEXT(SUMPRODUCT(MAX((T_PlannedOrders[Part Name]=$A115)*(T_PlannedOrders[WeekIndex]=41)*(T_PlannedOrders[EffectiveQty]&gt;0)*T_PlannedOrders[Order_Month])),"m月")&amp;"発注)")</f>
        <v/>
      </c>
      <c r="AS129">
        <f>IF(SUMIFS(T_PlannedOrders[EffectiveQty],T_PlannedOrders[Part Name],$A115,T_PlannedOrders[WeekIndex],42)=0,"",SUMIFS(T_PlannedOrders[EffectiveQty],T_PlannedOrders[Part Name],$A115,T_PlannedOrders[WeekIndex],42)&amp;" ("&amp;TEXT(SUMPRODUCT(MAX((T_PlannedOrders[Part Name]=$A115)*(T_PlannedOrders[WeekIndex]=42)*(T_PlannedOrders[EffectiveQty]&gt;0)*T_PlannedOrders[Order_Month])),"m月")&amp;"発注)")</f>
        <v/>
      </c>
      <c r="AT129">
        <f>IF(SUMIFS(T_PlannedOrders[EffectiveQty],T_PlannedOrders[Part Name],$A115,T_PlannedOrders[WeekIndex],43)=0,"",SUMIFS(T_PlannedOrders[EffectiveQty],T_PlannedOrders[Part Name],$A115,T_PlannedOrders[WeekIndex],43)&amp;" ("&amp;TEXT(SUMPRODUCT(MAX((T_PlannedOrders[Part Name]=$A115)*(T_PlannedOrders[WeekIndex]=43)*(T_PlannedOrders[EffectiveQty]&gt;0)*T_PlannedOrders[Order_Month])),"m月")&amp;"発注)")</f>
        <v/>
      </c>
      <c r="AU129">
        <f>IF(SUMIFS(T_PlannedOrders[EffectiveQty],T_PlannedOrders[Part Name],$A115,T_PlannedOrders[WeekIndex],44)=0,"",SUMIFS(T_PlannedOrders[EffectiveQty],T_PlannedOrders[Part Name],$A115,T_PlannedOrders[WeekIndex],44)&amp;" ("&amp;TEXT(SUMPRODUCT(MAX((T_PlannedOrders[Part Name]=$A115)*(T_PlannedOrders[WeekIndex]=44)*(T_PlannedOrders[EffectiveQty]&gt;0)*T_PlannedOrders[Order_Month])),"m月")&amp;"発注)")</f>
        <v/>
      </c>
      <c r="AV129">
        <f>IF(SUMIFS(T_PlannedOrders[EffectiveQty],T_PlannedOrders[Part Name],$A115,T_PlannedOrders[WeekIndex],45)=0,"",SUMIFS(T_PlannedOrders[EffectiveQty],T_PlannedOrders[Part Name],$A115,T_PlannedOrders[WeekIndex],45)&amp;" ("&amp;TEXT(SUMPRODUCT(MAX((T_PlannedOrders[Part Name]=$A115)*(T_PlannedOrders[WeekIndex]=45)*(T_PlannedOrders[EffectiveQty]&gt;0)*T_PlannedOrders[Order_Month])),"m月")&amp;"発注)")</f>
        <v/>
      </c>
      <c r="AW129">
        <f>IF(SUMIFS(T_PlannedOrders[EffectiveQty],T_PlannedOrders[Part Name],$A115,T_PlannedOrders[WeekIndex],46)=0,"",SUMIFS(T_PlannedOrders[EffectiveQty],T_PlannedOrders[Part Name],$A115,T_PlannedOrders[WeekIndex],46)&amp;" ("&amp;TEXT(SUMPRODUCT(MAX((T_PlannedOrders[Part Name]=$A115)*(T_PlannedOrders[WeekIndex]=46)*(T_PlannedOrders[EffectiveQty]&gt;0)*T_PlannedOrders[Order_Month])),"m月")&amp;"発注)")</f>
        <v/>
      </c>
      <c r="AX129">
        <f>IF(SUMIFS(T_PlannedOrders[EffectiveQty],T_PlannedOrders[Part Name],$A115,T_PlannedOrders[WeekIndex],47)=0,"",SUMIFS(T_PlannedOrders[EffectiveQty],T_PlannedOrders[Part Name],$A115,T_PlannedOrders[WeekIndex],47)&amp;" ("&amp;TEXT(SUMPRODUCT(MAX((T_PlannedOrders[Part Name]=$A115)*(T_PlannedOrders[WeekIndex]=47)*(T_PlannedOrders[EffectiveQty]&gt;0)*T_PlannedOrders[Order_Month])),"m月")&amp;"発注)")</f>
        <v/>
      </c>
      <c r="AY129">
        <f>IF(SUMIFS(T_PlannedOrders[EffectiveQty],T_PlannedOrders[Part Name],$A115,T_PlannedOrders[WeekIndex],48)=0,"",SUMIFS(T_PlannedOrders[EffectiveQty],T_PlannedOrders[Part Name],$A115,T_PlannedOrders[WeekIndex],48)&amp;" ("&amp;TEXT(SUMPRODUCT(MAX((T_PlannedOrders[Part Name]=$A115)*(T_PlannedOrders[WeekIndex]=48)*(T_PlannedOrders[EffectiveQty]&gt;0)*T_PlannedOrders[Order_Month])),"m月")&amp;"発注)")</f>
        <v/>
      </c>
      <c r="AZ129">
        <f>IF(SUMIFS(T_PlannedOrders[EffectiveQty],T_PlannedOrders[Part Name],$A115,T_PlannedOrders[WeekIndex],49)=0,"",SUMIFS(T_PlannedOrders[EffectiveQty],T_PlannedOrders[Part Name],$A115,T_PlannedOrders[WeekIndex],49)&amp;" ("&amp;TEXT(SUMPRODUCT(MAX((T_PlannedOrders[Part Name]=$A115)*(T_PlannedOrders[WeekIndex]=49)*(T_PlannedOrders[EffectiveQty]&gt;0)*T_PlannedOrders[Order_Month])),"m月")&amp;"発注)")</f>
        <v/>
      </c>
      <c r="BA129">
        <f>IF(SUMIFS(T_PlannedOrders[EffectiveQty],T_PlannedOrders[Part Name],$A115,T_PlannedOrders[WeekIndex],50)=0,"",SUMIFS(T_PlannedOrders[EffectiveQty],T_PlannedOrders[Part Name],$A115,T_PlannedOrders[WeekIndex],50)&amp;" ("&amp;TEXT(SUMPRODUCT(MAX((T_PlannedOrders[Part Name]=$A115)*(T_PlannedOrders[WeekIndex]=50)*(T_PlannedOrders[EffectiveQty]&gt;0)*T_PlannedOrders[Order_Month])),"m月")&amp;"発注)")</f>
        <v/>
      </c>
      <c r="BB129">
        <f>IF(SUMIFS(T_PlannedOrders[EffectiveQty],T_PlannedOrders[Part Name],$A115,T_PlannedOrders[WeekIndex],51)=0,"",SUMIFS(T_PlannedOrders[EffectiveQty],T_PlannedOrders[Part Name],$A115,T_PlannedOrders[WeekIndex],51)&amp;" ("&amp;TEXT(SUMPRODUCT(MAX((T_PlannedOrders[Part Name]=$A115)*(T_PlannedOrders[WeekIndex]=51)*(T_PlannedOrders[EffectiveQty]&gt;0)*T_PlannedOrders[Order_Month])),"m月")&amp;"発注)")</f>
        <v/>
      </c>
      <c r="BC129">
        <f>IF(SUMIFS(T_PlannedOrders[EffectiveQty],T_PlannedOrders[Part Name],$A115,T_PlannedOrders[WeekIndex],52)=0,"",SUMIFS(T_PlannedOrders[EffectiveQty],T_PlannedOrders[Part Name],$A115,T_PlannedOrders[WeekIndex],52)&amp;" ("&amp;TEXT(SUMPRODUCT(MAX((T_PlannedOrders[Part Name]=$A115)*(T_PlannedOrders[WeekIndex]=52)*(T_PlannedOrders[EffectiveQty]&gt;0)*T_PlannedOrders[Order_Month])),"m月")&amp;"発注)")</f>
        <v/>
      </c>
      <c r="BD129">
        <f>IF(SUMIFS(T_PlannedOrders[EffectiveQty],T_PlannedOrders[Part Name],$A115,T_PlannedOrders[WeekIndex],53)=0,"",SUMIFS(T_PlannedOrders[EffectiveQty],T_PlannedOrders[Part Name],$A115,T_PlannedOrders[WeekIndex],53)&amp;" ("&amp;TEXT(SUMPRODUCT(MAX((T_PlannedOrders[Part Name]=$A115)*(T_PlannedOrders[WeekIndex]=53)*(T_PlannedOrders[EffectiveQty]&gt;0)*T_PlannedOrders[Order_Month])),"m月")&amp;"発注)")</f>
        <v/>
      </c>
      <c r="BE129">
        <f>IF(SUMIFS(T_PlannedOrders[EffectiveQty],T_PlannedOrders[Part Name],$A115,T_PlannedOrders[WeekIndex],54)=0,"",SUMIFS(T_PlannedOrders[EffectiveQty],T_PlannedOrders[Part Name],$A115,T_PlannedOrders[WeekIndex],54)&amp;" ("&amp;TEXT(SUMPRODUCT(MAX((T_PlannedOrders[Part Name]=$A115)*(T_PlannedOrders[WeekIndex]=54)*(T_PlannedOrders[EffectiveQty]&gt;0)*T_PlannedOrders[Order_Month])),"m月")&amp;"発注)")</f>
        <v/>
      </c>
      <c r="BF129">
        <f>IF(SUMIFS(T_PlannedOrders[EffectiveQty],T_PlannedOrders[Part Name],$A115,T_PlannedOrders[WeekIndex],55)=0,"",SUMIFS(T_PlannedOrders[EffectiveQty],T_PlannedOrders[Part Name],$A115,T_PlannedOrders[WeekIndex],55)&amp;" ("&amp;TEXT(SUMPRODUCT(MAX((T_PlannedOrders[Part Name]=$A115)*(T_PlannedOrders[WeekIndex]=55)*(T_PlannedOrders[EffectiveQty]&gt;0)*T_PlannedOrders[Order_Month])),"m月")&amp;"発注)")</f>
        <v/>
      </c>
      <c r="BG129">
        <f>IF(SUMIFS(T_PlannedOrders[EffectiveQty],T_PlannedOrders[Part Name],$A115,T_PlannedOrders[WeekIndex],56)=0,"",SUMIFS(T_PlannedOrders[EffectiveQty],T_PlannedOrders[Part Name],$A115,T_PlannedOrders[WeekIndex],56)&amp;" ("&amp;TEXT(SUMPRODUCT(MAX((T_PlannedOrders[Part Name]=$A115)*(T_PlannedOrders[WeekIndex]=56)*(T_PlannedOrders[EffectiveQty]&gt;0)*T_PlannedOrders[Order_Month])),"m月")&amp;"発注)")</f>
        <v/>
      </c>
      <c r="BH129">
        <f>IF(SUMIFS(T_PlannedOrders[EffectiveQty],T_PlannedOrders[Part Name],$A115,T_PlannedOrders[WeekIndex],57)=0,"",SUMIFS(T_PlannedOrders[EffectiveQty],T_PlannedOrders[Part Name],$A115,T_PlannedOrders[WeekIndex],57)&amp;" ("&amp;TEXT(SUMPRODUCT(MAX((T_PlannedOrders[Part Name]=$A115)*(T_PlannedOrders[WeekIndex]=57)*(T_PlannedOrders[EffectiveQty]&gt;0)*T_PlannedOrders[Order_Month])),"m月")&amp;"発注)")</f>
        <v/>
      </c>
      <c r="BI129">
        <f>IF(SUMIFS(T_PlannedOrders[EffectiveQty],T_PlannedOrders[Part Name],$A115,T_PlannedOrders[WeekIndex],58)=0,"",SUMIFS(T_PlannedOrders[EffectiveQty],T_PlannedOrders[Part Name],$A115,T_PlannedOrders[WeekIndex],58)&amp;" ("&amp;TEXT(SUMPRODUCT(MAX((T_PlannedOrders[Part Name]=$A115)*(T_PlannedOrders[WeekIndex]=58)*(T_PlannedOrders[EffectiveQty]&gt;0)*T_PlannedOrders[Order_Month])),"m月")&amp;"発注)")</f>
        <v/>
      </c>
      <c r="BJ129">
        <f>IF(SUMIFS(T_PlannedOrders[EffectiveQty],T_PlannedOrders[Part Name],$A115,T_PlannedOrders[WeekIndex],59)=0,"",SUMIFS(T_PlannedOrders[EffectiveQty],T_PlannedOrders[Part Name],$A115,T_PlannedOrders[WeekIndex],59)&amp;" ("&amp;TEXT(SUMPRODUCT(MAX((T_PlannedOrders[Part Name]=$A115)*(T_PlannedOrders[WeekIndex]=59)*(T_PlannedOrders[EffectiveQty]&gt;0)*T_PlannedOrders[Order_Month])),"m月")&amp;"発注)")</f>
        <v/>
      </c>
      <c r="BK129">
        <f>IF(SUMIFS(T_PlannedOrders[EffectiveQty],T_PlannedOrders[Part Name],$A115,T_PlannedOrders[WeekIndex],60)=0,"",SUMIFS(T_PlannedOrders[EffectiveQty],T_PlannedOrders[Part Name],$A115,T_PlannedOrders[WeekIndex],60)&amp;" ("&amp;TEXT(SUMPRODUCT(MAX((T_PlannedOrders[Part Name]=$A115)*(T_PlannedOrders[WeekIndex]=60)*(T_PlannedOrders[EffectiveQty]&gt;0)*T_PlannedOrders[Order_Month])),"m月")&amp;"発注)")</f>
        <v/>
      </c>
      <c r="BL129">
        <f>IF(SUMIFS(T_PlannedOrders[EffectiveQty],T_PlannedOrders[Part Name],$A115,T_PlannedOrders[WeekIndex],61)=0,"",SUMIFS(T_PlannedOrders[EffectiveQty],T_PlannedOrders[Part Name],$A115,T_PlannedOrders[WeekIndex],61)&amp;" ("&amp;TEXT(SUMPRODUCT(MAX((T_PlannedOrders[Part Name]=$A115)*(T_PlannedOrders[WeekIndex]=61)*(T_PlannedOrders[EffectiveQty]&gt;0)*T_PlannedOrders[Order_Month])),"m月")&amp;"発注)")</f>
        <v/>
      </c>
      <c r="BM129">
        <f>IF(SUMIFS(T_PlannedOrders[EffectiveQty],T_PlannedOrders[Part Name],$A115,T_PlannedOrders[WeekIndex],62)=0,"",SUMIFS(T_PlannedOrders[EffectiveQty],T_PlannedOrders[Part Name],$A115,T_PlannedOrders[WeekIndex],62)&amp;" ("&amp;TEXT(SUMPRODUCT(MAX((T_PlannedOrders[Part Name]=$A115)*(T_PlannedOrders[WeekIndex]=62)*(T_PlannedOrders[EffectiveQty]&gt;0)*T_PlannedOrders[Order_Month])),"m月")&amp;"発注)")</f>
        <v/>
      </c>
      <c r="BN129">
        <f>IF(SUMIFS(T_PlannedOrders[EffectiveQty],T_PlannedOrders[Part Name],$A115,T_PlannedOrders[WeekIndex],63)=0,"",SUMIFS(T_PlannedOrders[EffectiveQty],T_PlannedOrders[Part Name],$A115,T_PlannedOrders[WeekIndex],63)&amp;" ("&amp;TEXT(SUMPRODUCT(MAX((T_PlannedOrders[Part Name]=$A115)*(T_PlannedOrders[WeekIndex]=63)*(T_PlannedOrders[EffectiveQty]&gt;0)*T_PlannedOrders[Order_Month])),"m月")&amp;"発注)")</f>
        <v/>
      </c>
      <c r="BO129">
        <f>IF(SUMIFS(T_PlannedOrders[EffectiveQty],T_PlannedOrders[Part Name],$A115,T_PlannedOrders[WeekIndex],64)=0,"",SUMIFS(T_PlannedOrders[EffectiveQty],T_PlannedOrders[Part Name],$A115,T_PlannedOrders[WeekIndex],64)&amp;" ("&amp;TEXT(SUMPRODUCT(MAX((T_PlannedOrders[Part Name]=$A115)*(T_PlannedOrders[WeekIndex]=64)*(T_PlannedOrders[EffectiveQty]&gt;0)*T_PlannedOrders[Order_Month])),"m月")&amp;"発注)")</f>
        <v/>
      </c>
      <c r="BP129">
        <f>IF(SUMIFS(T_PlannedOrders[EffectiveQty],T_PlannedOrders[Part Name],$A115,T_PlannedOrders[WeekIndex],65)=0,"",SUMIFS(T_PlannedOrders[EffectiveQty],T_PlannedOrders[Part Name],$A115,T_PlannedOrders[WeekIndex],65)&amp;" ("&amp;TEXT(SUMPRODUCT(MAX((T_PlannedOrders[Part Name]=$A115)*(T_PlannedOrders[WeekIndex]=65)*(T_PlannedOrders[EffectiveQty]&gt;0)*T_PlannedOrders[Order_Month])),"m月")&amp;"発注)")</f>
        <v/>
      </c>
      <c r="BQ129">
        <f>IF(SUMIFS(T_PlannedOrders[EffectiveQty],T_PlannedOrders[Part Name],$A115,T_PlannedOrders[WeekIndex],66)=0,"",SUMIFS(T_PlannedOrders[EffectiveQty],T_PlannedOrders[Part Name],$A115,T_PlannedOrders[WeekIndex],66)&amp;" ("&amp;TEXT(SUMPRODUCT(MAX((T_PlannedOrders[Part Name]=$A115)*(T_PlannedOrders[WeekIndex]=66)*(T_PlannedOrders[EffectiveQty]&gt;0)*T_PlannedOrders[Order_Month])),"m月")&amp;"発注)")</f>
        <v/>
      </c>
      <c r="BR129">
        <f>IF(SUMIFS(T_PlannedOrders[EffectiveQty],T_PlannedOrders[Part Name],$A115,T_PlannedOrders[WeekIndex],67)=0,"",SUMIFS(T_PlannedOrders[EffectiveQty],T_PlannedOrders[Part Name],$A115,T_PlannedOrders[WeekIndex],67)&amp;" ("&amp;TEXT(SUMPRODUCT(MAX((T_PlannedOrders[Part Name]=$A115)*(T_PlannedOrders[WeekIndex]=67)*(T_PlannedOrders[EffectiveQty]&gt;0)*T_PlannedOrders[Order_Month])),"m月")&amp;"発注)")</f>
        <v/>
      </c>
      <c r="BS129">
        <f>IF(SUMIFS(T_PlannedOrders[EffectiveQty],T_PlannedOrders[Part Name],$A115,T_PlannedOrders[WeekIndex],68)=0,"",SUMIFS(T_PlannedOrders[EffectiveQty],T_PlannedOrders[Part Name],$A115,T_PlannedOrders[WeekIndex],68)&amp;" ("&amp;TEXT(SUMPRODUCT(MAX((T_PlannedOrders[Part Name]=$A115)*(T_PlannedOrders[WeekIndex]=68)*(T_PlannedOrders[EffectiveQty]&gt;0)*T_PlannedOrders[Order_Month])),"m月")&amp;"発注)")</f>
        <v/>
      </c>
      <c r="BT129">
        <f>IF(SUMIFS(T_PlannedOrders[EffectiveQty],T_PlannedOrders[Part Name],$A115,T_PlannedOrders[WeekIndex],69)=0,"",SUMIFS(T_PlannedOrders[EffectiveQty],T_PlannedOrders[Part Name],$A115,T_PlannedOrders[WeekIndex],69)&amp;" ("&amp;TEXT(SUMPRODUCT(MAX((T_PlannedOrders[Part Name]=$A115)*(T_PlannedOrders[WeekIndex]=69)*(T_PlannedOrders[EffectiveQty]&gt;0)*T_PlannedOrders[Order_Month])),"m月")&amp;"発注)")</f>
        <v/>
      </c>
      <c r="BU129">
        <f>IF(SUMIFS(T_PlannedOrders[EffectiveQty],T_PlannedOrders[Part Name],$A115,T_PlannedOrders[WeekIndex],70)=0,"",SUMIFS(T_PlannedOrders[EffectiveQty],T_PlannedOrders[Part Name],$A115,T_PlannedOrders[WeekIndex],70)&amp;" ("&amp;TEXT(SUMPRODUCT(MAX((T_PlannedOrders[Part Name]=$A115)*(T_PlannedOrders[WeekIndex]=70)*(T_PlannedOrders[EffectiveQty]&gt;0)*T_PlannedOrders[Order_Month])),"m月")&amp;"発注)")</f>
        <v/>
      </c>
      <c r="BV129">
        <f>IF(SUMIFS(T_PlannedOrders[EffectiveQty],T_PlannedOrders[Part Name],$A115,T_PlannedOrders[WeekIndex],71)=0,"",SUMIFS(T_PlannedOrders[EffectiveQty],T_PlannedOrders[Part Name],$A115,T_PlannedOrders[WeekIndex],71)&amp;" ("&amp;TEXT(SUMPRODUCT(MAX((T_PlannedOrders[Part Name]=$A115)*(T_PlannedOrders[WeekIndex]=71)*(T_PlannedOrders[EffectiveQty]&gt;0)*T_PlannedOrders[Order_Month])),"m月")&amp;"発注)")</f>
        <v/>
      </c>
      <c r="BW129">
        <f>IF(SUMIFS(T_PlannedOrders[EffectiveQty],T_PlannedOrders[Part Name],$A115,T_PlannedOrders[WeekIndex],72)=0,"",SUMIFS(T_PlannedOrders[EffectiveQty],T_PlannedOrders[Part Name],$A115,T_PlannedOrders[WeekIndex],72)&amp;" ("&amp;TEXT(SUMPRODUCT(MAX((T_PlannedOrders[Part Name]=$A115)*(T_PlannedOrders[WeekIndex]=72)*(T_PlannedOrders[EffectiveQty]&gt;0)*T_PlannedOrders[Order_Month])),"m月")&amp;"発注)")</f>
        <v/>
      </c>
      <c r="BX129">
        <f>IF(SUMIFS(T_PlannedOrders[EffectiveQty],T_PlannedOrders[Part Name],$A115,T_PlannedOrders[WeekIndex],73)=0,"",SUMIFS(T_PlannedOrders[EffectiveQty],T_PlannedOrders[Part Name],$A115,T_PlannedOrders[WeekIndex],73)&amp;" ("&amp;TEXT(SUMPRODUCT(MAX((T_PlannedOrders[Part Name]=$A115)*(T_PlannedOrders[WeekIndex]=73)*(T_PlannedOrders[EffectiveQty]&gt;0)*T_PlannedOrders[Order_Month])),"m月")&amp;"発注)")</f>
        <v/>
      </c>
      <c r="BY129">
        <f>IF(SUMIFS(T_PlannedOrders[EffectiveQty],T_PlannedOrders[Part Name],$A115,T_PlannedOrders[WeekIndex],74)=0,"",SUMIFS(T_PlannedOrders[EffectiveQty],T_PlannedOrders[Part Name],$A115,T_PlannedOrders[WeekIndex],74)&amp;" ("&amp;TEXT(SUMPRODUCT(MAX((T_PlannedOrders[Part Name]=$A115)*(T_PlannedOrders[WeekIndex]=74)*(T_PlannedOrders[EffectiveQty]&gt;0)*T_PlannedOrders[Order_Month])),"m月")&amp;"発注)")</f>
        <v/>
      </c>
      <c r="BZ129">
        <f>IF(SUMIFS(T_PlannedOrders[EffectiveQty],T_PlannedOrders[Part Name],$A115,T_PlannedOrders[WeekIndex],75)=0,"",SUMIFS(T_PlannedOrders[EffectiveQty],T_PlannedOrders[Part Name],$A115,T_PlannedOrders[WeekIndex],75)&amp;" ("&amp;TEXT(SUMPRODUCT(MAX((T_PlannedOrders[Part Name]=$A115)*(T_PlannedOrders[WeekIndex]=75)*(T_PlannedOrders[EffectiveQty]&gt;0)*T_PlannedOrders[Order_Month])),"m月")&amp;"発注)")</f>
        <v/>
      </c>
      <c r="CA129">
        <f>IF(SUMIFS(T_PlannedOrders[EffectiveQty],T_PlannedOrders[Part Name],$A115,T_PlannedOrders[WeekIndex],76)=0,"",SUMIFS(T_PlannedOrders[EffectiveQty],T_PlannedOrders[Part Name],$A115,T_PlannedOrders[WeekIndex],76)&amp;" ("&amp;TEXT(SUMPRODUCT(MAX((T_PlannedOrders[Part Name]=$A115)*(T_PlannedOrders[WeekIndex]=76)*(T_PlannedOrders[EffectiveQty]&gt;0)*T_PlannedOrders[Order_Month])),"m月")&amp;"発注)")</f>
        <v/>
      </c>
      <c r="CB129">
        <f>IF(SUMIFS(T_PlannedOrders[EffectiveQty],T_PlannedOrders[Part Name],$A115,T_PlannedOrders[WeekIndex],77)=0,"",SUMIFS(T_PlannedOrders[EffectiveQty],T_PlannedOrders[Part Name],$A115,T_PlannedOrders[WeekIndex],77)&amp;" ("&amp;TEXT(SUMPRODUCT(MAX((T_PlannedOrders[Part Name]=$A115)*(T_PlannedOrders[WeekIndex]=77)*(T_PlannedOrders[EffectiveQty]&gt;0)*T_PlannedOrders[Order_Month])),"m月")&amp;"発注)")</f>
        <v/>
      </c>
      <c r="CC129">
        <f>IF(SUMIFS(T_PlannedOrders[EffectiveQty],T_PlannedOrders[Part Name],$A115,T_PlannedOrders[WeekIndex],78)=0,"",SUMIFS(T_PlannedOrders[EffectiveQty],T_PlannedOrders[Part Name],$A115,T_PlannedOrders[WeekIndex],78)&amp;" ("&amp;TEXT(SUMPRODUCT(MAX((T_PlannedOrders[Part Name]=$A115)*(T_PlannedOrders[WeekIndex]=78)*(T_PlannedOrders[EffectiveQty]&gt;0)*T_PlannedOrders[Order_Month])),"m月")&amp;"発注)")</f>
        <v/>
      </c>
      <c r="CD129">
        <f>IF(SUMIFS(T_PlannedOrders[EffectiveQty],T_PlannedOrders[Part Name],$A115,T_PlannedOrders[WeekIndex],79)=0,"",SUMIFS(T_PlannedOrders[EffectiveQty],T_PlannedOrders[Part Name],$A115,T_PlannedOrders[WeekIndex],79)&amp;" ("&amp;TEXT(SUMPRODUCT(MAX((T_PlannedOrders[Part Name]=$A115)*(T_PlannedOrders[WeekIndex]=79)*(T_PlannedOrders[EffectiveQty]&gt;0)*T_PlannedOrders[Order_Month])),"m月")&amp;"発注)")</f>
        <v/>
      </c>
      <c r="CE129">
        <f>IF(SUMIFS(T_PlannedOrders[EffectiveQty],T_PlannedOrders[Part Name],$A115,T_PlannedOrders[WeekIndex],80)=0,"",SUMIFS(T_PlannedOrders[EffectiveQty],T_PlannedOrders[Part Name],$A115,T_PlannedOrders[WeekIndex],80)&amp;" ("&amp;TEXT(SUMPRODUCT(MAX((T_PlannedOrders[Part Name]=$A115)*(T_PlannedOrders[WeekIndex]=80)*(T_PlannedOrders[EffectiveQty]&gt;0)*T_PlannedOrders[Order_Month])),"m月")&amp;"発注)")</f>
        <v/>
      </c>
      <c r="CF129">
        <f>IF(SUMIFS(T_PlannedOrders[EffectiveQty],T_PlannedOrders[Part Name],$A115,T_PlannedOrders[WeekIndex],81)=0,"",SUMIFS(T_PlannedOrders[EffectiveQty],T_PlannedOrders[Part Name],$A115,T_PlannedOrders[WeekIndex],81)&amp;" ("&amp;TEXT(SUMPRODUCT(MAX((T_PlannedOrders[Part Name]=$A115)*(T_PlannedOrders[WeekIndex]=81)*(T_PlannedOrders[EffectiveQty]&gt;0)*T_PlannedOrders[Order_Month])),"m月")&amp;"発注)")</f>
        <v/>
      </c>
      <c r="CG129">
        <f>IF(SUMIFS(T_PlannedOrders[EffectiveQty],T_PlannedOrders[Part Name],$A115,T_PlannedOrders[WeekIndex],82)=0,"",SUMIFS(T_PlannedOrders[EffectiveQty],T_PlannedOrders[Part Name],$A115,T_PlannedOrders[WeekIndex],82)&amp;" ("&amp;TEXT(SUMPRODUCT(MAX((T_PlannedOrders[Part Name]=$A115)*(T_PlannedOrders[WeekIndex]=82)*(T_PlannedOrders[EffectiveQty]&gt;0)*T_PlannedOrders[Order_Month])),"m月")&amp;"発注)")</f>
        <v/>
      </c>
      <c r="CH129">
        <f>IF(SUMIFS(T_PlannedOrders[EffectiveQty],T_PlannedOrders[Part Name],$A115,T_PlannedOrders[WeekIndex],83)=0,"",SUMIFS(T_PlannedOrders[EffectiveQty],T_PlannedOrders[Part Name],$A115,T_PlannedOrders[WeekIndex],83)&amp;" ("&amp;TEXT(SUMPRODUCT(MAX((T_PlannedOrders[Part Name]=$A115)*(T_PlannedOrders[WeekIndex]=83)*(T_PlannedOrders[EffectiveQty]&gt;0)*T_PlannedOrders[Order_Month])),"m月")&amp;"発注)")</f>
        <v/>
      </c>
      <c r="CI129">
        <f>IF(SUMIFS(T_PlannedOrders[EffectiveQty],T_PlannedOrders[Part Name],$A115,T_PlannedOrders[WeekIndex],84)=0,"",SUMIFS(T_PlannedOrders[EffectiveQty],T_PlannedOrders[Part Name],$A115,T_PlannedOrders[WeekIndex],84)&amp;" ("&amp;TEXT(SUMPRODUCT(MAX((T_PlannedOrders[Part Name]=$A115)*(T_PlannedOrders[WeekIndex]=84)*(T_PlannedOrders[EffectiveQty]&gt;0)*T_PlannedOrders[Order_Month])),"m月")&amp;"発注)")</f>
        <v/>
      </c>
      <c r="CJ129">
        <f>IF(SUMIFS(T_PlannedOrders[EffectiveQty],T_PlannedOrders[Part Name],$A115,T_PlannedOrders[WeekIndex],85)=0,"",SUMIFS(T_PlannedOrders[EffectiveQty],T_PlannedOrders[Part Name],$A115,T_PlannedOrders[WeekIndex],85)&amp;" ("&amp;TEXT(SUMPRODUCT(MAX((T_PlannedOrders[Part Name]=$A115)*(T_PlannedOrders[WeekIndex]=85)*(T_PlannedOrders[EffectiveQty]&gt;0)*T_PlannedOrders[Order_Month])),"m月")&amp;"発注)")</f>
        <v/>
      </c>
      <c r="CK129">
        <f>IF(SUMIFS(T_PlannedOrders[EffectiveQty],T_PlannedOrders[Part Name],$A115,T_PlannedOrders[WeekIndex],86)=0,"",SUMIFS(T_PlannedOrders[EffectiveQty],T_PlannedOrders[Part Name],$A115,T_PlannedOrders[WeekIndex],86)&amp;" ("&amp;TEXT(SUMPRODUCT(MAX((T_PlannedOrders[Part Name]=$A115)*(T_PlannedOrders[WeekIndex]=86)*(T_PlannedOrders[EffectiveQty]&gt;0)*T_PlannedOrders[Order_Month])),"m月")&amp;"発注)")</f>
        <v/>
      </c>
      <c r="CL129">
        <f>IF(SUMIFS(T_PlannedOrders[EffectiveQty],T_PlannedOrders[Part Name],$A115,T_PlannedOrders[WeekIndex],87)=0,"",SUMIFS(T_PlannedOrders[EffectiveQty],T_PlannedOrders[Part Name],$A115,T_PlannedOrders[WeekIndex],87)&amp;" ("&amp;TEXT(SUMPRODUCT(MAX((T_PlannedOrders[Part Name]=$A115)*(T_PlannedOrders[WeekIndex]=87)*(T_PlannedOrders[EffectiveQty]&gt;0)*T_PlannedOrders[Order_Month])),"m月")&amp;"発注)")</f>
        <v/>
      </c>
      <c r="CM129">
        <f>IF(SUMIFS(T_PlannedOrders[EffectiveQty],T_PlannedOrders[Part Name],$A115,T_PlannedOrders[WeekIndex],88)=0,"",SUMIFS(T_PlannedOrders[EffectiveQty],T_PlannedOrders[Part Name],$A115,T_PlannedOrders[WeekIndex],88)&amp;" ("&amp;TEXT(SUMPRODUCT(MAX((T_PlannedOrders[Part Name]=$A115)*(T_PlannedOrders[WeekIndex]=88)*(T_PlannedOrders[EffectiveQty]&gt;0)*T_PlannedOrders[Order_Month])),"m月")&amp;"発注)")</f>
        <v/>
      </c>
      <c r="CN129">
        <f>IF(SUMIFS(T_PlannedOrders[EffectiveQty],T_PlannedOrders[Part Name],$A115,T_PlannedOrders[WeekIndex],89)=0,"",SUMIFS(T_PlannedOrders[EffectiveQty],T_PlannedOrders[Part Name],$A115,T_PlannedOrders[WeekIndex],89)&amp;" ("&amp;TEXT(SUMPRODUCT(MAX((T_PlannedOrders[Part Name]=$A115)*(T_PlannedOrders[WeekIndex]=89)*(T_PlannedOrders[EffectiveQty]&gt;0)*T_PlannedOrders[Order_Month])),"m月")&amp;"発注)")</f>
        <v/>
      </c>
      <c r="CO129">
        <f>IF(SUMIFS(T_PlannedOrders[EffectiveQty],T_PlannedOrders[Part Name],$A115,T_PlannedOrders[WeekIndex],90)=0,"",SUMIFS(T_PlannedOrders[EffectiveQty],T_PlannedOrders[Part Name],$A115,T_PlannedOrders[WeekIndex],90)&amp;" ("&amp;TEXT(SUMPRODUCT(MAX((T_PlannedOrders[Part Name]=$A115)*(T_PlannedOrders[WeekIndex]=90)*(T_PlannedOrders[EffectiveQty]&gt;0)*T_PlannedOrders[Order_Month])),"m月")&amp;"発注)")</f>
        <v/>
      </c>
      <c r="CP129">
        <f>IF(SUMIFS(T_PlannedOrders[EffectiveQty],T_PlannedOrders[Part Name],$A115,T_PlannedOrders[WeekIndex],91)=0,"",SUMIFS(T_PlannedOrders[EffectiveQty],T_PlannedOrders[Part Name],$A115,T_PlannedOrders[WeekIndex],91)&amp;" ("&amp;TEXT(SUMPRODUCT(MAX((T_PlannedOrders[Part Name]=$A115)*(T_PlannedOrders[WeekIndex]=91)*(T_PlannedOrders[EffectiveQty]&gt;0)*T_PlannedOrders[Order_Month])),"m月")&amp;"発注)")</f>
        <v/>
      </c>
      <c r="CQ129">
        <f>IF(SUMIFS(T_PlannedOrders[EffectiveQty],T_PlannedOrders[Part Name],$A115,T_PlannedOrders[WeekIndex],92)=0,"",SUMIFS(T_PlannedOrders[EffectiveQty],T_PlannedOrders[Part Name],$A115,T_PlannedOrders[WeekIndex],92)&amp;" ("&amp;TEXT(SUMPRODUCT(MAX((T_PlannedOrders[Part Name]=$A115)*(T_PlannedOrders[WeekIndex]=92)*(T_PlannedOrders[EffectiveQty]&gt;0)*T_PlannedOrders[Order_Month])),"m月")&amp;"発注)")</f>
        <v/>
      </c>
      <c r="CR129">
        <f>IF(SUMIFS(T_PlannedOrders[EffectiveQty],T_PlannedOrders[Part Name],$A115,T_PlannedOrders[WeekIndex],93)=0,"",SUMIFS(T_PlannedOrders[EffectiveQty],T_PlannedOrders[Part Name],$A115,T_PlannedOrders[WeekIndex],93)&amp;" ("&amp;TEXT(SUMPRODUCT(MAX((T_PlannedOrders[Part Name]=$A115)*(T_PlannedOrders[WeekIndex]=93)*(T_PlannedOrders[EffectiveQty]&gt;0)*T_PlannedOrders[Order_Month])),"m月")&amp;"発注)")</f>
        <v/>
      </c>
      <c r="CS129">
        <f>IF(SUMIFS(T_PlannedOrders[EffectiveQty],T_PlannedOrders[Part Name],$A115,T_PlannedOrders[WeekIndex],94)=0,"",SUMIFS(T_PlannedOrders[EffectiveQty],T_PlannedOrders[Part Name],$A115,T_PlannedOrders[WeekIndex],94)&amp;" ("&amp;TEXT(SUMPRODUCT(MAX((T_PlannedOrders[Part Name]=$A115)*(T_PlannedOrders[WeekIndex]=94)*(T_PlannedOrders[EffectiveQty]&gt;0)*T_PlannedOrders[Order_Month])),"m月")&amp;"発注)")</f>
        <v/>
      </c>
      <c r="CT129">
        <f>IF(SUMIFS(T_PlannedOrders[EffectiveQty],T_PlannedOrders[Part Name],$A115,T_PlannedOrders[WeekIndex],95)=0,"",SUMIFS(T_PlannedOrders[EffectiveQty],T_PlannedOrders[Part Name],$A115,T_PlannedOrders[WeekIndex],95)&amp;" ("&amp;TEXT(SUMPRODUCT(MAX((T_PlannedOrders[Part Name]=$A115)*(T_PlannedOrders[WeekIndex]=95)*(T_PlannedOrders[EffectiveQty]&gt;0)*T_PlannedOrders[Order_Month])),"m月")&amp;"発注)")</f>
        <v/>
      </c>
      <c r="CU129">
        <f>IF(SUMIFS(T_PlannedOrders[EffectiveQty],T_PlannedOrders[Part Name],$A115,T_PlannedOrders[WeekIndex],96)=0,"",SUMIFS(T_PlannedOrders[EffectiveQty],T_PlannedOrders[Part Name],$A115,T_PlannedOrders[WeekIndex],96)&amp;" ("&amp;TEXT(SUMPRODUCT(MAX((T_PlannedOrders[Part Name]=$A115)*(T_PlannedOrders[WeekIndex]=96)*(T_PlannedOrders[EffectiveQty]&gt;0)*T_PlannedOrders[Order_Month])),"m月")&amp;"発注)")</f>
        <v/>
      </c>
      <c r="CV129">
        <f>IF(SUMIFS(T_PlannedOrders[EffectiveQty],T_PlannedOrders[Part Name],$A115,T_PlannedOrders[WeekIndex],97)=0,"",SUMIFS(T_PlannedOrders[EffectiveQty],T_PlannedOrders[Part Name],$A115,T_PlannedOrders[WeekIndex],97)&amp;" ("&amp;TEXT(SUMPRODUCT(MAX((T_PlannedOrders[Part Name]=$A115)*(T_PlannedOrders[WeekIndex]=97)*(T_PlannedOrders[EffectiveQty]&gt;0)*T_PlannedOrders[Order_Month])),"m月")&amp;"発注)")</f>
        <v/>
      </c>
      <c r="CW129">
        <f>IF(SUMIFS(T_PlannedOrders[EffectiveQty],T_PlannedOrders[Part Name],$A115,T_PlannedOrders[WeekIndex],98)=0,"",SUMIFS(T_PlannedOrders[EffectiveQty],T_PlannedOrders[Part Name],$A115,T_PlannedOrders[WeekIndex],98)&amp;" ("&amp;TEXT(SUMPRODUCT(MAX((T_PlannedOrders[Part Name]=$A115)*(T_PlannedOrders[WeekIndex]=98)*(T_PlannedOrders[EffectiveQty]&gt;0)*T_PlannedOrders[Order_Month])),"m月")&amp;"発注)")</f>
        <v/>
      </c>
      <c r="CX129">
        <f>IF(SUMIFS(T_PlannedOrders[EffectiveQty],T_PlannedOrders[Part Name],$A115,T_PlannedOrders[WeekIndex],99)=0,"",SUMIFS(T_PlannedOrders[EffectiveQty],T_PlannedOrders[Part Name],$A115,T_PlannedOrders[WeekIndex],99)&amp;" ("&amp;TEXT(SUMPRODUCT(MAX((T_PlannedOrders[Part Name]=$A115)*(T_PlannedOrders[WeekIndex]=99)*(T_PlannedOrders[EffectiveQty]&gt;0)*T_PlannedOrders[Order_Month])),"m月")&amp;"発注)")</f>
        <v/>
      </c>
      <c r="CY129">
        <f>IF(SUMIFS(T_PlannedOrders[EffectiveQty],T_PlannedOrders[Part Name],$A115,T_PlannedOrders[WeekIndex],100)=0,"",SUMIFS(T_PlannedOrders[EffectiveQty],T_PlannedOrders[Part Name],$A115,T_PlannedOrders[WeekIndex],100)&amp;" ("&amp;TEXT(SUMPRODUCT(MAX((T_PlannedOrders[Part Name]=$A115)*(T_PlannedOrders[WeekIndex]=100)*(T_PlannedOrders[EffectiveQty]&gt;0)*T_PlannedOrders[Order_Month])),"m月")&amp;"発注)")</f>
        <v/>
      </c>
      <c r="CZ129">
        <f>IF(SUMIFS(T_PlannedOrders[EffectiveQty],T_PlannedOrders[Part Name],$A115,T_PlannedOrders[WeekIndex],101)=0,"",SUMIFS(T_PlannedOrders[EffectiveQty],T_PlannedOrders[Part Name],$A115,T_PlannedOrders[WeekIndex],101)&amp;" ("&amp;TEXT(SUMPRODUCT(MAX((T_PlannedOrders[Part Name]=$A115)*(T_PlannedOrders[WeekIndex]=101)*(T_PlannedOrders[EffectiveQty]&gt;0)*T_PlannedOrders[Order_Month])),"m月")&amp;"発注)")</f>
        <v/>
      </c>
      <c r="DA129">
        <f>IF(SUMIFS(T_PlannedOrders[EffectiveQty],T_PlannedOrders[Part Name],$A115,T_PlannedOrders[WeekIndex],102)=0,"",SUMIFS(T_PlannedOrders[EffectiveQty],T_PlannedOrders[Part Name],$A115,T_PlannedOrders[WeekIndex],102)&amp;" ("&amp;TEXT(SUMPRODUCT(MAX((T_PlannedOrders[Part Name]=$A115)*(T_PlannedOrders[WeekIndex]=102)*(T_PlannedOrders[EffectiveQty]&gt;0)*T_PlannedOrders[Order_Month])),"m月")&amp;"発注)")</f>
        <v/>
      </c>
      <c r="DB129">
        <f>IF(SUMIFS(T_PlannedOrders[EffectiveQty],T_PlannedOrders[Part Name],$A115,T_PlannedOrders[WeekIndex],103)=0,"",SUMIFS(T_PlannedOrders[EffectiveQty],T_PlannedOrders[Part Name],$A115,T_PlannedOrders[WeekIndex],103)&amp;" ("&amp;TEXT(SUMPRODUCT(MAX((T_PlannedOrders[Part Name]=$A115)*(T_PlannedOrders[WeekIndex]=103)*(T_PlannedOrders[EffectiveQty]&gt;0)*T_PlannedOrders[Order_Month])),"m月")&amp;"発注)")</f>
        <v/>
      </c>
      <c r="DC129">
        <f>IF(SUMIFS(T_PlannedOrders[EffectiveQty],T_PlannedOrders[Part Name],$A115,T_PlannedOrders[WeekIndex],104)=0,"",SUMIFS(T_PlannedOrders[EffectiveQty],T_PlannedOrders[Part Name],$A115,T_PlannedOrders[WeekIndex],104)&amp;" ("&amp;TEXT(SUMPRODUCT(MAX((T_PlannedOrders[Part Name]=$A115)*(T_PlannedOrders[WeekIndex]=104)*(T_PlannedOrders[EffectiveQty]&gt;0)*T_PlannedOrders[Order_Month])),"m月")&amp;"発注)")</f>
        <v/>
      </c>
    </row>
    <row r="130">
      <c r="B130" s="5" t="inlineStr">
        <is>
          <t>合計在庫(週末時点,kg)</t>
        </is>
      </c>
      <c r="D130">
        <f>'Grid_Stock'!B6</f>
        <v/>
      </c>
      <c r="E130">
        <f>'Grid_Stock'!C6</f>
        <v/>
      </c>
      <c r="F130">
        <f>'Grid_Stock'!D6</f>
        <v/>
      </c>
      <c r="G130">
        <f>'Grid_Stock'!E6</f>
        <v/>
      </c>
      <c r="H130">
        <f>'Grid_Stock'!F6</f>
        <v/>
      </c>
      <c r="I130">
        <f>'Grid_Stock'!G6</f>
        <v/>
      </c>
      <c r="J130">
        <f>'Grid_Stock'!H6</f>
        <v/>
      </c>
      <c r="K130">
        <f>'Grid_Stock'!I6</f>
        <v/>
      </c>
      <c r="L130">
        <f>'Grid_Stock'!J6</f>
        <v/>
      </c>
      <c r="M130">
        <f>'Grid_Stock'!K6</f>
        <v/>
      </c>
      <c r="N130">
        <f>'Grid_Stock'!L6</f>
        <v/>
      </c>
      <c r="O130">
        <f>'Grid_Stock'!M6</f>
        <v/>
      </c>
      <c r="P130">
        <f>'Grid_Stock'!N6</f>
        <v/>
      </c>
      <c r="Q130">
        <f>'Grid_Stock'!O6</f>
        <v/>
      </c>
      <c r="R130">
        <f>'Grid_Stock'!P6</f>
        <v/>
      </c>
      <c r="S130">
        <f>'Grid_Stock'!Q6</f>
        <v/>
      </c>
      <c r="T130">
        <f>'Grid_Stock'!R6</f>
        <v/>
      </c>
      <c r="U130">
        <f>'Grid_Stock'!S6</f>
        <v/>
      </c>
      <c r="V130">
        <f>'Grid_Stock'!T6</f>
        <v/>
      </c>
      <c r="W130">
        <f>'Grid_Stock'!U6</f>
        <v/>
      </c>
      <c r="X130">
        <f>'Grid_Stock'!V6</f>
        <v/>
      </c>
      <c r="Y130">
        <f>'Grid_Stock'!W6</f>
        <v/>
      </c>
      <c r="Z130">
        <f>'Grid_Stock'!X6</f>
        <v/>
      </c>
      <c r="AA130">
        <f>'Grid_Stock'!Y6</f>
        <v/>
      </c>
      <c r="AB130">
        <f>'Grid_Stock'!Z6</f>
        <v/>
      </c>
      <c r="AC130">
        <f>'Grid_Stock'!AA6</f>
        <v/>
      </c>
      <c r="AD130">
        <f>'Grid_Stock'!AB6</f>
        <v/>
      </c>
      <c r="AE130">
        <f>'Grid_Stock'!AC6</f>
        <v/>
      </c>
      <c r="AF130">
        <f>'Grid_Stock'!AD6</f>
        <v/>
      </c>
      <c r="AG130">
        <f>'Grid_Stock'!AE6</f>
        <v/>
      </c>
      <c r="AH130">
        <f>'Grid_Stock'!AF6</f>
        <v/>
      </c>
      <c r="AI130">
        <f>'Grid_Stock'!AG6</f>
        <v/>
      </c>
      <c r="AJ130">
        <f>'Grid_Stock'!AH6</f>
        <v/>
      </c>
      <c r="AK130">
        <f>'Grid_Stock'!AI6</f>
        <v/>
      </c>
      <c r="AL130">
        <f>'Grid_Stock'!AJ6</f>
        <v/>
      </c>
      <c r="AM130">
        <f>'Grid_Stock'!AK6</f>
        <v/>
      </c>
      <c r="AN130">
        <f>'Grid_Stock'!AL6</f>
        <v/>
      </c>
      <c r="AO130">
        <f>'Grid_Stock'!AM6</f>
        <v/>
      </c>
      <c r="AP130">
        <f>'Grid_Stock'!AN6</f>
        <v/>
      </c>
      <c r="AQ130">
        <f>'Grid_Stock'!AO6</f>
        <v/>
      </c>
      <c r="AR130">
        <f>'Grid_Stock'!AP6</f>
        <v/>
      </c>
      <c r="AS130">
        <f>'Grid_Stock'!AQ6</f>
        <v/>
      </c>
      <c r="AT130">
        <f>'Grid_Stock'!AR6</f>
        <v/>
      </c>
      <c r="AU130">
        <f>'Grid_Stock'!AS6</f>
        <v/>
      </c>
      <c r="AV130">
        <f>'Grid_Stock'!AT6</f>
        <v/>
      </c>
      <c r="AW130">
        <f>'Grid_Stock'!AU6</f>
        <v/>
      </c>
      <c r="AX130">
        <f>'Grid_Stock'!AV6</f>
        <v/>
      </c>
      <c r="AY130">
        <f>'Grid_Stock'!AW6</f>
        <v/>
      </c>
      <c r="AZ130">
        <f>'Grid_Stock'!AX6</f>
        <v/>
      </c>
      <c r="BA130">
        <f>'Grid_Stock'!AY6</f>
        <v/>
      </c>
      <c r="BB130">
        <f>'Grid_Stock'!AZ6</f>
        <v/>
      </c>
      <c r="BC130">
        <f>'Grid_Stock'!BA6</f>
        <v/>
      </c>
      <c r="BD130">
        <f>'Grid_Stock'!BB6</f>
        <v/>
      </c>
      <c r="BE130">
        <f>'Grid_Stock'!BC6</f>
        <v/>
      </c>
      <c r="BF130">
        <f>'Grid_Stock'!BD6</f>
        <v/>
      </c>
      <c r="BG130">
        <f>'Grid_Stock'!BE6</f>
        <v/>
      </c>
      <c r="BH130">
        <f>'Grid_Stock'!BF6</f>
        <v/>
      </c>
      <c r="BI130">
        <f>'Grid_Stock'!BG6</f>
        <v/>
      </c>
      <c r="BJ130">
        <f>'Grid_Stock'!BH6</f>
        <v/>
      </c>
      <c r="BK130">
        <f>'Grid_Stock'!BI6</f>
        <v/>
      </c>
      <c r="BL130">
        <f>'Grid_Stock'!BJ6</f>
        <v/>
      </c>
      <c r="BM130">
        <f>'Grid_Stock'!BK6</f>
        <v/>
      </c>
      <c r="BN130">
        <f>'Grid_Stock'!BL6</f>
        <v/>
      </c>
      <c r="BO130">
        <f>'Grid_Stock'!BM6</f>
        <v/>
      </c>
      <c r="BP130">
        <f>'Grid_Stock'!BN6</f>
        <v/>
      </c>
      <c r="BQ130">
        <f>'Grid_Stock'!BO6</f>
        <v/>
      </c>
      <c r="BR130">
        <f>'Grid_Stock'!BP6</f>
        <v/>
      </c>
      <c r="BS130">
        <f>'Grid_Stock'!BQ6</f>
        <v/>
      </c>
      <c r="BT130">
        <f>'Grid_Stock'!BR6</f>
        <v/>
      </c>
      <c r="BU130">
        <f>'Grid_Stock'!BS6</f>
        <v/>
      </c>
      <c r="BV130">
        <f>'Grid_Stock'!BT6</f>
        <v/>
      </c>
      <c r="BW130">
        <f>'Grid_Stock'!BU6</f>
        <v/>
      </c>
      <c r="BX130">
        <f>'Grid_Stock'!BV6</f>
        <v/>
      </c>
      <c r="BY130">
        <f>'Grid_Stock'!BW6</f>
        <v/>
      </c>
      <c r="BZ130">
        <f>'Grid_Stock'!BX6</f>
        <v/>
      </c>
      <c r="CA130">
        <f>'Grid_Stock'!BY6</f>
        <v/>
      </c>
      <c r="CB130">
        <f>'Grid_Stock'!BZ6</f>
        <v/>
      </c>
      <c r="CC130">
        <f>'Grid_Stock'!CA6</f>
        <v/>
      </c>
      <c r="CD130">
        <f>'Grid_Stock'!CB6</f>
        <v/>
      </c>
      <c r="CE130">
        <f>'Grid_Stock'!CC6</f>
        <v/>
      </c>
      <c r="CF130">
        <f>'Grid_Stock'!CD6</f>
        <v/>
      </c>
      <c r="CG130">
        <f>'Grid_Stock'!CE6</f>
        <v/>
      </c>
      <c r="CH130">
        <f>'Grid_Stock'!CF6</f>
        <v/>
      </c>
      <c r="CI130">
        <f>'Grid_Stock'!CG6</f>
        <v/>
      </c>
      <c r="CJ130">
        <f>'Grid_Stock'!CH6</f>
        <v/>
      </c>
      <c r="CK130">
        <f>'Grid_Stock'!CI6</f>
        <v/>
      </c>
      <c r="CL130">
        <f>'Grid_Stock'!CJ6</f>
        <v/>
      </c>
      <c r="CM130">
        <f>'Grid_Stock'!CK6</f>
        <v/>
      </c>
      <c r="CN130">
        <f>'Grid_Stock'!CL6</f>
        <v/>
      </c>
      <c r="CO130">
        <f>'Grid_Stock'!CM6</f>
        <v/>
      </c>
      <c r="CP130">
        <f>'Grid_Stock'!CN6</f>
        <v/>
      </c>
      <c r="CQ130">
        <f>'Grid_Stock'!CO6</f>
        <v/>
      </c>
      <c r="CR130">
        <f>'Grid_Stock'!CP6</f>
        <v/>
      </c>
      <c r="CS130">
        <f>'Grid_Stock'!CQ6</f>
        <v/>
      </c>
      <c r="CT130">
        <f>'Grid_Stock'!CR6</f>
        <v/>
      </c>
      <c r="CU130">
        <f>'Grid_Stock'!CS6</f>
        <v/>
      </c>
      <c r="CV130">
        <f>'Grid_Stock'!CT6</f>
        <v/>
      </c>
      <c r="CW130">
        <f>'Grid_Stock'!CU6</f>
        <v/>
      </c>
      <c r="CX130">
        <f>'Grid_Stock'!CV6</f>
        <v/>
      </c>
      <c r="CY130">
        <f>'Grid_Stock'!CW6</f>
        <v/>
      </c>
      <c r="CZ130">
        <f>'Grid_Stock'!CX6</f>
        <v/>
      </c>
      <c r="DA130">
        <f>'Grid_Stock'!CY6</f>
        <v/>
      </c>
      <c r="DB130">
        <f>'Grid_Stock'!CZ6</f>
        <v/>
      </c>
      <c r="DC130">
        <f>'Grid_Stock'!DA6</f>
        <v/>
      </c>
    </row>
    <row r="131">
      <c r="B131" s="23" t="inlineStr">
        <is>
          <t>（発注の目安はDashboardの基準在庫[下限/上限]と色分けを参照）</t>
        </is>
      </c>
    </row>
    <row r="133">
      <c r="A133" s="21" t="inlineStr">
        <is>
          <t>OJN</t>
        </is>
      </c>
      <c r="B133" s="21" t="inlineStr">
        <is>
          <t>Substrate TTAF WF6</t>
        </is>
      </c>
      <c r="C133" s="22" t="n"/>
      <c r="D133" s="21" t="n"/>
      <c r="E133" s="21" t="n"/>
      <c r="F133" s="21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  <c r="AA133" s="21" t="n"/>
      <c r="AB133" s="21" t="n"/>
      <c r="AC133" s="21" t="n"/>
      <c r="AD133" s="21" t="n"/>
      <c r="AE133" s="21" t="n"/>
      <c r="AF133" s="21" t="n"/>
      <c r="AG133" s="21" t="n"/>
      <c r="AH133" s="21" t="n"/>
      <c r="AI133" s="21" t="n"/>
      <c r="AJ133" s="21" t="n"/>
      <c r="AK133" s="21" t="n"/>
      <c r="AL133" s="21" t="n"/>
      <c r="AM133" s="21" t="n"/>
      <c r="AN133" s="21" t="n"/>
      <c r="AO133" s="21" t="n"/>
      <c r="AP133" s="21" t="n"/>
      <c r="AQ133" s="21" t="n"/>
      <c r="AR133" s="21" t="n"/>
      <c r="AS133" s="21" t="n"/>
      <c r="AT133" s="21" t="n"/>
      <c r="AU133" s="21" t="n"/>
      <c r="AV133" s="21" t="n"/>
      <c r="AW133" s="21" t="n"/>
      <c r="AX133" s="21" t="n"/>
      <c r="AY133" s="21" t="n"/>
      <c r="AZ133" s="21" t="n"/>
      <c r="BA133" s="21" t="n"/>
      <c r="BB133" s="21" t="n"/>
      <c r="BC133" s="21" t="n"/>
      <c r="BD133" s="21" t="n"/>
      <c r="BE133" s="21" t="n"/>
      <c r="BF133" s="21" t="n"/>
      <c r="BG133" s="21" t="n"/>
      <c r="BH133" s="21" t="n"/>
      <c r="BI133" s="21" t="n"/>
      <c r="BJ133" s="21" t="n"/>
      <c r="BK133" s="21" t="n"/>
      <c r="BL133" s="21" t="n"/>
      <c r="BM133" s="21" t="n"/>
      <c r="BN133" s="21" t="n"/>
      <c r="BO133" s="21" t="n"/>
      <c r="BP133" s="21" t="n"/>
      <c r="BQ133" s="21" t="n"/>
      <c r="BR133" s="21" t="n"/>
      <c r="BS133" s="21" t="n"/>
      <c r="BT133" s="21" t="n"/>
      <c r="BU133" s="21" t="n"/>
      <c r="BV133" s="21" t="n"/>
      <c r="BW133" s="21" t="n"/>
      <c r="BX133" s="21" t="n"/>
      <c r="BY133" s="21" t="n"/>
      <c r="BZ133" s="21" t="n"/>
      <c r="CA133" s="21" t="n"/>
      <c r="CB133" s="21" t="n"/>
      <c r="CC133" s="21" t="n"/>
      <c r="CD133" s="21" t="n"/>
      <c r="CE133" s="21" t="n"/>
      <c r="CF133" s="21" t="n"/>
      <c r="CG133" s="21" t="n"/>
      <c r="CH133" s="21" t="n"/>
      <c r="CI133" s="21" t="n"/>
      <c r="CJ133" s="21" t="n"/>
      <c r="CK133" s="21" t="n"/>
      <c r="CL133" s="21" t="n"/>
      <c r="CM133" s="21" t="n"/>
      <c r="CN133" s="21" t="n"/>
      <c r="CO133" s="21" t="n"/>
      <c r="CP133" s="21" t="n"/>
      <c r="CQ133" s="21" t="n"/>
      <c r="CR133" s="21" t="n"/>
      <c r="CS133" s="21" t="n"/>
      <c r="CT133" s="21" t="n"/>
      <c r="CU133" s="21" t="n"/>
      <c r="CV133" s="21" t="n"/>
      <c r="CW133" s="21" t="n"/>
      <c r="CX133" s="21" t="n"/>
      <c r="CY133" s="21" t="n"/>
      <c r="CZ133" s="21" t="n"/>
      <c r="DA133" s="21" t="n"/>
      <c r="DB133" s="21" t="n"/>
      <c r="DC133" s="21" t="n"/>
    </row>
    <row r="134">
      <c r="B134" t="inlineStr">
        <is>
          <t>F2090</t>
        </is>
      </c>
      <c r="C134" t="inlineStr">
        <is>
          <t>No. of batches</t>
        </is>
      </c>
      <c r="D134">
        <f>IFERROR(INDEX(PP_Grid[#Data],$DD134,2),0)</f>
        <v/>
      </c>
      <c r="E134">
        <f>IFERROR(INDEX(PP_Grid[#Data],$DD134,3),0)</f>
        <v/>
      </c>
      <c r="F134">
        <f>IFERROR(INDEX(PP_Grid[#Data],$DD134,4),0)</f>
        <v/>
      </c>
      <c r="G134">
        <f>IFERROR(INDEX(PP_Grid[#Data],$DD134,5),0)</f>
        <v/>
      </c>
      <c r="H134">
        <f>IFERROR(INDEX(PP_Grid[#Data],$DD134,6),0)</f>
        <v/>
      </c>
      <c r="I134">
        <f>IFERROR(INDEX(PP_Grid[#Data],$DD134,7),0)</f>
        <v/>
      </c>
      <c r="J134">
        <f>IFERROR(INDEX(PP_Grid[#Data],$DD134,8),0)</f>
        <v/>
      </c>
      <c r="K134">
        <f>IFERROR(INDEX(PP_Grid[#Data],$DD134,9),0)</f>
        <v/>
      </c>
      <c r="L134">
        <f>IFERROR(INDEX(PP_Grid[#Data],$DD134,10),0)</f>
        <v/>
      </c>
      <c r="M134">
        <f>IFERROR(INDEX(PP_Grid[#Data],$DD134,11),0)</f>
        <v/>
      </c>
      <c r="N134">
        <f>IFERROR(INDEX(PP_Grid[#Data],$DD134,12),0)</f>
        <v/>
      </c>
      <c r="O134">
        <f>IFERROR(INDEX(PP_Grid[#Data],$DD134,13),0)</f>
        <v/>
      </c>
      <c r="P134">
        <f>IFERROR(INDEX(PP_Grid[#Data],$DD134,14),0)</f>
        <v/>
      </c>
      <c r="Q134">
        <f>IFERROR(INDEX(PP_Grid[#Data],$DD134,15),0)</f>
        <v/>
      </c>
      <c r="R134">
        <f>IFERROR(INDEX(PP_Grid[#Data],$DD134,16),0)</f>
        <v/>
      </c>
      <c r="S134">
        <f>IFERROR(INDEX(PP_Grid[#Data],$DD134,17),0)</f>
        <v/>
      </c>
      <c r="T134">
        <f>IFERROR(INDEX(PP_Grid[#Data],$DD134,18),0)</f>
        <v/>
      </c>
      <c r="U134">
        <f>IFERROR(INDEX(PP_Grid[#Data],$DD134,19),0)</f>
        <v/>
      </c>
      <c r="V134">
        <f>IFERROR(INDEX(PP_Grid[#Data],$DD134,20),0)</f>
        <v/>
      </c>
      <c r="W134">
        <f>IFERROR(INDEX(PP_Grid[#Data],$DD134,21),0)</f>
        <v/>
      </c>
      <c r="X134">
        <f>IFERROR(INDEX(PP_Grid[#Data],$DD134,22),0)</f>
        <v/>
      </c>
      <c r="Y134">
        <f>IFERROR(INDEX(PP_Grid[#Data],$DD134,23),0)</f>
        <v/>
      </c>
      <c r="Z134">
        <f>IFERROR(INDEX(PP_Grid[#Data],$DD134,24),0)</f>
        <v/>
      </c>
      <c r="AA134">
        <f>IFERROR(INDEX(PP_Grid[#Data],$DD134,25),0)</f>
        <v/>
      </c>
      <c r="AB134">
        <f>IFERROR(INDEX(PP_Grid[#Data],$DD134,26),0)</f>
        <v/>
      </c>
      <c r="AC134">
        <f>IFERROR(INDEX(PP_Grid[#Data],$DD134,27),0)</f>
        <v/>
      </c>
      <c r="AD134">
        <f>IFERROR(INDEX(PP_Grid[#Data],$DD134,28),0)</f>
        <v/>
      </c>
      <c r="AE134">
        <f>IFERROR(INDEX(PP_Grid[#Data],$DD134,29),0)</f>
        <v/>
      </c>
      <c r="AF134">
        <f>IFERROR(INDEX(PP_Grid[#Data],$DD134,30),0)</f>
        <v/>
      </c>
      <c r="AG134">
        <f>IFERROR(INDEX(PP_Grid[#Data],$DD134,31),0)</f>
        <v/>
      </c>
      <c r="AH134">
        <f>IFERROR(INDEX(PP_Grid[#Data],$DD134,32),0)</f>
        <v/>
      </c>
      <c r="AI134">
        <f>IFERROR(INDEX(PP_Grid[#Data],$DD134,33),0)</f>
        <v/>
      </c>
      <c r="AJ134">
        <f>IFERROR(INDEX(PP_Grid[#Data],$DD134,34),0)</f>
        <v/>
      </c>
      <c r="AK134">
        <f>IFERROR(INDEX(PP_Grid[#Data],$DD134,35),0)</f>
        <v/>
      </c>
      <c r="AL134">
        <f>IFERROR(INDEX(PP_Grid[#Data],$DD134,36),0)</f>
        <v/>
      </c>
      <c r="AM134">
        <f>IFERROR(INDEX(PP_Grid[#Data],$DD134,37),0)</f>
        <v/>
      </c>
      <c r="AN134">
        <f>IFERROR(INDEX(PP_Grid[#Data],$DD134,38),0)</f>
        <v/>
      </c>
      <c r="AO134">
        <f>IFERROR(INDEX(PP_Grid[#Data],$DD134,39),0)</f>
        <v/>
      </c>
      <c r="AP134">
        <f>IFERROR(INDEX(PP_Grid[#Data],$DD134,40),0)</f>
        <v/>
      </c>
      <c r="AQ134">
        <f>IFERROR(INDEX(PP_Grid[#Data],$DD134,41),0)</f>
        <v/>
      </c>
      <c r="AR134">
        <f>IFERROR(INDEX(PP_Grid[#Data],$DD134,42),0)</f>
        <v/>
      </c>
      <c r="AS134">
        <f>IFERROR(INDEX(PP_Grid[#Data],$DD134,43),0)</f>
        <v/>
      </c>
      <c r="AT134">
        <f>IFERROR(INDEX(PP_Grid[#Data],$DD134,44),0)</f>
        <v/>
      </c>
      <c r="AU134">
        <f>IFERROR(INDEX(PP_Grid[#Data],$DD134,45),0)</f>
        <v/>
      </c>
      <c r="AV134">
        <f>IFERROR(INDEX(PP_Grid[#Data],$DD134,46),0)</f>
        <v/>
      </c>
      <c r="AW134">
        <f>IFERROR(INDEX(PP_Grid[#Data],$DD134,47),0)</f>
        <v/>
      </c>
      <c r="AX134">
        <f>IFERROR(INDEX(PP_Grid[#Data],$DD134,48),0)</f>
        <v/>
      </c>
      <c r="AY134">
        <f>IFERROR(INDEX(PP_Grid[#Data],$DD134,49),0)</f>
        <v/>
      </c>
      <c r="AZ134">
        <f>IFERROR(INDEX(PP_Grid[#Data],$DD134,50),0)</f>
        <v/>
      </c>
      <c r="BA134">
        <f>IFERROR(INDEX(PP_Grid[#Data],$DD134,51),0)</f>
        <v/>
      </c>
      <c r="BB134">
        <f>IFERROR(INDEX(PP_Grid[#Data],$DD134,52),0)</f>
        <v/>
      </c>
      <c r="BC134">
        <f>IFERROR(INDEX(PP_Grid[#Data],$DD134,53),0)</f>
        <v/>
      </c>
      <c r="BD134">
        <f>IFERROR(INDEX(PP_Grid[#Data],$DD134,54),0)</f>
        <v/>
      </c>
      <c r="BE134">
        <f>IFERROR(INDEX(PP_Grid[#Data],$DD134,55),0)</f>
        <v/>
      </c>
      <c r="BF134">
        <f>IFERROR(INDEX(PP_Grid[#Data],$DD134,56),0)</f>
        <v/>
      </c>
      <c r="BG134">
        <f>IFERROR(INDEX(PP_Grid[#Data],$DD134,57),0)</f>
        <v/>
      </c>
      <c r="BH134">
        <f>IFERROR(INDEX(PP_Grid[#Data],$DD134,58),0)</f>
        <v/>
      </c>
      <c r="BI134">
        <f>IFERROR(INDEX(PP_Grid[#Data],$DD134,59),0)</f>
        <v/>
      </c>
      <c r="BJ134">
        <f>IFERROR(INDEX(PP_Grid[#Data],$DD134,60),0)</f>
        <v/>
      </c>
      <c r="BK134">
        <f>IFERROR(INDEX(PP_Grid[#Data],$DD134,61),0)</f>
        <v/>
      </c>
      <c r="BL134">
        <f>IFERROR(INDEX(PP_Grid[#Data],$DD134,62),0)</f>
        <v/>
      </c>
      <c r="BM134">
        <f>IFERROR(INDEX(PP_Grid[#Data],$DD134,63),0)</f>
        <v/>
      </c>
      <c r="BN134">
        <f>IFERROR(INDEX(PP_Grid[#Data],$DD134,64),0)</f>
        <v/>
      </c>
      <c r="BO134">
        <f>IFERROR(INDEX(PP_Grid[#Data],$DD134,65),0)</f>
        <v/>
      </c>
      <c r="BP134">
        <f>IFERROR(INDEX(PP_Grid[#Data],$DD134,66),0)</f>
        <v/>
      </c>
      <c r="BQ134">
        <f>IFERROR(INDEX(PP_Grid[#Data],$DD134,67),0)</f>
        <v/>
      </c>
      <c r="BR134">
        <f>IFERROR(INDEX(PP_Grid[#Data],$DD134,68),0)</f>
        <v/>
      </c>
      <c r="BS134">
        <f>IFERROR(INDEX(PP_Grid[#Data],$DD134,69),0)</f>
        <v/>
      </c>
      <c r="BT134">
        <f>IFERROR(INDEX(PP_Grid[#Data],$DD134,70),0)</f>
        <v/>
      </c>
      <c r="BU134">
        <f>IFERROR(INDEX(PP_Grid[#Data],$DD134,71),0)</f>
        <v/>
      </c>
      <c r="BV134">
        <f>IFERROR(INDEX(PP_Grid[#Data],$DD134,72),0)</f>
        <v/>
      </c>
      <c r="BW134">
        <f>IFERROR(INDEX(PP_Grid[#Data],$DD134,73),0)</f>
        <v/>
      </c>
      <c r="BX134">
        <f>IFERROR(INDEX(PP_Grid[#Data],$DD134,74),0)</f>
        <v/>
      </c>
      <c r="BY134">
        <f>IFERROR(INDEX(PP_Grid[#Data],$DD134,75),0)</f>
        <v/>
      </c>
      <c r="BZ134">
        <f>IFERROR(INDEX(PP_Grid[#Data],$DD134,76),0)</f>
        <v/>
      </c>
      <c r="CA134">
        <f>IFERROR(INDEX(PP_Grid[#Data],$DD134,77),0)</f>
        <v/>
      </c>
      <c r="CB134">
        <f>IFERROR(INDEX(PP_Grid[#Data],$DD134,78),0)</f>
        <v/>
      </c>
      <c r="CC134">
        <f>IFERROR(INDEX(PP_Grid[#Data],$DD134,79),0)</f>
        <v/>
      </c>
      <c r="CD134">
        <f>IFERROR(INDEX(PP_Grid[#Data],$DD134,80),0)</f>
        <v/>
      </c>
      <c r="CE134">
        <f>IFERROR(INDEX(PP_Grid[#Data],$DD134,81),0)</f>
        <v/>
      </c>
      <c r="CF134">
        <f>IFERROR(INDEX(PP_Grid[#Data],$DD134,82),0)</f>
        <v/>
      </c>
      <c r="CG134">
        <f>IFERROR(INDEX(PP_Grid[#Data],$DD134,83),0)</f>
        <v/>
      </c>
      <c r="CH134">
        <f>IFERROR(INDEX(PP_Grid[#Data],$DD134,84),0)</f>
        <v/>
      </c>
      <c r="CI134">
        <f>IFERROR(INDEX(PP_Grid[#Data],$DD134,85),0)</f>
        <v/>
      </c>
      <c r="CJ134">
        <f>IFERROR(INDEX(PP_Grid[#Data],$DD134,86),0)</f>
        <v/>
      </c>
      <c r="CK134">
        <f>IFERROR(INDEX(PP_Grid[#Data],$DD134,87),0)</f>
        <v/>
      </c>
      <c r="CL134">
        <f>IFERROR(INDEX(PP_Grid[#Data],$DD134,88),0)</f>
        <v/>
      </c>
      <c r="CM134">
        <f>IFERROR(INDEX(PP_Grid[#Data],$DD134,89),0)</f>
        <v/>
      </c>
      <c r="CN134">
        <f>IFERROR(INDEX(PP_Grid[#Data],$DD134,90),0)</f>
        <v/>
      </c>
      <c r="CO134">
        <f>IFERROR(INDEX(PP_Grid[#Data],$DD134,91),0)</f>
        <v/>
      </c>
      <c r="CP134">
        <f>IFERROR(INDEX(PP_Grid[#Data],$DD134,92),0)</f>
        <v/>
      </c>
      <c r="CQ134">
        <f>IFERROR(INDEX(PP_Grid[#Data],$DD134,93),0)</f>
        <v/>
      </c>
      <c r="CR134">
        <f>IFERROR(INDEX(PP_Grid[#Data],$DD134,94),0)</f>
        <v/>
      </c>
      <c r="CS134">
        <f>IFERROR(INDEX(PP_Grid[#Data],$DD134,95),0)</f>
        <v/>
      </c>
      <c r="CT134">
        <f>IFERROR(INDEX(PP_Grid[#Data],$DD134,96),0)</f>
        <v/>
      </c>
      <c r="CU134">
        <f>IFERROR(INDEX(PP_Grid[#Data],$DD134,97),0)</f>
        <v/>
      </c>
      <c r="CV134">
        <f>IFERROR(INDEX(PP_Grid[#Data],$DD134,98),0)</f>
        <v/>
      </c>
      <c r="CW134">
        <f>IFERROR(INDEX(PP_Grid[#Data],$DD134,99),0)</f>
        <v/>
      </c>
      <c r="CX134">
        <f>IFERROR(INDEX(PP_Grid[#Data],$DD134,100),0)</f>
        <v/>
      </c>
      <c r="CY134">
        <f>IFERROR(INDEX(PP_Grid[#Data],$DD134,101),0)</f>
        <v/>
      </c>
      <c r="CZ134">
        <f>IFERROR(INDEX(PP_Grid[#Data],$DD134,102),0)</f>
        <v/>
      </c>
      <c r="DA134">
        <f>IFERROR(INDEX(PP_Grid[#Data],$DD134,103),0)</f>
        <v/>
      </c>
      <c r="DB134">
        <f>IFERROR(INDEX(PP_Grid[#Data],$DD134,104),0)</f>
        <v/>
      </c>
      <c r="DC134">
        <f>IFERROR(INDEX(PP_Grid[#Data],$DD134,105),0)</f>
        <v/>
      </c>
      <c r="DD134" s="12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SUMIFS(M_BOM[RM_Qty_Per_Batch],M_BOM[Intermediate],$B134,M_BOM[Part Name],$A133)</f>
        <v/>
      </c>
      <c r="D135">
        <f>$C135*D134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</row>
    <row r="136">
      <c r="B136" s="5" t="inlineStr">
        <is>
          <t>合計使用量(kg)/週</t>
        </is>
      </c>
      <c r="D136">
        <f>'Grid_Requirement'!B7</f>
        <v/>
      </c>
      <c r="E136">
        <f>'Grid_Requirement'!C7</f>
        <v/>
      </c>
      <c r="F136">
        <f>'Grid_Requirement'!D7</f>
        <v/>
      </c>
      <c r="G136">
        <f>'Grid_Requirement'!E7</f>
        <v/>
      </c>
      <c r="H136">
        <f>'Grid_Requirement'!F7</f>
        <v/>
      </c>
      <c r="I136">
        <f>'Grid_Requirement'!G7</f>
        <v/>
      </c>
      <c r="J136">
        <f>'Grid_Requirement'!H7</f>
        <v/>
      </c>
      <c r="K136">
        <f>'Grid_Requirement'!I7</f>
        <v/>
      </c>
      <c r="L136">
        <f>'Grid_Requirement'!J7</f>
        <v/>
      </c>
      <c r="M136">
        <f>'Grid_Requirement'!K7</f>
        <v/>
      </c>
      <c r="N136">
        <f>'Grid_Requirement'!L7</f>
        <v/>
      </c>
      <c r="O136">
        <f>'Grid_Requirement'!M7</f>
        <v/>
      </c>
      <c r="P136">
        <f>'Grid_Requirement'!N7</f>
        <v/>
      </c>
      <c r="Q136">
        <f>'Grid_Requirement'!O7</f>
        <v/>
      </c>
      <c r="R136">
        <f>'Grid_Requirement'!P7</f>
        <v/>
      </c>
      <c r="S136">
        <f>'Grid_Requirement'!Q7</f>
        <v/>
      </c>
      <c r="T136">
        <f>'Grid_Requirement'!R7</f>
        <v/>
      </c>
      <c r="U136">
        <f>'Grid_Requirement'!S7</f>
        <v/>
      </c>
      <c r="V136">
        <f>'Grid_Requirement'!T7</f>
        <v/>
      </c>
      <c r="W136">
        <f>'Grid_Requirement'!U7</f>
        <v/>
      </c>
      <c r="X136">
        <f>'Grid_Requirement'!V7</f>
        <v/>
      </c>
      <c r="Y136">
        <f>'Grid_Requirement'!W7</f>
        <v/>
      </c>
      <c r="Z136">
        <f>'Grid_Requirement'!X7</f>
        <v/>
      </c>
      <c r="AA136">
        <f>'Grid_Requirement'!Y7</f>
        <v/>
      </c>
      <c r="AB136">
        <f>'Grid_Requirement'!Z7</f>
        <v/>
      </c>
      <c r="AC136">
        <f>'Grid_Requirement'!AA7</f>
        <v/>
      </c>
      <c r="AD136">
        <f>'Grid_Requirement'!AB7</f>
        <v/>
      </c>
      <c r="AE136">
        <f>'Grid_Requirement'!AC7</f>
        <v/>
      </c>
      <c r="AF136">
        <f>'Grid_Requirement'!AD7</f>
        <v/>
      </c>
      <c r="AG136">
        <f>'Grid_Requirement'!AE7</f>
        <v/>
      </c>
      <c r="AH136">
        <f>'Grid_Requirement'!AF7</f>
        <v/>
      </c>
      <c r="AI136">
        <f>'Grid_Requirement'!AG7</f>
        <v/>
      </c>
      <c r="AJ136">
        <f>'Grid_Requirement'!AH7</f>
        <v/>
      </c>
      <c r="AK136">
        <f>'Grid_Requirement'!AI7</f>
        <v/>
      </c>
      <c r="AL136">
        <f>'Grid_Requirement'!AJ7</f>
        <v/>
      </c>
      <c r="AM136">
        <f>'Grid_Requirement'!AK7</f>
        <v/>
      </c>
      <c r="AN136">
        <f>'Grid_Requirement'!AL7</f>
        <v/>
      </c>
      <c r="AO136">
        <f>'Grid_Requirement'!AM7</f>
        <v/>
      </c>
      <c r="AP136">
        <f>'Grid_Requirement'!AN7</f>
        <v/>
      </c>
      <c r="AQ136">
        <f>'Grid_Requirement'!AO7</f>
        <v/>
      </c>
      <c r="AR136">
        <f>'Grid_Requirement'!AP7</f>
        <v/>
      </c>
      <c r="AS136">
        <f>'Grid_Requirement'!AQ7</f>
        <v/>
      </c>
      <c r="AT136">
        <f>'Grid_Requirement'!AR7</f>
        <v/>
      </c>
      <c r="AU136">
        <f>'Grid_Requirement'!AS7</f>
        <v/>
      </c>
      <c r="AV136">
        <f>'Grid_Requirement'!AT7</f>
        <v/>
      </c>
      <c r="AW136">
        <f>'Grid_Requirement'!AU7</f>
        <v/>
      </c>
      <c r="AX136">
        <f>'Grid_Requirement'!AV7</f>
        <v/>
      </c>
      <c r="AY136">
        <f>'Grid_Requirement'!AW7</f>
        <v/>
      </c>
      <c r="AZ136">
        <f>'Grid_Requirement'!AX7</f>
        <v/>
      </c>
      <c r="BA136">
        <f>'Grid_Requirement'!AY7</f>
        <v/>
      </c>
      <c r="BB136">
        <f>'Grid_Requirement'!AZ7</f>
        <v/>
      </c>
      <c r="BC136">
        <f>'Grid_Requirement'!BA7</f>
        <v/>
      </c>
      <c r="BD136">
        <f>'Grid_Requirement'!BB7</f>
        <v/>
      </c>
      <c r="BE136">
        <f>'Grid_Requirement'!BC7</f>
        <v/>
      </c>
      <c r="BF136">
        <f>'Grid_Requirement'!BD7</f>
        <v/>
      </c>
      <c r="BG136">
        <f>'Grid_Requirement'!BE7</f>
        <v/>
      </c>
      <c r="BH136">
        <f>'Grid_Requirement'!BF7</f>
        <v/>
      </c>
      <c r="BI136">
        <f>'Grid_Requirement'!BG7</f>
        <v/>
      </c>
      <c r="BJ136">
        <f>'Grid_Requirement'!BH7</f>
        <v/>
      </c>
      <c r="BK136">
        <f>'Grid_Requirement'!BI7</f>
        <v/>
      </c>
      <c r="BL136">
        <f>'Grid_Requirement'!BJ7</f>
        <v/>
      </c>
      <c r="BM136">
        <f>'Grid_Requirement'!BK7</f>
        <v/>
      </c>
      <c r="BN136">
        <f>'Grid_Requirement'!BL7</f>
        <v/>
      </c>
      <c r="BO136">
        <f>'Grid_Requirement'!BM7</f>
        <v/>
      </c>
      <c r="BP136">
        <f>'Grid_Requirement'!BN7</f>
        <v/>
      </c>
      <c r="BQ136">
        <f>'Grid_Requirement'!BO7</f>
        <v/>
      </c>
      <c r="BR136">
        <f>'Grid_Requirement'!BP7</f>
        <v/>
      </c>
      <c r="BS136">
        <f>'Grid_Requirement'!BQ7</f>
        <v/>
      </c>
      <c r="BT136">
        <f>'Grid_Requirement'!BR7</f>
        <v/>
      </c>
      <c r="BU136">
        <f>'Grid_Requirement'!BS7</f>
        <v/>
      </c>
      <c r="BV136">
        <f>'Grid_Requirement'!BT7</f>
        <v/>
      </c>
      <c r="BW136">
        <f>'Grid_Requirement'!BU7</f>
        <v/>
      </c>
      <c r="BX136">
        <f>'Grid_Requirement'!BV7</f>
        <v/>
      </c>
      <c r="BY136">
        <f>'Grid_Requirement'!BW7</f>
        <v/>
      </c>
      <c r="BZ136">
        <f>'Grid_Requirement'!BX7</f>
        <v/>
      </c>
      <c r="CA136">
        <f>'Grid_Requirement'!BY7</f>
        <v/>
      </c>
      <c r="CB136">
        <f>'Grid_Requirement'!BZ7</f>
        <v/>
      </c>
      <c r="CC136">
        <f>'Grid_Requirement'!CA7</f>
        <v/>
      </c>
      <c r="CD136">
        <f>'Grid_Requirement'!CB7</f>
        <v/>
      </c>
      <c r="CE136">
        <f>'Grid_Requirement'!CC7</f>
        <v/>
      </c>
      <c r="CF136">
        <f>'Grid_Requirement'!CD7</f>
        <v/>
      </c>
      <c r="CG136">
        <f>'Grid_Requirement'!CE7</f>
        <v/>
      </c>
      <c r="CH136">
        <f>'Grid_Requirement'!CF7</f>
        <v/>
      </c>
      <c r="CI136">
        <f>'Grid_Requirement'!CG7</f>
        <v/>
      </c>
      <c r="CJ136">
        <f>'Grid_Requirement'!CH7</f>
        <v/>
      </c>
      <c r="CK136">
        <f>'Grid_Requirement'!CI7</f>
        <v/>
      </c>
      <c r="CL136">
        <f>'Grid_Requirement'!CJ7</f>
        <v/>
      </c>
      <c r="CM136">
        <f>'Grid_Requirement'!CK7</f>
        <v/>
      </c>
      <c r="CN136">
        <f>'Grid_Requirement'!CL7</f>
        <v/>
      </c>
      <c r="CO136">
        <f>'Grid_Requirement'!CM7</f>
        <v/>
      </c>
      <c r="CP136">
        <f>'Grid_Requirement'!CN7</f>
        <v/>
      </c>
      <c r="CQ136">
        <f>'Grid_Requirement'!CO7</f>
        <v/>
      </c>
      <c r="CR136">
        <f>'Grid_Requirement'!CP7</f>
        <v/>
      </c>
      <c r="CS136">
        <f>'Grid_Requirement'!CQ7</f>
        <v/>
      </c>
      <c r="CT136">
        <f>'Grid_Requirement'!CR7</f>
        <v/>
      </c>
      <c r="CU136">
        <f>'Grid_Requirement'!CS7</f>
        <v/>
      </c>
      <c r="CV136">
        <f>'Grid_Requirement'!CT7</f>
        <v/>
      </c>
      <c r="CW136">
        <f>'Grid_Requirement'!CU7</f>
        <v/>
      </c>
      <c r="CX136">
        <f>'Grid_Requirement'!CV7</f>
        <v/>
      </c>
      <c r="CY136">
        <f>'Grid_Requirement'!CW7</f>
        <v/>
      </c>
      <c r="CZ136">
        <f>'Grid_Requirement'!CX7</f>
        <v/>
      </c>
      <c r="DA136">
        <f>'Grid_Requirement'!CY7</f>
        <v/>
      </c>
      <c r="DB136">
        <f>'Grid_Requirement'!CZ7</f>
        <v/>
      </c>
      <c r="DC136">
        <f>'Grid_Requirement'!DA7</f>
        <v/>
      </c>
    </row>
    <row r="137">
      <c r="B137" t="inlineStr">
        <is>
          <t>TTAF在庫(実績,kg)</t>
        </is>
      </c>
      <c r="D137">
        <f>'T_TTAFStock'!B11</f>
        <v/>
      </c>
      <c r="E137">
        <f>'T_TTAFStock'!C11</f>
        <v/>
      </c>
      <c r="F137">
        <f>'T_TTAFStock'!D11</f>
        <v/>
      </c>
      <c r="G137">
        <f>'T_TTAFStock'!E11</f>
        <v/>
      </c>
      <c r="H137">
        <f>'T_TTAFStock'!F11</f>
        <v/>
      </c>
      <c r="I137">
        <f>'T_TTAFStock'!G11</f>
        <v/>
      </c>
      <c r="J137">
        <f>'T_TTAFStock'!H11</f>
        <v/>
      </c>
      <c r="K137">
        <f>'T_TTAFStock'!I11</f>
        <v/>
      </c>
      <c r="L137">
        <f>'T_TTAFStock'!J11</f>
        <v/>
      </c>
      <c r="M137">
        <f>'T_TTAFStock'!K11</f>
        <v/>
      </c>
      <c r="N137">
        <f>'T_TTAFStock'!L11</f>
        <v/>
      </c>
      <c r="O137">
        <f>'T_TTAFStock'!M11</f>
        <v/>
      </c>
      <c r="P137">
        <f>'T_TTAFStock'!N11</f>
        <v/>
      </c>
      <c r="Q137">
        <f>'T_TTAFStock'!O11</f>
        <v/>
      </c>
      <c r="R137">
        <f>'T_TTAFStock'!P11</f>
        <v/>
      </c>
      <c r="S137">
        <f>'T_TTAFStock'!Q11</f>
        <v/>
      </c>
      <c r="T137">
        <f>'T_TTAFStock'!R11</f>
        <v/>
      </c>
      <c r="U137">
        <f>'T_TTAFStock'!S11</f>
        <v/>
      </c>
      <c r="V137">
        <f>'T_TTAFStock'!T11</f>
        <v/>
      </c>
      <c r="W137">
        <f>'T_TTAFStock'!U11</f>
        <v/>
      </c>
      <c r="X137">
        <f>'T_TTAFStock'!V11</f>
        <v/>
      </c>
      <c r="Y137">
        <f>'T_TTAFStock'!W11</f>
        <v/>
      </c>
      <c r="Z137">
        <f>'T_TTAFStock'!X11</f>
        <v/>
      </c>
      <c r="AA137">
        <f>'T_TTAFStock'!Y11</f>
        <v/>
      </c>
      <c r="AB137">
        <f>'T_TTAFStock'!Z11</f>
        <v/>
      </c>
      <c r="AC137">
        <f>'T_TTAFStock'!AA11</f>
        <v/>
      </c>
      <c r="AD137">
        <f>'T_TTAFStock'!AB11</f>
        <v/>
      </c>
      <c r="AE137">
        <f>'T_TTAFStock'!AC11</f>
        <v/>
      </c>
      <c r="AF137">
        <f>'T_TTAFStock'!AD11</f>
        <v/>
      </c>
      <c r="AG137">
        <f>'T_TTAFStock'!AE11</f>
        <v/>
      </c>
      <c r="AH137">
        <f>'T_TTAFStock'!AF11</f>
        <v/>
      </c>
      <c r="AI137">
        <f>'T_TTAFStock'!AG11</f>
        <v/>
      </c>
      <c r="AJ137">
        <f>'T_TTAFStock'!AH11</f>
        <v/>
      </c>
      <c r="AK137">
        <f>'T_TTAFStock'!AI11</f>
        <v/>
      </c>
      <c r="AL137">
        <f>'T_TTAFStock'!AJ11</f>
        <v/>
      </c>
      <c r="AM137">
        <f>'T_TTAFStock'!AK11</f>
        <v/>
      </c>
      <c r="AN137">
        <f>'T_TTAFStock'!AL11</f>
        <v/>
      </c>
      <c r="AO137">
        <f>'T_TTAFStock'!AM11</f>
        <v/>
      </c>
      <c r="AP137">
        <f>'T_TTAFStock'!AN11</f>
        <v/>
      </c>
      <c r="AQ137">
        <f>'T_TTAFStock'!AO11</f>
        <v/>
      </c>
      <c r="AR137">
        <f>'T_TTAFStock'!AP11</f>
        <v/>
      </c>
      <c r="AS137">
        <f>'T_TTAFStock'!AQ11</f>
        <v/>
      </c>
      <c r="AT137">
        <f>'T_TTAFStock'!AR11</f>
        <v/>
      </c>
      <c r="AU137">
        <f>'T_TTAFStock'!AS11</f>
        <v/>
      </c>
      <c r="AV137">
        <f>'T_TTAFStock'!AT11</f>
        <v/>
      </c>
      <c r="AW137">
        <f>'T_TTAFStock'!AU11</f>
        <v/>
      </c>
      <c r="AX137">
        <f>'T_TTAFStock'!AV11</f>
        <v/>
      </c>
      <c r="AY137">
        <f>'T_TTAFStock'!AW11</f>
        <v/>
      </c>
      <c r="AZ137">
        <f>'T_TTAFStock'!AX11</f>
        <v/>
      </c>
      <c r="BA137">
        <f>'T_TTAFStock'!AY11</f>
        <v/>
      </c>
      <c r="BB137">
        <f>'T_TTAFStock'!AZ11</f>
        <v/>
      </c>
      <c r="BC137">
        <f>'T_TTAFStock'!BA11</f>
        <v/>
      </c>
      <c r="BD137">
        <f>'T_TTAFStock'!BB11</f>
        <v/>
      </c>
      <c r="BE137">
        <f>'T_TTAFStock'!BC11</f>
        <v/>
      </c>
      <c r="BF137">
        <f>'T_TTAFStock'!BD11</f>
        <v/>
      </c>
      <c r="BG137">
        <f>'T_TTAFStock'!BE11</f>
        <v/>
      </c>
      <c r="BH137">
        <f>'T_TTAFStock'!BF11</f>
        <v/>
      </c>
      <c r="BI137">
        <f>'T_TTAFStock'!BG11</f>
        <v/>
      </c>
      <c r="BJ137">
        <f>'T_TTAFStock'!BH11</f>
        <v/>
      </c>
      <c r="BK137">
        <f>'T_TTAFStock'!BI11</f>
        <v/>
      </c>
      <c r="BL137">
        <f>'T_TTAFStock'!BJ11</f>
        <v/>
      </c>
      <c r="BM137">
        <f>'T_TTAFStock'!BK11</f>
        <v/>
      </c>
      <c r="BN137">
        <f>'T_TTAFStock'!BL11</f>
        <v/>
      </c>
      <c r="BO137">
        <f>'T_TTAFStock'!BM11</f>
        <v/>
      </c>
      <c r="BP137">
        <f>'T_TTAFStock'!BN11</f>
        <v/>
      </c>
      <c r="BQ137">
        <f>'T_TTAFStock'!BO11</f>
        <v/>
      </c>
      <c r="BR137">
        <f>'T_TTAFStock'!BP11</f>
        <v/>
      </c>
      <c r="BS137">
        <f>'T_TTAFStock'!BQ11</f>
        <v/>
      </c>
      <c r="BT137">
        <f>'T_TTAFStock'!BR11</f>
        <v/>
      </c>
      <c r="BU137">
        <f>'T_TTAFStock'!BS11</f>
        <v/>
      </c>
      <c r="BV137">
        <f>'T_TTAFStock'!BT11</f>
        <v/>
      </c>
      <c r="BW137">
        <f>'T_TTAFStock'!BU11</f>
        <v/>
      </c>
      <c r="BX137">
        <f>'T_TTAFStock'!BV11</f>
        <v/>
      </c>
      <c r="BY137">
        <f>'T_TTAFStock'!BW11</f>
        <v/>
      </c>
      <c r="BZ137">
        <f>'T_TTAFStock'!BX11</f>
        <v/>
      </c>
      <c r="CA137">
        <f>'T_TTAFStock'!BY11</f>
        <v/>
      </c>
      <c r="CB137">
        <f>'T_TTAFStock'!BZ11</f>
        <v/>
      </c>
      <c r="CC137">
        <f>'T_TTAFStock'!CA11</f>
        <v/>
      </c>
      <c r="CD137">
        <f>'T_TTAFStock'!CB11</f>
        <v/>
      </c>
      <c r="CE137">
        <f>'T_TTAFStock'!CC11</f>
        <v/>
      </c>
      <c r="CF137">
        <f>'T_TTAFStock'!CD11</f>
        <v/>
      </c>
      <c r="CG137">
        <f>'T_TTAFStock'!CE11</f>
        <v/>
      </c>
      <c r="CH137">
        <f>'T_TTAFStock'!CF11</f>
        <v/>
      </c>
      <c r="CI137">
        <f>'T_TTAFStock'!CG11</f>
        <v/>
      </c>
      <c r="CJ137">
        <f>'T_TTAFStock'!CH11</f>
        <v/>
      </c>
      <c r="CK137">
        <f>'T_TTAFStock'!CI11</f>
        <v/>
      </c>
      <c r="CL137">
        <f>'T_TTAFStock'!CJ11</f>
        <v/>
      </c>
      <c r="CM137">
        <f>'T_TTAFStock'!CK11</f>
        <v/>
      </c>
      <c r="CN137">
        <f>'T_TTAFStock'!CL11</f>
        <v/>
      </c>
      <c r="CO137">
        <f>'T_TTAFStock'!CM11</f>
        <v/>
      </c>
      <c r="CP137">
        <f>'T_TTAFStock'!CN11</f>
        <v/>
      </c>
      <c r="CQ137">
        <f>'T_TTAFStock'!CO11</f>
        <v/>
      </c>
      <c r="CR137">
        <f>'T_TTAFStock'!CP11</f>
        <v/>
      </c>
      <c r="CS137">
        <f>'T_TTAFStock'!CQ11</f>
        <v/>
      </c>
      <c r="CT137">
        <f>'T_TTAFStock'!CR11</f>
        <v/>
      </c>
      <c r="CU137">
        <f>'T_TTAFStock'!CS11</f>
        <v/>
      </c>
      <c r="CV137">
        <f>'T_TTAFStock'!CT11</f>
        <v/>
      </c>
      <c r="CW137">
        <f>'T_TTAFStock'!CU11</f>
        <v/>
      </c>
      <c r="CX137">
        <f>'T_TTAFStock'!CV11</f>
        <v/>
      </c>
      <c r="CY137">
        <f>'T_TTAFStock'!CW11</f>
        <v/>
      </c>
      <c r="CZ137">
        <f>'T_TTAFStock'!CX11</f>
        <v/>
      </c>
      <c r="DA137">
        <f>'T_TTAFStock'!CY11</f>
        <v/>
      </c>
      <c r="DB137">
        <f>'T_TTAFStock'!CZ11</f>
        <v/>
      </c>
      <c r="DC137">
        <f>'T_TTAFStock'!DA11</f>
        <v/>
      </c>
    </row>
    <row r="138">
      <c r="B138" t="inlineStr">
        <is>
          <t>自社在庫(実績,kg)</t>
        </is>
      </c>
      <c r="D138">
        <f>'T_SelfStock'!B11</f>
        <v/>
      </c>
      <c r="E138">
        <f>'T_SelfStock'!C11</f>
        <v/>
      </c>
      <c r="F138">
        <f>'T_SelfStock'!D11</f>
        <v/>
      </c>
      <c r="G138">
        <f>'T_SelfStock'!E11</f>
        <v/>
      </c>
      <c r="H138">
        <f>'T_SelfStock'!F11</f>
        <v/>
      </c>
      <c r="I138">
        <f>'T_SelfStock'!G11</f>
        <v/>
      </c>
      <c r="J138">
        <f>'T_SelfStock'!H11</f>
        <v/>
      </c>
      <c r="K138">
        <f>'T_SelfStock'!I11</f>
        <v/>
      </c>
      <c r="L138">
        <f>'T_SelfStock'!J11</f>
        <v/>
      </c>
      <c r="M138">
        <f>'T_SelfStock'!K11</f>
        <v/>
      </c>
      <c r="N138">
        <f>'T_SelfStock'!L11</f>
        <v/>
      </c>
      <c r="O138">
        <f>'T_SelfStock'!M11</f>
        <v/>
      </c>
      <c r="P138">
        <f>'T_SelfStock'!N11</f>
        <v/>
      </c>
      <c r="Q138">
        <f>'T_SelfStock'!O11</f>
        <v/>
      </c>
      <c r="R138">
        <f>'T_SelfStock'!P11</f>
        <v/>
      </c>
      <c r="S138">
        <f>'T_SelfStock'!Q11</f>
        <v/>
      </c>
      <c r="T138">
        <f>'T_SelfStock'!R11</f>
        <v/>
      </c>
      <c r="U138">
        <f>'T_SelfStock'!S11</f>
        <v/>
      </c>
      <c r="V138">
        <f>'T_SelfStock'!T11</f>
        <v/>
      </c>
      <c r="W138">
        <f>'T_SelfStock'!U11</f>
        <v/>
      </c>
      <c r="X138">
        <f>'T_SelfStock'!V11</f>
        <v/>
      </c>
      <c r="Y138">
        <f>'T_SelfStock'!W11</f>
        <v/>
      </c>
      <c r="Z138">
        <f>'T_SelfStock'!X11</f>
        <v/>
      </c>
      <c r="AA138">
        <f>'T_SelfStock'!Y11</f>
        <v/>
      </c>
      <c r="AB138">
        <f>'T_SelfStock'!Z11</f>
        <v/>
      </c>
      <c r="AC138">
        <f>'T_SelfStock'!AA11</f>
        <v/>
      </c>
      <c r="AD138">
        <f>'T_SelfStock'!AB11</f>
        <v/>
      </c>
      <c r="AE138">
        <f>'T_SelfStock'!AC11</f>
        <v/>
      </c>
      <c r="AF138">
        <f>'T_SelfStock'!AD11</f>
        <v/>
      </c>
      <c r="AG138">
        <f>'T_SelfStock'!AE11</f>
        <v/>
      </c>
      <c r="AH138">
        <f>'T_SelfStock'!AF11</f>
        <v/>
      </c>
      <c r="AI138">
        <f>'T_SelfStock'!AG11</f>
        <v/>
      </c>
      <c r="AJ138">
        <f>'T_SelfStock'!AH11</f>
        <v/>
      </c>
      <c r="AK138">
        <f>'T_SelfStock'!AI11</f>
        <v/>
      </c>
      <c r="AL138">
        <f>'T_SelfStock'!AJ11</f>
        <v/>
      </c>
      <c r="AM138">
        <f>'T_SelfStock'!AK11</f>
        <v/>
      </c>
      <c r="AN138">
        <f>'T_SelfStock'!AL11</f>
        <v/>
      </c>
      <c r="AO138">
        <f>'T_SelfStock'!AM11</f>
        <v/>
      </c>
      <c r="AP138">
        <f>'T_SelfStock'!AN11</f>
        <v/>
      </c>
      <c r="AQ138">
        <f>'T_SelfStock'!AO11</f>
        <v/>
      </c>
      <c r="AR138">
        <f>'T_SelfStock'!AP11</f>
        <v/>
      </c>
      <c r="AS138">
        <f>'T_SelfStock'!AQ11</f>
        <v/>
      </c>
      <c r="AT138">
        <f>'T_SelfStock'!AR11</f>
        <v/>
      </c>
      <c r="AU138">
        <f>'T_SelfStock'!AS11</f>
        <v/>
      </c>
      <c r="AV138">
        <f>'T_SelfStock'!AT11</f>
        <v/>
      </c>
      <c r="AW138">
        <f>'T_SelfStock'!AU11</f>
        <v/>
      </c>
      <c r="AX138">
        <f>'T_SelfStock'!AV11</f>
        <v/>
      </c>
      <c r="AY138">
        <f>'T_SelfStock'!AW11</f>
        <v/>
      </c>
      <c r="AZ138">
        <f>'T_SelfStock'!AX11</f>
        <v/>
      </c>
      <c r="BA138">
        <f>'T_SelfStock'!AY11</f>
        <v/>
      </c>
      <c r="BB138">
        <f>'T_SelfStock'!AZ11</f>
        <v/>
      </c>
      <c r="BC138">
        <f>'T_SelfStock'!BA11</f>
        <v/>
      </c>
      <c r="BD138">
        <f>'T_SelfStock'!BB11</f>
        <v/>
      </c>
      <c r="BE138">
        <f>'T_SelfStock'!BC11</f>
        <v/>
      </c>
      <c r="BF138">
        <f>'T_SelfStock'!BD11</f>
        <v/>
      </c>
      <c r="BG138">
        <f>'T_SelfStock'!BE11</f>
        <v/>
      </c>
      <c r="BH138">
        <f>'T_SelfStock'!BF11</f>
        <v/>
      </c>
      <c r="BI138">
        <f>'T_SelfStock'!BG11</f>
        <v/>
      </c>
      <c r="BJ138">
        <f>'T_SelfStock'!BH11</f>
        <v/>
      </c>
      <c r="BK138">
        <f>'T_SelfStock'!BI11</f>
        <v/>
      </c>
      <c r="BL138">
        <f>'T_SelfStock'!BJ11</f>
        <v/>
      </c>
      <c r="BM138">
        <f>'T_SelfStock'!BK11</f>
        <v/>
      </c>
      <c r="BN138">
        <f>'T_SelfStock'!BL11</f>
        <v/>
      </c>
      <c r="BO138">
        <f>'T_SelfStock'!BM11</f>
        <v/>
      </c>
      <c r="BP138">
        <f>'T_SelfStock'!BN11</f>
        <v/>
      </c>
      <c r="BQ138">
        <f>'T_SelfStock'!BO11</f>
        <v/>
      </c>
      <c r="BR138">
        <f>'T_SelfStock'!BP11</f>
        <v/>
      </c>
      <c r="BS138">
        <f>'T_SelfStock'!BQ11</f>
        <v/>
      </c>
      <c r="BT138">
        <f>'T_SelfStock'!BR11</f>
        <v/>
      </c>
      <c r="BU138">
        <f>'T_SelfStock'!BS11</f>
        <v/>
      </c>
      <c r="BV138">
        <f>'T_SelfStock'!BT11</f>
        <v/>
      </c>
      <c r="BW138">
        <f>'T_SelfStock'!BU11</f>
        <v/>
      </c>
      <c r="BX138">
        <f>'T_SelfStock'!BV11</f>
        <v/>
      </c>
      <c r="BY138">
        <f>'T_SelfStock'!BW11</f>
        <v/>
      </c>
      <c r="BZ138">
        <f>'T_SelfStock'!BX11</f>
        <v/>
      </c>
      <c r="CA138">
        <f>'T_SelfStock'!BY11</f>
        <v/>
      </c>
      <c r="CB138">
        <f>'T_SelfStock'!BZ11</f>
        <v/>
      </c>
      <c r="CC138">
        <f>'T_SelfStock'!CA11</f>
        <v/>
      </c>
      <c r="CD138">
        <f>'T_SelfStock'!CB11</f>
        <v/>
      </c>
      <c r="CE138">
        <f>'T_SelfStock'!CC11</f>
        <v/>
      </c>
      <c r="CF138">
        <f>'T_SelfStock'!CD11</f>
        <v/>
      </c>
      <c r="CG138">
        <f>'T_SelfStock'!CE11</f>
        <v/>
      </c>
      <c r="CH138">
        <f>'T_SelfStock'!CF11</f>
        <v/>
      </c>
      <c r="CI138">
        <f>'T_SelfStock'!CG11</f>
        <v/>
      </c>
      <c r="CJ138">
        <f>'T_SelfStock'!CH11</f>
        <v/>
      </c>
      <c r="CK138">
        <f>'T_SelfStock'!CI11</f>
        <v/>
      </c>
      <c r="CL138">
        <f>'T_SelfStock'!CJ11</f>
        <v/>
      </c>
      <c r="CM138">
        <f>'T_SelfStock'!CK11</f>
        <v/>
      </c>
      <c r="CN138">
        <f>'T_SelfStock'!CL11</f>
        <v/>
      </c>
      <c r="CO138">
        <f>'T_SelfStock'!CM11</f>
        <v/>
      </c>
      <c r="CP138">
        <f>'T_SelfStock'!CN11</f>
        <v/>
      </c>
      <c r="CQ138">
        <f>'T_SelfStock'!CO11</f>
        <v/>
      </c>
      <c r="CR138">
        <f>'T_SelfStock'!CP11</f>
        <v/>
      </c>
      <c r="CS138">
        <f>'T_SelfStock'!CQ11</f>
        <v/>
      </c>
      <c r="CT138">
        <f>'T_SelfStock'!CR11</f>
        <v/>
      </c>
      <c r="CU138">
        <f>'T_SelfStock'!CS11</f>
        <v/>
      </c>
      <c r="CV138">
        <f>'T_SelfStock'!CT11</f>
        <v/>
      </c>
      <c r="CW138">
        <f>'T_SelfStock'!CU11</f>
        <v/>
      </c>
      <c r="CX138">
        <f>'T_SelfStock'!CV11</f>
        <v/>
      </c>
      <c r="CY138">
        <f>'T_SelfStock'!CW11</f>
        <v/>
      </c>
      <c r="CZ138">
        <f>'T_SelfStock'!CX11</f>
        <v/>
      </c>
      <c r="DA138">
        <f>'T_SelfStock'!CY11</f>
        <v/>
      </c>
      <c r="DB138">
        <f>'T_SelfStock'!CZ11</f>
        <v/>
      </c>
      <c r="DC138">
        <f>'T_SelfStock'!DA11</f>
        <v/>
      </c>
    </row>
    <row r="139">
      <c r="B139" t="inlineStr">
        <is>
          <t>Order(発注予定,kg)</t>
        </is>
      </c>
      <c r="D139">
        <f>IF(SUMIFS(T_PlannedOrders[EffectiveQty],T_PlannedOrders[Part Name],$A133,T_PlannedOrders[WeekIndex],1)=0,"",SUMIFS(T_PlannedOrders[EffectiveQty],T_PlannedOrders[Part Name],$A133,T_PlannedOrders[WeekIndex],1)&amp;" ("&amp;TEXT(SUMPRODUCT(MAX((T_PlannedOrders[Part Name]=$A133)*(T_PlannedOrders[WeekIndex]=1)*(T_PlannedOrders[EffectiveQty]&gt;0)*T_PlannedOrders[Order_Month])),"m月")&amp;"発注)")</f>
        <v/>
      </c>
      <c r="E139">
        <f>IF(SUMIFS(T_PlannedOrders[EffectiveQty],T_PlannedOrders[Part Name],$A133,T_PlannedOrders[WeekIndex],2)=0,"",SUMIFS(T_PlannedOrders[EffectiveQty],T_PlannedOrders[Part Name],$A133,T_PlannedOrders[WeekIndex],2)&amp;" ("&amp;TEXT(SUMPRODUCT(MAX((T_PlannedOrders[Part Name]=$A133)*(T_PlannedOrders[WeekIndex]=2)*(T_PlannedOrders[EffectiveQty]&gt;0)*T_PlannedOrders[Order_Month])),"m月")&amp;"発注)")</f>
        <v/>
      </c>
      <c r="F139">
        <f>IF(SUMIFS(T_PlannedOrders[EffectiveQty],T_PlannedOrders[Part Name],$A133,T_PlannedOrders[WeekIndex],3)=0,"",SUMIFS(T_PlannedOrders[EffectiveQty],T_PlannedOrders[Part Name],$A133,T_PlannedOrders[WeekIndex],3)&amp;" ("&amp;TEXT(SUMPRODUCT(MAX((T_PlannedOrders[Part Name]=$A133)*(T_PlannedOrders[WeekIndex]=3)*(T_PlannedOrders[EffectiveQty]&gt;0)*T_PlannedOrders[Order_Month])),"m月")&amp;"発注)")</f>
        <v/>
      </c>
      <c r="G139">
        <f>IF(SUMIFS(T_PlannedOrders[EffectiveQty],T_PlannedOrders[Part Name],$A133,T_PlannedOrders[WeekIndex],4)=0,"",SUMIFS(T_PlannedOrders[EffectiveQty],T_PlannedOrders[Part Name],$A133,T_PlannedOrders[WeekIndex],4)&amp;" ("&amp;TEXT(SUMPRODUCT(MAX((T_PlannedOrders[Part Name]=$A133)*(T_PlannedOrders[WeekIndex]=4)*(T_PlannedOrders[EffectiveQty]&gt;0)*T_PlannedOrders[Order_Month])),"m月")&amp;"発注)")</f>
        <v/>
      </c>
      <c r="H139">
        <f>IF(SUMIFS(T_PlannedOrders[EffectiveQty],T_PlannedOrders[Part Name],$A133,T_PlannedOrders[WeekIndex],5)=0,"",SUMIFS(T_PlannedOrders[EffectiveQty],T_PlannedOrders[Part Name],$A133,T_PlannedOrders[WeekIndex],5)&amp;" ("&amp;TEXT(SUMPRODUCT(MAX((T_PlannedOrders[Part Name]=$A133)*(T_PlannedOrders[WeekIndex]=5)*(T_PlannedOrders[EffectiveQty]&gt;0)*T_PlannedOrders[Order_Month])),"m月")&amp;"発注)")</f>
        <v/>
      </c>
      <c r="I139">
        <f>IF(SUMIFS(T_PlannedOrders[EffectiveQty],T_PlannedOrders[Part Name],$A133,T_PlannedOrders[WeekIndex],6)=0,"",SUMIFS(T_PlannedOrders[EffectiveQty],T_PlannedOrders[Part Name],$A133,T_PlannedOrders[WeekIndex],6)&amp;" ("&amp;TEXT(SUMPRODUCT(MAX((T_PlannedOrders[Part Name]=$A133)*(T_PlannedOrders[WeekIndex]=6)*(T_PlannedOrders[EffectiveQty]&gt;0)*T_PlannedOrders[Order_Month])),"m月")&amp;"発注)")</f>
        <v/>
      </c>
      <c r="J139">
        <f>IF(SUMIFS(T_PlannedOrders[EffectiveQty],T_PlannedOrders[Part Name],$A133,T_PlannedOrders[WeekIndex],7)=0,"",SUMIFS(T_PlannedOrders[EffectiveQty],T_PlannedOrders[Part Name],$A133,T_PlannedOrders[WeekIndex],7)&amp;" ("&amp;TEXT(SUMPRODUCT(MAX((T_PlannedOrders[Part Name]=$A133)*(T_PlannedOrders[WeekIndex]=7)*(T_PlannedOrders[EffectiveQty]&gt;0)*T_PlannedOrders[Order_Month])),"m月")&amp;"発注)")</f>
        <v/>
      </c>
      <c r="K139">
        <f>IF(SUMIFS(T_PlannedOrders[EffectiveQty],T_PlannedOrders[Part Name],$A133,T_PlannedOrders[WeekIndex],8)=0,"",SUMIFS(T_PlannedOrders[EffectiveQty],T_PlannedOrders[Part Name],$A133,T_PlannedOrders[WeekIndex],8)&amp;" ("&amp;TEXT(SUMPRODUCT(MAX((T_PlannedOrders[Part Name]=$A133)*(T_PlannedOrders[WeekIndex]=8)*(T_PlannedOrders[EffectiveQty]&gt;0)*T_PlannedOrders[Order_Month])),"m月")&amp;"発注)")</f>
        <v/>
      </c>
      <c r="L139">
        <f>IF(SUMIFS(T_PlannedOrders[EffectiveQty],T_PlannedOrders[Part Name],$A133,T_PlannedOrders[WeekIndex],9)=0,"",SUMIFS(T_PlannedOrders[EffectiveQty],T_PlannedOrders[Part Name],$A133,T_PlannedOrders[WeekIndex],9)&amp;" ("&amp;TEXT(SUMPRODUCT(MAX((T_PlannedOrders[Part Name]=$A133)*(T_PlannedOrders[WeekIndex]=9)*(T_PlannedOrders[EffectiveQty]&gt;0)*T_PlannedOrders[Order_Month])),"m月")&amp;"発注)")</f>
        <v/>
      </c>
      <c r="M139">
        <f>IF(SUMIFS(T_PlannedOrders[EffectiveQty],T_PlannedOrders[Part Name],$A133,T_PlannedOrders[WeekIndex],10)=0,"",SUMIFS(T_PlannedOrders[EffectiveQty],T_PlannedOrders[Part Name],$A133,T_PlannedOrders[WeekIndex],10)&amp;" ("&amp;TEXT(SUMPRODUCT(MAX((T_PlannedOrders[Part Name]=$A133)*(T_PlannedOrders[WeekIndex]=10)*(T_PlannedOrders[EffectiveQty]&gt;0)*T_PlannedOrders[Order_Month])),"m月")&amp;"発注)")</f>
        <v/>
      </c>
      <c r="N139">
        <f>IF(SUMIFS(T_PlannedOrders[EffectiveQty],T_PlannedOrders[Part Name],$A133,T_PlannedOrders[WeekIndex],11)=0,"",SUMIFS(T_PlannedOrders[EffectiveQty],T_PlannedOrders[Part Name],$A133,T_PlannedOrders[WeekIndex],11)&amp;" ("&amp;TEXT(SUMPRODUCT(MAX((T_PlannedOrders[Part Name]=$A133)*(T_PlannedOrders[WeekIndex]=11)*(T_PlannedOrders[EffectiveQty]&gt;0)*T_PlannedOrders[Order_Month])),"m月")&amp;"発注)")</f>
        <v/>
      </c>
      <c r="O139">
        <f>IF(SUMIFS(T_PlannedOrders[EffectiveQty],T_PlannedOrders[Part Name],$A133,T_PlannedOrders[WeekIndex],12)=0,"",SUMIFS(T_PlannedOrders[EffectiveQty],T_PlannedOrders[Part Name],$A133,T_PlannedOrders[WeekIndex],12)&amp;" ("&amp;TEXT(SUMPRODUCT(MAX((T_PlannedOrders[Part Name]=$A133)*(T_PlannedOrders[WeekIndex]=12)*(T_PlannedOrders[EffectiveQty]&gt;0)*T_PlannedOrders[Order_Month])),"m月")&amp;"発注)")</f>
        <v/>
      </c>
      <c r="P139">
        <f>IF(SUMIFS(T_PlannedOrders[EffectiveQty],T_PlannedOrders[Part Name],$A133,T_PlannedOrders[WeekIndex],13)=0,"",SUMIFS(T_PlannedOrders[EffectiveQty],T_PlannedOrders[Part Name],$A133,T_PlannedOrders[WeekIndex],13)&amp;" ("&amp;TEXT(SUMPRODUCT(MAX((T_PlannedOrders[Part Name]=$A133)*(T_PlannedOrders[WeekIndex]=13)*(T_PlannedOrders[EffectiveQty]&gt;0)*T_PlannedOrders[Order_Month])),"m月")&amp;"発注)")</f>
        <v/>
      </c>
      <c r="Q139">
        <f>IF(SUMIFS(T_PlannedOrders[EffectiveQty],T_PlannedOrders[Part Name],$A133,T_PlannedOrders[WeekIndex],14)=0,"",SUMIFS(T_PlannedOrders[EffectiveQty],T_PlannedOrders[Part Name],$A133,T_PlannedOrders[WeekIndex],14)&amp;" ("&amp;TEXT(SUMPRODUCT(MAX((T_PlannedOrders[Part Name]=$A133)*(T_PlannedOrders[WeekIndex]=14)*(T_PlannedOrders[EffectiveQty]&gt;0)*T_PlannedOrders[Order_Month])),"m月")&amp;"発注)")</f>
        <v/>
      </c>
      <c r="R139">
        <f>IF(SUMIFS(T_PlannedOrders[EffectiveQty],T_PlannedOrders[Part Name],$A133,T_PlannedOrders[WeekIndex],15)=0,"",SUMIFS(T_PlannedOrders[EffectiveQty],T_PlannedOrders[Part Name],$A133,T_PlannedOrders[WeekIndex],15)&amp;" ("&amp;TEXT(SUMPRODUCT(MAX((T_PlannedOrders[Part Name]=$A133)*(T_PlannedOrders[WeekIndex]=15)*(T_PlannedOrders[EffectiveQty]&gt;0)*T_PlannedOrders[Order_Month])),"m月")&amp;"発注)")</f>
        <v/>
      </c>
      <c r="S139">
        <f>IF(SUMIFS(T_PlannedOrders[EffectiveQty],T_PlannedOrders[Part Name],$A133,T_PlannedOrders[WeekIndex],16)=0,"",SUMIFS(T_PlannedOrders[EffectiveQty],T_PlannedOrders[Part Name],$A133,T_PlannedOrders[WeekIndex],16)&amp;" ("&amp;TEXT(SUMPRODUCT(MAX((T_PlannedOrders[Part Name]=$A133)*(T_PlannedOrders[WeekIndex]=16)*(T_PlannedOrders[EffectiveQty]&gt;0)*T_PlannedOrders[Order_Month])),"m月")&amp;"発注)")</f>
        <v/>
      </c>
      <c r="T139">
        <f>IF(SUMIFS(T_PlannedOrders[EffectiveQty],T_PlannedOrders[Part Name],$A133,T_PlannedOrders[WeekIndex],17)=0,"",SUMIFS(T_PlannedOrders[EffectiveQty],T_PlannedOrders[Part Name],$A133,T_PlannedOrders[WeekIndex],17)&amp;" ("&amp;TEXT(SUMPRODUCT(MAX((T_PlannedOrders[Part Name]=$A133)*(T_PlannedOrders[WeekIndex]=17)*(T_PlannedOrders[EffectiveQty]&gt;0)*T_PlannedOrders[Order_Month])),"m月")&amp;"発注)")</f>
        <v/>
      </c>
      <c r="U139">
        <f>IF(SUMIFS(T_PlannedOrders[EffectiveQty],T_PlannedOrders[Part Name],$A133,T_PlannedOrders[WeekIndex],18)=0,"",SUMIFS(T_PlannedOrders[EffectiveQty],T_PlannedOrders[Part Name],$A133,T_PlannedOrders[WeekIndex],18)&amp;" ("&amp;TEXT(SUMPRODUCT(MAX((T_PlannedOrders[Part Name]=$A133)*(T_PlannedOrders[WeekIndex]=18)*(T_PlannedOrders[EffectiveQty]&gt;0)*T_PlannedOrders[Order_Month])),"m月")&amp;"発注)")</f>
        <v/>
      </c>
      <c r="V139">
        <f>IF(SUMIFS(T_PlannedOrders[EffectiveQty],T_PlannedOrders[Part Name],$A133,T_PlannedOrders[WeekIndex],19)=0,"",SUMIFS(T_PlannedOrders[EffectiveQty],T_PlannedOrders[Part Name],$A133,T_PlannedOrders[WeekIndex],19)&amp;" ("&amp;TEXT(SUMPRODUCT(MAX((T_PlannedOrders[Part Name]=$A133)*(T_PlannedOrders[WeekIndex]=19)*(T_PlannedOrders[EffectiveQty]&gt;0)*T_PlannedOrders[Order_Month])),"m月")&amp;"発注)")</f>
        <v/>
      </c>
      <c r="W139">
        <f>IF(SUMIFS(T_PlannedOrders[EffectiveQty],T_PlannedOrders[Part Name],$A133,T_PlannedOrders[WeekIndex],20)=0,"",SUMIFS(T_PlannedOrders[EffectiveQty],T_PlannedOrders[Part Name],$A133,T_PlannedOrders[WeekIndex],20)&amp;" ("&amp;TEXT(SUMPRODUCT(MAX((T_PlannedOrders[Part Name]=$A133)*(T_PlannedOrders[WeekIndex]=20)*(T_PlannedOrders[EffectiveQty]&gt;0)*T_PlannedOrders[Order_Month])),"m月")&amp;"発注)")</f>
        <v/>
      </c>
      <c r="X139">
        <f>IF(SUMIFS(T_PlannedOrders[EffectiveQty],T_PlannedOrders[Part Name],$A133,T_PlannedOrders[WeekIndex],21)=0,"",SUMIFS(T_PlannedOrders[EffectiveQty],T_PlannedOrders[Part Name],$A133,T_PlannedOrders[WeekIndex],21)&amp;" ("&amp;TEXT(SUMPRODUCT(MAX((T_PlannedOrders[Part Name]=$A133)*(T_PlannedOrders[WeekIndex]=21)*(T_PlannedOrders[EffectiveQty]&gt;0)*T_PlannedOrders[Order_Month])),"m月")&amp;"発注)")</f>
        <v/>
      </c>
      <c r="Y139">
        <f>IF(SUMIFS(T_PlannedOrders[EffectiveQty],T_PlannedOrders[Part Name],$A133,T_PlannedOrders[WeekIndex],22)=0,"",SUMIFS(T_PlannedOrders[EffectiveQty],T_PlannedOrders[Part Name],$A133,T_PlannedOrders[WeekIndex],22)&amp;" ("&amp;TEXT(SUMPRODUCT(MAX((T_PlannedOrders[Part Name]=$A133)*(T_PlannedOrders[WeekIndex]=22)*(T_PlannedOrders[EffectiveQty]&gt;0)*T_PlannedOrders[Order_Month])),"m月")&amp;"発注)")</f>
        <v/>
      </c>
      <c r="Z139">
        <f>IF(SUMIFS(T_PlannedOrders[EffectiveQty],T_PlannedOrders[Part Name],$A133,T_PlannedOrders[WeekIndex],23)=0,"",SUMIFS(T_PlannedOrders[EffectiveQty],T_PlannedOrders[Part Name],$A133,T_PlannedOrders[WeekIndex],23)&amp;" ("&amp;TEXT(SUMPRODUCT(MAX((T_PlannedOrders[Part Name]=$A133)*(T_PlannedOrders[WeekIndex]=23)*(T_PlannedOrders[EffectiveQty]&gt;0)*T_PlannedOrders[Order_Month])),"m月")&amp;"発注)")</f>
        <v/>
      </c>
      <c r="AA139">
        <f>IF(SUMIFS(T_PlannedOrders[EffectiveQty],T_PlannedOrders[Part Name],$A133,T_PlannedOrders[WeekIndex],24)=0,"",SUMIFS(T_PlannedOrders[EffectiveQty],T_PlannedOrders[Part Name],$A133,T_PlannedOrders[WeekIndex],24)&amp;" ("&amp;TEXT(SUMPRODUCT(MAX((T_PlannedOrders[Part Name]=$A133)*(T_PlannedOrders[WeekIndex]=24)*(T_PlannedOrders[EffectiveQty]&gt;0)*T_PlannedOrders[Order_Month])),"m月")&amp;"発注)")</f>
        <v/>
      </c>
      <c r="AB139">
        <f>IF(SUMIFS(T_PlannedOrders[EffectiveQty],T_PlannedOrders[Part Name],$A133,T_PlannedOrders[WeekIndex],25)=0,"",SUMIFS(T_PlannedOrders[EffectiveQty],T_PlannedOrders[Part Name],$A133,T_PlannedOrders[WeekIndex],25)&amp;" ("&amp;TEXT(SUMPRODUCT(MAX((T_PlannedOrders[Part Name]=$A133)*(T_PlannedOrders[WeekIndex]=25)*(T_PlannedOrders[EffectiveQty]&gt;0)*T_PlannedOrders[Order_Month])),"m月")&amp;"発注)")</f>
        <v/>
      </c>
      <c r="AC139">
        <f>IF(SUMIFS(T_PlannedOrders[EffectiveQty],T_PlannedOrders[Part Name],$A133,T_PlannedOrders[WeekIndex],26)=0,"",SUMIFS(T_PlannedOrders[EffectiveQty],T_PlannedOrders[Part Name],$A133,T_PlannedOrders[WeekIndex],26)&amp;" ("&amp;TEXT(SUMPRODUCT(MAX((T_PlannedOrders[Part Name]=$A133)*(T_PlannedOrders[WeekIndex]=26)*(T_PlannedOrders[EffectiveQty]&gt;0)*T_PlannedOrders[Order_Month])),"m月")&amp;"発注)")</f>
        <v/>
      </c>
      <c r="AD139">
        <f>IF(SUMIFS(T_PlannedOrders[EffectiveQty],T_PlannedOrders[Part Name],$A133,T_PlannedOrders[WeekIndex],27)=0,"",SUMIFS(T_PlannedOrders[EffectiveQty],T_PlannedOrders[Part Name],$A133,T_PlannedOrders[WeekIndex],27)&amp;" ("&amp;TEXT(SUMPRODUCT(MAX((T_PlannedOrders[Part Name]=$A133)*(T_PlannedOrders[WeekIndex]=27)*(T_PlannedOrders[EffectiveQty]&gt;0)*T_PlannedOrders[Order_Month])),"m月")&amp;"発注)")</f>
        <v/>
      </c>
      <c r="AE139">
        <f>IF(SUMIFS(T_PlannedOrders[EffectiveQty],T_PlannedOrders[Part Name],$A133,T_PlannedOrders[WeekIndex],28)=0,"",SUMIFS(T_PlannedOrders[EffectiveQty],T_PlannedOrders[Part Name],$A133,T_PlannedOrders[WeekIndex],28)&amp;" ("&amp;TEXT(SUMPRODUCT(MAX((T_PlannedOrders[Part Name]=$A133)*(T_PlannedOrders[WeekIndex]=28)*(T_PlannedOrders[EffectiveQty]&gt;0)*T_PlannedOrders[Order_Month])),"m月")&amp;"発注)")</f>
        <v/>
      </c>
      <c r="AF139">
        <f>IF(SUMIFS(T_PlannedOrders[EffectiveQty],T_PlannedOrders[Part Name],$A133,T_PlannedOrders[WeekIndex],29)=0,"",SUMIFS(T_PlannedOrders[EffectiveQty],T_PlannedOrders[Part Name],$A133,T_PlannedOrders[WeekIndex],29)&amp;" ("&amp;TEXT(SUMPRODUCT(MAX((T_PlannedOrders[Part Name]=$A133)*(T_PlannedOrders[WeekIndex]=29)*(T_PlannedOrders[EffectiveQty]&gt;0)*T_PlannedOrders[Order_Month])),"m月")&amp;"発注)")</f>
        <v/>
      </c>
      <c r="AG139">
        <f>IF(SUMIFS(T_PlannedOrders[EffectiveQty],T_PlannedOrders[Part Name],$A133,T_PlannedOrders[WeekIndex],30)=0,"",SUMIFS(T_PlannedOrders[EffectiveQty],T_PlannedOrders[Part Name],$A133,T_PlannedOrders[WeekIndex],30)&amp;" ("&amp;TEXT(SUMPRODUCT(MAX((T_PlannedOrders[Part Name]=$A133)*(T_PlannedOrders[WeekIndex]=30)*(T_PlannedOrders[EffectiveQty]&gt;0)*T_PlannedOrders[Order_Month])),"m月")&amp;"発注)")</f>
        <v/>
      </c>
      <c r="AH139">
        <f>IF(SUMIFS(T_PlannedOrders[EffectiveQty],T_PlannedOrders[Part Name],$A133,T_PlannedOrders[WeekIndex],31)=0,"",SUMIFS(T_PlannedOrders[EffectiveQty],T_PlannedOrders[Part Name],$A133,T_PlannedOrders[WeekIndex],31)&amp;" ("&amp;TEXT(SUMPRODUCT(MAX((T_PlannedOrders[Part Name]=$A133)*(T_PlannedOrders[WeekIndex]=31)*(T_PlannedOrders[EffectiveQty]&gt;0)*T_PlannedOrders[Order_Month])),"m月")&amp;"発注)")</f>
        <v/>
      </c>
      <c r="AI139">
        <f>IF(SUMIFS(T_PlannedOrders[EffectiveQty],T_PlannedOrders[Part Name],$A133,T_PlannedOrders[WeekIndex],32)=0,"",SUMIFS(T_PlannedOrders[EffectiveQty],T_PlannedOrders[Part Name],$A133,T_PlannedOrders[WeekIndex],32)&amp;" ("&amp;TEXT(SUMPRODUCT(MAX((T_PlannedOrders[Part Name]=$A133)*(T_PlannedOrders[WeekIndex]=32)*(T_PlannedOrders[EffectiveQty]&gt;0)*T_PlannedOrders[Order_Month])),"m月")&amp;"発注)")</f>
        <v/>
      </c>
      <c r="AJ139">
        <f>IF(SUMIFS(T_PlannedOrders[EffectiveQty],T_PlannedOrders[Part Name],$A133,T_PlannedOrders[WeekIndex],33)=0,"",SUMIFS(T_PlannedOrders[EffectiveQty],T_PlannedOrders[Part Name],$A133,T_PlannedOrders[WeekIndex],33)&amp;" ("&amp;TEXT(SUMPRODUCT(MAX((T_PlannedOrders[Part Name]=$A133)*(T_PlannedOrders[WeekIndex]=33)*(T_PlannedOrders[EffectiveQty]&gt;0)*T_PlannedOrders[Order_Month])),"m月")&amp;"発注)")</f>
        <v/>
      </c>
      <c r="AK139">
        <f>IF(SUMIFS(T_PlannedOrders[EffectiveQty],T_PlannedOrders[Part Name],$A133,T_PlannedOrders[WeekIndex],34)=0,"",SUMIFS(T_PlannedOrders[EffectiveQty],T_PlannedOrders[Part Name],$A133,T_PlannedOrders[WeekIndex],34)&amp;" ("&amp;TEXT(SUMPRODUCT(MAX((T_PlannedOrders[Part Name]=$A133)*(T_PlannedOrders[WeekIndex]=34)*(T_PlannedOrders[EffectiveQty]&gt;0)*T_PlannedOrders[Order_Month])),"m月")&amp;"発注)")</f>
        <v/>
      </c>
      <c r="AL139">
        <f>IF(SUMIFS(T_PlannedOrders[EffectiveQty],T_PlannedOrders[Part Name],$A133,T_PlannedOrders[WeekIndex],35)=0,"",SUMIFS(T_PlannedOrders[EffectiveQty],T_PlannedOrders[Part Name],$A133,T_PlannedOrders[WeekIndex],35)&amp;" ("&amp;TEXT(SUMPRODUCT(MAX((T_PlannedOrders[Part Name]=$A133)*(T_PlannedOrders[WeekIndex]=35)*(T_PlannedOrders[EffectiveQty]&gt;0)*T_PlannedOrders[Order_Month])),"m月")&amp;"発注)")</f>
        <v/>
      </c>
      <c r="AM139">
        <f>IF(SUMIFS(T_PlannedOrders[EffectiveQty],T_PlannedOrders[Part Name],$A133,T_PlannedOrders[WeekIndex],36)=0,"",SUMIFS(T_PlannedOrders[EffectiveQty],T_PlannedOrders[Part Name],$A133,T_PlannedOrders[WeekIndex],36)&amp;" ("&amp;TEXT(SUMPRODUCT(MAX((T_PlannedOrders[Part Name]=$A133)*(T_PlannedOrders[WeekIndex]=36)*(T_PlannedOrders[EffectiveQty]&gt;0)*T_PlannedOrders[Order_Month])),"m月")&amp;"発注)")</f>
        <v/>
      </c>
      <c r="AN139">
        <f>IF(SUMIFS(T_PlannedOrders[EffectiveQty],T_PlannedOrders[Part Name],$A133,T_PlannedOrders[WeekIndex],37)=0,"",SUMIFS(T_PlannedOrders[EffectiveQty],T_PlannedOrders[Part Name],$A133,T_PlannedOrders[WeekIndex],37)&amp;" ("&amp;TEXT(SUMPRODUCT(MAX((T_PlannedOrders[Part Name]=$A133)*(T_PlannedOrders[WeekIndex]=37)*(T_PlannedOrders[EffectiveQty]&gt;0)*T_PlannedOrders[Order_Month])),"m月")&amp;"発注)")</f>
        <v/>
      </c>
      <c r="AO139">
        <f>IF(SUMIFS(T_PlannedOrders[EffectiveQty],T_PlannedOrders[Part Name],$A133,T_PlannedOrders[WeekIndex],38)=0,"",SUMIFS(T_PlannedOrders[EffectiveQty],T_PlannedOrders[Part Name],$A133,T_PlannedOrders[WeekIndex],38)&amp;" ("&amp;TEXT(SUMPRODUCT(MAX((T_PlannedOrders[Part Name]=$A133)*(T_PlannedOrders[WeekIndex]=38)*(T_PlannedOrders[EffectiveQty]&gt;0)*T_PlannedOrders[Order_Month])),"m月")&amp;"発注)")</f>
        <v/>
      </c>
      <c r="AP139">
        <f>IF(SUMIFS(T_PlannedOrders[EffectiveQty],T_PlannedOrders[Part Name],$A133,T_PlannedOrders[WeekIndex],39)=0,"",SUMIFS(T_PlannedOrders[EffectiveQty],T_PlannedOrders[Part Name],$A133,T_PlannedOrders[WeekIndex],39)&amp;" ("&amp;TEXT(SUMPRODUCT(MAX((T_PlannedOrders[Part Name]=$A133)*(T_PlannedOrders[WeekIndex]=39)*(T_PlannedOrders[EffectiveQty]&gt;0)*T_PlannedOrders[Order_Month])),"m月")&amp;"発注)")</f>
        <v/>
      </c>
      <c r="AQ139">
        <f>IF(SUMIFS(T_PlannedOrders[EffectiveQty],T_PlannedOrders[Part Name],$A133,T_PlannedOrders[WeekIndex],40)=0,"",SUMIFS(T_PlannedOrders[EffectiveQty],T_PlannedOrders[Part Name],$A133,T_PlannedOrders[WeekIndex],40)&amp;" ("&amp;TEXT(SUMPRODUCT(MAX((T_PlannedOrders[Part Name]=$A133)*(T_PlannedOrders[WeekIndex]=40)*(T_PlannedOrders[EffectiveQty]&gt;0)*T_PlannedOrders[Order_Month])),"m月")&amp;"発注)")</f>
        <v/>
      </c>
      <c r="AR139">
        <f>IF(SUMIFS(T_PlannedOrders[EffectiveQty],T_PlannedOrders[Part Name],$A133,T_PlannedOrders[WeekIndex],41)=0,"",SUMIFS(T_PlannedOrders[EffectiveQty],T_PlannedOrders[Part Name],$A133,T_PlannedOrders[WeekIndex],41)&amp;" ("&amp;TEXT(SUMPRODUCT(MAX((T_PlannedOrders[Part Name]=$A133)*(T_PlannedOrders[WeekIndex]=41)*(T_PlannedOrders[EffectiveQty]&gt;0)*T_PlannedOrders[Order_Month])),"m月")&amp;"発注)")</f>
        <v/>
      </c>
      <c r="AS139">
        <f>IF(SUMIFS(T_PlannedOrders[EffectiveQty],T_PlannedOrders[Part Name],$A133,T_PlannedOrders[WeekIndex],42)=0,"",SUMIFS(T_PlannedOrders[EffectiveQty],T_PlannedOrders[Part Name],$A133,T_PlannedOrders[WeekIndex],42)&amp;" ("&amp;TEXT(SUMPRODUCT(MAX((T_PlannedOrders[Part Name]=$A133)*(T_PlannedOrders[WeekIndex]=42)*(T_PlannedOrders[EffectiveQty]&gt;0)*T_PlannedOrders[Order_Month])),"m月")&amp;"発注)")</f>
        <v/>
      </c>
      <c r="AT139">
        <f>IF(SUMIFS(T_PlannedOrders[EffectiveQty],T_PlannedOrders[Part Name],$A133,T_PlannedOrders[WeekIndex],43)=0,"",SUMIFS(T_PlannedOrders[EffectiveQty],T_PlannedOrders[Part Name],$A133,T_PlannedOrders[WeekIndex],43)&amp;" ("&amp;TEXT(SUMPRODUCT(MAX((T_PlannedOrders[Part Name]=$A133)*(T_PlannedOrders[WeekIndex]=43)*(T_PlannedOrders[EffectiveQty]&gt;0)*T_PlannedOrders[Order_Month])),"m月")&amp;"発注)")</f>
        <v/>
      </c>
      <c r="AU139">
        <f>IF(SUMIFS(T_PlannedOrders[EffectiveQty],T_PlannedOrders[Part Name],$A133,T_PlannedOrders[WeekIndex],44)=0,"",SUMIFS(T_PlannedOrders[EffectiveQty],T_PlannedOrders[Part Name],$A133,T_PlannedOrders[WeekIndex],44)&amp;" ("&amp;TEXT(SUMPRODUCT(MAX((T_PlannedOrders[Part Name]=$A133)*(T_PlannedOrders[WeekIndex]=44)*(T_PlannedOrders[EffectiveQty]&gt;0)*T_PlannedOrders[Order_Month])),"m月")&amp;"発注)")</f>
        <v/>
      </c>
      <c r="AV139">
        <f>IF(SUMIFS(T_PlannedOrders[EffectiveQty],T_PlannedOrders[Part Name],$A133,T_PlannedOrders[WeekIndex],45)=0,"",SUMIFS(T_PlannedOrders[EffectiveQty],T_PlannedOrders[Part Name],$A133,T_PlannedOrders[WeekIndex],45)&amp;" ("&amp;TEXT(SUMPRODUCT(MAX((T_PlannedOrders[Part Name]=$A133)*(T_PlannedOrders[WeekIndex]=45)*(T_PlannedOrders[EffectiveQty]&gt;0)*T_PlannedOrders[Order_Month])),"m月")&amp;"発注)")</f>
        <v/>
      </c>
      <c r="AW139">
        <f>IF(SUMIFS(T_PlannedOrders[EffectiveQty],T_PlannedOrders[Part Name],$A133,T_PlannedOrders[WeekIndex],46)=0,"",SUMIFS(T_PlannedOrders[EffectiveQty],T_PlannedOrders[Part Name],$A133,T_PlannedOrders[WeekIndex],46)&amp;" ("&amp;TEXT(SUMPRODUCT(MAX((T_PlannedOrders[Part Name]=$A133)*(T_PlannedOrders[WeekIndex]=46)*(T_PlannedOrders[EffectiveQty]&gt;0)*T_PlannedOrders[Order_Month])),"m月")&amp;"発注)")</f>
        <v/>
      </c>
      <c r="AX139">
        <f>IF(SUMIFS(T_PlannedOrders[EffectiveQty],T_PlannedOrders[Part Name],$A133,T_PlannedOrders[WeekIndex],47)=0,"",SUMIFS(T_PlannedOrders[EffectiveQty],T_PlannedOrders[Part Name],$A133,T_PlannedOrders[WeekIndex],47)&amp;" ("&amp;TEXT(SUMPRODUCT(MAX((T_PlannedOrders[Part Name]=$A133)*(T_PlannedOrders[WeekIndex]=47)*(T_PlannedOrders[EffectiveQty]&gt;0)*T_PlannedOrders[Order_Month])),"m月")&amp;"発注)")</f>
        <v/>
      </c>
      <c r="AY139">
        <f>IF(SUMIFS(T_PlannedOrders[EffectiveQty],T_PlannedOrders[Part Name],$A133,T_PlannedOrders[WeekIndex],48)=0,"",SUMIFS(T_PlannedOrders[EffectiveQty],T_PlannedOrders[Part Name],$A133,T_PlannedOrders[WeekIndex],48)&amp;" ("&amp;TEXT(SUMPRODUCT(MAX((T_PlannedOrders[Part Name]=$A133)*(T_PlannedOrders[WeekIndex]=48)*(T_PlannedOrders[EffectiveQty]&gt;0)*T_PlannedOrders[Order_Month])),"m月")&amp;"発注)")</f>
        <v/>
      </c>
      <c r="AZ139">
        <f>IF(SUMIFS(T_PlannedOrders[EffectiveQty],T_PlannedOrders[Part Name],$A133,T_PlannedOrders[WeekIndex],49)=0,"",SUMIFS(T_PlannedOrders[EffectiveQty],T_PlannedOrders[Part Name],$A133,T_PlannedOrders[WeekIndex],49)&amp;" ("&amp;TEXT(SUMPRODUCT(MAX((T_PlannedOrders[Part Name]=$A133)*(T_PlannedOrders[WeekIndex]=49)*(T_PlannedOrders[EffectiveQty]&gt;0)*T_PlannedOrders[Order_Month])),"m月")&amp;"発注)")</f>
        <v/>
      </c>
      <c r="BA139">
        <f>IF(SUMIFS(T_PlannedOrders[EffectiveQty],T_PlannedOrders[Part Name],$A133,T_PlannedOrders[WeekIndex],50)=0,"",SUMIFS(T_PlannedOrders[EffectiveQty],T_PlannedOrders[Part Name],$A133,T_PlannedOrders[WeekIndex],50)&amp;" ("&amp;TEXT(SUMPRODUCT(MAX((T_PlannedOrders[Part Name]=$A133)*(T_PlannedOrders[WeekIndex]=50)*(T_PlannedOrders[EffectiveQty]&gt;0)*T_PlannedOrders[Order_Month])),"m月")&amp;"発注)")</f>
        <v/>
      </c>
      <c r="BB139">
        <f>IF(SUMIFS(T_PlannedOrders[EffectiveQty],T_PlannedOrders[Part Name],$A133,T_PlannedOrders[WeekIndex],51)=0,"",SUMIFS(T_PlannedOrders[EffectiveQty],T_PlannedOrders[Part Name],$A133,T_PlannedOrders[WeekIndex],51)&amp;" ("&amp;TEXT(SUMPRODUCT(MAX((T_PlannedOrders[Part Name]=$A133)*(T_PlannedOrders[WeekIndex]=51)*(T_PlannedOrders[EffectiveQty]&gt;0)*T_PlannedOrders[Order_Month])),"m月")&amp;"発注)")</f>
        <v/>
      </c>
      <c r="BC139">
        <f>IF(SUMIFS(T_PlannedOrders[EffectiveQty],T_PlannedOrders[Part Name],$A133,T_PlannedOrders[WeekIndex],52)=0,"",SUMIFS(T_PlannedOrders[EffectiveQty],T_PlannedOrders[Part Name],$A133,T_PlannedOrders[WeekIndex],52)&amp;" ("&amp;TEXT(SUMPRODUCT(MAX((T_PlannedOrders[Part Name]=$A133)*(T_PlannedOrders[WeekIndex]=52)*(T_PlannedOrders[EffectiveQty]&gt;0)*T_PlannedOrders[Order_Month])),"m月")&amp;"発注)")</f>
        <v/>
      </c>
      <c r="BD139">
        <f>IF(SUMIFS(T_PlannedOrders[EffectiveQty],T_PlannedOrders[Part Name],$A133,T_PlannedOrders[WeekIndex],53)=0,"",SUMIFS(T_PlannedOrders[EffectiveQty],T_PlannedOrders[Part Name],$A133,T_PlannedOrders[WeekIndex],53)&amp;" ("&amp;TEXT(SUMPRODUCT(MAX((T_PlannedOrders[Part Name]=$A133)*(T_PlannedOrders[WeekIndex]=53)*(T_PlannedOrders[EffectiveQty]&gt;0)*T_PlannedOrders[Order_Month])),"m月")&amp;"発注)")</f>
        <v/>
      </c>
      <c r="BE139">
        <f>IF(SUMIFS(T_PlannedOrders[EffectiveQty],T_PlannedOrders[Part Name],$A133,T_PlannedOrders[WeekIndex],54)=0,"",SUMIFS(T_PlannedOrders[EffectiveQty],T_PlannedOrders[Part Name],$A133,T_PlannedOrders[WeekIndex],54)&amp;" ("&amp;TEXT(SUMPRODUCT(MAX((T_PlannedOrders[Part Name]=$A133)*(T_PlannedOrders[WeekIndex]=54)*(T_PlannedOrders[EffectiveQty]&gt;0)*T_PlannedOrders[Order_Month])),"m月")&amp;"発注)")</f>
        <v/>
      </c>
      <c r="BF139">
        <f>IF(SUMIFS(T_PlannedOrders[EffectiveQty],T_PlannedOrders[Part Name],$A133,T_PlannedOrders[WeekIndex],55)=0,"",SUMIFS(T_PlannedOrders[EffectiveQty],T_PlannedOrders[Part Name],$A133,T_PlannedOrders[WeekIndex],55)&amp;" ("&amp;TEXT(SUMPRODUCT(MAX((T_PlannedOrders[Part Name]=$A133)*(T_PlannedOrders[WeekIndex]=55)*(T_PlannedOrders[EffectiveQty]&gt;0)*T_PlannedOrders[Order_Month])),"m月")&amp;"発注)")</f>
        <v/>
      </c>
      <c r="BG139">
        <f>IF(SUMIFS(T_PlannedOrders[EffectiveQty],T_PlannedOrders[Part Name],$A133,T_PlannedOrders[WeekIndex],56)=0,"",SUMIFS(T_PlannedOrders[EffectiveQty],T_PlannedOrders[Part Name],$A133,T_PlannedOrders[WeekIndex],56)&amp;" ("&amp;TEXT(SUMPRODUCT(MAX((T_PlannedOrders[Part Name]=$A133)*(T_PlannedOrders[WeekIndex]=56)*(T_PlannedOrders[EffectiveQty]&gt;0)*T_PlannedOrders[Order_Month])),"m月")&amp;"発注)")</f>
        <v/>
      </c>
      <c r="BH139">
        <f>IF(SUMIFS(T_PlannedOrders[EffectiveQty],T_PlannedOrders[Part Name],$A133,T_PlannedOrders[WeekIndex],57)=0,"",SUMIFS(T_PlannedOrders[EffectiveQty],T_PlannedOrders[Part Name],$A133,T_PlannedOrders[WeekIndex],57)&amp;" ("&amp;TEXT(SUMPRODUCT(MAX((T_PlannedOrders[Part Name]=$A133)*(T_PlannedOrders[WeekIndex]=57)*(T_PlannedOrders[EffectiveQty]&gt;0)*T_PlannedOrders[Order_Month])),"m月")&amp;"発注)")</f>
        <v/>
      </c>
      <c r="BI139">
        <f>IF(SUMIFS(T_PlannedOrders[EffectiveQty],T_PlannedOrders[Part Name],$A133,T_PlannedOrders[WeekIndex],58)=0,"",SUMIFS(T_PlannedOrders[EffectiveQty],T_PlannedOrders[Part Name],$A133,T_PlannedOrders[WeekIndex],58)&amp;" ("&amp;TEXT(SUMPRODUCT(MAX((T_PlannedOrders[Part Name]=$A133)*(T_PlannedOrders[WeekIndex]=58)*(T_PlannedOrders[EffectiveQty]&gt;0)*T_PlannedOrders[Order_Month])),"m月")&amp;"発注)")</f>
        <v/>
      </c>
      <c r="BJ139">
        <f>IF(SUMIFS(T_PlannedOrders[EffectiveQty],T_PlannedOrders[Part Name],$A133,T_PlannedOrders[WeekIndex],59)=0,"",SUMIFS(T_PlannedOrders[EffectiveQty],T_PlannedOrders[Part Name],$A133,T_PlannedOrders[WeekIndex],59)&amp;" ("&amp;TEXT(SUMPRODUCT(MAX((T_PlannedOrders[Part Name]=$A133)*(T_PlannedOrders[WeekIndex]=59)*(T_PlannedOrders[EffectiveQty]&gt;0)*T_PlannedOrders[Order_Month])),"m月")&amp;"発注)")</f>
        <v/>
      </c>
      <c r="BK139">
        <f>IF(SUMIFS(T_PlannedOrders[EffectiveQty],T_PlannedOrders[Part Name],$A133,T_PlannedOrders[WeekIndex],60)=0,"",SUMIFS(T_PlannedOrders[EffectiveQty],T_PlannedOrders[Part Name],$A133,T_PlannedOrders[WeekIndex],60)&amp;" ("&amp;TEXT(SUMPRODUCT(MAX((T_PlannedOrders[Part Name]=$A133)*(T_PlannedOrders[WeekIndex]=60)*(T_PlannedOrders[EffectiveQty]&gt;0)*T_PlannedOrders[Order_Month])),"m月")&amp;"発注)")</f>
        <v/>
      </c>
      <c r="BL139">
        <f>IF(SUMIFS(T_PlannedOrders[EffectiveQty],T_PlannedOrders[Part Name],$A133,T_PlannedOrders[WeekIndex],61)=0,"",SUMIFS(T_PlannedOrders[EffectiveQty],T_PlannedOrders[Part Name],$A133,T_PlannedOrders[WeekIndex],61)&amp;" ("&amp;TEXT(SUMPRODUCT(MAX((T_PlannedOrders[Part Name]=$A133)*(T_PlannedOrders[WeekIndex]=61)*(T_PlannedOrders[EffectiveQty]&gt;0)*T_PlannedOrders[Order_Month])),"m月")&amp;"発注)")</f>
        <v/>
      </c>
      <c r="BM139">
        <f>IF(SUMIFS(T_PlannedOrders[EffectiveQty],T_PlannedOrders[Part Name],$A133,T_PlannedOrders[WeekIndex],62)=0,"",SUMIFS(T_PlannedOrders[EffectiveQty],T_PlannedOrders[Part Name],$A133,T_PlannedOrders[WeekIndex],62)&amp;" ("&amp;TEXT(SUMPRODUCT(MAX((T_PlannedOrders[Part Name]=$A133)*(T_PlannedOrders[WeekIndex]=62)*(T_PlannedOrders[EffectiveQty]&gt;0)*T_PlannedOrders[Order_Month])),"m月")&amp;"発注)")</f>
        <v/>
      </c>
      <c r="BN139">
        <f>IF(SUMIFS(T_PlannedOrders[EffectiveQty],T_PlannedOrders[Part Name],$A133,T_PlannedOrders[WeekIndex],63)=0,"",SUMIFS(T_PlannedOrders[EffectiveQty],T_PlannedOrders[Part Name],$A133,T_PlannedOrders[WeekIndex],63)&amp;" ("&amp;TEXT(SUMPRODUCT(MAX((T_PlannedOrders[Part Name]=$A133)*(T_PlannedOrders[WeekIndex]=63)*(T_PlannedOrders[EffectiveQty]&gt;0)*T_PlannedOrders[Order_Month])),"m月")&amp;"発注)")</f>
        <v/>
      </c>
      <c r="BO139">
        <f>IF(SUMIFS(T_PlannedOrders[EffectiveQty],T_PlannedOrders[Part Name],$A133,T_PlannedOrders[WeekIndex],64)=0,"",SUMIFS(T_PlannedOrders[EffectiveQty],T_PlannedOrders[Part Name],$A133,T_PlannedOrders[WeekIndex],64)&amp;" ("&amp;TEXT(SUMPRODUCT(MAX((T_PlannedOrders[Part Name]=$A133)*(T_PlannedOrders[WeekIndex]=64)*(T_PlannedOrders[EffectiveQty]&gt;0)*T_PlannedOrders[Order_Month])),"m月")&amp;"発注)")</f>
        <v/>
      </c>
      <c r="BP139">
        <f>IF(SUMIFS(T_PlannedOrders[EffectiveQty],T_PlannedOrders[Part Name],$A133,T_PlannedOrders[WeekIndex],65)=0,"",SUMIFS(T_PlannedOrders[EffectiveQty],T_PlannedOrders[Part Name],$A133,T_PlannedOrders[WeekIndex],65)&amp;" ("&amp;TEXT(SUMPRODUCT(MAX((T_PlannedOrders[Part Name]=$A133)*(T_PlannedOrders[WeekIndex]=65)*(T_PlannedOrders[EffectiveQty]&gt;0)*T_PlannedOrders[Order_Month])),"m月")&amp;"発注)")</f>
        <v/>
      </c>
      <c r="BQ139">
        <f>IF(SUMIFS(T_PlannedOrders[EffectiveQty],T_PlannedOrders[Part Name],$A133,T_PlannedOrders[WeekIndex],66)=0,"",SUMIFS(T_PlannedOrders[EffectiveQty],T_PlannedOrders[Part Name],$A133,T_PlannedOrders[WeekIndex],66)&amp;" ("&amp;TEXT(SUMPRODUCT(MAX((T_PlannedOrders[Part Name]=$A133)*(T_PlannedOrders[WeekIndex]=66)*(T_PlannedOrders[EffectiveQty]&gt;0)*T_PlannedOrders[Order_Month])),"m月")&amp;"発注)")</f>
        <v/>
      </c>
      <c r="BR139">
        <f>IF(SUMIFS(T_PlannedOrders[EffectiveQty],T_PlannedOrders[Part Name],$A133,T_PlannedOrders[WeekIndex],67)=0,"",SUMIFS(T_PlannedOrders[EffectiveQty],T_PlannedOrders[Part Name],$A133,T_PlannedOrders[WeekIndex],67)&amp;" ("&amp;TEXT(SUMPRODUCT(MAX((T_PlannedOrders[Part Name]=$A133)*(T_PlannedOrders[WeekIndex]=67)*(T_PlannedOrders[EffectiveQty]&gt;0)*T_PlannedOrders[Order_Month])),"m月")&amp;"発注)")</f>
        <v/>
      </c>
      <c r="BS139">
        <f>IF(SUMIFS(T_PlannedOrders[EffectiveQty],T_PlannedOrders[Part Name],$A133,T_PlannedOrders[WeekIndex],68)=0,"",SUMIFS(T_PlannedOrders[EffectiveQty],T_PlannedOrders[Part Name],$A133,T_PlannedOrders[WeekIndex],68)&amp;" ("&amp;TEXT(SUMPRODUCT(MAX((T_PlannedOrders[Part Name]=$A133)*(T_PlannedOrders[WeekIndex]=68)*(T_PlannedOrders[EffectiveQty]&gt;0)*T_PlannedOrders[Order_Month])),"m月")&amp;"発注)")</f>
        <v/>
      </c>
      <c r="BT139">
        <f>IF(SUMIFS(T_PlannedOrders[EffectiveQty],T_PlannedOrders[Part Name],$A133,T_PlannedOrders[WeekIndex],69)=0,"",SUMIFS(T_PlannedOrders[EffectiveQty],T_PlannedOrders[Part Name],$A133,T_PlannedOrders[WeekIndex],69)&amp;" ("&amp;TEXT(SUMPRODUCT(MAX((T_PlannedOrders[Part Name]=$A133)*(T_PlannedOrders[WeekIndex]=69)*(T_PlannedOrders[EffectiveQty]&gt;0)*T_PlannedOrders[Order_Month])),"m月")&amp;"発注)")</f>
        <v/>
      </c>
      <c r="BU139">
        <f>IF(SUMIFS(T_PlannedOrders[EffectiveQty],T_PlannedOrders[Part Name],$A133,T_PlannedOrders[WeekIndex],70)=0,"",SUMIFS(T_PlannedOrders[EffectiveQty],T_PlannedOrders[Part Name],$A133,T_PlannedOrders[WeekIndex],70)&amp;" ("&amp;TEXT(SUMPRODUCT(MAX((T_PlannedOrders[Part Name]=$A133)*(T_PlannedOrders[WeekIndex]=70)*(T_PlannedOrders[EffectiveQty]&gt;0)*T_PlannedOrders[Order_Month])),"m月")&amp;"発注)")</f>
        <v/>
      </c>
      <c r="BV139">
        <f>IF(SUMIFS(T_PlannedOrders[EffectiveQty],T_PlannedOrders[Part Name],$A133,T_PlannedOrders[WeekIndex],71)=0,"",SUMIFS(T_PlannedOrders[EffectiveQty],T_PlannedOrders[Part Name],$A133,T_PlannedOrders[WeekIndex],71)&amp;" ("&amp;TEXT(SUMPRODUCT(MAX((T_PlannedOrders[Part Name]=$A133)*(T_PlannedOrders[WeekIndex]=71)*(T_PlannedOrders[EffectiveQty]&gt;0)*T_PlannedOrders[Order_Month])),"m月")&amp;"発注)")</f>
        <v/>
      </c>
      <c r="BW139">
        <f>IF(SUMIFS(T_PlannedOrders[EffectiveQty],T_PlannedOrders[Part Name],$A133,T_PlannedOrders[WeekIndex],72)=0,"",SUMIFS(T_PlannedOrders[EffectiveQty],T_PlannedOrders[Part Name],$A133,T_PlannedOrders[WeekIndex],72)&amp;" ("&amp;TEXT(SUMPRODUCT(MAX((T_PlannedOrders[Part Name]=$A133)*(T_PlannedOrders[WeekIndex]=72)*(T_PlannedOrders[EffectiveQty]&gt;0)*T_PlannedOrders[Order_Month])),"m月")&amp;"発注)")</f>
        <v/>
      </c>
      <c r="BX139">
        <f>IF(SUMIFS(T_PlannedOrders[EffectiveQty],T_PlannedOrders[Part Name],$A133,T_PlannedOrders[WeekIndex],73)=0,"",SUMIFS(T_PlannedOrders[EffectiveQty],T_PlannedOrders[Part Name],$A133,T_PlannedOrders[WeekIndex],73)&amp;" ("&amp;TEXT(SUMPRODUCT(MAX((T_PlannedOrders[Part Name]=$A133)*(T_PlannedOrders[WeekIndex]=73)*(T_PlannedOrders[EffectiveQty]&gt;0)*T_PlannedOrders[Order_Month])),"m月")&amp;"発注)")</f>
        <v/>
      </c>
      <c r="BY139">
        <f>IF(SUMIFS(T_PlannedOrders[EffectiveQty],T_PlannedOrders[Part Name],$A133,T_PlannedOrders[WeekIndex],74)=0,"",SUMIFS(T_PlannedOrders[EffectiveQty],T_PlannedOrders[Part Name],$A133,T_PlannedOrders[WeekIndex],74)&amp;" ("&amp;TEXT(SUMPRODUCT(MAX((T_PlannedOrders[Part Name]=$A133)*(T_PlannedOrders[WeekIndex]=74)*(T_PlannedOrders[EffectiveQty]&gt;0)*T_PlannedOrders[Order_Month])),"m月")&amp;"発注)")</f>
        <v/>
      </c>
      <c r="BZ139">
        <f>IF(SUMIFS(T_PlannedOrders[EffectiveQty],T_PlannedOrders[Part Name],$A133,T_PlannedOrders[WeekIndex],75)=0,"",SUMIFS(T_PlannedOrders[EffectiveQty],T_PlannedOrders[Part Name],$A133,T_PlannedOrders[WeekIndex],75)&amp;" ("&amp;TEXT(SUMPRODUCT(MAX((T_PlannedOrders[Part Name]=$A133)*(T_PlannedOrders[WeekIndex]=75)*(T_PlannedOrders[EffectiveQty]&gt;0)*T_PlannedOrders[Order_Month])),"m月")&amp;"発注)")</f>
        <v/>
      </c>
      <c r="CA139">
        <f>IF(SUMIFS(T_PlannedOrders[EffectiveQty],T_PlannedOrders[Part Name],$A133,T_PlannedOrders[WeekIndex],76)=0,"",SUMIFS(T_PlannedOrders[EffectiveQty],T_PlannedOrders[Part Name],$A133,T_PlannedOrders[WeekIndex],76)&amp;" ("&amp;TEXT(SUMPRODUCT(MAX((T_PlannedOrders[Part Name]=$A133)*(T_PlannedOrders[WeekIndex]=76)*(T_PlannedOrders[EffectiveQty]&gt;0)*T_PlannedOrders[Order_Month])),"m月")&amp;"発注)")</f>
        <v/>
      </c>
      <c r="CB139">
        <f>IF(SUMIFS(T_PlannedOrders[EffectiveQty],T_PlannedOrders[Part Name],$A133,T_PlannedOrders[WeekIndex],77)=0,"",SUMIFS(T_PlannedOrders[EffectiveQty],T_PlannedOrders[Part Name],$A133,T_PlannedOrders[WeekIndex],77)&amp;" ("&amp;TEXT(SUMPRODUCT(MAX((T_PlannedOrders[Part Name]=$A133)*(T_PlannedOrders[WeekIndex]=77)*(T_PlannedOrders[EffectiveQty]&gt;0)*T_PlannedOrders[Order_Month])),"m月")&amp;"発注)")</f>
        <v/>
      </c>
      <c r="CC139">
        <f>IF(SUMIFS(T_PlannedOrders[EffectiveQty],T_PlannedOrders[Part Name],$A133,T_PlannedOrders[WeekIndex],78)=0,"",SUMIFS(T_PlannedOrders[EffectiveQty],T_PlannedOrders[Part Name],$A133,T_PlannedOrders[WeekIndex],78)&amp;" ("&amp;TEXT(SUMPRODUCT(MAX((T_PlannedOrders[Part Name]=$A133)*(T_PlannedOrders[WeekIndex]=78)*(T_PlannedOrders[EffectiveQty]&gt;0)*T_PlannedOrders[Order_Month])),"m月")&amp;"発注)")</f>
        <v/>
      </c>
      <c r="CD139">
        <f>IF(SUMIFS(T_PlannedOrders[EffectiveQty],T_PlannedOrders[Part Name],$A133,T_PlannedOrders[WeekIndex],79)=0,"",SUMIFS(T_PlannedOrders[EffectiveQty],T_PlannedOrders[Part Name],$A133,T_PlannedOrders[WeekIndex],79)&amp;" ("&amp;TEXT(SUMPRODUCT(MAX((T_PlannedOrders[Part Name]=$A133)*(T_PlannedOrders[WeekIndex]=79)*(T_PlannedOrders[EffectiveQty]&gt;0)*T_PlannedOrders[Order_Month])),"m月")&amp;"発注)")</f>
        <v/>
      </c>
      <c r="CE139">
        <f>IF(SUMIFS(T_PlannedOrders[EffectiveQty],T_PlannedOrders[Part Name],$A133,T_PlannedOrders[WeekIndex],80)=0,"",SUMIFS(T_PlannedOrders[EffectiveQty],T_PlannedOrders[Part Name],$A133,T_PlannedOrders[WeekIndex],80)&amp;" ("&amp;TEXT(SUMPRODUCT(MAX((T_PlannedOrders[Part Name]=$A133)*(T_PlannedOrders[WeekIndex]=80)*(T_PlannedOrders[EffectiveQty]&gt;0)*T_PlannedOrders[Order_Month])),"m月")&amp;"発注)")</f>
        <v/>
      </c>
      <c r="CF139">
        <f>IF(SUMIFS(T_PlannedOrders[EffectiveQty],T_PlannedOrders[Part Name],$A133,T_PlannedOrders[WeekIndex],81)=0,"",SUMIFS(T_PlannedOrders[EffectiveQty],T_PlannedOrders[Part Name],$A133,T_PlannedOrders[WeekIndex],81)&amp;" ("&amp;TEXT(SUMPRODUCT(MAX((T_PlannedOrders[Part Name]=$A133)*(T_PlannedOrders[WeekIndex]=81)*(T_PlannedOrders[EffectiveQty]&gt;0)*T_PlannedOrders[Order_Month])),"m月")&amp;"発注)")</f>
        <v/>
      </c>
      <c r="CG139">
        <f>IF(SUMIFS(T_PlannedOrders[EffectiveQty],T_PlannedOrders[Part Name],$A133,T_PlannedOrders[WeekIndex],82)=0,"",SUMIFS(T_PlannedOrders[EffectiveQty],T_PlannedOrders[Part Name],$A133,T_PlannedOrders[WeekIndex],82)&amp;" ("&amp;TEXT(SUMPRODUCT(MAX((T_PlannedOrders[Part Name]=$A133)*(T_PlannedOrders[WeekIndex]=82)*(T_PlannedOrders[EffectiveQty]&gt;0)*T_PlannedOrders[Order_Month])),"m月")&amp;"発注)")</f>
        <v/>
      </c>
      <c r="CH139">
        <f>IF(SUMIFS(T_PlannedOrders[EffectiveQty],T_PlannedOrders[Part Name],$A133,T_PlannedOrders[WeekIndex],83)=0,"",SUMIFS(T_PlannedOrders[EffectiveQty],T_PlannedOrders[Part Name],$A133,T_PlannedOrders[WeekIndex],83)&amp;" ("&amp;TEXT(SUMPRODUCT(MAX((T_PlannedOrders[Part Name]=$A133)*(T_PlannedOrders[WeekIndex]=83)*(T_PlannedOrders[EffectiveQty]&gt;0)*T_PlannedOrders[Order_Month])),"m月")&amp;"発注)")</f>
        <v/>
      </c>
      <c r="CI139">
        <f>IF(SUMIFS(T_PlannedOrders[EffectiveQty],T_PlannedOrders[Part Name],$A133,T_PlannedOrders[WeekIndex],84)=0,"",SUMIFS(T_PlannedOrders[EffectiveQty],T_PlannedOrders[Part Name],$A133,T_PlannedOrders[WeekIndex],84)&amp;" ("&amp;TEXT(SUMPRODUCT(MAX((T_PlannedOrders[Part Name]=$A133)*(T_PlannedOrders[WeekIndex]=84)*(T_PlannedOrders[EffectiveQty]&gt;0)*T_PlannedOrders[Order_Month])),"m月")&amp;"発注)")</f>
        <v/>
      </c>
      <c r="CJ139">
        <f>IF(SUMIFS(T_PlannedOrders[EffectiveQty],T_PlannedOrders[Part Name],$A133,T_PlannedOrders[WeekIndex],85)=0,"",SUMIFS(T_PlannedOrders[EffectiveQty],T_PlannedOrders[Part Name],$A133,T_PlannedOrders[WeekIndex],85)&amp;" ("&amp;TEXT(SUMPRODUCT(MAX((T_PlannedOrders[Part Name]=$A133)*(T_PlannedOrders[WeekIndex]=85)*(T_PlannedOrders[EffectiveQty]&gt;0)*T_PlannedOrders[Order_Month])),"m月")&amp;"発注)")</f>
        <v/>
      </c>
      <c r="CK139">
        <f>IF(SUMIFS(T_PlannedOrders[EffectiveQty],T_PlannedOrders[Part Name],$A133,T_PlannedOrders[WeekIndex],86)=0,"",SUMIFS(T_PlannedOrders[EffectiveQty],T_PlannedOrders[Part Name],$A133,T_PlannedOrders[WeekIndex],86)&amp;" ("&amp;TEXT(SUMPRODUCT(MAX((T_PlannedOrders[Part Name]=$A133)*(T_PlannedOrders[WeekIndex]=86)*(T_PlannedOrders[EffectiveQty]&gt;0)*T_PlannedOrders[Order_Month])),"m月")&amp;"発注)")</f>
        <v/>
      </c>
      <c r="CL139">
        <f>IF(SUMIFS(T_PlannedOrders[EffectiveQty],T_PlannedOrders[Part Name],$A133,T_PlannedOrders[WeekIndex],87)=0,"",SUMIFS(T_PlannedOrders[EffectiveQty],T_PlannedOrders[Part Name],$A133,T_PlannedOrders[WeekIndex],87)&amp;" ("&amp;TEXT(SUMPRODUCT(MAX((T_PlannedOrders[Part Name]=$A133)*(T_PlannedOrders[WeekIndex]=87)*(T_PlannedOrders[EffectiveQty]&gt;0)*T_PlannedOrders[Order_Month])),"m月")&amp;"発注)")</f>
        <v/>
      </c>
      <c r="CM139">
        <f>IF(SUMIFS(T_PlannedOrders[EffectiveQty],T_PlannedOrders[Part Name],$A133,T_PlannedOrders[WeekIndex],88)=0,"",SUMIFS(T_PlannedOrders[EffectiveQty],T_PlannedOrders[Part Name],$A133,T_PlannedOrders[WeekIndex],88)&amp;" ("&amp;TEXT(SUMPRODUCT(MAX((T_PlannedOrders[Part Name]=$A133)*(T_PlannedOrders[WeekIndex]=88)*(T_PlannedOrders[EffectiveQty]&gt;0)*T_PlannedOrders[Order_Month])),"m月")&amp;"発注)")</f>
        <v/>
      </c>
      <c r="CN139">
        <f>IF(SUMIFS(T_PlannedOrders[EffectiveQty],T_PlannedOrders[Part Name],$A133,T_PlannedOrders[WeekIndex],89)=0,"",SUMIFS(T_PlannedOrders[EffectiveQty],T_PlannedOrders[Part Name],$A133,T_PlannedOrders[WeekIndex],89)&amp;" ("&amp;TEXT(SUMPRODUCT(MAX((T_PlannedOrders[Part Name]=$A133)*(T_PlannedOrders[WeekIndex]=89)*(T_PlannedOrders[EffectiveQty]&gt;0)*T_PlannedOrders[Order_Month])),"m月")&amp;"発注)")</f>
        <v/>
      </c>
      <c r="CO139">
        <f>IF(SUMIFS(T_PlannedOrders[EffectiveQty],T_PlannedOrders[Part Name],$A133,T_PlannedOrders[WeekIndex],90)=0,"",SUMIFS(T_PlannedOrders[EffectiveQty],T_PlannedOrders[Part Name],$A133,T_PlannedOrders[WeekIndex],90)&amp;" ("&amp;TEXT(SUMPRODUCT(MAX((T_PlannedOrders[Part Name]=$A133)*(T_PlannedOrders[WeekIndex]=90)*(T_PlannedOrders[EffectiveQty]&gt;0)*T_PlannedOrders[Order_Month])),"m月")&amp;"発注)")</f>
        <v/>
      </c>
      <c r="CP139">
        <f>IF(SUMIFS(T_PlannedOrders[EffectiveQty],T_PlannedOrders[Part Name],$A133,T_PlannedOrders[WeekIndex],91)=0,"",SUMIFS(T_PlannedOrders[EffectiveQty],T_PlannedOrders[Part Name],$A133,T_PlannedOrders[WeekIndex],91)&amp;" ("&amp;TEXT(SUMPRODUCT(MAX((T_PlannedOrders[Part Name]=$A133)*(T_PlannedOrders[WeekIndex]=91)*(T_PlannedOrders[EffectiveQty]&gt;0)*T_PlannedOrders[Order_Month])),"m月")&amp;"発注)")</f>
        <v/>
      </c>
      <c r="CQ139">
        <f>IF(SUMIFS(T_PlannedOrders[EffectiveQty],T_PlannedOrders[Part Name],$A133,T_PlannedOrders[WeekIndex],92)=0,"",SUMIFS(T_PlannedOrders[EffectiveQty],T_PlannedOrders[Part Name],$A133,T_PlannedOrders[WeekIndex],92)&amp;" ("&amp;TEXT(SUMPRODUCT(MAX((T_PlannedOrders[Part Name]=$A133)*(T_PlannedOrders[WeekIndex]=92)*(T_PlannedOrders[EffectiveQty]&gt;0)*T_PlannedOrders[Order_Month])),"m月")&amp;"発注)")</f>
        <v/>
      </c>
      <c r="CR139">
        <f>IF(SUMIFS(T_PlannedOrders[EffectiveQty],T_PlannedOrders[Part Name],$A133,T_PlannedOrders[WeekIndex],93)=0,"",SUMIFS(T_PlannedOrders[EffectiveQty],T_PlannedOrders[Part Name],$A133,T_PlannedOrders[WeekIndex],93)&amp;" ("&amp;TEXT(SUMPRODUCT(MAX((T_PlannedOrders[Part Name]=$A133)*(T_PlannedOrders[WeekIndex]=93)*(T_PlannedOrders[EffectiveQty]&gt;0)*T_PlannedOrders[Order_Month])),"m月")&amp;"発注)")</f>
        <v/>
      </c>
      <c r="CS139">
        <f>IF(SUMIFS(T_PlannedOrders[EffectiveQty],T_PlannedOrders[Part Name],$A133,T_PlannedOrders[WeekIndex],94)=0,"",SUMIFS(T_PlannedOrders[EffectiveQty],T_PlannedOrders[Part Name],$A133,T_PlannedOrders[WeekIndex],94)&amp;" ("&amp;TEXT(SUMPRODUCT(MAX((T_PlannedOrders[Part Name]=$A133)*(T_PlannedOrders[WeekIndex]=94)*(T_PlannedOrders[EffectiveQty]&gt;0)*T_PlannedOrders[Order_Month])),"m月")&amp;"発注)")</f>
        <v/>
      </c>
      <c r="CT139">
        <f>IF(SUMIFS(T_PlannedOrders[EffectiveQty],T_PlannedOrders[Part Name],$A133,T_PlannedOrders[WeekIndex],95)=0,"",SUMIFS(T_PlannedOrders[EffectiveQty],T_PlannedOrders[Part Name],$A133,T_PlannedOrders[WeekIndex],95)&amp;" ("&amp;TEXT(SUMPRODUCT(MAX((T_PlannedOrders[Part Name]=$A133)*(T_PlannedOrders[WeekIndex]=95)*(T_PlannedOrders[EffectiveQty]&gt;0)*T_PlannedOrders[Order_Month])),"m月")&amp;"発注)")</f>
        <v/>
      </c>
      <c r="CU139">
        <f>IF(SUMIFS(T_PlannedOrders[EffectiveQty],T_PlannedOrders[Part Name],$A133,T_PlannedOrders[WeekIndex],96)=0,"",SUMIFS(T_PlannedOrders[EffectiveQty],T_PlannedOrders[Part Name],$A133,T_PlannedOrders[WeekIndex],96)&amp;" ("&amp;TEXT(SUMPRODUCT(MAX((T_PlannedOrders[Part Name]=$A133)*(T_PlannedOrders[WeekIndex]=96)*(T_PlannedOrders[EffectiveQty]&gt;0)*T_PlannedOrders[Order_Month])),"m月")&amp;"発注)")</f>
        <v/>
      </c>
      <c r="CV139">
        <f>IF(SUMIFS(T_PlannedOrders[EffectiveQty],T_PlannedOrders[Part Name],$A133,T_PlannedOrders[WeekIndex],97)=0,"",SUMIFS(T_PlannedOrders[EffectiveQty],T_PlannedOrders[Part Name],$A133,T_PlannedOrders[WeekIndex],97)&amp;" ("&amp;TEXT(SUMPRODUCT(MAX((T_PlannedOrders[Part Name]=$A133)*(T_PlannedOrders[WeekIndex]=97)*(T_PlannedOrders[EffectiveQty]&gt;0)*T_PlannedOrders[Order_Month])),"m月")&amp;"発注)")</f>
        <v/>
      </c>
      <c r="CW139">
        <f>IF(SUMIFS(T_PlannedOrders[EffectiveQty],T_PlannedOrders[Part Name],$A133,T_PlannedOrders[WeekIndex],98)=0,"",SUMIFS(T_PlannedOrders[EffectiveQty],T_PlannedOrders[Part Name],$A133,T_PlannedOrders[WeekIndex],98)&amp;" ("&amp;TEXT(SUMPRODUCT(MAX((T_PlannedOrders[Part Name]=$A133)*(T_PlannedOrders[WeekIndex]=98)*(T_PlannedOrders[EffectiveQty]&gt;0)*T_PlannedOrders[Order_Month])),"m月")&amp;"発注)")</f>
        <v/>
      </c>
      <c r="CX139">
        <f>IF(SUMIFS(T_PlannedOrders[EffectiveQty],T_PlannedOrders[Part Name],$A133,T_PlannedOrders[WeekIndex],99)=0,"",SUMIFS(T_PlannedOrders[EffectiveQty],T_PlannedOrders[Part Name],$A133,T_PlannedOrders[WeekIndex],99)&amp;" ("&amp;TEXT(SUMPRODUCT(MAX((T_PlannedOrders[Part Name]=$A133)*(T_PlannedOrders[WeekIndex]=99)*(T_PlannedOrders[EffectiveQty]&gt;0)*T_PlannedOrders[Order_Month])),"m月")&amp;"発注)")</f>
        <v/>
      </c>
      <c r="CY139">
        <f>IF(SUMIFS(T_PlannedOrders[EffectiveQty],T_PlannedOrders[Part Name],$A133,T_PlannedOrders[WeekIndex],100)=0,"",SUMIFS(T_PlannedOrders[EffectiveQty],T_PlannedOrders[Part Name],$A133,T_PlannedOrders[WeekIndex],100)&amp;" ("&amp;TEXT(SUMPRODUCT(MAX((T_PlannedOrders[Part Name]=$A133)*(T_PlannedOrders[WeekIndex]=100)*(T_PlannedOrders[EffectiveQty]&gt;0)*T_PlannedOrders[Order_Month])),"m月")&amp;"発注)")</f>
        <v/>
      </c>
      <c r="CZ139">
        <f>IF(SUMIFS(T_PlannedOrders[EffectiveQty],T_PlannedOrders[Part Name],$A133,T_PlannedOrders[WeekIndex],101)=0,"",SUMIFS(T_PlannedOrders[EffectiveQty],T_PlannedOrders[Part Name],$A133,T_PlannedOrders[WeekIndex],101)&amp;" ("&amp;TEXT(SUMPRODUCT(MAX((T_PlannedOrders[Part Name]=$A133)*(T_PlannedOrders[WeekIndex]=101)*(T_PlannedOrders[EffectiveQty]&gt;0)*T_PlannedOrders[Order_Month])),"m月")&amp;"発注)")</f>
        <v/>
      </c>
      <c r="DA139">
        <f>IF(SUMIFS(T_PlannedOrders[EffectiveQty],T_PlannedOrders[Part Name],$A133,T_PlannedOrders[WeekIndex],102)=0,"",SUMIFS(T_PlannedOrders[EffectiveQty],T_PlannedOrders[Part Name],$A133,T_PlannedOrders[WeekIndex],102)&amp;" ("&amp;TEXT(SUMPRODUCT(MAX((T_PlannedOrders[Part Name]=$A133)*(T_PlannedOrders[WeekIndex]=102)*(T_PlannedOrders[EffectiveQty]&gt;0)*T_PlannedOrders[Order_Month])),"m月")&amp;"発注)")</f>
        <v/>
      </c>
      <c r="DB139">
        <f>IF(SUMIFS(T_PlannedOrders[EffectiveQty],T_PlannedOrders[Part Name],$A133,T_PlannedOrders[WeekIndex],103)=0,"",SUMIFS(T_PlannedOrders[EffectiveQty],T_PlannedOrders[Part Name],$A133,T_PlannedOrders[WeekIndex],103)&amp;" ("&amp;TEXT(SUMPRODUCT(MAX((T_PlannedOrders[Part Name]=$A133)*(T_PlannedOrders[WeekIndex]=103)*(T_PlannedOrders[EffectiveQty]&gt;0)*T_PlannedOrders[Order_Month])),"m月")&amp;"発注)")</f>
        <v/>
      </c>
      <c r="DC139">
        <f>IF(SUMIFS(T_PlannedOrders[EffectiveQty],T_PlannedOrders[Part Name],$A133,T_PlannedOrders[WeekIndex],104)=0,"",SUMIFS(T_PlannedOrders[EffectiveQty],T_PlannedOrders[Part Name],$A133,T_PlannedOrders[WeekIndex],104)&amp;" ("&amp;TEXT(SUMPRODUCT(MAX((T_PlannedOrders[Part Name]=$A133)*(T_PlannedOrders[WeekIndex]=104)*(T_PlannedOrders[EffectiveQty]&gt;0)*T_PlannedOrders[Order_Month])),"m月")&amp;"発注)")</f>
        <v/>
      </c>
    </row>
    <row r="140">
      <c r="B140" s="5" t="inlineStr">
        <is>
          <t>合計在庫(週末時点,kg)</t>
        </is>
      </c>
      <c r="D140">
        <f>'Grid_Stock'!B7</f>
        <v/>
      </c>
      <c r="E140">
        <f>'Grid_Stock'!C7</f>
        <v/>
      </c>
      <c r="F140">
        <f>'Grid_Stock'!D7</f>
        <v/>
      </c>
      <c r="G140">
        <f>'Grid_Stock'!E7</f>
        <v/>
      </c>
      <c r="H140">
        <f>'Grid_Stock'!F7</f>
        <v/>
      </c>
      <c r="I140">
        <f>'Grid_Stock'!G7</f>
        <v/>
      </c>
      <c r="J140">
        <f>'Grid_Stock'!H7</f>
        <v/>
      </c>
      <c r="K140">
        <f>'Grid_Stock'!I7</f>
        <v/>
      </c>
      <c r="L140">
        <f>'Grid_Stock'!J7</f>
        <v/>
      </c>
      <c r="M140">
        <f>'Grid_Stock'!K7</f>
        <v/>
      </c>
      <c r="N140">
        <f>'Grid_Stock'!L7</f>
        <v/>
      </c>
      <c r="O140">
        <f>'Grid_Stock'!M7</f>
        <v/>
      </c>
      <c r="P140">
        <f>'Grid_Stock'!N7</f>
        <v/>
      </c>
      <c r="Q140">
        <f>'Grid_Stock'!O7</f>
        <v/>
      </c>
      <c r="R140">
        <f>'Grid_Stock'!P7</f>
        <v/>
      </c>
      <c r="S140">
        <f>'Grid_Stock'!Q7</f>
        <v/>
      </c>
      <c r="T140">
        <f>'Grid_Stock'!R7</f>
        <v/>
      </c>
      <c r="U140">
        <f>'Grid_Stock'!S7</f>
        <v/>
      </c>
      <c r="V140">
        <f>'Grid_Stock'!T7</f>
        <v/>
      </c>
      <c r="W140">
        <f>'Grid_Stock'!U7</f>
        <v/>
      </c>
      <c r="X140">
        <f>'Grid_Stock'!V7</f>
        <v/>
      </c>
      <c r="Y140">
        <f>'Grid_Stock'!W7</f>
        <v/>
      </c>
      <c r="Z140">
        <f>'Grid_Stock'!X7</f>
        <v/>
      </c>
      <c r="AA140">
        <f>'Grid_Stock'!Y7</f>
        <v/>
      </c>
      <c r="AB140">
        <f>'Grid_Stock'!Z7</f>
        <v/>
      </c>
      <c r="AC140">
        <f>'Grid_Stock'!AA7</f>
        <v/>
      </c>
      <c r="AD140">
        <f>'Grid_Stock'!AB7</f>
        <v/>
      </c>
      <c r="AE140">
        <f>'Grid_Stock'!AC7</f>
        <v/>
      </c>
      <c r="AF140">
        <f>'Grid_Stock'!AD7</f>
        <v/>
      </c>
      <c r="AG140">
        <f>'Grid_Stock'!AE7</f>
        <v/>
      </c>
      <c r="AH140">
        <f>'Grid_Stock'!AF7</f>
        <v/>
      </c>
      <c r="AI140">
        <f>'Grid_Stock'!AG7</f>
        <v/>
      </c>
      <c r="AJ140">
        <f>'Grid_Stock'!AH7</f>
        <v/>
      </c>
      <c r="AK140">
        <f>'Grid_Stock'!AI7</f>
        <v/>
      </c>
      <c r="AL140">
        <f>'Grid_Stock'!AJ7</f>
        <v/>
      </c>
      <c r="AM140">
        <f>'Grid_Stock'!AK7</f>
        <v/>
      </c>
      <c r="AN140">
        <f>'Grid_Stock'!AL7</f>
        <v/>
      </c>
      <c r="AO140">
        <f>'Grid_Stock'!AM7</f>
        <v/>
      </c>
      <c r="AP140">
        <f>'Grid_Stock'!AN7</f>
        <v/>
      </c>
      <c r="AQ140">
        <f>'Grid_Stock'!AO7</f>
        <v/>
      </c>
      <c r="AR140">
        <f>'Grid_Stock'!AP7</f>
        <v/>
      </c>
      <c r="AS140">
        <f>'Grid_Stock'!AQ7</f>
        <v/>
      </c>
      <c r="AT140">
        <f>'Grid_Stock'!AR7</f>
        <v/>
      </c>
      <c r="AU140">
        <f>'Grid_Stock'!AS7</f>
        <v/>
      </c>
      <c r="AV140">
        <f>'Grid_Stock'!AT7</f>
        <v/>
      </c>
      <c r="AW140">
        <f>'Grid_Stock'!AU7</f>
        <v/>
      </c>
      <c r="AX140">
        <f>'Grid_Stock'!AV7</f>
        <v/>
      </c>
      <c r="AY140">
        <f>'Grid_Stock'!AW7</f>
        <v/>
      </c>
      <c r="AZ140">
        <f>'Grid_Stock'!AX7</f>
        <v/>
      </c>
      <c r="BA140">
        <f>'Grid_Stock'!AY7</f>
        <v/>
      </c>
      <c r="BB140">
        <f>'Grid_Stock'!AZ7</f>
        <v/>
      </c>
      <c r="BC140">
        <f>'Grid_Stock'!BA7</f>
        <v/>
      </c>
      <c r="BD140">
        <f>'Grid_Stock'!BB7</f>
        <v/>
      </c>
      <c r="BE140">
        <f>'Grid_Stock'!BC7</f>
        <v/>
      </c>
      <c r="BF140">
        <f>'Grid_Stock'!BD7</f>
        <v/>
      </c>
      <c r="BG140">
        <f>'Grid_Stock'!BE7</f>
        <v/>
      </c>
      <c r="BH140">
        <f>'Grid_Stock'!BF7</f>
        <v/>
      </c>
      <c r="BI140">
        <f>'Grid_Stock'!BG7</f>
        <v/>
      </c>
      <c r="BJ140">
        <f>'Grid_Stock'!BH7</f>
        <v/>
      </c>
      <c r="BK140">
        <f>'Grid_Stock'!BI7</f>
        <v/>
      </c>
      <c r="BL140">
        <f>'Grid_Stock'!BJ7</f>
        <v/>
      </c>
      <c r="BM140">
        <f>'Grid_Stock'!BK7</f>
        <v/>
      </c>
      <c r="BN140">
        <f>'Grid_Stock'!BL7</f>
        <v/>
      </c>
      <c r="BO140">
        <f>'Grid_Stock'!BM7</f>
        <v/>
      </c>
      <c r="BP140">
        <f>'Grid_Stock'!BN7</f>
        <v/>
      </c>
      <c r="BQ140">
        <f>'Grid_Stock'!BO7</f>
        <v/>
      </c>
      <c r="BR140">
        <f>'Grid_Stock'!BP7</f>
        <v/>
      </c>
      <c r="BS140">
        <f>'Grid_Stock'!BQ7</f>
        <v/>
      </c>
      <c r="BT140">
        <f>'Grid_Stock'!BR7</f>
        <v/>
      </c>
      <c r="BU140">
        <f>'Grid_Stock'!BS7</f>
        <v/>
      </c>
      <c r="BV140">
        <f>'Grid_Stock'!BT7</f>
        <v/>
      </c>
      <c r="BW140">
        <f>'Grid_Stock'!BU7</f>
        <v/>
      </c>
      <c r="BX140">
        <f>'Grid_Stock'!BV7</f>
        <v/>
      </c>
      <c r="BY140">
        <f>'Grid_Stock'!BW7</f>
        <v/>
      </c>
      <c r="BZ140">
        <f>'Grid_Stock'!BX7</f>
        <v/>
      </c>
      <c r="CA140">
        <f>'Grid_Stock'!BY7</f>
        <v/>
      </c>
      <c r="CB140">
        <f>'Grid_Stock'!BZ7</f>
        <v/>
      </c>
      <c r="CC140">
        <f>'Grid_Stock'!CA7</f>
        <v/>
      </c>
      <c r="CD140">
        <f>'Grid_Stock'!CB7</f>
        <v/>
      </c>
      <c r="CE140">
        <f>'Grid_Stock'!CC7</f>
        <v/>
      </c>
      <c r="CF140">
        <f>'Grid_Stock'!CD7</f>
        <v/>
      </c>
      <c r="CG140">
        <f>'Grid_Stock'!CE7</f>
        <v/>
      </c>
      <c r="CH140">
        <f>'Grid_Stock'!CF7</f>
        <v/>
      </c>
      <c r="CI140">
        <f>'Grid_Stock'!CG7</f>
        <v/>
      </c>
      <c r="CJ140">
        <f>'Grid_Stock'!CH7</f>
        <v/>
      </c>
      <c r="CK140">
        <f>'Grid_Stock'!CI7</f>
        <v/>
      </c>
      <c r="CL140">
        <f>'Grid_Stock'!CJ7</f>
        <v/>
      </c>
      <c r="CM140">
        <f>'Grid_Stock'!CK7</f>
        <v/>
      </c>
      <c r="CN140">
        <f>'Grid_Stock'!CL7</f>
        <v/>
      </c>
      <c r="CO140">
        <f>'Grid_Stock'!CM7</f>
        <v/>
      </c>
      <c r="CP140">
        <f>'Grid_Stock'!CN7</f>
        <v/>
      </c>
      <c r="CQ140">
        <f>'Grid_Stock'!CO7</f>
        <v/>
      </c>
      <c r="CR140">
        <f>'Grid_Stock'!CP7</f>
        <v/>
      </c>
      <c r="CS140">
        <f>'Grid_Stock'!CQ7</f>
        <v/>
      </c>
      <c r="CT140">
        <f>'Grid_Stock'!CR7</f>
        <v/>
      </c>
      <c r="CU140">
        <f>'Grid_Stock'!CS7</f>
        <v/>
      </c>
      <c r="CV140">
        <f>'Grid_Stock'!CT7</f>
        <v/>
      </c>
      <c r="CW140">
        <f>'Grid_Stock'!CU7</f>
        <v/>
      </c>
      <c r="CX140">
        <f>'Grid_Stock'!CV7</f>
        <v/>
      </c>
      <c r="CY140">
        <f>'Grid_Stock'!CW7</f>
        <v/>
      </c>
      <c r="CZ140">
        <f>'Grid_Stock'!CX7</f>
        <v/>
      </c>
      <c r="DA140">
        <f>'Grid_Stock'!CY7</f>
        <v/>
      </c>
      <c r="DB140">
        <f>'Grid_Stock'!CZ7</f>
        <v/>
      </c>
      <c r="DC140">
        <f>'Grid_Stock'!DA7</f>
        <v/>
      </c>
    </row>
    <row r="141">
      <c r="B141" s="23" t="inlineStr">
        <is>
          <t>（発注の目安はDashboardの基準在庫[下限/上限]と色分けを参照）</t>
        </is>
      </c>
    </row>
    <row r="143">
      <c r="A143" s="21" t="inlineStr">
        <is>
          <t>3TP</t>
        </is>
      </c>
      <c r="B143" s="21" t="inlineStr">
        <is>
          <t>Substrate TTAF WF7</t>
        </is>
      </c>
      <c r="C143" s="22" t="n"/>
      <c r="D143" s="21" t="n"/>
      <c r="E143" s="21" t="n"/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  <c r="AA143" s="21" t="n"/>
      <c r="AB143" s="21" t="n"/>
      <c r="AC143" s="21" t="n"/>
      <c r="AD143" s="21" t="n"/>
      <c r="AE143" s="21" t="n"/>
      <c r="AF143" s="21" t="n"/>
      <c r="AG143" s="21" t="n"/>
      <c r="AH143" s="21" t="n"/>
      <c r="AI143" s="21" t="n"/>
      <c r="AJ143" s="21" t="n"/>
      <c r="AK143" s="21" t="n"/>
      <c r="AL143" s="21" t="n"/>
      <c r="AM143" s="21" t="n"/>
      <c r="AN143" s="21" t="n"/>
      <c r="AO143" s="21" t="n"/>
      <c r="AP143" s="21" t="n"/>
      <c r="AQ143" s="21" t="n"/>
      <c r="AR143" s="21" t="n"/>
      <c r="AS143" s="21" t="n"/>
      <c r="AT143" s="21" t="n"/>
      <c r="AU143" s="21" t="n"/>
      <c r="AV143" s="21" t="n"/>
      <c r="AW143" s="21" t="n"/>
      <c r="AX143" s="21" t="n"/>
      <c r="AY143" s="21" t="n"/>
      <c r="AZ143" s="21" t="n"/>
      <c r="BA143" s="21" t="n"/>
      <c r="BB143" s="21" t="n"/>
      <c r="BC143" s="21" t="n"/>
      <c r="BD143" s="21" t="n"/>
      <c r="BE143" s="21" t="n"/>
      <c r="BF143" s="21" t="n"/>
      <c r="BG143" s="21" t="n"/>
      <c r="BH143" s="21" t="n"/>
      <c r="BI143" s="21" t="n"/>
      <c r="BJ143" s="21" t="n"/>
      <c r="BK143" s="21" t="n"/>
      <c r="BL143" s="21" t="n"/>
      <c r="BM143" s="21" t="n"/>
      <c r="BN143" s="21" t="n"/>
      <c r="BO143" s="21" t="n"/>
      <c r="BP143" s="21" t="n"/>
      <c r="BQ143" s="21" t="n"/>
      <c r="BR143" s="21" t="n"/>
      <c r="BS143" s="21" t="n"/>
      <c r="BT143" s="21" t="n"/>
      <c r="BU143" s="21" t="n"/>
      <c r="BV143" s="21" t="n"/>
      <c r="BW143" s="21" t="n"/>
      <c r="BX143" s="21" t="n"/>
      <c r="BY143" s="21" t="n"/>
      <c r="BZ143" s="21" t="n"/>
      <c r="CA143" s="21" t="n"/>
      <c r="CB143" s="21" t="n"/>
      <c r="CC143" s="21" t="n"/>
      <c r="CD143" s="21" t="n"/>
      <c r="CE143" s="21" t="n"/>
      <c r="CF143" s="21" t="n"/>
      <c r="CG143" s="21" t="n"/>
      <c r="CH143" s="21" t="n"/>
      <c r="CI143" s="21" t="n"/>
      <c r="CJ143" s="21" t="n"/>
      <c r="CK143" s="21" t="n"/>
      <c r="CL143" s="21" t="n"/>
      <c r="CM143" s="21" t="n"/>
      <c r="CN143" s="21" t="n"/>
      <c r="CO143" s="21" t="n"/>
      <c r="CP143" s="21" t="n"/>
      <c r="CQ143" s="21" t="n"/>
      <c r="CR143" s="21" t="n"/>
      <c r="CS143" s="21" t="n"/>
      <c r="CT143" s="21" t="n"/>
      <c r="CU143" s="21" t="n"/>
      <c r="CV143" s="21" t="n"/>
      <c r="CW143" s="21" t="n"/>
      <c r="CX143" s="21" t="n"/>
      <c r="CY143" s="21" t="n"/>
      <c r="CZ143" s="21" t="n"/>
      <c r="DA143" s="21" t="n"/>
      <c r="DB143" s="21" t="n"/>
      <c r="DC143" s="21" t="n"/>
    </row>
    <row r="144">
      <c r="B144" t="inlineStr">
        <is>
          <t>F2290</t>
        </is>
      </c>
      <c r="C144" t="inlineStr">
        <is>
          <t>No. of batches</t>
        </is>
      </c>
      <c r="D144">
        <f>IFERROR(INDEX(PP_Grid[#Data],$DD144,2),0)</f>
        <v/>
      </c>
      <c r="E144">
        <f>IFERROR(INDEX(PP_Grid[#Data],$DD144,3),0)</f>
        <v/>
      </c>
      <c r="F144">
        <f>IFERROR(INDEX(PP_Grid[#Data],$DD144,4),0)</f>
        <v/>
      </c>
      <c r="G144">
        <f>IFERROR(INDEX(PP_Grid[#Data],$DD144,5),0)</f>
        <v/>
      </c>
      <c r="H144">
        <f>IFERROR(INDEX(PP_Grid[#Data],$DD144,6),0)</f>
        <v/>
      </c>
      <c r="I144">
        <f>IFERROR(INDEX(PP_Grid[#Data],$DD144,7),0)</f>
        <v/>
      </c>
      <c r="J144">
        <f>IFERROR(INDEX(PP_Grid[#Data],$DD144,8),0)</f>
        <v/>
      </c>
      <c r="K144">
        <f>IFERROR(INDEX(PP_Grid[#Data],$DD144,9),0)</f>
        <v/>
      </c>
      <c r="L144">
        <f>IFERROR(INDEX(PP_Grid[#Data],$DD144,10),0)</f>
        <v/>
      </c>
      <c r="M144">
        <f>IFERROR(INDEX(PP_Grid[#Data],$DD144,11),0)</f>
        <v/>
      </c>
      <c r="N144">
        <f>IFERROR(INDEX(PP_Grid[#Data],$DD144,12),0)</f>
        <v/>
      </c>
      <c r="O144">
        <f>IFERROR(INDEX(PP_Grid[#Data],$DD144,13),0)</f>
        <v/>
      </c>
      <c r="P144">
        <f>IFERROR(INDEX(PP_Grid[#Data],$DD144,14),0)</f>
        <v/>
      </c>
      <c r="Q144">
        <f>IFERROR(INDEX(PP_Grid[#Data],$DD144,15),0)</f>
        <v/>
      </c>
      <c r="R144">
        <f>IFERROR(INDEX(PP_Grid[#Data],$DD144,16),0)</f>
        <v/>
      </c>
      <c r="S144">
        <f>IFERROR(INDEX(PP_Grid[#Data],$DD144,17),0)</f>
        <v/>
      </c>
      <c r="T144">
        <f>IFERROR(INDEX(PP_Grid[#Data],$DD144,18),0)</f>
        <v/>
      </c>
      <c r="U144">
        <f>IFERROR(INDEX(PP_Grid[#Data],$DD144,19),0)</f>
        <v/>
      </c>
      <c r="V144">
        <f>IFERROR(INDEX(PP_Grid[#Data],$DD144,20),0)</f>
        <v/>
      </c>
      <c r="W144">
        <f>IFERROR(INDEX(PP_Grid[#Data],$DD144,21),0)</f>
        <v/>
      </c>
      <c r="X144">
        <f>IFERROR(INDEX(PP_Grid[#Data],$DD144,22),0)</f>
        <v/>
      </c>
      <c r="Y144">
        <f>IFERROR(INDEX(PP_Grid[#Data],$DD144,23),0)</f>
        <v/>
      </c>
      <c r="Z144">
        <f>IFERROR(INDEX(PP_Grid[#Data],$DD144,24),0)</f>
        <v/>
      </c>
      <c r="AA144">
        <f>IFERROR(INDEX(PP_Grid[#Data],$DD144,25),0)</f>
        <v/>
      </c>
      <c r="AB144">
        <f>IFERROR(INDEX(PP_Grid[#Data],$DD144,26),0)</f>
        <v/>
      </c>
      <c r="AC144">
        <f>IFERROR(INDEX(PP_Grid[#Data],$DD144,27),0)</f>
        <v/>
      </c>
      <c r="AD144">
        <f>IFERROR(INDEX(PP_Grid[#Data],$DD144,28),0)</f>
        <v/>
      </c>
      <c r="AE144">
        <f>IFERROR(INDEX(PP_Grid[#Data],$DD144,29),0)</f>
        <v/>
      </c>
      <c r="AF144">
        <f>IFERROR(INDEX(PP_Grid[#Data],$DD144,30),0)</f>
        <v/>
      </c>
      <c r="AG144">
        <f>IFERROR(INDEX(PP_Grid[#Data],$DD144,31),0)</f>
        <v/>
      </c>
      <c r="AH144">
        <f>IFERROR(INDEX(PP_Grid[#Data],$DD144,32),0)</f>
        <v/>
      </c>
      <c r="AI144">
        <f>IFERROR(INDEX(PP_Grid[#Data],$DD144,33),0)</f>
        <v/>
      </c>
      <c r="AJ144">
        <f>IFERROR(INDEX(PP_Grid[#Data],$DD144,34),0)</f>
        <v/>
      </c>
      <c r="AK144">
        <f>IFERROR(INDEX(PP_Grid[#Data],$DD144,35),0)</f>
        <v/>
      </c>
      <c r="AL144">
        <f>IFERROR(INDEX(PP_Grid[#Data],$DD144,36),0)</f>
        <v/>
      </c>
      <c r="AM144">
        <f>IFERROR(INDEX(PP_Grid[#Data],$DD144,37),0)</f>
        <v/>
      </c>
      <c r="AN144">
        <f>IFERROR(INDEX(PP_Grid[#Data],$DD144,38),0)</f>
        <v/>
      </c>
      <c r="AO144">
        <f>IFERROR(INDEX(PP_Grid[#Data],$DD144,39),0)</f>
        <v/>
      </c>
      <c r="AP144">
        <f>IFERROR(INDEX(PP_Grid[#Data],$DD144,40),0)</f>
        <v/>
      </c>
      <c r="AQ144">
        <f>IFERROR(INDEX(PP_Grid[#Data],$DD144,41),0)</f>
        <v/>
      </c>
      <c r="AR144">
        <f>IFERROR(INDEX(PP_Grid[#Data],$DD144,42),0)</f>
        <v/>
      </c>
      <c r="AS144">
        <f>IFERROR(INDEX(PP_Grid[#Data],$DD144,43),0)</f>
        <v/>
      </c>
      <c r="AT144">
        <f>IFERROR(INDEX(PP_Grid[#Data],$DD144,44),0)</f>
        <v/>
      </c>
      <c r="AU144">
        <f>IFERROR(INDEX(PP_Grid[#Data],$DD144,45),0)</f>
        <v/>
      </c>
      <c r="AV144">
        <f>IFERROR(INDEX(PP_Grid[#Data],$DD144,46),0)</f>
        <v/>
      </c>
      <c r="AW144">
        <f>IFERROR(INDEX(PP_Grid[#Data],$DD144,47),0)</f>
        <v/>
      </c>
      <c r="AX144">
        <f>IFERROR(INDEX(PP_Grid[#Data],$DD144,48),0)</f>
        <v/>
      </c>
      <c r="AY144">
        <f>IFERROR(INDEX(PP_Grid[#Data],$DD144,49),0)</f>
        <v/>
      </c>
      <c r="AZ144">
        <f>IFERROR(INDEX(PP_Grid[#Data],$DD144,50),0)</f>
        <v/>
      </c>
      <c r="BA144">
        <f>IFERROR(INDEX(PP_Grid[#Data],$DD144,51),0)</f>
        <v/>
      </c>
      <c r="BB144">
        <f>IFERROR(INDEX(PP_Grid[#Data],$DD144,52),0)</f>
        <v/>
      </c>
      <c r="BC144">
        <f>IFERROR(INDEX(PP_Grid[#Data],$DD144,53),0)</f>
        <v/>
      </c>
      <c r="BD144">
        <f>IFERROR(INDEX(PP_Grid[#Data],$DD144,54),0)</f>
        <v/>
      </c>
      <c r="BE144">
        <f>IFERROR(INDEX(PP_Grid[#Data],$DD144,55),0)</f>
        <v/>
      </c>
      <c r="BF144">
        <f>IFERROR(INDEX(PP_Grid[#Data],$DD144,56),0)</f>
        <v/>
      </c>
      <c r="BG144">
        <f>IFERROR(INDEX(PP_Grid[#Data],$DD144,57),0)</f>
        <v/>
      </c>
      <c r="BH144">
        <f>IFERROR(INDEX(PP_Grid[#Data],$DD144,58),0)</f>
        <v/>
      </c>
      <c r="BI144">
        <f>IFERROR(INDEX(PP_Grid[#Data],$DD144,59),0)</f>
        <v/>
      </c>
      <c r="BJ144">
        <f>IFERROR(INDEX(PP_Grid[#Data],$DD144,60),0)</f>
        <v/>
      </c>
      <c r="BK144">
        <f>IFERROR(INDEX(PP_Grid[#Data],$DD144,61),0)</f>
        <v/>
      </c>
      <c r="BL144">
        <f>IFERROR(INDEX(PP_Grid[#Data],$DD144,62),0)</f>
        <v/>
      </c>
      <c r="BM144">
        <f>IFERROR(INDEX(PP_Grid[#Data],$DD144,63),0)</f>
        <v/>
      </c>
      <c r="BN144">
        <f>IFERROR(INDEX(PP_Grid[#Data],$DD144,64),0)</f>
        <v/>
      </c>
      <c r="BO144">
        <f>IFERROR(INDEX(PP_Grid[#Data],$DD144,65),0)</f>
        <v/>
      </c>
      <c r="BP144">
        <f>IFERROR(INDEX(PP_Grid[#Data],$DD144,66),0)</f>
        <v/>
      </c>
      <c r="BQ144">
        <f>IFERROR(INDEX(PP_Grid[#Data],$DD144,67),0)</f>
        <v/>
      </c>
      <c r="BR144">
        <f>IFERROR(INDEX(PP_Grid[#Data],$DD144,68),0)</f>
        <v/>
      </c>
      <c r="BS144">
        <f>IFERROR(INDEX(PP_Grid[#Data],$DD144,69),0)</f>
        <v/>
      </c>
      <c r="BT144">
        <f>IFERROR(INDEX(PP_Grid[#Data],$DD144,70),0)</f>
        <v/>
      </c>
      <c r="BU144">
        <f>IFERROR(INDEX(PP_Grid[#Data],$DD144,71),0)</f>
        <v/>
      </c>
      <c r="BV144">
        <f>IFERROR(INDEX(PP_Grid[#Data],$DD144,72),0)</f>
        <v/>
      </c>
      <c r="BW144">
        <f>IFERROR(INDEX(PP_Grid[#Data],$DD144,73),0)</f>
        <v/>
      </c>
      <c r="BX144">
        <f>IFERROR(INDEX(PP_Grid[#Data],$DD144,74),0)</f>
        <v/>
      </c>
      <c r="BY144">
        <f>IFERROR(INDEX(PP_Grid[#Data],$DD144,75),0)</f>
        <v/>
      </c>
      <c r="BZ144">
        <f>IFERROR(INDEX(PP_Grid[#Data],$DD144,76),0)</f>
        <v/>
      </c>
      <c r="CA144">
        <f>IFERROR(INDEX(PP_Grid[#Data],$DD144,77),0)</f>
        <v/>
      </c>
      <c r="CB144">
        <f>IFERROR(INDEX(PP_Grid[#Data],$DD144,78),0)</f>
        <v/>
      </c>
      <c r="CC144">
        <f>IFERROR(INDEX(PP_Grid[#Data],$DD144,79),0)</f>
        <v/>
      </c>
      <c r="CD144">
        <f>IFERROR(INDEX(PP_Grid[#Data],$DD144,80),0)</f>
        <v/>
      </c>
      <c r="CE144">
        <f>IFERROR(INDEX(PP_Grid[#Data],$DD144,81),0)</f>
        <v/>
      </c>
      <c r="CF144">
        <f>IFERROR(INDEX(PP_Grid[#Data],$DD144,82),0)</f>
        <v/>
      </c>
      <c r="CG144">
        <f>IFERROR(INDEX(PP_Grid[#Data],$DD144,83),0)</f>
        <v/>
      </c>
      <c r="CH144">
        <f>IFERROR(INDEX(PP_Grid[#Data],$DD144,84),0)</f>
        <v/>
      </c>
      <c r="CI144">
        <f>IFERROR(INDEX(PP_Grid[#Data],$DD144,85),0)</f>
        <v/>
      </c>
      <c r="CJ144">
        <f>IFERROR(INDEX(PP_Grid[#Data],$DD144,86),0)</f>
        <v/>
      </c>
      <c r="CK144">
        <f>IFERROR(INDEX(PP_Grid[#Data],$DD144,87),0)</f>
        <v/>
      </c>
      <c r="CL144">
        <f>IFERROR(INDEX(PP_Grid[#Data],$DD144,88),0)</f>
        <v/>
      </c>
      <c r="CM144">
        <f>IFERROR(INDEX(PP_Grid[#Data],$DD144,89),0)</f>
        <v/>
      </c>
      <c r="CN144">
        <f>IFERROR(INDEX(PP_Grid[#Data],$DD144,90),0)</f>
        <v/>
      </c>
      <c r="CO144">
        <f>IFERROR(INDEX(PP_Grid[#Data],$DD144,91),0)</f>
        <v/>
      </c>
      <c r="CP144">
        <f>IFERROR(INDEX(PP_Grid[#Data],$DD144,92),0)</f>
        <v/>
      </c>
      <c r="CQ144">
        <f>IFERROR(INDEX(PP_Grid[#Data],$DD144,93),0)</f>
        <v/>
      </c>
      <c r="CR144">
        <f>IFERROR(INDEX(PP_Grid[#Data],$DD144,94),0)</f>
        <v/>
      </c>
      <c r="CS144">
        <f>IFERROR(INDEX(PP_Grid[#Data],$DD144,95),0)</f>
        <v/>
      </c>
      <c r="CT144">
        <f>IFERROR(INDEX(PP_Grid[#Data],$DD144,96),0)</f>
        <v/>
      </c>
      <c r="CU144">
        <f>IFERROR(INDEX(PP_Grid[#Data],$DD144,97),0)</f>
        <v/>
      </c>
      <c r="CV144">
        <f>IFERROR(INDEX(PP_Grid[#Data],$DD144,98),0)</f>
        <v/>
      </c>
      <c r="CW144">
        <f>IFERROR(INDEX(PP_Grid[#Data],$DD144,99),0)</f>
        <v/>
      </c>
      <c r="CX144">
        <f>IFERROR(INDEX(PP_Grid[#Data],$DD144,100),0)</f>
        <v/>
      </c>
      <c r="CY144">
        <f>IFERROR(INDEX(PP_Grid[#Data],$DD144,101),0)</f>
        <v/>
      </c>
      <c r="CZ144">
        <f>IFERROR(INDEX(PP_Grid[#Data],$DD144,102),0)</f>
        <v/>
      </c>
      <c r="DA144">
        <f>IFERROR(INDEX(PP_Grid[#Data],$DD144,103),0)</f>
        <v/>
      </c>
      <c r="DB144">
        <f>IFERROR(INDEX(PP_Grid[#Data],$DD144,104),0)</f>
        <v/>
      </c>
      <c r="DC144">
        <f>IFERROR(INDEX(PP_Grid[#Data],$DD144,105),0)</f>
        <v/>
      </c>
      <c r="DD144" s="12">
        <f>IFERROR(MATCH($B144,PP_Grid[Intermediate],0),99999)</f>
        <v/>
      </c>
    </row>
    <row r="145">
      <c r="B145" t="inlineStr">
        <is>
          <t>使用量(kg)</t>
        </is>
      </c>
      <c r="C145">
        <f>SUMIFS(M_BOM[RM_Qty_Per_Batch],M_BOM[Intermediate],$B144,M_BOM[Part Name],$A143)</f>
        <v/>
      </c>
      <c r="D145">
        <f>$C145*D144</f>
        <v/>
      </c>
      <c r="E145">
        <f>$C145*E144</f>
        <v/>
      </c>
      <c r="F145">
        <f>$C145*F144</f>
        <v/>
      </c>
      <c r="G145">
        <f>$C145*G144</f>
        <v/>
      </c>
      <c r="H145">
        <f>$C145*H144</f>
        <v/>
      </c>
      <c r="I145">
        <f>$C145*I144</f>
        <v/>
      </c>
      <c r="J145">
        <f>$C145*J144</f>
        <v/>
      </c>
      <c r="K145">
        <f>$C145*K144</f>
        <v/>
      </c>
      <c r="L145">
        <f>$C145*L144</f>
        <v/>
      </c>
      <c r="M145">
        <f>$C145*M144</f>
        <v/>
      </c>
      <c r="N145">
        <f>$C145*N144</f>
        <v/>
      </c>
      <c r="O145">
        <f>$C145*O144</f>
        <v/>
      </c>
      <c r="P145">
        <f>$C145*P144</f>
        <v/>
      </c>
      <c r="Q145">
        <f>$C145*Q144</f>
        <v/>
      </c>
      <c r="R145">
        <f>$C145*R144</f>
        <v/>
      </c>
      <c r="S145">
        <f>$C145*S144</f>
        <v/>
      </c>
      <c r="T145">
        <f>$C145*T144</f>
        <v/>
      </c>
      <c r="U145">
        <f>$C145*U144</f>
        <v/>
      </c>
      <c r="V145">
        <f>$C145*V144</f>
        <v/>
      </c>
      <c r="W145">
        <f>$C145*W144</f>
        <v/>
      </c>
      <c r="X145">
        <f>$C145*X144</f>
        <v/>
      </c>
      <c r="Y145">
        <f>$C145*Y144</f>
        <v/>
      </c>
      <c r="Z145">
        <f>$C145*Z144</f>
        <v/>
      </c>
      <c r="AA145">
        <f>$C145*AA144</f>
        <v/>
      </c>
      <c r="AB145">
        <f>$C145*AB144</f>
        <v/>
      </c>
      <c r="AC145">
        <f>$C145*AC144</f>
        <v/>
      </c>
      <c r="AD145">
        <f>$C145*AD144</f>
        <v/>
      </c>
      <c r="AE145">
        <f>$C145*AE144</f>
        <v/>
      </c>
      <c r="AF145">
        <f>$C145*AF144</f>
        <v/>
      </c>
      <c r="AG145">
        <f>$C145*AG144</f>
        <v/>
      </c>
      <c r="AH145">
        <f>$C145*AH144</f>
        <v/>
      </c>
      <c r="AI145">
        <f>$C145*AI144</f>
        <v/>
      </c>
      <c r="AJ145">
        <f>$C145*AJ144</f>
        <v/>
      </c>
      <c r="AK145">
        <f>$C145*AK144</f>
        <v/>
      </c>
      <c r="AL145">
        <f>$C145*AL144</f>
        <v/>
      </c>
      <c r="AM145">
        <f>$C145*AM144</f>
        <v/>
      </c>
      <c r="AN145">
        <f>$C145*AN144</f>
        <v/>
      </c>
      <c r="AO145">
        <f>$C145*AO144</f>
        <v/>
      </c>
      <c r="AP145">
        <f>$C145*AP144</f>
        <v/>
      </c>
      <c r="AQ145">
        <f>$C145*AQ144</f>
        <v/>
      </c>
      <c r="AR145">
        <f>$C145*AR144</f>
        <v/>
      </c>
      <c r="AS145">
        <f>$C145*AS144</f>
        <v/>
      </c>
      <c r="AT145">
        <f>$C145*AT144</f>
        <v/>
      </c>
      <c r="AU145">
        <f>$C145*AU144</f>
        <v/>
      </c>
      <c r="AV145">
        <f>$C145*AV144</f>
        <v/>
      </c>
      <c r="AW145">
        <f>$C145*AW144</f>
        <v/>
      </c>
      <c r="AX145">
        <f>$C145*AX144</f>
        <v/>
      </c>
      <c r="AY145">
        <f>$C145*AY144</f>
        <v/>
      </c>
      <c r="AZ145">
        <f>$C145*AZ144</f>
        <v/>
      </c>
      <c r="BA145">
        <f>$C145*BA144</f>
        <v/>
      </c>
      <c r="BB145">
        <f>$C145*BB144</f>
        <v/>
      </c>
      <c r="BC145">
        <f>$C145*BC144</f>
        <v/>
      </c>
      <c r="BD145">
        <f>$C145*BD144</f>
        <v/>
      </c>
      <c r="BE145">
        <f>$C145*BE144</f>
        <v/>
      </c>
      <c r="BF145">
        <f>$C145*BF144</f>
        <v/>
      </c>
      <c r="BG145">
        <f>$C145*BG144</f>
        <v/>
      </c>
      <c r="BH145">
        <f>$C145*BH144</f>
        <v/>
      </c>
      <c r="BI145">
        <f>$C145*BI144</f>
        <v/>
      </c>
      <c r="BJ145">
        <f>$C145*BJ144</f>
        <v/>
      </c>
      <c r="BK145">
        <f>$C145*BK144</f>
        <v/>
      </c>
      <c r="BL145">
        <f>$C145*BL144</f>
        <v/>
      </c>
      <c r="BM145">
        <f>$C145*BM144</f>
        <v/>
      </c>
      <c r="BN145">
        <f>$C145*BN144</f>
        <v/>
      </c>
      <c r="BO145">
        <f>$C145*BO144</f>
        <v/>
      </c>
      <c r="BP145">
        <f>$C145*BP144</f>
        <v/>
      </c>
      <c r="BQ145">
        <f>$C145*BQ144</f>
        <v/>
      </c>
      <c r="BR145">
        <f>$C145*BR144</f>
        <v/>
      </c>
      <c r="BS145">
        <f>$C145*BS144</f>
        <v/>
      </c>
      <c r="BT145">
        <f>$C145*BT144</f>
        <v/>
      </c>
      <c r="BU145">
        <f>$C145*BU144</f>
        <v/>
      </c>
      <c r="BV145">
        <f>$C145*BV144</f>
        <v/>
      </c>
      <c r="BW145">
        <f>$C145*BW144</f>
        <v/>
      </c>
      <c r="BX145">
        <f>$C145*BX144</f>
        <v/>
      </c>
      <c r="BY145">
        <f>$C145*BY144</f>
        <v/>
      </c>
      <c r="BZ145">
        <f>$C145*BZ144</f>
        <v/>
      </c>
      <c r="CA145">
        <f>$C145*CA144</f>
        <v/>
      </c>
      <c r="CB145">
        <f>$C145*CB144</f>
        <v/>
      </c>
      <c r="CC145">
        <f>$C145*CC144</f>
        <v/>
      </c>
      <c r="CD145">
        <f>$C145*CD144</f>
        <v/>
      </c>
      <c r="CE145">
        <f>$C145*CE144</f>
        <v/>
      </c>
      <c r="CF145">
        <f>$C145*CF144</f>
        <v/>
      </c>
      <c r="CG145">
        <f>$C145*CG144</f>
        <v/>
      </c>
      <c r="CH145">
        <f>$C145*CH144</f>
        <v/>
      </c>
      <c r="CI145">
        <f>$C145*CI144</f>
        <v/>
      </c>
      <c r="CJ145">
        <f>$C145*CJ144</f>
        <v/>
      </c>
      <c r="CK145">
        <f>$C145*CK144</f>
        <v/>
      </c>
      <c r="CL145">
        <f>$C145*CL144</f>
        <v/>
      </c>
      <c r="CM145">
        <f>$C145*CM144</f>
        <v/>
      </c>
      <c r="CN145">
        <f>$C145*CN144</f>
        <v/>
      </c>
      <c r="CO145">
        <f>$C145*CO144</f>
        <v/>
      </c>
      <c r="CP145">
        <f>$C145*CP144</f>
        <v/>
      </c>
      <c r="CQ145">
        <f>$C145*CQ144</f>
        <v/>
      </c>
      <c r="CR145">
        <f>$C145*CR144</f>
        <v/>
      </c>
      <c r="CS145">
        <f>$C145*CS144</f>
        <v/>
      </c>
      <c r="CT145">
        <f>$C145*CT144</f>
        <v/>
      </c>
      <c r="CU145">
        <f>$C145*CU144</f>
        <v/>
      </c>
      <c r="CV145">
        <f>$C145*CV144</f>
        <v/>
      </c>
      <c r="CW145">
        <f>$C145*CW144</f>
        <v/>
      </c>
      <c r="CX145">
        <f>$C145*CX144</f>
        <v/>
      </c>
      <c r="CY145">
        <f>$C145*CY144</f>
        <v/>
      </c>
      <c r="CZ145">
        <f>$C145*CZ144</f>
        <v/>
      </c>
      <c r="DA145">
        <f>$C145*DA144</f>
        <v/>
      </c>
      <c r="DB145">
        <f>$C145*DB144</f>
        <v/>
      </c>
      <c r="DC145">
        <f>$C145*DC144</f>
        <v/>
      </c>
    </row>
    <row r="146">
      <c r="B146" s="5" t="inlineStr">
        <is>
          <t>合計使用量(kg)/週</t>
        </is>
      </c>
      <c r="D146">
        <f>'Grid_Requirement'!B9</f>
        <v/>
      </c>
      <c r="E146">
        <f>'Grid_Requirement'!C9</f>
        <v/>
      </c>
      <c r="F146">
        <f>'Grid_Requirement'!D9</f>
        <v/>
      </c>
      <c r="G146">
        <f>'Grid_Requirement'!E9</f>
        <v/>
      </c>
      <c r="H146">
        <f>'Grid_Requirement'!F9</f>
        <v/>
      </c>
      <c r="I146">
        <f>'Grid_Requirement'!G9</f>
        <v/>
      </c>
      <c r="J146">
        <f>'Grid_Requirement'!H9</f>
        <v/>
      </c>
      <c r="K146">
        <f>'Grid_Requirement'!I9</f>
        <v/>
      </c>
      <c r="L146">
        <f>'Grid_Requirement'!J9</f>
        <v/>
      </c>
      <c r="M146">
        <f>'Grid_Requirement'!K9</f>
        <v/>
      </c>
      <c r="N146">
        <f>'Grid_Requirement'!L9</f>
        <v/>
      </c>
      <c r="O146">
        <f>'Grid_Requirement'!M9</f>
        <v/>
      </c>
      <c r="P146">
        <f>'Grid_Requirement'!N9</f>
        <v/>
      </c>
      <c r="Q146">
        <f>'Grid_Requirement'!O9</f>
        <v/>
      </c>
      <c r="R146">
        <f>'Grid_Requirement'!P9</f>
        <v/>
      </c>
      <c r="S146">
        <f>'Grid_Requirement'!Q9</f>
        <v/>
      </c>
      <c r="T146">
        <f>'Grid_Requirement'!R9</f>
        <v/>
      </c>
      <c r="U146">
        <f>'Grid_Requirement'!S9</f>
        <v/>
      </c>
      <c r="V146">
        <f>'Grid_Requirement'!T9</f>
        <v/>
      </c>
      <c r="W146">
        <f>'Grid_Requirement'!U9</f>
        <v/>
      </c>
      <c r="X146">
        <f>'Grid_Requirement'!V9</f>
        <v/>
      </c>
      <c r="Y146">
        <f>'Grid_Requirement'!W9</f>
        <v/>
      </c>
      <c r="Z146">
        <f>'Grid_Requirement'!X9</f>
        <v/>
      </c>
      <c r="AA146">
        <f>'Grid_Requirement'!Y9</f>
        <v/>
      </c>
      <c r="AB146">
        <f>'Grid_Requirement'!Z9</f>
        <v/>
      </c>
      <c r="AC146">
        <f>'Grid_Requirement'!AA9</f>
        <v/>
      </c>
      <c r="AD146">
        <f>'Grid_Requirement'!AB9</f>
        <v/>
      </c>
      <c r="AE146">
        <f>'Grid_Requirement'!AC9</f>
        <v/>
      </c>
      <c r="AF146">
        <f>'Grid_Requirement'!AD9</f>
        <v/>
      </c>
      <c r="AG146">
        <f>'Grid_Requirement'!AE9</f>
        <v/>
      </c>
      <c r="AH146">
        <f>'Grid_Requirement'!AF9</f>
        <v/>
      </c>
      <c r="AI146">
        <f>'Grid_Requirement'!AG9</f>
        <v/>
      </c>
      <c r="AJ146">
        <f>'Grid_Requirement'!AH9</f>
        <v/>
      </c>
      <c r="AK146">
        <f>'Grid_Requirement'!AI9</f>
        <v/>
      </c>
      <c r="AL146">
        <f>'Grid_Requirement'!AJ9</f>
        <v/>
      </c>
      <c r="AM146">
        <f>'Grid_Requirement'!AK9</f>
        <v/>
      </c>
      <c r="AN146">
        <f>'Grid_Requirement'!AL9</f>
        <v/>
      </c>
      <c r="AO146">
        <f>'Grid_Requirement'!AM9</f>
        <v/>
      </c>
      <c r="AP146">
        <f>'Grid_Requirement'!AN9</f>
        <v/>
      </c>
      <c r="AQ146">
        <f>'Grid_Requirement'!AO9</f>
        <v/>
      </c>
      <c r="AR146">
        <f>'Grid_Requirement'!AP9</f>
        <v/>
      </c>
      <c r="AS146">
        <f>'Grid_Requirement'!AQ9</f>
        <v/>
      </c>
      <c r="AT146">
        <f>'Grid_Requirement'!AR9</f>
        <v/>
      </c>
      <c r="AU146">
        <f>'Grid_Requirement'!AS9</f>
        <v/>
      </c>
      <c r="AV146">
        <f>'Grid_Requirement'!AT9</f>
        <v/>
      </c>
      <c r="AW146">
        <f>'Grid_Requirement'!AU9</f>
        <v/>
      </c>
      <c r="AX146">
        <f>'Grid_Requirement'!AV9</f>
        <v/>
      </c>
      <c r="AY146">
        <f>'Grid_Requirement'!AW9</f>
        <v/>
      </c>
      <c r="AZ146">
        <f>'Grid_Requirement'!AX9</f>
        <v/>
      </c>
      <c r="BA146">
        <f>'Grid_Requirement'!AY9</f>
        <v/>
      </c>
      <c r="BB146">
        <f>'Grid_Requirement'!AZ9</f>
        <v/>
      </c>
      <c r="BC146">
        <f>'Grid_Requirement'!BA9</f>
        <v/>
      </c>
      <c r="BD146">
        <f>'Grid_Requirement'!BB9</f>
        <v/>
      </c>
      <c r="BE146">
        <f>'Grid_Requirement'!BC9</f>
        <v/>
      </c>
      <c r="BF146">
        <f>'Grid_Requirement'!BD9</f>
        <v/>
      </c>
      <c r="BG146">
        <f>'Grid_Requirement'!BE9</f>
        <v/>
      </c>
      <c r="BH146">
        <f>'Grid_Requirement'!BF9</f>
        <v/>
      </c>
      <c r="BI146">
        <f>'Grid_Requirement'!BG9</f>
        <v/>
      </c>
      <c r="BJ146">
        <f>'Grid_Requirement'!BH9</f>
        <v/>
      </c>
      <c r="BK146">
        <f>'Grid_Requirement'!BI9</f>
        <v/>
      </c>
      <c r="BL146">
        <f>'Grid_Requirement'!BJ9</f>
        <v/>
      </c>
      <c r="BM146">
        <f>'Grid_Requirement'!BK9</f>
        <v/>
      </c>
      <c r="BN146">
        <f>'Grid_Requirement'!BL9</f>
        <v/>
      </c>
      <c r="BO146">
        <f>'Grid_Requirement'!BM9</f>
        <v/>
      </c>
      <c r="BP146">
        <f>'Grid_Requirement'!BN9</f>
        <v/>
      </c>
      <c r="BQ146">
        <f>'Grid_Requirement'!BO9</f>
        <v/>
      </c>
      <c r="BR146">
        <f>'Grid_Requirement'!BP9</f>
        <v/>
      </c>
      <c r="BS146">
        <f>'Grid_Requirement'!BQ9</f>
        <v/>
      </c>
      <c r="BT146">
        <f>'Grid_Requirement'!BR9</f>
        <v/>
      </c>
      <c r="BU146">
        <f>'Grid_Requirement'!BS9</f>
        <v/>
      </c>
      <c r="BV146">
        <f>'Grid_Requirement'!BT9</f>
        <v/>
      </c>
      <c r="BW146">
        <f>'Grid_Requirement'!BU9</f>
        <v/>
      </c>
      <c r="BX146">
        <f>'Grid_Requirement'!BV9</f>
        <v/>
      </c>
      <c r="BY146">
        <f>'Grid_Requirement'!BW9</f>
        <v/>
      </c>
      <c r="BZ146">
        <f>'Grid_Requirement'!BX9</f>
        <v/>
      </c>
      <c r="CA146">
        <f>'Grid_Requirement'!BY9</f>
        <v/>
      </c>
      <c r="CB146">
        <f>'Grid_Requirement'!BZ9</f>
        <v/>
      </c>
      <c r="CC146">
        <f>'Grid_Requirement'!CA9</f>
        <v/>
      </c>
      <c r="CD146">
        <f>'Grid_Requirement'!CB9</f>
        <v/>
      </c>
      <c r="CE146">
        <f>'Grid_Requirement'!CC9</f>
        <v/>
      </c>
      <c r="CF146">
        <f>'Grid_Requirement'!CD9</f>
        <v/>
      </c>
      <c r="CG146">
        <f>'Grid_Requirement'!CE9</f>
        <v/>
      </c>
      <c r="CH146">
        <f>'Grid_Requirement'!CF9</f>
        <v/>
      </c>
      <c r="CI146">
        <f>'Grid_Requirement'!CG9</f>
        <v/>
      </c>
      <c r="CJ146">
        <f>'Grid_Requirement'!CH9</f>
        <v/>
      </c>
      <c r="CK146">
        <f>'Grid_Requirement'!CI9</f>
        <v/>
      </c>
      <c r="CL146">
        <f>'Grid_Requirement'!CJ9</f>
        <v/>
      </c>
      <c r="CM146">
        <f>'Grid_Requirement'!CK9</f>
        <v/>
      </c>
      <c r="CN146">
        <f>'Grid_Requirement'!CL9</f>
        <v/>
      </c>
      <c r="CO146">
        <f>'Grid_Requirement'!CM9</f>
        <v/>
      </c>
      <c r="CP146">
        <f>'Grid_Requirement'!CN9</f>
        <v/>
      </c>
      <c r="CQ146">
        <f>'Grid_Requirement'!CO9</f>
        <v/>
      </c>
      <c r="CR146">
        <f>'Grid_Requirement'!CP9</f>
        <v/>
      </c>
      <c r="CS146">
        <f>'Grid_Requirement'!CQ9</f>
        <v/>
      </c>
      <c r="CT146">
        <f>'Grid_Requirement'!CR9</f>
        <v/>
      </c>
      <c r="CU146">
        <f>'Grid_Requirement'!CS9</f>
        <v/>
      </c>
      <c r="CV146">
        <f>'Grid_Requirement'!CT9</f>
        <v/>
      </c>
      <c r="CW146">
        <f>'Grid_Requirement'!CU9</f>
        <v/>
      </c>
      <c r="CX146">
        <f>'Grid_Requirement'!CV9</f>
        <v/>
      </c>
      <c r="CY146">
        <f>'Grid_Requirement'!CW9</f>
        <v/>
      </c>
      <c r="CZ146">
        <f>'Grid_Requirement'!CX9</f>
        <v/>
      </c>
      <c r="DA146">
        <f>'Grid_Requirement'!CY9</f>
        <v/>
      </c>
      <c r="DB146">
        <f>'Grid_Requirement'!CZ9</f>
        <v/>
      </c>
      <c r="DC146">
        <f>'Grid_Requirement'!DA9</f>
        <v/>
      </c>
    </row>
    <row r="147">
      <c r="B147" t="inlineStr">
        <is>
          <t>TTAF在庫(実績,kg)</t>
        </is>
      </c>
      <c r="D147">
        <f>'T_TTAFStock'!B13</f>
        <v/>
      </c>
      <c r="E147">
        <f>'T_TTAFStock'!C13</f>
        <v/>
      </c>
      <c r="F147">
        <f>'T_TTAFStock'!D13</f>
        <v/>
      </c>
      <c r="G147">
        <f>'T_TTAFStock'!E13</f>
        <v/>
      </c>
      <c r="H147">
        <f>'T_TTAFStock'!F13</f>
        <v/>
      </c>
      <c r="I147">
        <f>'T_TTAFStock'!G13</f>
        <v/>
      </c>
      <c r="J147">
        <f>'T_TTAFStock'!H13</f>
        <v/>
      </c>
      <c r="K147">
        <f>'T_TTAFStock'!I13</f>
        <v/>
      </c>
      <c r="L147">
        <f>'T_TTAFStock'!J13</f>
        <v/>
      </c>
      <c r="M147">
        <f>'T_TTAFStock'!K13</f>
        <v/>
      </c>
      <c r="N147">
        <f>'T_TTAFStock'!L13</f>
        <v/>
      </c>
      <c r="O147">
        <f>'T_TTAFStock'!M13</f>
        <v/>
      </c>
      <c r="P147">
        <f>'T_TTAFStock'!N13</f>
        <v/>
      </c>
      <c r="Q147">
        <f>'T_TTAFStock'!O13</f>
        <v/>
      </c>
      <c r="R147">
        <f>'T_TTAFStock'!P13</f>
        <v/>
      </c>
      <c r="S147">
        <f>'T_TTAFStock'!Q13</f>
        <v/>
      </c>
      <c r="T147">
        <f>'T_TTAFStock'!R13</f>
        <v/>
      </c>
      <c r="U147">
        <f>'T_TTAFStock'!S13</f>
        <v/>
      </c>
      <c r="V147">
        <f>'T_TTAFStock'!T13</f>
        <v/>
      </c>
      <c r="W147">
        <f>'T_TTAFStock'!U13</f>
        <v/>
      </c>
      <c r="X147">
        <f>'T_TTAFStock'!V13</f>
        <v/>
      </c>
      <c r="Y147">
        <f>'T_TTAFStock'!W13</f>
        <v/>
      </c>
      <c r="Z147">
        <f>'T_TTAFStock'!X13</f>
        <v/>
      </c>
      <c r="AA147">
        <f>'T_TTAFStock'!Y13</f>
        <v/>
      </c>
      <c r="AB147">
        <f>'T_TTAFStock'!Z13</f>
        <v/>
      </c>
      <c r="AC147">
        <f>'T_TTAFStock'!AA13</f>
        <v/>
      </c>
      <c r="AD147">
        <f>'T_TTAFStock'!AB13</f>
        <v/>
      </c>
      <c r="AE147">
        <f>'T_TTAFStock'!AC13</f>
        <v/>
      </c>
      <c r="AF147">
        <f>'T_TTAFStock'!AD13</f>
        <v/>
      </c>
      <c r="AG147">
        <f>'T_TTAFStock'!AE13</f>
        <v/>
      </c>
      <c r="AH147">
        <f>'T_TTAFStock'!AF13</f>
        <v/>
      </c>
      <c r="AI147">
        <f>'T_TTAFStock'!AG13</f>
        <v/>
      </c>
      <c r="AJ147">
        <f>'T_TTAFStock'!AH13</f>
        <v/>
      </c>
      <c r="AK147">
        <f>'T_TTAFStock'!AI13</f>
        <v/>
      </c>
      <c r="AL147">
        <f>'T_TTAFStock'!AJ13</f>
        <v/>
      </c>
      <c r="AM147">
        <f>'T_TTAFStock'!AK13</f>
        <v/>
      </c>
      <c r="AN147">
        <f>'T_TTAFStock'!AL13</f>
        <v/>
      </c>
      <c r="AO147">
        <f>'T_TTAFStock'!AM13</f>
        <v/>
      </c>
      <c r="AP147">
        <f>'T_TTAFStock'!AN13</f>
        <v/>
      </c>
      <c r="AQ147">
        <f>'T_TTAFStock'!AO13</f>
        <v/>
      </c>
      <c r="AR147">
        <f>'T_TTAFStock'!AP13</f>
        <v/>
      </c>
      <c r="AS147">
        <f>'T_TTAFStock'!AQ13</f>
        <v/>
      </c>
      <c r="AT147">
        <f>'T_TTAFStock'!AR13</f>
        <v/>
      </c>
      <c r="AU147">
        <f>'T_TTAFStock'!AS13</f>
        <v/>
      </c>
      <c r="AV147">
        <f>'T_TTAFStock'!AT13</f>
        <v/>
      </c>
      <c r="AW147">
        <f>'T_TTAFStock'!AU13</f>
        <v/>
      </c>
      <c r="AX147">
        <f>'T_TTAFStock'!AV13</f>
        <v/>
      </c>
      <c r="AY147">
        <f>'T_TTAFStock'!AW13</f>
        <v/>
      </c>
      <c r="AZ147">
        <f>'T_TTAFStock'!AX13</f>
        <v/>
      </c>
      <c r="BA147">
        <f>'T_TTAFStock'!AY13</f>
        <v/>
      </c>
      <c r="BB147">
        <f>'T_TTAFStock'!AZ13</f>
        <v/>
      </c>
      <c r="BC147">
        <f>'T_TTAFStock'!BA13</f>
        <v/>
      </c>
      <c r="BD147">
        <f>'T_TTAFStock'!BB13</f>
        <v/>
      </c>
      <c r="BE147">
        <f>'T_TTAFStock'!BC13</f>
        <v/>
      </c>
      <c r="BF147">
        <f>'T_TTAFStock'!BD13</f>
        <v/>
      </c>
      <c r="BG147">
        <f>'T_TTAFStock'!BE13</f>
        <v/>
      </c>
      <c r="BH147">
        <f>'T_TTAFStock'!BF13</f>
        <v/>
      </c>
      <c r="BI147">
        <f>'T_TTAFStock'!BG13</f>
        <v/>
      </c>
      <c r="BJ147">
        <f>'T_TTAFStock'!BH13</f>
        <v/>
      </c>
      <c r="BK147">
        <f>'T_TTAFStock'!BI13</f>
        <v/>
      </c>
      <c r="BL147">
        <f>'T_TTAFStock'!BJ13</f>
        <v/>
      </c>
      <c r="BM147">
        <f>'T_TTAFStock'!BK13</f>
        <v/>
      </c>
      <c r="BN147">
        <f>'T_TTAFStock'!BL13</f>
        <v/>
      </c>
      <c r="BO147">
        <f>'T_TTAFStock'!BM13</f>
        <v/>
      </c>
      <c r="BP147">
        <f>'T_TTAFStock'!BN13</f>
        <v/>
      </c>
      <c r="BQ147">
        <f>'T_TTAFStock'!BO13</f>
        <v/>
      </c>
      <c r="BR147">
        <f>'T_TTAFStock'!BP13</f>
        <v/>
      </c>
      <c r="BS147">
        <f>'T_TTAFStock'!BQ13</f>
        <v/>
      </c>
      <c r="BT147">
        <f>'T_TTAFStock'!BR13</f>
        <v/>
      </c>
      <c r="BU147">
        <f>'T_TTAFStock'!BS13</f>
        <v/>
      </c>
      <c r="BV147">
        <f>'T_TTAFStock'!BT13</f>
        <v/>
      </c>
      <c r="BW147">
        <f>'T_TTAFStock'!BU13</f>
        <v/>
      </c>
      <c r="BX147">
        <f>'T_TTAFStock'!BV13</f>
        <v/>
      </c>
      <c r="BY147">
        <f>'T_TTAFStock'!BW13</f>
        <v/>
      </c>
      <c r="BZ147">
        <f>'T_TTAFStock'!BX13</f>
        <v/>
      </c>
      <c r="CA147">
        <f>'T_TTAFStock'!BY13</f>
        <v/>
      </c>
      <c r="CB147">
        <f>'T_TTAFStock'!BZ13</f>
        <v/>
      </c>
      <c r="CC147">
        <f>'T_TTAFStock'!CA13</f>
        <v/>
      </c>
      <c r="CD147">
        <f>'T_TTAFStock'!CB13</f>
        <v/>
      </c>
      <c r="CE147">
        <f>'T_TTAFStock'!CC13</f>
        <v/>
      </c>
      <c r="CF147">
        <f>'T_TTAFStock'!CD13</f>
        <v/>
      </c>
      <c r="CG147">
        <f>'T_TTAFStock'!CE13</f>
        <v/>
      </c>
      <c r="CH147">
        <f>'T_TTAFStock'!CF13</f>
        <v/>
      </c>
      <c r="CI147">
        <f>'T_TTAFStock'!CG13</f>
        <v/>
      </c>
      <c r="CJ147">
        <f>'T_TTAFStock'!CH13</f>
        <v/>
      </c>
      <c r="CK147">
        <f>'T_TTAFStock'!CI13</f>
        <v/>
      </c>
      <c r="CL147">
        <f>'T_TTAFStock'!CJ13</f>
        <v/>
      </c>
      <c r="CM147">
        <f>'T_TTAFStock'!CK13</f>
        <v/>
      </c>
      <c r="CN147">
        <f>'T_TTAFStock'!CL13</f>
        <v/>
      </c>
      <c r="CO147">
        <f>'T_TTAFStock'!CM13</f>
        <v/>
      </c>
      <c r="CP147">
        <f>'T_TTAFStock'!CN13</f>
        <v/>
      </c>
      <c r="CQ147">
        <f>'T_TTAFStock'!CO13</f>
        <v/>
      </c>
      <c r="CR147">
        <f>'T_TTAFStock'!CP13</f>
        <v/>
      </c>
      <c r="CS147">
        <f>'T_TTAFStock'!CQ13</f>
        <v/>
      </c>
      <c r="CT147">
        <f>'T_TTAFStock'!CR13</f>
        <v/>
      </c>
      <c r="CU147">
        <f>'T_TTAFStock'!CS13</f>
        <v/>
      </c>
      <c r="CV147">
        <f>'T_TTAFStock'!CT13</f>
        <v/>
      </c>
      <c r="CW147">
        <f>'T_TTAFStock'!CU13</f>
        <v/>
      </c>
      <c r="CX147">
        <f>'T_TTAFStock'!CV13</f>
        <v/>
      </c>
      <c r="CY147">
        <f>'T_TTAFStock'!CW13</f>
        <v/>
      </c>
      <c r="CZ147">
        <f>'T_TTAFStock'!CX13</f>
        <v/>
      </c>
      <c r="DA147">
        <f>'T_TTAFStock'!CY13</f>
        <v/>
      </c>
      <c r="DB147">
        <f>'T_TTAFStock'!CZ13</f>
        <v/>
      </c>
      <c r="DC147">
        <f>'T_TTAFStock'!DA13</f>
        <v/>
      </c>
    </row>
    <row r="148">
      <c r="B148" t="inlineStr">
        <is>
          <t>自社在庫(実績,kg)</t>
        </is>
      </c>
      <c r="D148">
        <f>'T_SelfStock'!B13</f>
        <v/>
      </c>
      <c r="E148">
        <f>'T_SelfStock'!C13</f>
        <v/>
      </c>
      <c r="F148">
        <f>'T_SelfStock'!D13</f>
        <v/>
      </c>
      <c r="G148">
        <f>'T_SelfStock'!E13</f>
        <v/>
      </c>
      <c r="H148">
        <f>'T_SelfStock'!F13</f>
        <v/>
      </c>
      <c r="I148">
        <f>'T_SelfStock'!G13</f>
        <v/>
      </c>
      <c r="J148">
        <f>'T_SelfStock'!H13</f>
        <v/>
      </c>
      <c r="K148">
        <f>'T_SelfStock'!I13</f>
        <v/>
      </c>
      <c r="L148">
        <f>'T_SelfStock'!J13</f>
        <v/>
      </c>
      <c r="M148">
        <f>'T_SelfStock'!K13</f>
        <v/>
      </c>
      <c r="N148">
        <f>'T_SelfStock'!L13</f>
        <v/>
      </c>
      <c r="O148">
        <f>'T_SelfStock'!M13</f>
        <v/>
      </c>
      <c r="P148">
        <f>'T_SelfStock'!N13</f>
        <v/>
      </c>
      <c r="Q148">
        <f>'T_SelfStock'!O13</f>
        <v/>
      </c>
      <c r="R148">
        <f>'T_SelfStock'!P13</f>
        <v/>
      </c>
      <c r="S148">
        <f>'T_SelfStock'!Q13</f>
        <v/>
      </c>
      <c r="T148">
        <f>'T_SelfStock'!R13</f>
        <v/>
      </c>
      <c r="U148">
        <f>'T_SelfStock'!S13</f>
        <v/>
      </c>
      <c r="V148">
        <f>'T_SelfStock'!T13</f>
        <v/>
      </c>
      <c r="W148">
        <f>'T_SelfStock'!U13</f>
        <v/>
      </c>
      <c r="X148">
        <f>'T_SelfStock'!V13</f>
        <v/>
      </c>
      <c r="Y148">
        <f>'T_SelfStock'!W13</f>
        <v/>
      </c>
      <c r="Z148">
        <f>'T_SelfStock'!X13</f>
        <v/>
      </c>
      <c r="AA148">
        <f>'T_SelfStock'!Y13</f>
        <v/>
      </c>
      <c r="AB148">
        <f>'T_SelfStock'!Z13</f>
        <v/>
      </c>
      <c r="AC148">
        <f>'T_SelfStock'!AA13</f>
        <v/>
      </c>
      <c r="AD148">
        <f>'T_SelfStock'!AB13</f>
        <v/>
      </c>
      <c r="AE148">
        <f>'T_SelfStock'!AC13</f>
        <v/>
      </c>
      <c r="AF148">
        <f>'T_SelfStock'!AD13</f>
        <v/>
      </c>
      <c r="AG148">
        <f>'T_SelfStock'!AE13</f>
        <v/>
      </c>
      <c r="AH148">
        <f>'T_SelfStock'!AF13</f>
        <v/>
      </c>
      <c r="AI148">
        <f>'T_SelfStock'!AG13</f>
        <v/>
      </c>
      <c r="AJ148">
        <f>'T_SelfStock'!AH13</f>
        <v/>
      </c>
      <c r="AK148">
        <f>'T_SelfStock'!AI13</f>
        <v/>
      </c>
      <c r="AL148">
        <f>'T_SelfStock'!AJ13</f>
        <v/>
      </c>
      <c r="AM148">
        <f>'T_SelfStock'!AK13</f>
        <v/>
      </c>
      <c r="AN148">
        <f>'T_SelfStock'!AL13</f>
        <v/>
      </c>
      <c r="AO148">
        <f>'T_SelfStock'!AM13</f>
        <v/>
      </c>
      <c r="AP148">
        <f>'T_SelfStock'!AN13</f>
        <v/>
      </c>
      <c r="AQ148">
        <f>'T_SelfStock'!AO13</f>
        <v/>
      </c>
      <c r="AR148">
        <f>'T_SelfStock'!AP13</f>
        <v/>
      </c>
      <c r="AS148">
        <f>'T_SelfStock'!AQ13</f>
        <v/>
      </c>
      <c r="AT148">
        <f>'T_SelfStock'!AR13</f>
        <v/>
      </c>
      <c r="AU148">
        <f>'T_SelfStock'!AS13</f>
        <v/>
      </c>
      <c r="AV148">
        <f>'T_SelfStock'!AT13</f>
        <v/>
      </c>
      <c r="AW148">
        <f>'T_SelfStock'!AU13</f>
        <v/>
      </c>
      <c r="AX148">
        <f>'T_SelfStock'!AV13</f>
        <v/>
      </c>
      <c r="AY148">
        <f>'T_SelfStock'!AW13</f>
        <v/>
      </c>
      <c r="AZ148">
        <f>'T_SelfStock'!AX13</f>
        <v/>
      </c>
      <c r="BA148">
        <f>'T_SelfStock'!AY13</f>
        <v/>
      </c>
      <c r="BB148">
        <f>'T_SelfStock'!AZ13</f>
        <v/>
      </c>
      <c r="BC148">
        <f>'T_SelfStock'!BA13</f>
        <v/>
      </c>
      <c r="BD148">
        <f>'T_SelfStock'!BB13</f>
        <v/>
      </c>
      <c r="BE148">
        <f>'T_SelfStock'!BC13</f>
        <v/>
      </c>
      <c r="BF148">
        <f>'T_SelfStock'!BD13</f>
        <v/>
      </c>
      <c r="BG148">
        <f>'T_SelfStock'!BE13</f>
        <v/>
      </c>
      <c r="BH148">
        <f>'T_SelfStock'!BF13</f>
        <v/>
      </c>
      <c r="BI148">
        <f>'T_SelfStock'!BG13</f>
        <v/>
      </c>
      <c r="BJ148">
        <f>'T_SelfStock'!BH13</f>
        <v/>
      </c>
      <c r="BK148">
        <f>'T_SelfStock'!BI13</f>
        <v/>
      </c>
      <c r="BL148">
        <f>'T_SelfStock'!BJ13</f>
        <v/>
      </c>
      <c r="BM148">
        <f>'T_SelfStock'!BK13</f>
        <v/>
      </c>
      <c r="BN148">
        <f>'T_SelfStock'!BL13</f>
        <v/>
      </c>
      <c r="BO148">
        <f>'T_SelfStock'!BM13</f>
        <v/>
      </c>
      <c r="BP148">
        <f>'T_SelfStock'!BN13</f>
        <v/>
      </c>
      <c r="BQ148">
        <f>'T_SelfStock'!BO13</f>
        <v/>
      </c>
      <c r="BR148">
        <f>'T_SelfStock'!BP13</f>
        <v/>
      </c>
      <c r="BS148">
        <f>'T_SelfStock'!BQ13</f>
        <v/>
      </c>
      <c r="BT148">
        <f>'T_SelfStock'!BR13</f>
        <v/>
      </c>
      <c r="BU148">
        <f>'T_SelfStock'!BS13</f>
        <v/>
      </c>
      <c r="BV148">
        <f>'T_SelfStock'!BT13</f>
        <v/>
      </c>
      <c r="BW148">
        <f>'T_SelfStock'!BU13</f>
        <v/>
      </c>
      <c r="BX148">
        <f>'T_SelfStock'!BV13</f>
        <v/>
      </c>
      <c r="BY148">
        <f>'T_SelfStock'!BW13</f>
        <v/>
      </c>
      <c r="BZ148">
        <f>'T_SelfStock'!BX13</f>
        <v/>
      </c>
      <c r="CA148">
        <f>'T_SelfStock'!BY13</f>
        <v/>
      </c>
      <c r="CB148">
        <f>'T_SelfStock'!BZ13</f>
        <v/>
      </c>
      <c r="CC148">
        <f>'T_SelfStock'!CA13</f>
        <v/>
      </c>
      <c r="CD148">
        <f>'T_SelfStock'!CB13</f>
        <v/>
      </c>
      <c r="CE148">
        <f>'T_SelfStock'!CC13</f>
        <v/>
      </c>
      <c r="CF148">
        <f>'T_SelfStock'!CD13</f>
        <v/>
      </c>
      <c r="CG148">
        <f>'T_SelfStock'!CE13</f>
        <v/>
      </c>
      <c r="CH148">
        <f>'T_SelfStock'!CF13</f>
        <v/>
      </c>
      <c r="CI148">
        <f>'T_SelfStock'!CG13</f>
        <v/>
      </c>
      <c r="CJ148">
        <f>'T_SelfStock'!CH13</f>
        <v/>
      </c>
      <c r="CK148">
        <f>'T_SelfStock'!CI13</f>
        <v/>
      </c>
      <c r="CL148">
        <f>'T_SelfStock'!CJ13</f>
        <v/>
      </c>
      <c r="CM148">
        <f>'T_SelfStock'!CK13</f>
        <v/>
      </c>
      <c r="CN148">
        <f>'T_SelfStock'!CL13</f>
        <v/>
      </c>
      <c r="CO148">
        <f>'T_SelfStock'!CM13</f>
        <v/>
      </c>
      <c r="CP148">
        <f>'T_SelfStock'!CN13</f>
        <v/>
      </c>
      <c r="CQ148">
        <f>'T_SelfStock'!CO13</f>
        <v/>
      </c>
      <c r="CR148">
        <f>'T_SelfStock'!CP13</f>
        <v/>
      </c>
      <c r="CS148">
        <f>'T_SelfStock'!CQ13</f>
        <v/>
      </c>
      <c r="CT148">
        <f>'T_SelfStock'!CR13</f>
        <v/>
      </c>
      <c r="CU148">
        <f>'T_SelfStock'!CS13</f>
        <v/>
      </c>
      <c r="CV148">
        <f>'T_SelfStock'!CT13</f>
        <v/>
      </c>
      <c r="CW148">
        <f>'T_SelfStock'!CU13</f>
        <v/>
      </c>
      <c r="CX148">
        <f>'T_SelfStock'!CV13</f>
        <v/>
      </c>
      <c r="CY148">
        <f>'T_SelfStock'!CW13</f>
        <v/>
      </c>
      <c r="CZ148">
        <f>'T_SelfStock'!CX13</f>
        <v/>
      </c>
      <c r="DA148">
        <f>'T_SelfStock'!CY13</f>
        <v/>
      </c>
      <c r="DB148">
        <f>'T_SelfStock'!CZ13</f>
        <v/>
      </c>
      <c r="DC148">
        <f>'T_SelfStock'!DA13</f>
        <v/>
      </c>
    </row>
    <row r="149">
      <c r="B149" t="inlineStr">
        <is>
          <t>Order(発注予定,kg)</t>
        </is>
      </c>
      <c r="D149">
        <f>IF(SUMIFS(T_PlannedOrders[EffectiveQty],T_PlannedOrders[Part Name],$A143,T_PlannedOrders[WeekIndex],1)=0,"",SUMIFS(T_PlannedOrders[EffectiveQty],T_PlannedOrders[Part Name],$A143,T_PlannedOrders[WeekIndex],1)&amp;" ("&amp;TEXT(SUMPRODUCT(MAX((T_PlannedOrders[Part Name]=$A143)*(T_PlannedOrders[WeekIndex]=1)*(T_PlannedOrders[EffectiveQty]&gt;0)*T_PlannedOrders[Order_Month])),"m月")&amp;"発注)")</f>
        <v/>
      </c>
      <c r="E149">
        <f>IF(SUMIFS(T_PlannedOrders[EffectiveQty],T_PlannedOrders[Part Name],$A143,T_PlannedOrders[WeekIndex],2)=0,"",SUMIFS(T_PlannedOrders[EffectiveQty],T_PlannedOrders[Part Name],$A143,T_PlannedOrders[WeekIndex],2)&amp;" ("&amp;TEXT(SUMPRODUCT(MAX((T_PlannedOrders[Part Name]=$A143)*(T_PlannedOrders[WeekIndex]=2)*(T_PlannedOrders[EffectiveQty]&gt;0)*T_PlannedOrders[Order_Month])),"m月")&amp;"発注)")</f>
        <v/>
      </c>
      <c r="F149">
        <f>IF(SUMIFS(T_PlannedOrders[EffectiveQty],T_PlannedOrders[Part Name],$A143,T_PlannedOrders[WeekIndex],3)=0,"",SUMIFS(T_PlannedOrders[EffectiveQty],T_PlannedOrders[Part Name],$A143,T_PlannedOrders[WeekIndex],3)&amp;" ("&amp;TEXT(SUMPRODUCT(MAX((T_PlannedOrders[Part Name]=$A143)*(T_PlannedOrders[WeekIndex]=3)*(T_PlannedOrders[EffectiveQty]&gt;0)*T_PlannedOrders[Order_Month])),"m月")&amp;"発注)")</f>
        <v/>
      </c>
      <c r="G149">
        <f>IF(SUMIFS(T_PlannedOrders[EffectiveQty],T_PlannedOrders[Part Name],$A143,T_PlannedOrders[WeekIndex],4)=0,"",SUMIFS(T_PlannedOrders[EffectiveQty],T_PlannedOrders[Part Name],$A143,T_PlannedOrders[WeekIndex],4)&amp;" ("&amp;TEXT(SUMPRODUCT(MAX((T_PlannedOrders[Part Name]=$A143)*(T_PlannedOrders[WeekIndex]=4)*(T_PlannedOrders[EffectiveQty]&gt;0)*T_PlannedOrders[Order_Month])),"m月")&amp;"発注)")</f>
        <v/>
      </c>
      <c r="H149">
        <f>IF(SUMIFS(T_PlannedOrders[EffectiveQty],T_PlannedOrders[Part Name],$A143,T_PlannedOrders[WeekIndex],5)=0,"",SUMIFS(T_PlannedOrders[EffectiveQty],T_PlannedOrders[Part Name],$A143,T_PlannedOrders[WeekIndex],5)&amp;" ("&amp;TEXT(SUMPRODUCT(MAX((T_PlannedOrders[Part Name]=$A143)*(T_PlannedOrders[WeekIndex]=5)*(T_PlannedOrders[EffectiveQty]&gt;0)*T_PlannedOrders[Order_Month])),"m月")&amp;"発注)")</f>
        <v/>
      </c>
      <c r="I149">
        <f>IF(SUMIFS(T_PlannedOrders[EffectiveQty],T_PlannedOrders[Part Name],$A143,T_PlannedOrders[WeekIndex],6)=0,"",SUMIFS(T_PlannedOrders[EffectiveQty],T_PlannedOrders[Part Name],$A143,T_PlannedOrders[WeekIndex],6)&amp;" ("&amp;TEXT(SUMPRODUCT(MAX((T_PlannedOrders[Part Name]=$A143)*(T_PlannedOrders[WeekIndex]=6)*(T_PlannedOrders[EffectiveQty]&gt;0)*T_PlannedOrders[Order_Month])),"m月")&amp;"発注)")</f>
        <v/>
      </c>
      <c r="J149">
        <f>IF(SUMIFS(T_PlannedOrders[EffectiveQty],T_PlannedOrders[Part Name],$A143,T_PlannedOrders[WeekIndex],7)=0,"",SUMIFS(T_PlannedOrders[EffectiveQty],T_PlannedOrders[Part Name],$A143,T_PlannedOrders[WeekIndex],7)&amp;" ("&amp;TEXT(SUMPRODUCT(MAX((T_PlannedOrders[Part Name]=$A143)*(T_PlannedOrders[WeekIndex]=7)*(T_PlannedOrders[EffectiveQty]&gt;0)*T_PlannedOrders[Order_Month])),"m月")&amp;"発注)")</f>
        <v/>
      </c>
      <c r="K149">
        <f>IF(SUMIFS(T_PlannedOrders[EffectiveQty],T_PlannedOrders[Part Name],$A143,T_PlannedOrders[WeekIndex],8)=0,"",SUMIFS(T_PlannedOrders[EffectiveQty],T_PlannedOrders[Part Name],$A143,T_PlannedOrders[WeekIndex],8)&amp;" ("&amp;TEXT(SUMPRODUCT(MAX((T_PlannedOrders[Part Name]=$A143)*(T_PlannedOrders[WeekIndex]=8)*(T_PlannedOrders[EffectiveQty]&gt;0)*T_PlannedOrders[Order_Month])),"m月")&amp;"発注)")</f>
        <v/>
      </c>
      <c r="L149">
        <f>IF(SUMIFS(T_PlannedOrders[EffectiveQty],T_PlannedOrders[Part Name],$A143,T_PlannedOrders[WeekIndex],9)=0,"",SUMIFS(T_PlannedOrders[EffectiveQty],T_PlannedOrders[Part Name],$A143,T_PlannedOrders[WeekIndex],9)&amp;" ("&amp;TEXT(SUMPRODUCT(MAX((T_PlannedOrders[Part Name]=$A143)*(T_PlannedOrders[WeekIndex]=9)*(T_PlannedOrders[EffectiveQty]&gt;0)*T_PlannedOrders[Order_Month])),"m月")&amp;"発注)")</f>
        <v/>
      </c>
      <c r="M149">
        <f>IF(SUMIFS(T_PlannedOrders[EffectiveQty],T_PlannedOrders[Part Name],$A143,T_PlannedOrders[WeekIndex],10)=0,"",SUMIFS(T_PlannedOrders[EffectiveQty],T_PlannedOrders[Part Name],$A143,T_PlannedOrders[WeekIndex],10)&amp;" ("&amp;TEXT(SUMPRODUCT(MAX((T_PlannedOrders[Part Name]=$A143)*(T_PlannedOrders[WeekIndex]=10)*(T_PlannedOrders[EffectiveQty]&gt;0)*T_PlannedOrders[Order_Month])),"m月")&amp;"発注)")</f>
        <v/>
      </c>
      <c r="N149">
        <f>IF(SUMIFS(T_PlannedOrders[EffectiveQty],T_PlannedOrders[Part Name],$A143,T_PlannedOrders[WeekIndex],11)=0,"",SUMIFS(T_PlannedOrders[EffectiveQty],T_PlannedOrders[Part Name],$A143,T_PlannedOrders[WeekIndex],11)&amp;" ("&amp;TEXT(SUMPRODUCT(MAX((T_PlannedOrders[Part Name]=$A143)*(T_PlannedOrders[WeekIndex]=11)*(T_PlannedOrders[EffectiveQty]&gt;0)*T_PlannedOrders[Order_Month])),"m月")&amp;"発注)")</f>
        <v/>
      </c>
      <c r="O149">
        <f>IF(SUMIFS(T_PlannedOrders[EffectiveQty],T_PlannedOrders[Part Name],$A143,T_PlannedOrders[WeekIndex],12)=0,"",SUMIFS(T_PlannedOrders[EffectiveQty],T_PlannedOrders[Part Name],$A143,T_PlannedOrders[WeekIndex],12)&amp;" ("&amp;TEXT(SUMPRODUCT(MAX((T_PlannedOrders[Part Name]=$A143)*(T_PlannedOrders[WeekIndex]=12)*(T_PlannedOrders[EffectiveQty]&gt;0)*T_PlannedOrders[Order_Month])),"m月")&amp;"発注)")</f>
        <v/>
      </c>
      <c r="P149">
        <f>IF(SUMIFS(T_PlannedOrders[EffectiveQty],T_PlannedOrders[Part Name],$A143,T_PlannedOrders[WeekIndex],13)=0,"",SUMIFS(T_PlannedOrders[EffectiveQty],T_PlannedOrders[Part Name],$A143,T_PlannedOrders[WeekIndex],13)&amp;" ("&amp;TEXT(SUMPRODUCT(MAX((T_PlannedOrders[Part Name]=$A143)*(T_PlannedOrders[WeekIndex]=13)*(T_PlannedOrders[EffectiveQty]&gt;0)*T_PlannedOrders[Order_Month])),"m月")&amp;"発注)")</f>
        <v/>
      </c>
      <c r="Q149">
        <f>IF(SUMIFS(T_PlannedOrders[EffectiveQty],T_PlannedOrders[Part Name],$A143,T_PlannedOrders[WeekIndex],14)=0,"",SUMIFS(T_PlannedOrders[EffectiveQty],T_PlannedOrders[Part Name],$A143,T_PlannedOrders[WeekIndex],14)&amp;" ("&amp;TEXT(SUMPRODUCT(MAX((T_PlannedOrders[Part Name]=$A143)*(T_PlannedOrders[WeekIndex]=14)*(T_PlannedOrders[EffectiveQty]&gt;0)*T_PlannedOrders[Order_Month])),"m月")&amp;"発注)")</f>
        <v/>
      </c>
      <c r="R149">
        <f>IF(SUMIFS(T_PlannedOrders[EffectiveQty],T_PlannedOrders[Part Name],$A143,T_PlannedOrders[WeekIndex],15)=0,"",SUMIFS(T_PlannedOrders[EffectiveQty],T_PlannedOrders[Part Name],$A143,T_PlannedOrders[WeekIndex],15)&amp;" ("&amp;TEXT(SUMPRODUCT(MAX((T_PlannedOrders[Part Name]=$A143)*(T_PlannedOrders[WeekIndex]=15)*(T_PlannedOrders[EffectiveQty]&gt;0)*T_PlannedOrders[Order_Month])),"m月")&amp;"発注)")</f>
        <v/>
      </c>
      <c r="S149">
        <f>IF(SUMIFS(T_PlannedOrders[EffectiveQty],T_PlannedOrders[Part Name],$A143,T_PlannedOrders[WeekIndex],16)=0,"",SUMIFS(T_PlannedOrders[EffectiveQty],T_PlannedOrders[Part Name],$A143,T_PlannedOrders[WeekIndex],16)&amp;" ("&amp;TEXT(SUMPRODUCT(MAX((T_PlannedOrders[Part Name]=$A143)*(T_PlannedOrders[WeekIndex]=16)*(T_PlannedOrders[EffectiveQty]&gt;0)*T_PlannedOrders[Order_Month])),"m月")&amp;"発注)")</f>
        <v/>
      </c>
      <c r="T149">
        <f>IF(SUMIFS(T_PlannedOrders[EffectiveQty],T_PlannedOrders[Part Name],$A143,T_PlannedOrders[WeekIndex],17)=0,"",SUMIFS(T_PlannedOrders[EffectiveQty],T_PlannedOrders[Part Name],$A143,T_PlannedOrders[WeekIndex],17)&amp;" ("&amp;TEXT(SUMPRODUCT(MAX((T_PlannedOrders[Part Name]=$A143)*(T_PlannedOrders[WeekIndex]=17)*(T_PlannedOrders[EffectiveQty]&gt;0)*T_PlannedOrders[Order_Month])),"m月")&amp;"発注)")</f>
        <v/>
      </c>
      <c r="U149">
        <f>IF(SUMIFS(T_PlannedOrders[EffectiveQty],T_PlannedOrders[Part Name],$A143,T_PlannedOrders[WeekIndex],18)=0,"",SUMIFS(T_PlannedOrders[EffectiveQty],T_PlannedOrders[Part Name],$A143,T_PlannedOrders[WeekIndex],18)&amp;" ("&amp;TEXT(SUMPRODUCT(MAX((T_PlannedOrders[Part Name]=$A143)*(T_PlannedOrders[WeekIndex]=18)*(T_PlannedOrders[EffectiveQty]&gt;0)*T_PlannedOrders[Order_Month])),"m月")&amp;"発注)")</f>
        <v/>
      </c>
      <c r="V149">
        <f>IF(SUMIFS(T_PlannedOrders[EffectiveQty],T_PlannedOrders[Part Name],$A143,T_PlannedOrders[WeekIndex],19)=0,"",SUMIFS(T_PlannedOrders[EffectiveQty],T_PlannedOrders[Part Name],$A143,T_PlannedOrders[WeekIndex],19)&amp;" ("&amp;TEXT(SUMPRODUCT(MAX((T_PlannedOrders[Part Name]=$A143)*(T_PlannedOrders[WeekIndex]=19)*(T_PlannedOrders[EffectiveQty]&gt;0)*T_PlannedOrders[Order_Month])),"m月")&amp;"発注)")</f>
        <v/>
      </c>
      <c r="W149">
        <f>IF(SUMIFS(T_PlannedOrders[EffectiveQty],T_PlannedOrders[Part Name],$A143,T_PlannedOrders[WeekIndex],20)=0,"",SUMIFS(T_PlannedOrders[EffectiveQty],T_PlannedOrders[Part Name],$A143,T_PlannedOrders[WeekIndex],20)&amp;" ("&amp;TEXT(SUMPRODUCT(MAX((T_PlannedOrders[Part Name]=$A143)*(T_PlannedOrders[WeekIndex]=20)*(T_PlannedOrders[EffectiveQty]&gt;0)*T_PlannedOrders[Order_Month])),"m月")&amp;"発注)")</f>
        <v/>
      </c>
      <c r="X149">
        <f>IF(SUMIFS(T_PlannedOrders[EffectiveQty],T_PlannedOrders[Part Name],$A143,T_PlannedOrders[WeekIndex],21)=0,"",SUMIFS(T_PlannedOrders[EffectiveQty],T_PlannedOrders[Part Name],$A143,T_PlannedOrders[WeekIndex],21)&amp;" ("&amp;TEXT(SUMPRODUCT(MAX((T_PlannedOrders[Part Name]=$A143)*(T_PlannedOrders[WeekIndex]=21)*(T_PlannedOrders[EffectiveQty]&gt;0)*T_PlannedOrders[Order_Month])),"m月")&amp;"発注)")</f>
        <v/>
      </c>
      <c r="Y149">
        <f>IF(SUMIFS(T_PlannedOrders[EffectiveQty],T_PlannedOrders[Part Name],$A143,T_PlannedOrders[WeekIndex],22)=0,"",SUMIFS(T_PlannedOrders[EffectiveQty],T_PlannedOrders[Part Name],$A143,T_PlannedOrders[WeekIndex],22)&amp;" ("&amp;TEXT(SUMPRODUCT(MAX((T_PlannedOrders[Part Name]=$A143)*(T_PlannedOrders[WeekIndex]=22)*(T_PlannedOrders[EffectiveQty]&gt;0)*T_PlannedOrders[Order_Month])),"m月")&amp;"発注)")</f>
        <v/>
      </c>
      <c r="Z149">
        <f>IF(SUMIFS(T_PlannedOrders[EffectiveQty],T_PlannedOrders[Part Name],$A143,T_PlannedOrders[WeekIndex],23)=0,"",SUMIFS(T_PlannedOrders[EffectiveQty],T_PlannedOrders[Part Name],$A143,T_PlannedOrders[WeekIndex],23)&amp;" ("&amp;TEXT(SUMPRODUCT(MAX((T_PlannedOrders[Part Name]=$A143)*(T_PlannedOrders[WeekIndex]=23)*(T_PlannedOrders[EffectiveQty]&gt;0)*T_PlannedOrders[Order_Month])),"m月")&amp;"発注)")</f>
        <v/>
      </c>
      <c r="AA149">
        <f>IF(SUMIFS(T_PlannedOrders[EffectiveQty],T_PlannedOrders[Part Name],$A143,T_PlannedOrders[WeekIndex],24)=0,"",SUMIFS(T_PlannedOrders[EffectiveQty],T_PlannedOrders[Part Name],$A143,T_PlannedOrders[WeekIndex],24)&amp;" ("&amp;TEXT(SUMPRODUCT(MAX((T_PlannedOrders[Part Name]=$A143)*(T_PlannedOrders[WeekIndex]=24)*(T_PlannedOrders[EffectiveQty]&gt;0)*T_PlannedOrders[Order_Month])),"m月")&amp;"発注)")</f>
        <v/>
      </c>
      <c r="AB149">
        <f>IF(SUMIFS(T_PlannedOrders[EffectiveQty],T_PlannedOrders[Part Name],$A143,T_PlannedOrders[WeekIndex],25)=0,"",SUMIFS(T_PlannedOrders[EffectiveQty],T_PlannedOrders[Part Name],$A143,T_PlannedOrders[WeekIndex],25)&amp;" ("&amp;TEXT(SUMPRODUCT(MAX((T_PlannedOrders[Part Name]=$A143)*(T_PlannedOrders[WeekIndex]=25)*(T_PlannedOrders[EffectiveQty]&gt;0)*T_PlannedOrders[Order_Month])),"m月")&amp;"発注)")</f>
        <v/>
      </c>
      <c r="AC149">
        <f>IF(SUMIFS(T_PlannedOrders[EffectiveQty],T_PlannedOrders[Part Name],$A143,T_PlannedOrders[WeekIndex],26)=0,"",SUMIFS(T_PlannedOrders[EffectiveQty],T_PlannedOrders[Part Name],$A143,T_PlannedOrders[WeekIndex],26)&amp;" ("&amp;TEXT(SUMPRODUCT(MAX((T_PlannedOrders[Part Name]=$A143)*(T_PlannedOrders[WeekIndex]=26)*(T_PlannedOrders[EffectiveQty]&gt;0)*T_PlannedOrders[Order_Month])),"m月")&amp;"発注)")</f>
        <v/>
      </c>
      <c r="AD149">
        <f>IF(SUMIFS(T_PlannedOrders[EffectiveQty],T_PlannedOrders[Part Name],$A143,T_PlannedOrders[WeekIndex],27)=0,"",SUMIFS(T_PlannedOrders[EffectiveQty],T_PlannedOrders[Part Name],$A143,T_PlannedOrders[WeekIndex],27)&amp;" ("&amp;TEXT(SUMPRODUCT(MAX((T_PlannedOrders[Part Name]=$A143)*(T_PlannedOrders[WeekIndex]=27)*(T_PlannedOrders[EffectiveQty]&gt;0)*T_PlannedOrders[Order_Month])),"m月")&amp;"発注)")</f>
        <v/>
      </c>
      <c r="AE149">
        <f>IF(SUMIFS(T_PlannedOrders[EffectiveQty],T_PlannedOrders[Part Name],$A143,T_PlannedOrders[WeekIndex],28)=0,"",SUMIFS(T_PlannedOrders[EffectiveQty],T_PlannedOrders[Part Name],$A143,T_PlannedOrders[WeekIndex],28)&amp;" ("&amp;TEXT(SUMPRODUCT(MAX((T_PlannedOrders[Part Name]=$A143)*(T_PlannedOrders[WeekIndex]=28)*(T_PlannedOrders[EffectiveQty]&gt;0)*T_PlannedOrders[Order_Month])),"m月")&amp;"発注)")</f>
        <v/>
      </c>
      <c r="AF149">
        <f>IF(SUMIFS(T_PlannedOrders[EffectiveQty],T_PlannedOrders[Part Name],$A143,T_PlannedOrders[WeekIndex],29)=0,"",SUMIFS(T_PlannedOrders[EffectiveQty],T_PlannedOrders[Part Name],$A143,T_PlannedOrders[WeekIndex],29)&amp;" ("&amp;TEXT(SUMPRODUCT(MAX((T_PlannedOrders[Part Name]=$A143)*(T_PlannedOrders[WeekIndex]=29)*(T_PlannedOrders[EffectiveQty]&gt;0)*T_PlannedOrders[Order_Month])),"m月")&amp;"発注)")</f>
        <v/>
      </c>
      <c r="AG149">
        <f>IF(SUMIFS(T_PlannedOrders[EffectiveQty],T_PlannedOrders[Part Name],$A143,T_PlannedOrders[WeekIndex],30)=0,"",SUMIFS(T_PlannedOrders[EffectiveQty],T_PlannedOrders[Part Name],$A143,T_PlannedOrders[WeekIndex],30)&amp;" ("&amp;TEXT(SUMPRODUCT(MAX((T_PlannedOrders[Part Name]=$A143)*(T_PlannedOrders[WeekIndex]=30)*(T_PlannedOrders[EffectiveQty]&gt;0)*T_PlannedOrders[Order_Month])),"m月")&amp;"発注)")</f>
        <v/>
      </c>
      <c r="AH149">
        <f>IF(SUMIFS(T_PlannedOrders[EffectiveQty],T_PlannedOrders[Part Name],$A143,T_PlannedOrders[WeekIndex],31)=0,"",SUMIFS(T_PlannedOrders[EffectiveQty],T_PlannedOrders[Part Name],$A143,T_PlannedOrders[WeekIndex],31)&amp;" ("&amp;TEXT(SUMPRODUCT(MAX((T_PlannedOrders[Part Name]=$A143)*(T_PlannedOrders[WeekIndex]=31)*(T_PlannedOrders[EffectiveQty]&gt;0)*T_PlannedOrders[Order_Month])),"m月")&amp;"発注)")</f>
        <v/>
      </c>
      <c r="AI149">
        <f>IF(SUMIFS(T_PlannedOrders[EffectiveQty],T_PlannedOrders[Part Name],$A143,T_PlannedOrders[WeekIndex],32)=0,"",SUMIFS(T_PlannedOrders[EffectiveQty],T_PlannedOrders[Part Name],$A143,T_PlannedOrders[WeekIndex],32)&amp;" ("&amp;TEXT(SUMPRODUCT(MAX((T_PlannedOrders[Part Name]=$A143)*(T_PlannedOrders[WeekIndex]=32)*(T_PlannedOrders[EffectiveQty]&gt;0)*T_PlannedOrders[Order_Month])),"m月")&amp;"発注)")</f>
        <v/>
      </c>
      <c r="AJ149">
        <f>IF(SUMIFS(T_PlannedOrders[EffectiveQty],T_PlannedOrders[Part Name],$A143,T_PlannedOrders[WeekIndex],33)=0,"",SUMIFS(T_PlannedOrders[EffectiveQty],T_PlannedOrders[Part Name],$A143,T_PlannedOrders[WeekIndex],33)&amp;" ("&amp;TEXT(SUMPRODUCT(MAX((T_PlannedOrders[Part Name]=$A143)*(T_PlannedOrders[WeekIndex]=33)*(T_PlannedOrders[EffectiveQty]&gt;0)*T_PlannedOrders[Order_Month])),"m月")&amp;"発注)")</f>
        <v/>
      </c>
      <c r="AK149">
        <f>IF(SUMIFS(T_PlannedOrders[EffectiveQty],T_PlannedOrders[Part Name],$A143,T_PlannedOrders[WeekIndex],34)=0,"",SUMIFS(T_PlannedOrders[EffectiveQty],T_PlannedOrders[Part Name],$A143,T_PlannedOrders[WeekIndex],34)&amp;" ("&amp;TEXT(SUMPRODUCT(MAX((T_PlannedOrders[Part Name]=$A143)*(T_PlannedOrders[WeekIndex]=34)*(T_PlannedOrders[EffectiveQty]&gt;0)*T_PlannedOrders[Order_Month])),"m月")&amp;"発注)")</f>
        <v/>
      </c>
      <c r="AL149">
        <f>IF(SUMIFS(T_PlannedOrders[EffectiveQty],T_PlannedOrders[Part Name],$A143,T_PlannedOrders[WeekIndex],35)=0,"",SUMIFS(T_PlannedOrders[EffectiveQty],T_PlannedOrders[Part Name],$A143,T_PlannedOrders[WeekIndex],35)&amp;" ("&amp;TEXT(SUMPRODUCT(MAX((T_PlannedOrders[Part Name]=$A143)*(T_PlannedOrders[WeekIndex]=35)*(T_PlannedOrders[EffectiveQty]&gt;0)*T_PlannedOrders[Order_Month])),"m月")&amp;"発注)")</f>
        <v/>
      </c>
      <c r="AM149">
        <f>IF(SUMIFS(T_PlannedOrders[EffectiveQty],T_PlannedOrders[Part Name],$A143,T_PlannedOrders[WeekIndex],36)=0,"",SUMIFS(T_PlannedOrders[EffectiveQty],T_PlannedOrders[Part Name],$A143,T_PlannedOrders[WeekIndex],36)&amp;" ("&amp;TEXT(SUMPRODUCT(MAX((T_PlannedOrders[Part Name]=$A143)*(T_PlannedOrders[WeekIndex]=36)*(T_PlannedOrders[EffectiveQty]&gt;0)*T_PlannedOrders[Order_Month])),"m月")&amp;"発注)")</f>
        <v/>
      </c>
      <c r="AN149">
        <f>IF(SUMIFS(T_PlannedOrders[EffectiveQty],T_PlannedOrders[Part Name],$A143,T_PlannedOrders[WeekIndex],37)=0,"",SUMIFS(T_PlannedOrders[EffectiveQty],T_PlannedOrders[Part Name],$A143,T_PlannedOrders[WeekIndex],37)&amp;" ("&amp;TEXT(SUMPRODUCT(MAX((T_PlannedOrders[Part Name]=$A143)*(T_PlannedOrders[WeekIndex]=37)*(T_PlannedOrders[EffectiveQty]&gt;0)*T_PlannedOrders[Order_Month])),"m月")&amp;"発注)")</f>
        <v/>
      </c>
      <c r="AO149">
        <f>IF(SUMIFS(T_PlannedOrders[EffectiveQty],T_PlannedOrders[Part Name],$A143,T_PlannedOrders[WeekIndex],38)=0,"",SUMIFS(T_PlannedOrders[EffectiveQty],T_PlannedOrders[Part Name],$A143,T_PlannedOrders[WeekIndex],38)&amp;" ("&amp;TEXT(SUMPRODUCT(MAX((T_PlannedOrders[Part Name]=$A143)*(T_PlannedOrders[WeekIndex]=38)*(T_PlannedOrders[EffectiveQty]&gt;0)*T_PlannedOrders[Order_Month])),"m月")&amp;"発注)")</f>
        <v/>
      </c>
      <c r="AP149">
        <f>IF(SUMIFS(T_PlannedOrders[EffectiveQty],T_PlannedOrders[Part Name],$A143,T_PlannedOrders[WeekIndex],39)=0,"",SUMIFS(T_PlannedOrders[EffectiveQty],T_PlannedOrders[Part Name],$A143,T_PlannedOrders[WeekIndex],39)&amp;" ("&amp;TEXT(SUMPRODUCT(MAX((T_PlannedOrders[Part Name]=$A143)*(T_PlannedOrders[WeekIndex]=39)*(T_PlannedOrders[EffectiveQty]&gt;0)*T_PlannedOrders[Order_Month])),"m月")&amp;"発注)")</f>
        <v/>
      </c>
      <c r="AQ149">
        <f>IF(SUMIFS(T_PlannedOrders[EffectiveQty],T_PlannedOrders[Part Name],$A143,T_PlannedOrders[WeekIndex],40)=0,"",SUMIFS(T_PlannedOrders[EffectiveQty],T_PlannedOrders[Part Name],$A143,T_PlannedOrders[WeekIndex],40)&amp;" ("&amp;TEXT(SUMPRODUCT(MAX((T_PlannedOrders[Part Name]=$A143)*(T_PlannedOrders[WeekIndex]=40)*(T_PlannedOrders[EffectiveQty]&gt;0)*T_PlannedOrders[Order_Month])),"m月")&amp;"発注)")</f>
        <v/>
      </c>
      <c r="AR149">
        <f>IF(SUMIFS(T_PlannedOrders[EffectiveQty],T_PlannedOrders[Part Name],$A143,T_PlannedOrders[WeekIndex],41)=0,"",SUMIFS(T_PlannedOrders[EffectiveQty],T_PlannedOrders[Part Name],$A143,T_PlannedOrders[WeekIndex],41)&amp;" ("&amp;TEXT(SUMPRODUCT(MAX((T_PlannedOrders[Part Name]=$A143)*(T_PlannedOrders[WeekIndex]=41)*(T_PlannedOrders[EffectiveQty]&gt;0)*T_PlannedOrders[Order_Month])),"m月")&amp;"発注)")</f>
        <v/>
      </c>
      <c r="AS149">
        <f>IF(SUMIFS(T_PlannedOrders[EffectiveQty],T_PlannedOrders[Part Name],$A143,T_PlannedOrders[WeekIndex],42)=0,"",SUMIFS(T_PlannedOrders[EffectiveQty],T_PlannedOrders[Part Name],$A143,T_PlannedOrders[WeekIndex],42)&amp;" ("&amp;TEXT(SUMPRODUCT(MAX((T_PlannedOrders[Part Name]=$A143)*(T_PlannedOrders[WeekIndex]=42)*(T_PlannedOrders[EffectiveQty]&gt;0)*T_PlannedOrders[Order_Month])),"m月")&amp;"発注)")</f>
        <v/>
      </c>
      <c r="AT149">
        <f>IF(SUMIFS(T_PlannedOrders[EffectiveQty],T_PlannedOrders[Part Name],$A143,T_PlannedOrders[WeekIndex],43)=0,"",SUMIFS(T_PlannedOrders[EffectiveQty],T_PlannedOrders[Part Name],$A143,T_PlannedOrders[WeekIndex],43)&amp;" ("&amp;TEXT(SUMPRODUCT(MAX((T_PlannedOrders[Part Name]=$A143)*(T_PlannedOrders[WeekIndex]=43)*(T_PlannedOrders[EffectiveQty]&gt;0)*T_PlannedOrders[Order_Month])),"m月")&amp;"発注)")</f>
        <v/>
      </c>
      <c r="AU149">
        <f>IF(SUMIFS(T_PlannedOrders[EffectiveQty],T_PlannedOrders[Part Name],$A143,T_PlannedOrders[WeekIndex],44)=0,"",SUMIFS(T_PlannedOrders[EffectiveQty],T_PlannedOrders[Part Name],$A143,T_PlannedOrders[WeekIndex],44)&amp;" ("&amp;TEXT(SUMPRODUCT(MAX((T_PlannedOrders[Part Name]=$A143)*(T_PlannedOrders[WeekIndex]=44)*(T_PlannedOrders[EffectiveQty]&gt;0)*T_PlannedOrders[Order_Month])),"m月")&amp;"発注)")</f>
        <v/>
      </c>
      <c r="AV149">
        <f>IF(SUMIFS(T_PlannedOrders[EffectiveQty],T_PlannedOrders[Part Name],$A143,T_PlannedOrders[WeekIndex],45)=0,"",SUMIFS(T_PlannedOrders[EffectiveQty],T_PlannedOrders[Part Name],$A143,T_PlannedOrders[WeekIndex],45)&amp;" ("&amp;TEXT(SUMPRODUCT(MAX((T_PlannedOrders[Part Name]=$A143)*(T_PlannedOrders[WeekIndex]=45)*(T_PlannedOrders[EffectiveQty]&gt;0)*T_PlannedOrders[Order_Month])),"m月")&amp;"発注)")</f>
        <v/>
      </c>
      <c r="AW149">
        <f>IF(SUMIFS(T_PlannedOrders[EffectiveQty],T_PlannedOrders[Part Name],$A143,T_PlannedOrders[WeekIndex],46)=0,"",SUMIFS(T_PlannedOrders[EffectiveQty],T_PlannedOrders[Part Name],$A143,T_PlannedOrders[WeekIndex],46)&amp;" ("&amp;TEXT(SUMPRODUCT(MAX((T_PlannedOrders[Part Name]=$A143)*(T_PlannedOrders[WeekIndex]=46)*(T_PlannedOrders[EffectiveQty]&gt;0)*T_PlannedOrders[Order_Month])),"m月")&amp;"発注)")</f>
        <v/>
      </c>
      <c r="AX149">
        <f>IF(SUMIFS(T_PlannedOrders[EffectiveQty],T_PlannedOrders[Part Name],$A143,T_PlannedOrders[WeekIndex],47)=0,"",SUMIFS(T_PlannedOrders[EffectiveQty],T_PlannedOrders[Part Name],$A143,T_PlannedOrders[WeekIndex],47)&amp;" ("&amp;TEXT(SUMPRODUCT(MAX((T_PlannedOrders[Part Name]=$A143)*(T_PlannedOrders[WeekIndex]=47)*(T_PlannedOrders[EffectiveQty]&gt;0)*T_PlannedOrders[Order_Month])),"m月")&amp;"発注)")</f>
        <v/>
      </c>
      <c r="AY149">
        <f>IF(SUMIFS(T_PlannedOrders[EffectiveQty],T_PlannedOrders[Part Name],$A143,T_PlannedOrders[WeekIndex],48)=0,"",SUMIFS(T_PlannedOrders[EffectiveQty],T_PlannedOrders[Part Name],$A143,T_PlannedOrders[WeekIndex],48)&amp;" ("&amp;TEXT(SUMPRODUCT(MAX((T_PlannedOrders[Part Name]=$A143)*(T_PlannedOrders[WeekIndex]=48)*(T_PlannedOrders[EffectiveQty]&gt;0)*T_PlannedOrders[Order_Month])),"m月")&amp;"発注)")</f>
        <v/>
      </c>
      <c r="AZ149">
        <f>IF(SUMIFS(T_PlannedOrders[EffectiveQty],T_PlannedOrders[Part Name],$A143,T_PlannedOrders[WeekIndex],49)=0,"",SUMIFS(T_PlannedOrders[EffectiveQty],T_PlannedOrders[Part Name],$A143,T_PlannedOrders[WeekIndex],49)&amp;" ("&amp;TEXT(SUMPRODUCT(MAX((T_PlannedOrders[Part Name]=$A143)*(T_PlannedOrders[WeekIndex]=49)*(T_PlannedOrders[EffectiveQty]&gt;0)*T_PlannedOrders[Order_Month])),"m月")&amp;"発注)")</f>
        <v/>
      </c>
      <c r="BA149">
        <f>IF(SUMIFS(T_PlannedOrders[EffectiveQty],T_PlannedOrders[Part Name],$A143,T_PlannedOrders[WeekIndex],50)=0,"",SUMIFS(T_PlannedOrders[EffectiveQty],T_PlannedOrders[Part Name],$A143,T_PlannedOrders[WeekIndex],50)&amp;" ("&amp;TEXT(SUMPRODUCT(MAX((T_PlannedOrders[Part Name]=$A143)*(T_PlannedOrders[WeekIndex]=50)*(T_PlannedOrders[EffectiveQty]&gt;0)*T_PlannedOrders[Order_Month])),"m月")&amp;"発注)")</f>
        <v/>
      </c>
      <c r="BB149">
        <f>IF(SUMIFS(T_PlannedOrders[EffectiveQty],T_PlannedOrders[Part Name],$A143,T_PlannedOrders[WeekIndex],51)=0,"",SUMIFS(T_PlannedOrders[EffectiveQty],T_PlannedOrders[Part Name],$A143,T_PlannedOrders[WeekIndex],51)&amp;" ("&amp;TEXT(SUMPRODUCT(MAX((T_PlannedOrders[Part Name]=$A143)*(T_PlannedOrders[WeekIndex]=51)*(T_PlannedOrders[EffectiveQty]&gt;0)*T_PlannedOrders[Order_Month])),"m月")&amp;"発注)")</f>
        <v/>
      </c>
      <c r="BC149">
        <f>IF(SUMIFS(T_PlannedOrders[EffectiveQty],T_PlannedOrders[Part Name],$A143,T_PlannedOrders[WeekIndex],52)=0,"",SUMIFS(T_PlannedOrders[EffectiveQty],T_PlannedOrders[Part Name],$A143,T_PlannedOrders[WeekIndex],52)&amp;" ("&amp;TEXT(SUMPRODUCT(MAX((T_PlannedOrders[Part Name]=$A143)*(T_PlannedOrders[WeekIndex]=52)*(T_PlannedOrders[EffectiveQty]&gt;0)*T_PlannedOrders[Order_Month])),"m月")&amp;"発注)")</f>
        <v/>
      </c>
      <c r="BD149">
        <f>IF(SUMIFS(T_PlannedOrders[EffectiveQty],T_PlannedOrders[Part Name],$A143,T_PlannedOrders[WeekIndex],53)=0,"",SUMIFS(T_PlannedOrders[EffectiveQty],T_PlannedOrders[Part Name],$A143,T_PlannedOrders[WeekIndex],53)&amp;" ("&amp;TEXT(SUMPRODUCT(MAX((T_PlannedOrders[Part Name]=$A143)*(T_PlannedOrders[WeekIndex]=53)*(T_PlannedOrders[EffectiveQty]&gt;0)*T_PlannedOrders[Order_Month])),"m月")&amp;"発注)")</f>
        <v/>
      </c>
      <c r="BE149">
        <f>IF(SUMIFS(T_PlannedOrders[EffectiveQty],T_PlannedOrders[Part Name],$A143,T_PlannedOrders[WeekIndex],54)=0,"",SUMIFS(T_PlannedOrders[EffectiveQty],T_PlannedOrders[Part Name],$A143,T_PlannedOrders[WeekIndex],54)&amp;" ("&amp;TEXT(SUMPRODUCT(MAX((T_PlannedOrders[Part Name]=$A143)*(T_PlannedOrders[WeekIndex]=54)*(T_PlannedOrders[EffectiveQty]&gt;0)*T_PlannedOrders[Order_Month])),"m月")&amp;"発注)")</f>
        <v/>
      </c>
      <c r="BF149">
        <f>IF(SUMIFS(T_PlannedOrders[EffectiveQty],T_PlannedOrders[Part Name],$A143,T_PlannedOrders[WeekIndex],55)=0,"",SUMIFS(T_PlannedOrders[EffectiveQty],T_PlannedOrders[Part Name],$A143,T_PlannedOrders[WeekIndex],55)&amp;" ("&amp;TEXT(SUMPRODUCT(MAX((T_PlannedOrders[Part Name]=$A143)*(T_PlannedOrders[WeekIndex]=55)*(T_PlannedOrders[EffectiveQty]&gt;0)*T_PlannedOrders[Order_Month])),"m月")&amp;"発注)")</f>
        <v/>
      </c>
      <c r="BG149">
        <f>IF(SUMIFS(T_PlannedOrders[EffectiveQty],T_PlannedOrders[Part Name],$A143,T_PlannedOrders[WeekIndex],56)=0,"",SUMIFS(T_PlannedOrders[EffectiveQty],T_PlannedOrders[Part Name],$A143,T_PlannedOrders[WeekIndex],56)&amp;" ("&amp;TEXT(SUMPRODUCT(MAX((T_PlannedOrders[Part Name]=$A143)*(T_PlannedOrders[WeekIndex]=56)*(T_PlannedOrders[EffectiveQty]&gt;0)*T_PlannedOrders[Order_Month])),"m月")&amp;"発注)")</f>
        <v/>
      </c>
      <c r="BH149">
        <f>IF(SUMIFS(T_PlannedOrders[EffectiveQty],T_PlannedOrders[Part Name],$A143,T_PlannedOrders[WeekIndex],57)=0,"",SUMIFS(T_PlannedOrders[EffectiveQty],T_PlannedOrders[Part Name],$A143,T_PlannedOrders[WeekIndex],57)&amp;" ("&amp;TEXT(SUMPRODUCT(MAX((T_PlannedOrders[Part Name]=$A143)*(T_PlannedOrders[WeekIndex]=57)*(T_PlannedOrders[EffectiveQty]&gt;0)*T_PlannedOrders[Order_Month])),"m月")&amp;"発注)")</f>
        <v/>
      </c>
      <c r="BI149">
        <f>IF(SUMIFS(T_PlannedOrders[EffectiveQty],T_PlannedOrders[Part Name],$A143,T_PlannedOrders[WeekIndex],58)=0,"",SUMIFS(T_PlannedOrders[EffectiveQty],T_PlannedOrders[Part Name],$A143,T_PlannedOrders[WeekIndex],58)&amp;" ("&amp;TEXT(SUMPRODUCT(MAX((T_PlannedOrders[Part Name]=$A143)*(T_PlannedOrders[WeekIndex]=58)*(T_PlannedOrders[EffectiveQty]&gt;0)*T_PlannedOrders[Order_Month])),"m月")&amp;"発注)")</f>
        <v/>
      </c>
      <c r="BJ149">
        <f>IF(SUMIFS(T_PlannedOrders[EffectiveQty],T_PlannedOrders[Part Name],$A143,T_PlannedOrders[WeekIndex],59)=0,"",SUMIFS(T_PlannedOrders[EffectiveQty],T_PlannedOrders[Part Name],$A143,T_PlannedOrders[WeekIndex],59)&amp;" ("&amp;TEXT(SUMPRODUCT(MAX((T_PlannedOrders[Part Name]=$A143)*(T_PlannedOrders[WeekIndex]=59)*(T_PlannedOrders[EffectiveQty]&gt;0)*T_PlannedOrders[Order_Month])),"m月")&amp;"発注)")</f>
        <v/>
      </c>
      <c r="BK149">
        <f>IF(SUMIFS(T_PlannedOrders[EffectiveQty],T_PlannedOrders[Part Name],$A143,T_PlannedOrders[WeekIndex],60)=0,"",SUMIFS(T_PlannedOrders[EffectiveQty],T_PlannedOrders[Part Name],$A143,T_PlannedOrders[WeekIndex],60)&amp;" ("&amp;TEXT(SUMPRODUCT(MAX((T_PlannedOrders[Part Name]=$A143)*(T_PlannedOrders[WeekIndex]=60)*(T_PlannedOrders[EffectiveQty]&gt;0)*T_PlannedOrders[Order_Month])),"m月")&amp;"発注)")</f>
        <v/>
      </c>
      <c r="BL149">
        <f>IF(SUMIFS(T_PlannedOrders[EffectiveQty],T_PlannedOrders[Part Name],$A143,T_PlannedOrders[WeekIndex],61)=0,"",SUMIFS(T_PlannedOrders[EffectiveQty],T_PlannedOrders[Part Name],$A143,T_PlannedOrders[WeekIndex],61)&amp;" ("&amp;TEXT(SUMPRODUCT(MAX((T_PlannedOrders[Part Name]=$A143)*(T_PlannedOrders[WeekIndex]=61)*(T_PlannedOrders[EffectiveQty]&gt;0)*T_PlannedOrders[Order_Month])),"m月")&amp;"発注)")</f>
        <v/>
      </c>
      <c r="BM149">
        <f>IF(SUMIFS(T_PlannedOrders[EffectiveQty],T_PlannedOrders[Part Name],$A143,T_PlannedOrders[WeekIndex],62)=0,"",SUMIFS(T_PlannedOrders[EffectiveQty],T_PlannedOrders[Part Name],$A143,T_PlannedOrders[WeekIndex],62)&amp;" ("&amp;TEXT(SUMPRODUCT(MAX((T_PlannedOrders[Part Name]=$A143)*(T_PlannedOrders[WeekIndex]=62)*(T_PlannedOrders[EffectiveQty]&gt;0)*T_PlannedOrders[Order_Month])),"m月")&amp;"発注)")</f>
        <v/>
      </c>
      <c r="BN149">
        <f>IF(SUMIFS(T_PlannedOrders[EffectiveQty],T_PlannedOrders[Part Name],$A143,T_PlannedOrders[WeekIndex],63)=0,"",SUMIFS(T_PlannedOrders[EffectiveQty],T_PlannedOrders[Part Name],$A143,T_PlannedOrders[WeekIndex],63)&amp;" ("&amp;TEXT(SUMPRODUCT(MAX((T_PlannedOrders[Part Name]=$A143)*(T_PlannedOrders[WeekIndex]=63)*(T_PlannedOrders[EffectiveQty]&gt;0)*T_PlannedOrders[Order_Month])),"m月")&amp;"発注)")</f>
        <v/>
      </c>
      <c r="BO149">
        <f>IF(SUMIFS(T_PlannedOrders[EffectiveQty],T_PlannedOrders[Part Name],$A143,T_PlannedOrders[WeekIndex],64)=0,"",SUMIFS(T_PlannedOrders[EffectiveQty],T_PlannedOrders[Part Name],$A143,T_PlannedOrders[WeekIndex],64)&amp;" ("&amp;TEXT(SUMPRODUCT(MAX((T_PlannedOrders[Part Name]=$A143)*(T_PlannedOrders[WeekIndex]=64)*(T_PlannedOrders[EffectiveQty]&gt;0)*T_PlannedOrders[Order_Month])),"m月")&amp;"発注)")</f>
        <v/>
      </c>
      <c r="BP149">
        <f>IF(SUMIFS(T_PlannedOrders[EffectiveQty],T_PlannedOrders[Part Name],$A143,T_PlannedOrders[WeekIndex],65)=0,"",SUMIFS(T_PlannedOrders[EffectiveQty],T_PlannedOrders[Part Name],$A143,T_PlannedOrders[WeekIndex],65)&amp;" ("&amp;TEXT(SUMPRODUCT(MAX((T_PlannedOrders[Part Name]=$A143)*(T_PlannedOrders[WeekIndex]=65)*(T_PlannedOrders[EffectiveQty]&gt;0)*T_PlannedOrders[Order_Month])),"m月")&amp;"発注)")</f>
        <v/>
      </c>
      <c r="BQ149">
        <f>IF(SUMIFS(T_PlannedOrders[EffectiveQty],T_PlannedOrders[Part Name],$A143,T_PlannedOrders[WeekIndex],66)=0,"",SUMIFS(T_PlannedOrders[EffectiveQty],T_PlannedOrders[Part Name],$A143,T_PlannedOrders[WeekIndex],66)&amp;" ("&amp;TEXT(SUMPRODUCT(MAX((T_PlannedOrders[Part Name]=$A143)*(T_PlannedOrders[WeekIndex]=66)*(T_PlannedOrders[EffectiveQty]&gt;0)*T_PlannedOrders[Order_Month])),"m月")&amp;"発注)")</f>
        <v/>
      </c>
      <c r="BR149">
        <f>IF(SUMIFS(T_PlannedOrders[EffectiveQty],T_PlannedOrders[Part Name],$A143,T_PlannedOrders[WeekIndex],67)=0,"",SUMIFS(T_PlannedOrders[EffectiveQty],T_PlannedOrders[Part Name],$A143,T_PlannedOrders[WeekIndex],67)&amp;" ("&amp;TEXT(SUMPRODUCT(MAX((T_PlannedOrders[Part Name]=$A143)*(T_PlannedOrders[WeekIndex]=67)*(T_PlannedOrders[EffectiveQty]&gt;0)*T_PlannedOrders[Order_Month])),"m月")&amp;"発注)")</f>
        <v/>
      </c>
      <c r="BS149">
        <f>IF(SUMIFS(T_PlannedOrders[EffectiveQty],T_PlannedOrders[Part Name],$A143,T_PlannedOrders[WeekIndex],68)=0,"",SUMIFS(T_PlannedOrders[EffectiveQty],T_PlannedOrders[Part Name],$A143,T_PlannedOrders[WeekIndex],68)&amp;" ("&amp;TEXT(SUMPRODUCT(MAX((T_PlannedOrders[Part Name]=$A143)*(T_PlannedOrders[WeekIndex]=68)*(T_PlannedOrders[EffectiveQty]&gt;0)*T_PlannedOrders[Order_Month])),"m月")&amp;"発注)")</f>
        <v/>
      </c>
      <c r="BT149">
        <f>IF(SUMIFS(T_PlannedOrders[EffectiveQty],T_PlannedOrders[Part Name],$A143,T_PlannedOrders[WeekIndex],69)=0,"",SUMIFS(T_PlannedOrders[EffectiveQty],T_PlannedOrders[Part Name],$A143,T_PlannedOrders[WeekIndex],69)&amp;" ("&amp;TEXT(SUMPRODUCT(MAX((T_PlannedOrders[Part Name]=$A143)*(T_PlannedOrders[WeekIndex]=69)*(T_PlannedOrders[EffectiveQty]&gt;0)*T_PlannedOrders[Order_Month])),"m月")&amp;"発注)")</f>
        <v/>
      </c>
      <c r="BU149">
        <f>IF(SUMIFS(T_PlannedOrders[EffectiveQty],T_PlannedOrders[Part Name],$A143,T_PlannedOrders[WeekIndex],70)=0,"",SUMIFS(T_PlannedOrders[EffectiveQty],T_PlannedOrders[Part Name],$A143,T_PlannedOrders[WeekIndex],70)&amp;" ("&amp;TEXT(SUMPRODUCT(MAX((T_PlannedOrders[Part Name]=$A143)*(T_PlannedOrders[WeekIndex]=70)*(T_PlannedOrders[EffectiveQty]&gt;0)*T_PlannedOrders[Order_Month])),"m月")&amp;"発注)")</f>
        <v/>
      </c>
      <c r="BV149">
        <f>IF(SUMIFS(T_PlannedOrders[EffectiveQty],T_PlannedOrders[Part Name],$A143,T_PlannedOrders[WeekIndex],71)=0,"",SUMIFS(T_PlannedOrders[EffectiveQty],T_PlannedOrders[Part Name],$A143,T_PlannedOrders[WeekIndex],71)&amp;" ("&amp;TEXT(SUMPRODUCT(MAX((T_PlannedOrders[Part Name]=$A143)*(T_PlannedOrders[WeekIndex]=71)*(T_PlannedOrders[EffectiveQty]&gt;0)*T_PlannedOrders[Order_Month])),"m月")&amp;"発注)")</f>
        <v/>
      </c>
      <c r="BW149">
        <f>IF(SUMIFS(T_PlannedOrders[EffectiveQty],T_PlannedOrders[Part Name],$A143,T_PlannedOrders[WeekIndex],72)=0,"",SUMIFS(T_PlannedOrders[EffectiveQty],T_PlannedOrders[Part Name],$A143,T_PlannedOrders[WeekIndex],72)&amp;" ("&amp;TEXT(SUMPRODUCT(MAX((T_PlannedOrders[Part Name]=$A143)*(T_PlannedOrders[WeekIndex]=72)*(T_PlannedOrders[EffectiveQty]&gt;0)*T_PlannedOrders[Order_Month])),"m月")&amp;"発注)")</f>
        <v/>
      </c>
      <c r="BX149">
        <f>IF(SUMIFS(T_PlannedOrders[EffectiveQty],T_PlannedOrders[Part Name],$A143,T_PlannedOrders[WeekIndex],73)=0,"",SUMIFS(T_PlannedOrders[EffectiveQty],T_PlannedOrders[Part Name],$A143,T_PlannedOrders[WeekIndex],73)&amp;" ("&amp;TEXT(SUMPRODUCT(MAX((T_PlannedOrders[Part Name]=$A143)*(T_PlannedOrders[WeekIndex]=73)*(T_PlannedOrders[EffectiveQty]&gt;0)*T_PlannedOrders[Order_Month])),"m月")&amp;"発注)")</f>
        <v/>
      </c>
      <c r="BY149">
        <f>IF(SUMIFS(T_PlannedOrders[EffectiveQty],T_PlannedOrders[Part Name],$A143,T_PlannedOrders[WeekIndex],74)=0,"",SUMIFS(T_PlannedOrders[EffectiveQty],T_PlannedOrders[Part Name],$A143,T_PlannedOrders[WeekIndex],74)&amp;" ("&amp;TEXT(SUMPRODUCT(MAX((T_PlannedOrders[Part Name]=$A143)*(T_PlannedOrders[WeekIndex]=74)*(T_PlannedOrders[EffectiveQty]&gt;0)*T_PlannedOrders[Order_Month])),"m月")&amp;"発注)")</f>
        <v/>
      </c>
      <c r="BZ149">
        <f>IF(SUMIFS(T_PlannedOrders[EffectiveQty],T_PlannedOrders[Part Name],$A143,T_PlannedOrders[WeekIndex],75)=0,"",SUMIFS(T_PlannedOrders[EffectiveQty],T_PlannedOrders[Part Name],$A143,T_PlannedOrders[WeekIndex],75)&amp;" ("&amp;TEXT(SUMPRODUCT(MAX((T_PlannedOrders[Part Name]=$A143)*(T_PlannedOrders[WeekIndex]=75)*(T_PlannedOrders[EffectiveQty]&gt;0)*T_PlannedOrders[Order_Month])),"m月")&amp;"発注)")</f>
        <v/>
      </c>
      <c r="CA149">
        <f>IF(SUMIFS(T_PlannedOrders[EffectiveQty],T_PlannedOrders[Part Name],$A143,T_PlannedOrders[WeekIndex],76)=0,"",SUMIFS(T_PlannedOrders[EffectiveQty],T_PlannedOrders[Part Name],$A143,T_PlannedOrders[WeekIndex],76)&amp;" ("&amp;TEXT(SUMPRODUCT(MAX((T_PlannedOrders[Part Name]=$A143)*(T_PlannedOrders[WeekIndex]=76)*(T_PlannedOrders[EffectiveQty]&gt;0)*T_PlannedOrders[Order_Month])),"m月")&amp;"発注)")</f>
        <v/>
      </c>
      <c r="CB149">
        <f>IF(SUMIFS(T_PlannedOrders[EffectiveQty],T_PlannedOrders[Part Name],$A143,T_PlannedOrders[WeekIndex],77)=0,"",SUMIFS(T_PlannedOrders[EffectiveQty],T_PlannedOrders[Part Name],$A143,T_PlannedOrders[WeekIndex],77)&amp;" ("&amp;TEXT(SUMPRODUCT(MAX((T_PlannedOrders[Part Name]=$A143)*(T_PlannedOrders[WeekIndex]=77)*(T_PlannedOrders[EffectiveQty]&gt;0)*T_PlannedOrders[Order_Month])),"m月")&amp;"発注)")</f>
        <v/>
      </c>
      <c r="CC149">
        <f>IF(SUMIFS(T_PlannedOrders[EffectiveQty],T_PlannedOrders[Part Name],$A143,T_PlannedOrders[WeekIndex],78)=0,"",SUMIFS(T_PlannedOrders[EffectiveQty],T_PlannedOrders[Part Name],$A143,T_PlannedOrders[WeekIndex],78)&amp;" ("&amp;TEXT(SUMPRODUCT(MAX((T_PlannedOrders[Part Name]=$A143)*(T_PlannedOrders[WeekIndex]=78)*(T_PlannedOrders[EffectiveQty]&gt;0)*T_PlannedOrders[Order_Month])),"m月")&amp;"発注)")</f>
        <v/>
      </c>
      <c r="CD149">
        <f>IF(SUMIFS(T_PlannedOrders[EffectiveQty],T_PlannedOrders[Part Name],$A143,T_PlannedOrders[WeekIndex],79)=0,"",SUMIFS(T_PlannedOrders[EffectiveQty],T_PlannedOrders[Part Name],$A143,T_PlannedOrders[WeekIndex],79)&amp;" ("&amp;TEXT(SUMPRODUCT(MAX((T_PlannedOrders[Part Name]=$A143)*(T_PlannedOrders[WeekIndex]=79)*(T_PlannedOrders[EffectiveQty]&gt;0)*T_PlannedOrders[Order_Month])),"m月")&amp;"発注)")</f>
        <v/>
      </c>
      <c r="CE149">
        <f>IF(SUMIFS(T_PlannedOrders[EffectiveQty],T_PlannedOrders[Part Name],$A143,T_PlannedOrders[WeekIndex],80)=0,"",SUMIFS(T_PlannedOrders[EffectiveQty],T_PlannedOrders[Part Name],$A143,T_PlannedOrders[WeekIndex],80)&amp;" ("&amp;TEXT(SUMPRODUCT(MAX((T_PlannedOrders[Part Name]=$A143)*(T_PlannedOrders[WeekIndex]=80)*(T_PlannedOrders[EffectiveQty]&gt;0)*T_PlannedOrders[Order_Month])),"m月")&amp;"発注)")</f>
        <v/>
      </c>
      <c r="CF149">
        <f>IF(SUMIFS(T_PlannedOrders[EffectiveQty],T_PlannedOrders[Part Name],$A143,T_PlannedOrders[WeekIndex],81)=0,"",SUMIFS(T_PlannedOrders[EffectiveQty],T_PlannedOrders[Part Name],$A143,T_PlannedOrders[WeekIndex],81)&amp;" ("&amp;TEXT(SUMPRODUCT(MAX((T_PlannedOrders[Part Name]=$A143)*(T_PlannedOrders[WeekIndex]=81)*(T_PlannedOrders[EffectiveQty]&gt;0)*T_PlannedOrders[Order_Month])),"m月")&amp;"発注)")</f>
        <v/>
      </c>
      <c r="CG149">
        <f>IF(SUMIFS(T_PlannedOrders[EffectiveQty],T_PlannedOrders[Part Name],$A143,T_PlannedOrders[WeekIndex],82)=0,"",SUMIFS(T_PlannedOrders[EffectiveQty],T_PlannedOrders[Part Name],$A143,T_PlannedOrders[WeekIndex],82)&amp;" ("&amp;TEXT(SUMPRODUCT(MAX((T_PlannedOrders[Part Name]=$A143)*(T_PlannedOrders[WeekIndex]=82)*(T_PlannedOrders[EffectiveQty]&gt;0)*T_PlannedOrders[Order_Month])),"m月")&amp;"発注)")</f>
        <v/>
      </c>
      <c r="CH149">
        <f>IF(SUMIFS(T_PlannedOrders[EffectiveQty],T_PlannedOrders[Part Name],$A143,T_PlannedOrders[WeekIndex],83)=0,"",SUMIFS(T_PlannedOrders[EffectiveQty],T_PlannedOrders[Part Name],$A143,T_PlannedOrders[WeekIndex],83)&amp;" ("&amp;TEXT(SUMPRODUCT(MAX((T_PlannedOrders[Part Name]=$A143)*(T_PlannedOrders[WeekIndex]=83)*(T_PlannedOrders[EffectiveQty]&gt;0)*T_PlannedOrders[Order_Month])),"m月")&amp;"発注)")</f>
        <v/>
      </c>
      <c r="CI149">
        <f>IF(SUMIFS(T_PlannedOrders[EffectiveQty],T_PlannedOrders[Part Name],$A143,T_PlannedOrders[WeekIndex],84)=0,"",SUMIFS(T_PlannedOrders[EffectiveQty],T_PlannedOrders[Part Name],$A143,T_PlannedOrders[WeekIndex],84)&amp;" ("&amp;TEXT(SUMPRODUCT(MAX((T_PlannedOrders[Part Name]=$A143)*(T_PlannedOrders[WeekIndex]=84)*(T_PlannedOrders[EffectiveQty]&gt;0)*T_PlannedOrders[Order_Month])),"m月")&amp;"発注)")</f>
        <v/>
      </c>
      <c r="CJ149">
        <f>IF(SUMIFS(T_PlannedOrders[EffectiveQty],T_PlannedOrders[Part Name],$A143,T_PlannedOrders[WeekIndex],85)=0,"",SUMIFS(T_PlannedOrders[EffectiveQty],T_PlannedOrders[Part Name],$A143,T_PlannedOrders[WeekIndex],85)&amp;" ("&amp;TEXT(SUMPRODUCT(MAX((T_PlannedOrders[Part Name]=$A143)*(T_PlannedOrders[WeekIndex]=85)*(T_PlannedOrders[EffectiveQty]&gt;0)*T_PlannedOrders[Order_Month])),"m月")&amp;"発注)")</f>
        <v/>
      </c>
      <c r="CK149">
        <f>IF(SUMIFS(T_PlannedOrders[EffectiveQty],T_PlannedOrders[Part Name],$A143,T_PlannedOrders[WeekIndex],86)=0,"",SUMIFS(T_PlannedOrders[EffectiveQty],T_PlannedOrders[Part Name],$A143,T_PlannedOrders[WeekIndex],86)&amp;" ("&amp;TEXT(SUMPRODUCT(MAX((T_PlannedOrders[Part Name]=$A143)*(T_PlannedOrders[WeekIndex]=86)*(T_PlannedOrders[EffectiveQty]&gt;0)*T_PlannedOrders[Order_Month])),"m月")&amp;"発注)")</f>
        <v/>
      </c>
      <c r="CL149">
        <f>IF(SUMIFS(T_PlannedOrders[EffectiveQty],T_PlannedOrders[Part Name],$A143,T_PlannedOrders[WeekIndex],87)=0,"",SUMIFS(T_PlannedOrders[EffectiveQty],T_PlannedOrders[Part Name],$A143,T_PlannedOrders[WeekIndex],87)&amp;" ("&amp;TEXT(SUMPRODUCT(MAX((T_PlannedOrders[Part Name]=$A143)*(T_PlannedOrders[WeekIndex]=87)*(T_PlannedOrders[EffectiveQty]&gt;0)*T_PlannedOrders[Order_Month])),"m月")&amp;"発注)")</f>
        <v/>
      </c>
      <c r="CM149">
        <f>IF(SUMIFS(T_PlannedOrders[EffectiveQty],T_PlannedOrders[Part Name],$A143,T_PlannedOrders[WeekIndex],88)=0,"",SUMIFS(T_PlannedOrders[EffectiveQty],T_PlannedOrders[Part Name],$A143,T_PlannedOrders[WeekIndex],88)&amp;" ("&amp;TEXT(SUMPRODUCT(MAX((T_PlannedOrders[Part Name]=$A143)*(T_PlannedOrders[WeekIndex]=88)*(T_PlannedOrders[EffectiveQty]&gt;0)*T_PlannedOrders[Order_Month])),"m月")&amp;"発注)")</f>
        <v/>
      </c>
      <c r="CN149">
        <f>IF(SUMIFS(T_PlannedOrders[EffectiveQty],T_PlannedOrders[Part Name],$A143,T_PlannedOrders[WeekIndex],89)=0,"",SUMIFS(T_PlannedOrders[EffectiveQty],T_PlannedOrders[Part Name],$A143,T_PlannedOrders[WeekIndex],89)&amp;" ("&amp;TEXT(SUMPRODUCT(MAX((T_PlannedOrders[Part Name]=$A143)*(T_PlannedOrders[WeekIndex]=89)*(T_PlannedOrders[EffectiveQty]&gt;0)*T_PlannedOrders[Order_Month])),"m月")&amp;"発注)")</f>
        <v/>
      </c>
      <c r="CO149">
        <f>IF(SUMIFS(T_PlannedOrders[EffectiveQty],T_PlannedOrders[Part Name],$A143,T_PlannedOrders[WeekIndex],90)=0,"",SUMIFS(T_PlannedOrders[EffectiveQty],T_PlannedOrders[Part Name],$A143,T_PlannedOrders[WeekIndex],90)&amp;" ("&amp;TEXT(SUMPRODUCT(MAX((T_PlannedOrders[Part Name]=$A143)*(T_PlannedOrders[WeekIndex]=90)*(T_PlannedOrders[EffectiveQty]&gt;0)*T_PlannedOrders[Order_Month])),"m月")&amp;"発注)")</f>
        <v/>
      </c>
      <c r="CP149">
        <f>IF(SUMIFS(T_PlannedOrders[EffectiveQty],T_PlannedOrders[Part Name],$A143,T_PlannedOrders[WeekIndex],91)=0,"",SUMIFS(T_PlannedOrders[EffectiveQty],T_PlannedOrders[Part Name],$A143,T_PlannedOrders[WeekIndex],91)&amp;" ("&amp;TEXT(SUMPRODUCT(MAX((T_PlannedOrders[Part Name]=$A143)*(T_PlannedOrders[WeekIndex]=91)*(T_PlannedOrders[EffectiveQty]&gt;0)*T_PlannedOrders[Order_Month])),"m月")&amp;"発注)")</f>
        <v/>
      </c>
      <c r="CQ149">
        <f>IF(SUMIFS(T_PlannedOrders[EffectiveQty],T_PlannedOrders[Part Name],$A143,T_PlannedOrders[WeekIndex],92)=0,"",SUMIFS(T_PlannedOrders[EffectiveQty],T_PlannedOrders[Part Name],$A143,T_PlannedOrders[WeekIndex],92)&amp;" ("&amp;TEXT(SUMPRODUCT(MAX((T_PlannedOrders[Part Name]=$A143)*(T_PlannedOrders[WeekIndex]=92)*(T_PlannedOrders[EffectiveQty]&gt;0)*T_PlannedOrders[Order_Month])),"m月")&amp;"発注)")</f>
        <v/>
      </c>
      <c r="CR149">
        <f>IF(SUMIFS(T_PlannedOrders[EffectiveQty],T_PlannedOrders[Part Name],$A143,T_PlannedOrders[WeekIndex],93)=0,"",SUMIFS(T_PlannedOrders[EffectiveQty],T_PlannedOrders[Part Name],$A143,T_PlannedOrders[WeekIndex],93)&amp;" ("&amp;TEXT(SUMPRODUCT(MAX((T_PlannedOrders[Part Name]=$A143)*(T_PlannedOrders[WeekIndex]=93)*(T_PlannedOrders[EffectiveQty]&gt;0)*T_PlannedOrders[Order_Month])),"m月")&amp;"発注)")</f>
        <v/>
      </c>
      <c r="CS149">
        <f>IF(SUMIFS(T_PlannedOrders[EffectiveQty],T_PlannedOrders[Part Name],$A143,T_PlannedOrders[WeekIndex],94)=0,"",SUMIFS(T_PlannedOrders[EffectiveQty],T_PlannedOrders[Part Name],$A143,T_PlannedOrders[WeekIndex],94)&amp;" ("&amp;TEXT(SUMPRODUCT(MAX((T_PlannedOrders[Part Name]=$A143)*(T_PlannedOrders[WeekIndex]=94)*(T_PlannedOrders[EffectiveQty]&gt;0)*T_PlannedOrders[Order_Month])),"m月")&amp;"発注)")</f>
        <v/>
      </c>
      <c r="CT149">
        <f>IF(SUMIFS(T_PlannedOrders[EffectiveQty],T_PlannedOrders[Part Name],$A143,T_PlannedOrders[WeekIndex],95)=0,"",SUMIFS(T_PlannedOrders[EffectiveQty],T_PlannedOrders[Part Name],$A143,T_PlannedOrders[WeekIndex],95)&amp;" ("&amp;TEXT(SUMPRODUCT(MAX((T_PlannedOrders[Part Name]=$A143)*(T_PlannedOrders[WeekIndex]=95)*(T_PlannedOrders[EffectiveQty]&gt;0)*T_PlannedOrders[Order_Month])),"m月")&amp;"発注)")</f>
        <v/>
      </c>
      <c r="CU149">
        <f>IF(SUMIFS(T_PlannedOrders[EffectiveQty],T_PlannedOrders[Part Name],$A143,T_PlannedOrders[WeekIndex],96)=0,"",SUMIFS(T_PlannedOrders[EffectiveQty],T_PlannedOrders[Part Name],$A143,T_PlannedOrders[WeekIndex],96)&amp;" ("&amp;TEXT(SUMPRODUCT(MAX((T_PlannedOrders[Part Name]=$A143)*(T_PlannedOrders[WeekIndex]=96)*(T_PlannedOrders[EffectiveQty]&gt;0)*T_PlannedOrders[Order_Month])),"m月")&amp;"発注)")</f>
        <v/>
      </c>
      <c r="CV149">
        <f>IF(SUMIFS(T_PlannedOrders[EffectiveQty],T_PlannedOrders[Part Name],$A143,T_PlannedOrders[WeekIndex],97)=0,"",SUMIFS(T_PlannedOrders[EffectiveQty],T_PlannedOrders[Part Name],$A143,T_PlannedOrders[WeekIndex],97)&amp;" ("&amp;TEXT(SUMPRODUCT(MAX((T_PlannedOrders[Part Name]=$A143)*(T_PlannedOrders[WeekIndex]=97)*(T_PlannedOrders[EffectiveQty]&gt;0)*T_PlannedOrders[Order_Month])),"m月")&amp;"発注)")</f>
        <v/>
      </c>
      <c r="CW149">
        <f>IF(SUMIFS(T_PlannedOrders[EffectiveQty],T_PlannedOrders[Part Name],$A143,T_PlannedOrders[WeekIndex],98)=0,"",SUMIFS(T_PlannedOrders[EffectiveQty],T_PlannedOrders[Part Name],$A143,T_PlannedOrders[WeekIndex],98)&amp;" ("&amp;TEXT(SUMPRODUCT(MAX((T_PlannedOrders[Part Name]=$A143)*(T_PlannedOrders[WeekIndex]=98)*(T_PlannedOrders[EffectiveQty]&gt;0)*T_PlannedOrders[Order_Month])),"m月")&amp;"発注)")</f>
        <v/>
      </c>
      <c r="CX149">
        <f>IF(SUMIFS(T_PlannedOrders[EffectiveQty],T_PlannedOrders[Part Name],$A143,T_PlannedOrders[WeekIndex],99)=0,"",SUMIFS(T_PlannedOrders[EffectiveQty],T_PlannedOrders[Part Name],$A143,T_PlannedOrders[WeekIndex],99)&amp;" ("&amp;TEXT(SUMPRODUCT(MAX((T_PlannedOrders[Part Name]=$A143)*(T_PlannedOrders[WeekIndex]=99)*(T_PlannedOrders[EffectiveQty]&gt;0)*T_PlannedOrders[Order_Month])),"m月")&amp;"発注)")</f>
        <v/>
      </c>
      <c r="CY149">
        <f>IF(SUMIFS(T_PlannedOrders[EffectiveQty],T_PlannedOrders[Part Name],$A143,T_PlannedOrders[WeekIndex],100)=0,"",SUMIFS(T_PlannedOrders[EffectiveQty],T_PlannedOrders[Part Name],$A143,T_PlannedOrders[WeekIndex],100)&amp;" ("&amp;TEXT(SUMPRODUCT(MAX((T_PlannedOrders[Part Name]=$A143)*(T_PlannedOrders[WeekIndex]=100)*(T_PlannedOrders[EffectiveQty]&gt;0)*T_PlannedOrders[Order_Month])),"m月")&amp;"発注)")</f>
        <v/>
      </c>
      <c r="CZ149">
        <f>IF(SUMIFS(T_PlannedOrders[EffectiveQty],T_PlannedOrders[Part Name],$A143,T_PlannedOrders[WeekIndex],101)=0,"",SUMIFS(T_PlannedOrders[EffectiveQty],T_PlannedOrders[Part Name],$A143,T_PlannedOrders[WeekIndex],101)&amp;" ("&amp;TEXT(SUMPRODUCT(MAX((T_PlannedOrders[Part Name]=$A143)*(T_PlannedOrders[WeekIndex]=101)*(T_PlannedOrders[EffectiveQty]&gt;0)*T_PlannedOrders[Order_Month])),"m月")&amp;"発注)")</f>
        <v/>
      </c>
      <c r="DA149">
        <f>IF(SUMIFS(T_PlannedOrders[EffectiveQty],T_PlannedOrders[Part Name],$A143,T_PlannedOrders[WeekIndex],102)=0,"",SUMIFS(T_PlannedOrders[EffectiveQty],T_PlannedOrders[Part Name],$A143,T_PlannedOrders[WeekIndex],102)&amp;" ("&amp;TEXT(SUMPRODUCT(MAX((T_PlannedOrders[Part Name]=$A143)*(T_PlannedOrders[WeekIndex]=102)*(T_PlannedOrders[EffectiveQty]&gt;0)*T_PlannedOrders[Order_Month])),"m月")&amp;"発注)")</f>
        <v/>
      </c>
      <c r="DB149">
        <f>IF(SUMIFS(T_PlannedOrders[EffectiveQty],T_PlannedOrders[Part Name],$A143,T_PlannedOrders[WeekIndex],103)=0,"",SUMIFS(T_PlannedOrders[EffectiveQty],T_PlannedOrders[Part Name],$A143,T_PlannedOrders[WeekIndex],103)&amp;" ("&amp;TEXT(SUMPRODUCT(MAX((T_PlannedOrders[Part Name]=$A143)*(T_PlannedOrders[WeekIndex]=103)*(T_PlannedOrders[EffectiveQty]&gt;0)*T_PlannedOrders[Order_Month])),"m月")&amp;"発注)")</f>
        <v/>
      </c>
      <c r="DC149">
        <f>IF(SUMIFS(T_PlannedOrders[EffectiveQty],T_PlannedOrders[Part Name],$A143,T_PlannedOrders[WeekIndex],104)=0,"",SUMIFS(T_PlannedOrders[EffectiveQty],T_PlannedOrders[Part Name],$A143,T_PlannedOrders[WeekIndex],104)&amp;" ("&amp;TEXT(SUMPRODUCT(MAX((T_PlannedOrders[Part Name]=$A143)*(T_PlannedOrders[WeekIndex]=104)*(T_PlannedOrders[EffectiveQty]&gt;0)*T_PlannedOrders[Order_Month])),"m月")&amp;"発注)")</f>
        <v/>
      </c>
    </row>
    <row r="150">
      <c r="B150" s="5" t="inlineStr">
        <is>
          <t>合計在庫(週末時点,kg)</t>
        </is>
      </c>
      <c r="D150">
        <f>'Grid_Stock'!B9</f>
        <v/>
      </c>
      <c r="E150">
        <f>'Grid_Stock'!C9</f>
        <v/>
      </c>
      <c r="F150">
        <f>'Grid_Stock'!D9</f>
        <v/>
      </c>
      <c r="G150">
        <f>'Grid_Stock'!E9</f>
        <v/>
      </c>
      <c r="H150">
        <f>'Grid_Stock'!F9</f>
        <v/>
      </c>
      <c r="I150">
        <f>'Grid_Stock'!G9</f>
        <v/>
      </c>
      <c r="J150">
        <f>'Grid_Stock'!H9</f>
        <v/>
      </c>
      <c r="K150">
        <f>'Grid_Stock'!I9</f>
        <v/>
      </c>
      <c r="L150">
        <f>'Grid_Stock'!J9</f>
        <v/>
      </c>
      <c r="M150">
        <f>'Grid_Stock'!K9</f>
        <v/>
      </c>
      <c r="N150">
        <f>'Grid_Stock'!L9</f>
        <v/>
      </c>
      <c r="O150">
        <f>'Grid_Stock'!M9</f>
        <v/>
      </c>
      <c r="P150">
        <f>'Grid_Stock'!N9</f>
        <v/>
      </c>
      <c r="Q150">
        <f>'Grid_Stock'!O9</f>
        <v/>
      </c>
      <c r="R150">
        <f>'Grid_Stock'!P9</f>
        <v/>
      </c>
      <c r="S150">
        <f>'Grid_Stock'!Q9</f>
        <v/>
      </c>
      <c r="T150">
        <f>'Grid_Stock'!R9</f>
        <v/>
      </c>
      <c r="U150">
        <f>'Grid_Stock'!S9</f>
        <v/>
      </c>
      <c r="V150">
        <f>'Grid_Stock'!T9</f>
        <v/>
      </c>
      <c r="W150">
        <f>'Grid_Stock'!U9</f>
        <v/>
      </c>
      <c r="X150">
        <f>'Grid_Stock'!V9</f>
        <v/>
      </c>
      <c r="Y150">
        <f>'Grid_Stock'!W9</f>
        <v/>
      </c>
      <c r="Z150">
        <f>'Grid_Stock'!X9</f>
        <v/>
      </c>
      <c r="AA150">
        <f>'Grid_Stock'!Y9</f>
        <v/>
      </c>
      <c r="AB150">
        <f>'Grid_Stock'!Z9</f>
        <v/>
      </c>
      <c r="AC150">
        <f>'Grid_Stock'!AA9</f>
        <v/>
      </c>
      <c r="AD150">
        <f>'Grid_Stock'!AB9</f>
        <v/>
      </c>
      <c r="AE150">
        <f>'Grid_Stock'!AC9</f>
        <v/>
      </c>
      <c r="AF150">
        <f>'Grid_Stock'!AD9</f>
        <v/>
      </c>
      <c r="AG150">
        <f>'Grid_Stock'!AE9</f>
        <v/>
      </c>
      <c r="AH150">
        <f>'Grid_Stock'!AF9</f>
        <v/>
      </c>
      <c r="AI150">
        <f>'Grid_Stock'!AG9</f>
        <v/>
      </c>
      <c r="AJ150">
        <f>'Grid_Stock'!AH9</f>
        <v/>
      </c>
      <c r="AK150">
        <f>'Grid_Stock'!AI9</f>
        <v/>
      </c>
      <c r="AL150">
        <f>'Grid_Stock'!AJ9</f>
        <v/>
      </c>
      <c r="AM150">
        <f>'Grid_Stock'!AK9</f>
        <v/>
      </c>
      <c r="AN150">
        <f>'Grid_Stock'!AL9</f>
        <v/>
      </c>
      <c r="AO150">
        <f>'Grid_Stock'!AM9</f>
        <v/>
      </c>
      <c r="AP150">
        <f>'Grid_Stock'!AN9</f>
        <v/>
      </c>
      <c r="AQ150">
        <f>'Grid_Stock'!AO9</f>
        <v/>
      </c>
      <c r="AR150">
        <f>'Grid_Stock'!AP9</f>
        <v/>
      </c>
      <c r="AS150">
        <f>'Grid_Stock'!AQ9</f>
        <v/>
      </c>
      <c r="AT150">
        <f>'Grid_Stock'!AR9</f>
        <v/>
      </c>
      <c r="AU150">
        <f>'Grid_Stock'!AS9</f>
        <v/>
      </c>
      <c r="AV150">
        <f>'Grid_Stock'!AT9</f>
        <v/>
      </c>
      <c r="AW150">
        <f>'Grid_Stock'!AU9</f>
        <v/>
      </c>
      <c r="AX150">
        <f>'Grid_Stock'!AV9</f>
        <v/>
      </c>
      <c r="AY150">
        <f>'Grid_Stock'!AW9</f>
        <v/>
      </c>
      <c r="AZ150">
        <f>'Grid_Stock'!AX9</f>
        <v/>
      </c>
      <c r="BA150">
        <f>'Grid_Stock'!AY9</f>
        <v/>
      </c>
      <c r="BB150">
        <f>'Grid_Stock'!AZ9</f>
        <v/>
      </c>
      <c r="BC150">
        <f>'Grid_Stock'!BA9</f>
        <v/>
      </c>
      <c r="BD150">
        <f>'Grid_Stock'!BB9</f>
        <v/>
      </c>
      <c r="BE150">
        <f>'Grid_Stock'!BC9</f>
        <v/>
      </c>
      <c r="BF150">
        <f>'Grid_Stock'!BD9</f>
        <v/>
      </c>
      <c r="BG150">
        <f>'Grid_Stock'!BE9</f>
        <v/>
      </c>
      <c r="BH150">
        <f>'Grid_Stock'!BF9</f>
        <v/>
      </c>
      <c r="BI150">
        <f>'Grid_Stock'!BG9</f>
        <v/>
      </c>
      <c r="BJ150">
        <f>'Grid_Stock'!BH9</f>
        <v/>
      </c>
      <c r="BK150">
        <f>'Grid_Stock'!BI9</f>
        <v/>
      </c>
      <c r="BL150">
        <f>'Grid_Stock'!BJ9</f>
        <v/>
      </c>
      <c r="BM150">
        <f>'Grid_Stock'!BK9</f>
        <v/>
      </c>
      <c r="BN150">
        <f>'Grid_Stock'!BL9</f>
        <v/>
      </c>
      <c r="BO150">
        <f>'Grid_Stock'!BM9</f>
        <v/>
      </c>
      <c r="BP150">
        <f>'Grid_Stock'!BN9</f>
        <v/>
      </c>
      <c r="BQ150">
        <f>'Grid_Stock'!BO9</f>
        <v/>
      </c>
      <c r="BR150">
        <f>'Grid_Stock'!BP9</f>
        <v/>
      </c>
      <c r="BS150">
        <f>'Grid_Stock'!BQ9</f>
        <v/>
      </c>
      <c r="BT150">
        <f>'Grid_Stock'!BR9</f>
        <v/>
      </c>
      <c r="BU150">
        <f>'Grid_Stock'!BS9</f>
        <v/>
      </c>
      <c r="BV150">
        <f>'Grid_Stock'!BT9</f>
        <v/>
      </c>
      <c r="BW150">
        <f>'Grid_Stock'!BU9</f>
        <v/>
      </c>
      <c r="BX150">
        <f>'Grid_Stock'!BV9</f>
        <v/>
      </c>
      <c r="BY150">
        <f>'Grid_Stock'!BW9</f>
        <v/>
      </c>
      <c r="BZ150">
        <f>'Grid_Stock'!BX9</f>
        <v/>
      </c>
      <c r="CA150">
        <f>'Grid_Stock'!BY9</f>
        <v/>
      </c>
      <c r="CB150">
        <f>'Grid_Stock'!BZ9</f>
        <v/>
      </c>
      <c r="CC150">
        <f>'Grid_Stock'!CA9</f>
        <v/>
      </c>
      <c r="CD150">
        <f>'Grid_Stock'!CB9</f>
        <v/>
      </c>
      <c r="CE150">
        <f>'Grid_Stock'!CC9</f>
        <v/>
      </c>
      <c r="CF150">
        <f>'Grid_Stock'!CD9</f>
        <v/>
      </c>
      <c r="CG150">
        <f>'Grid_Stock'!CE9</f>
        <v/>
      </c>
      <c r="CH150">
        <f>'Grid_Stock'!CF9</f>
        <v/>
      </c>
      <c r="CI150">
        <f>'Grid_Stock'!CG9</f>
        <v/>
      </c>
      <c r="CJ150">
        <f>'Grid_Stock'!CH9</f>
        <v/>
      </c>
      <c r="CK150">
        <f>'Grid_Stock'!CI9</f>
        <v/>
      </c>
      <c r="CL150">
        <f>'Grid_Stock'!CJ9</f>
        <v/>
      </c>
      <c r="CM150">
        <f>'Grid_Stock'!CK9</f>
        <v/>
      </c>
      <c r="CN150">
        <f>'Grid_Stock'!CL9</f>
        <v/>
      </c>
      <c r="CO150">
        <f>'Grid_Stock'!CM9</f>
        <v/>
      </c>
      <c r="CP150">
        <f>'Grid_Stock'!CN9</f>
        <v/>
      </c>
      <c r="CQ150">
        <f>'Grid_Stock'!CO9</f>
        <v/>
      </c>
      <c r="CR150">
        <f>'Grid_Stock'!CP9</f>
        <v/>
      </c>
      <c r="CS150">
        <f>'Grid_Stock'!CQ9</f>
        <v/>
      </c>
      <c r="CT150">
        <f>'Grid_Stock'!CR9</f>
        <v/>
      </c>
      <c r="CU150">
        <f>'Grid_Stock'!CS9</f>
        <v/>
      </c>
      <c r="CV150">
        <f>'Grid_Stock'!CT9</f>
        <v/>
      </c>
      <c r="CW150">
        <f>'Grid_Stock'!CU9</f>
        <v/>
      </c>
      <c r="CX150">
        <f>'Grid_Stock'!CV9</f>
        <v/>
      </c>
      <c r="CY150">
        <f>'Grid_Stock'!CW9</f>
        <v/>
      </c>
      <c r="CZ150">
        <f>'Grid_Stock'!CX9</f>
        <v/>
      </c>
      <c r="DA150">
        <f>'Grid_Stock'!CY9</f>
        <v/>
      </c>
      <c r="DB150">
        <f>'Grid_Stock'!CZ9</f>
        <v/>
      </c>
      <c r="DC150">
        <f>'Grid_Stock'!DA9</f>
        <v/>
      </c>
    </row>
    <row r="151">
      <c r="B151" s="23" t="inlineStr">
        <is>
          <t>（発注の目安はDashboardの基準在庫[下限/上限]と色分けを参照）</t>
        </is>
      </c>
    </row>
    <row r="153">
      <c r="A153" s="21" t="inlineStr">
        <is>
          <t>4HL</t>
        </is>
      </c>
      <c r="B153" s="21" t="inlineStr">
        <is>
          <t>NGK - 4HL</t>
        </is>
      </c>
      <c r="C153" s="22" t="n"/>
      <c r="D153" s="21" t="n"/>
      <c r="E153" s="21" t="n"/>
      <c r="F153" s="21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  <c r="AA153" s="21" t="n"/>
      <c r="AB153" s="21" t="n"/>
      <c r="AC153" s="21" t="n"/>
      <c r="AD153" s="21" t="n"/>
      <c r="AE153" s="21" t="n"/>
      <c r="AF153" s="21" t="n"/>
      <c r="AG153" s="21" t="n"/>
      <c r="AH153" s="21" t="n"/>
      <c r="AI153" s="21" t="n"/>
      <c r="AJ153" s="21" t="n"/>
      <c r="AK153" s="21" t="n"/>
      <c r="AL153" s="21" t="n"/>
      <c r="AM153" s="21" t="n"/>
      <c r="AN153" s="21" t="n"/>
      <c r="AO153" s="21" t="n"/>
      <c r="AP153" s="21" t="n"/>
      <c r="AQ153" s="21" t="n"/>
      <c r="AR153" s="21" t="n"/>
      <c r="AS153" s="21" t="n"/>
      <c r="AT153" s="21" t="n"/>
      <c r="AU153" s="21" t="n"/>
      <c r="AV153" s="21" t="n"/>
      <c r="AW153" s="21" t="n"/>
      <c r="AX153" s="21" t="n"/>
      <c r="AY153" s="21" t="n"/>
      <c r="AZ153" s="21" t="n"/>
      <c r="BA153" s="21" t="n"/>
      <c r="BB153" s="21" t="n"/>
      <c r="BC153" s="21" t="n"/>
      <c r="BD153" s="21" t="n"/>
      <c r="BE153" s="21" t="n"/>
      <c r="BF153" s="21" t="n"/>
      <c r="BG153" s="21" t="n"/>
      <c r="BH153" s="21" t="n"/>
      <c r="BI153" s="21" t="n"/>
      <c r="BJ153" s="21" t="n"/>
      <c r="BK153" s="21" t="n"/>
      <c r="BL153" s="21" t="n"/>
      <c r="BM153" s="21" t="n"/>
      <c r="BN153" s="21" t="n"/>
      <c r="BO153" s="21" t="n"/>
      <c r="BP153" s="21" t="n"/>
      <c r="BQ153" s="21" t="n"/>
      <c r="BR153" s="21" t="n"/>
      <c r="BS153" s="21" t="n"/>
      <c r="BT153" s="21" t="n"/>
      <c r="BU153" s="21" t="n"/>
      <c r="BV153" s="21" t="n"/>
      <c r="BW153" s="21" t="n"/>
      <c r="BX153" s="21" t="n"/>
      <c r="BY153" s="21" t="n"/>
      <c r="BZ153" s="21" t="n"/>
      <c r="CA153" s="21" t="n"/>
      <c r="CB153" s="21" t="n"/>
      <c r="CC153" s="21" t="n"/>
      <c r="CD153" s="21" t="n"/>
      <c r="CE153" s="21" t="n"/>
      <c r="CF153" s="21" t="n"/>
      <c r="CG153" s="21" t="n"/>
      <c r="CH153" s="21" t="n"/>
      <c r="CI153" s="21" t="n"/>
      <c r="CJ153" s="21" t="n"/>
      <c r="CK153" s="21" t="n"/>
      <c r="CL153" s="21" t="n"/>
      <c r="CM153" s="21" t="n"/>
      <c r="CN153" s="21" t="n"/>
      <c r="CO153" s="21" t="n"/>
      <c r="CP153" s="21" t="n"/>
      <c r="CQ153" s="21" t="n"/>
      <c r="CR153" s="21" t="n"/>
      <c r="CS153" s="21" t="n"/>
      <c r="CT153" s="21" t="n"/>
      <c r="CU153" s="21" t="n"/>
      <c r="CV153" s="21" t="n"/>
      <c r="CW153" s="21" t="n"/>
      <c r="CX153" s="21" t="n"/>
      <c r="CY153" s="21" t="n"/>
      <c r="CZ153" s="21" t="n"/>
      <c r="DA153" s="21" t="n"/>
      <c r="DB153" s="21" t="n"/>
      <c r="DC153" s="21" t="n"/>
    </row>
    <row r="154">
      <c r="B154" t="inlineStr">
        <is>
          <t>F3060</t>
        </is>
      </c>
      <c r="C154" t="inlineStr">
        <is>
          <t>No. of batches</t>
        </is>
      </c>
      <c r="D154">
        <f>IFERROR(INDEX(PP_Grid[#Data],$DD154,2),0)</f>
        <v/>
      </c>
      <c r="E154">
        <f>IFERROR(INDEX(PP_Grid[#Data],$DD154,3),0)</f>
        <v/>
      </c>
      <c r="F154">
        <f>IFERROR(INDEX(PP_Grid[#Data],$DD154,4),0)</f>
        <v/>
      </c>
      <c r="G154">
        <f>IFERROR(INDEX(PP_Grid[#Data],$DD154,5),0)</f>
        <v/>
      </c>
      <c r="H154">
        <f>IFERROR(INDEX(PP_Grid[#Data],$DD154,6),0)</f>
        <v/>
      </c>
      <c r="I154">
        <f>IFERROR(INDEX(PP_Grid[#Data],$DD154,7),0)</f>
        <v/>
      </c>
      <c r="J154">
        <f>IFERROR(INDEX(PP_Grid[#Data],$DD154,8),0)</f>
        <v/>
      </c>
      <c r="K154">
        <f>IFERROR(INDEX(PP_Grid[#Data],$DD154,9),0)</f>
        <v/>
      </c>
      <c r="L154">
        <f>IFERROR(INDEX(PP_Grid[#Data],$DD154,10),0)</f>
        <v/>
      </c>
      <c r="M154">
        <f>IFERROR(INDEX(PP_Grid[#Data],$DD154,11),0)</f>
        <v/>
      </c>
      <c r="N154">
        <f>IFERROR(INDEX(PP_Grid[#Data],$DD154,12),0)</f>
        <v/>
      </c>
      <c r="O154">
        <f>IFERROR(INDEX(PP_Grid[#Data],$DD154,13),0)</f>
        <v/>
      </c>
      <c r="P154">
        <f>IFERROR(INDEX(PP_Grid[#Data],$DD154,14),0)</f>
        <v/>
      </c>
      <c r="Q154">
        <f>IFERROR(INDEX(PP_Grid[#Data],$DD154,15),0)</f>
        <v/>
      </c>
      <c r="R154">
        <f>IFERROR(INDEX(PP_Grid[#Data],$DD154,16),0)</f>
        <v/>
      </c>
      <c r="S154">
        <f>IFERROR(INDEX(PP_Grid[#Data],$DD154,17),0)</f>
        <v/>
      </c>
      <c r="T154">
        <f>IFERROR(INDEX(PP_Grid[#Data],$DD154,18),0)</f>
        <v/>
      </c>
      <c r="U154">
        <f>IFERROR(INDEX(PP_Grid[#Data],$DD154,19),0)</f>
        <v/>
      </c>
      <c r="V154">
        <f>IFERROR(INDEX(PP_Grid[#Data],$DD154,20),0)</f>
        <v/>
      </c>
      <c r="W154">
        <f>IFERROR(INDEX(PP_Grid[#Data],$DD154,21),0)</f>
        <v/>
      </c>
      <c r="X154">
        <f>IFERROR(INDEX(PP_Grid[#Data],$DD154,22),0)</f>
        <v/>
      </c>
      <c r="Y154">
        <f>IFERROR(INDEX(PP_Grid[#Data],$DD154,23),0)</f>
        <v/>
      </c>
      <c r="Z154">
        <f>IFERROR(INDEX(PP_Grid[#Data],$DD154,24),0)</f>
        <v/>
      </c>
      <c r="AA154">
        <f>IFERROR(INDEX(PP_Grid[#Data],$DD154,25),0)</f>
        <v/>
      </c>
      <c r="AB154">
        <f>IFERROR(INDEX(PP_Grid[#Data],$DD154,26),0)</f>
        <v/>
      </c>
      <c r="AC154">
        <f>IFERROR(INDEX(PP_Grid[#Data],$DD154,27),0)</f>
        <v/>
      </c>
      <c r="AD154">
        <f>IFERROR(INDEX(PP_Grid[#Data],$DD154,28),0)</f>
        <v/>
      </c>
      <c r="AE154">
        <f>IFERROR(INDEX(PP_Grid[#Data],$DD154,29),0)</f>
        <v/>
      </c>
      <c r="AF154">
        <f>IFERROR(INDEX(PP_Grid[#Data],$DD154,30),0)</f>
        <v/>
      </c>
      <c r="AG154">
        <f>IFERROR(INDEX(PP_Grid[#Data],$DD154,31),0)</f>
        <v/>
      </c>
      <c r="AH154">
        <f>IFERROR(INDEX(PP_Grid[#Data],$DD154,32),0)</f>
        <v/>
      </c>
      <c r="AI154">
        <f>IFERROR(INDEX(PP_Grid[#Data],$DD154,33),0)</f>
        <v/>
      </c>
      <c r="AJ154">
        <f>IFERROR(INDEX(PP_Grid[#Data],$DD154,34),0)</f>
        <v/>
      </c>
      <c r="AK154">
        <f>IFERROR(INDEX(PP_Grid[#Data],$DD154,35),0)</f>
        <v/>
      </c>
      <c r="AL154">
        <f>IFERROR(INDEX(PP_Grid[#Data],$DD154,36),0)</f>
        <v/>
      </c>
      <c r="AM154">
        <f>IFERROR(INDEX(PP_Grid[#Data],$DD154,37),0)</f>
        <v/>
      </c>
      <c r="AN154">
        <f>IFERROR(INDEX(PP_Grid[#Data],$DD154,38),0)</f>
        <v/>
      </c>
      <c r="AO154">
        <f>IFERROR(INDEX(PP_Grid[#Data],$DD154,39),0)</f>
        <v/>
      </c>
      <c r="AP154">
        <f>IFERROR(INDEX(PP_Grid[#Data],$DD154,40),0)</f>
        <v/>
      </c>
      <c r="AQ154">
        <f>IFERROR(INDEX(PP_Grid[#Data],$DD154,41),0)</f>
        <v/>
      </c>
      <c r="AR154">
        <f>IFERROR(INDEX(PP_Grid[#Data],$DD154,42),0)</f>
        <v/>
      </c>
      <c r="AS154">
        <f>IFERROR(INDEX(PP_Grid[#Data],$DD154,43),0)</f>
        <v/>
      </c>
      <c r="AT154">
        <f>IFERROR(INDEX(PP_Grid[#Data],$DD154,44),0)</f>
        <v/>
      </c>
      <c r="AU154">
        <f>IFERROR(INDEX(PP_Grid[#Data],$DD154,45),0)</f>
        <v/>
      </c>
      <c r="AV154">
        <f>IFERROR(INDEX(PP_Grid[#Data],$DD154,46),0)</f>
        <v/>
      </c>
      <c r="AW154">
        <f>IFERROR(INDEX(PP_Grid[#Data],$DD154,47),0)</f>
        <v/>
      </c>
      <c r="AX154">
        <f>IFERROR(INDEX(PP_Grid[#Data],$DD154,48),0)</f>
        <v/>
      </c>
      <c r="AY154">
        <f>IFERROR(INDEX(PP_Grid[#Data],$DD154,49),0)</f>
        <v/>
      </c>
      <c r="AZ154">
        <f>IFERROR(INDEX(PP_Grid[#Data],$DD154,50),0)</f>
        <v/>
      </c>
      <c r="BA154">
        <f>IFERROR(INDEX(PP_Grid[#Data],$DD154,51),0)</f>
        <v/>
      </c>
      <c r="BB154">
        <f>IFERROR(INDEX(PP_Grid[#Data],$DD154,52),0)</f>
        <v/>
      </c>
      <c r="BC154">
        <f>IFERROR(INDEX(PP_Grid[#Data],$DD154,53),0)</f>
        <v/>
      </c>
      <c r="BD154">
        <f>IFERROR(INDEX(PP_Grid[#Data],$DD154,54),0)</f>
        <v/>
      </c>
      <c r="BE154">
        <f>IFERROR(INDEX(PP_Grid[#Data],$DD154,55),0)</f>
        <v/>
      </c>
      <c r="BF154">
        <f>IFERROR(INDEX(PP_Grid[#Data],$DD154,56),0)</f>
        <v/>
      </c>
      <c r="BG154">
        <f>IFERROR(INDEX(PP_Grid[#Data],$DD154,57),0)</f>
        <v/>
      </c>
      <c r="BH154">
        <f>IFERROR(INDEX(PP_Grid[#Data],$DD154,58),0)</f>
        <v/>
      </c>
      <c r="BI154">
        <f>IFERROR(INDEX(PP_Grid[#Data],$DD154,59),0)</f>
        <v/>
      </c>
      <c r="BJ154">
        <f>IFERROR(INDEX(PP_Grid[#Data],$DD154,60),0)</f>
        <v/>
      </c>
      <c r="BK154">
        <f>IFERROR(INDEX(PP_Grid[#Data],$DD154,61),0)</f>
        <v/>
      </c>
      <c r="BL154">
        <f>IFERROR(INDEX(PP_Grid[#Data],$DD154,62),0)</f>
        <v/>
      </c>
      <c r="BM154">
        <f>IFERROR(INDEX(PP_Grid[#Data],$DD154,63),0)</f>
        <v/>
      </c>
      <c r="BN154">
        <f>IFERROR(INDEX(PP_Grid[#Data],$DD154,64),0)</f>
        <v/>
      </c>
      <c r="BO154">
        <f>IFERROR(INDEX(PP_Grid[#Data],$DD154,65),0)</f>
        <v/>
      </c>
      <c r="BP154">
        <f>IFERROR(INDEX(PP_Grid[#Data],$DD154,66),0)</f>
        <v/>
      </c>
      <c r="BQ154">
        <f>IFERROR(INDEX(PP_Grid[#Data],$DD154,67),0)</f>
        <v/>
      </c>
      <c r="BR154">
        <f>IFERROR(INDEX(PP_Grid[#Data],$DD154,68),0)</f>
        <v/>
      </c>
      <c r="BS154">
        <f>IFERROR(INDEX(PP_Grid[#Data],$DD154,69),0)</f>
        <v/>
      </c>
      <c r="BT154">
        <f>IFERROR(INDEX(PP_Grid[#Data],$DD154,70),0)</f>
        <v/>
      </c>
      <c r="BU154">
        <f>IFERROR(INDEX(PP_Grid[#Data],$DD154,71),0)</f>
        <v/>
      </c>
      <c r="BV154">
        <f>IFERROR(INDEX(PP_Grid[#Data],$DD154,72),0)</f>
        <v/>
      </c>
      <c r="BW154">
        <f>IFERROR(INDEX(PP_Grid[#Data],$DD154,73),0)</f>
        <v/>
      </c>
      <c r="BX154">
        <f>IFERROR(INDEX(PP_Grid[#Data],$DD154,74),0)</f>
        <v/>
      </c>
      <c r="BY154">
        <f>IFERROR(INDEX(PP_Grid[#Data],$DD154,75),0)</f>
        <v/>
      </c>
      <c r="BZ154">
        <f>IFERROR(INDEX(PP_Grid[#Data],$DD154,76),0)</f>
        <v/>
      </c>
      <c r="CA154">
        <f>IFERROR(INDEX(PP_Grid[#Data],$DD154,77),0)</f>
        <v/>
      </c>
      <c r="CB154">
        <f>IFERROR(INDEX(PP_Grid[#Data],$DD154,78),0)</f>
        <v/>
      </c>
      <c r="CC154">
        <f>IFERROR(INDEX(PP_Grid[#Data],$DD154,79),0)</f>
        <v/>
      </c>
      <c r="CD154">
        <f>IFERROR(INDEX(PP_Grid[#Data],$DD154,80),0)</f>
        <v/>
      </c>
      <c r="CE154">
        <f>IFERROR(INDEX(PP_Grid[#Data],$DD154,81),0)</f>
        <v/>
      </c>
      <c r="CF154">
        <f>IFERROR(INDEX(PP_Grid[#Data],$DD154,82),0)</f>
        <v/>
      </c>
      <c r="CG154">
        <f>IFERROR(INDEX(PP_Grid[#Data],$DD154,83),0)</f>
        <v/>
      </c>
      <c r="CH154">
        <f>IFERROR(INDEX(PP_Grid[#Data],$DD154,84),0)</f>
        <v/>
      </c>
      <c r="CI154">
        <f>IFERROR(INDEX(PP_Grid[#Data],$DD154,85),0)</f>
        <v/>
      </c>
      <c r="CJ154">
        <f>IFERROR(INDEX(PP_Grid[#Data],$DD154,86),0)</f>
        <v/>
      </c>
      <c r="CK154">
        <f>IFERROR(INDEX(PP_Grid[#Data],$DD154,87),0)</f>
        <v/>
      </c>
      <c r="CL154">
        <f>IFERROR(INDEX(PP_Grid[#Data],$DD154,88),0)</f>
        <v/>
      </c>
      <c r="CM154">
        <f>IFERROR(INDEX(PP_Grid[#Data],$DD154,89),0)</f>
        <v/>
      </c>
      <c r="CN154">
        <f>IFERROR(INDEX(PP_Grid[#Data],$DD154,90),0)</f>
        <v/>
      </c>
      <c r="CO154">
        <f>IFERROR(INDEX(PP_Grid[#Data],$DD154,91),0)</f>
        <v/>
      </c>
      <c r="CP154">
        <f>IFERROR(INDEX(PP_Grid[#Data],$DD154,92),0)</f>
        <v/>
      </c>
      <c r="CQ154">
        <f>IFERROR(INDEX(PP_Grid[#Data],$DD154,93),0)</f>
        <v/>
      </c>
      <c r="CR154">
        <f>IFERROR(INDEX(PP_Grid[#Data],$DD154,94),0)</f>
        <v/>
      </c>
      <c r="CS154">
        <f>IFERROR(INDEX(PP_Grid[#Data],$DD154,95),0)</f>
        <v/>
      </c>
      <c r="CT154">
        <f>IFERROR(INDEX(PP_Grid[#Data],$DD154,96),0)</f>
        <v/>
      </c>
      <c r="CU154">
        <f>IFERROR(INDEX(PP_Grid[#Data],$DD154,97),0)</f>
        <v/>
      </c>
      <c r="CV154">
        <f>IFERROR(INDEX(PP_Grid[#Data],$DD154,98),0)</f>
        <v/>
      </c>
      <c r="CW154">
        <f>IFERROR(INDEX(PP_Grid[#Data],$DD154,99),0)</f>
        <v/>
      </c>
      <c r="CX154">
        <f>IFERROR(INDEX(PP_Grid[#Data],$DD154,100),0)</f>
        <v/>
      </c>
      <c r="CY154">
        <f>IFERROR(INDEX(PP_Grid[#Data],$DD154,101),0)</f>
        <v/>
      </c>
      <c r="CZ154">
        <f>IFERROR(INDEX(PP_Grid[#Data],$DD154,102),0)</f>
        <v/>
      </c>
      <c r="DA154">
        <f>IFERROR(INDEX(PP_Grid[#Data],$DD154,103),0)</f>
        <v/>
      </c>
      <c r="DB154">
        <f>IFERROR(INDEX(PP_Grid[#Data],$DD154,104),0)</f>
        <v/>
      </c>
      <c r="DC154">
        <f>IFERROR(INDEX(PP_Grid[#Data],$DD154,105),0)</f>
        <v/>
      </c>
      <c r="DD154" s="12">
        <f>IFERROR(MATCH($B154,PP_Grid[Intermediate],0),99999)</f>
        <v/>
      </c>
    </row>
    <row r="155">
      <c r="B155" t="inlineStr">
        <is>
          <t>使用量(kg)</t>
        </is>
      </c>
      <c r="C155">
        <f>SUMIFS(M_BOM[RM_Qty_Per_Batch],M_BOM[Intermediate],$B154,M_BOM[Part Name],$A153)</f>
        <v/>
      </c>
      <c r="D155">
        <f>$C155*D154</f>
        <v/>
      </c>
      <c r="E155">
        <f>$C155*E154</f>
        <v/>
      </c>
      <c r="F155">
        <f>$C155*F154</f>
        <v/>
      </c>
      <c r="G155">
        <f>$C155*G154</f>
        <v/>
      </c>
      <c r="H155">
        <f>$C155*H154</f>
        <v/>
      </c>
      <c r="I155">
        <f>$C155*I154</f>
        <v/>
      </c>
      <c r="J155">
        <f>$C155*J154</f>
        <v/>
      </c>
      <c r="K155">
        <f>$C155*K154</f>
        <v/>
      </c>
      <c r="L155">
        <f>$C155*L154</f>
        <v/>
      </c>
      <c r="M155">
        <f>$C155*M154</f>
        <v/>
      </c>
      <c r="N155">
        <f>$C155*N154</f>
        <v/>
      </c>
      <c r="O155">
        <f>$C155*O154</f>
        <v/>
      </c>
      <c r="P155">
        <f>$C155*P154</f>
        <v/>
      </c>
      <c r="Q155">
        <f>$C155*Q154</f>
        <v/>
      </c>
      <c r="R155">
        <f>$C155*R154</f>
        <v/>
      </c>
      <c r="S155">
        <f>$C155*S154</f>
        <v/>
      </c>
      <c r="T155">
        <f>$C155*T154</f>
        <v/>
      </c>
      <c r="U155">
        <f>$C155*U154</f>
        <v/>
      </c>
      <c r="V155">
        <f>$C155*V154</f>
        <v/>
      </c>
      <c r="W155">
        <f>$C155*W154</f>
        <v/>
      </c>
      <c r="X155">
        <f>$C155*X154</f>
        <v/>
      </c>
      <c r="Y155">
        <f>$C155*Y154</f>
        <v/>
      </c>
      <c r="Z155">
        <f>$C155*Z154</f>
        <v/>
      </c>
      <c r="AA155">
        <f>$C155*AA154</f>
        <v/>
      </c>
      <c r="AB155">
        <f>$C155*AB154</f>
        <v/>
      </c>
      <c r="AC155">
        <f>$C155*AC154</f>
        <v/>
      </c>
      <c r="AD155">
        <f>$C155*AD154</f>
        <v/>
      </c>
      <c r="AE155">
        <f>$C155*AE154</f>
        <v/>
      </c>
      <c r="AF155">
        <f>$C155*AF154</f>
        <v/>
      </c>
      <c r="AG155">
        <f>$C155*AG154</f>
        <v/>
      </c>
      <c r="AH155">
        <f>$C155*AH154</f>
        <v/>
      </c>
      <c r="AI155">
        <f>$C155*AI154</f>
        <v/>
      </c>
      <c r="AJ155">
        <f>$C155*AJ154</f>
        <v/>
      </c>
      <c r="AK155">
        <f>$C155*AK154</f>
        <v/>
      </c>
      <c r="AL155">
        <f>$C155*AL154</f>
        <v/>
      </c>
      <c r="AM155">
        <f>$C155*AM154</f>
        <v/>
      </c>
      <c r="AN155">
        <f>$C155*AN154</f>
        <v/>
      </c>
      <c r="AO155">
        <f>$C155*AO154</f>
        <v/>
      </c>
      <c r="AP155">
        <f>$C155*AP154</f>
        <v/>
      </c>
      <c r="AQ155">
        <f>$C155*AQ154</f>
        <v/>
      </c>
      <c r="AR155">
        <f>$C155*AR154</f>
        <v/>
      </c>
      <c r="AS155">
        <f>$C155*AS154</f>
        <v/>
      </c>
      <c r="AT155">
        <f>$C155*AT154</f>
        <v/>
      </c>
      <c r="AU155">
        <f>$C155*AU154</f>
        <v/>
      </c>
      <c r="AV155">
        <f>$C155*AV154</f>
        <v/>
      </c>
      <c r="AW155">
        <f>$C155*AW154</f>
        <v/>
      </c>
      <c r="AX155">
        <f>$C155*AX154</f>
        <v/>
      </c>
      <c r="AY155">
        <f>$C155*AY154</f>
        <v/>
      </c>
      <c r="AZ155">
        <f>$C155*AZ154</f>
        <v/>
      </c>
      <c r="BA155">
        <f>$C155*BA154</f>
        <v/>
      </c>
      <c r="BB155">
        <f>$C155*BB154</f>
        <v/>
      </c>
      <c r="BC155">
        <f>$C155*BC154</f>
        <v/>
      </c>
      <c r="BD155">
        <f>$C155*BD154</f>
        <v/>
      </c>
      <c r="BE155">
        <f>$C155*BE154</f>
        <v/>
      </c>
      <c r="BF155">
        <f>$C155*BF154</f>
        <v/>
      </c>
      <c r="BG155">
        <f>$C155*BG154</f>
        <v/>
      </c>
      <c r="BH155">
        <f>$C155*BH154</f>
        <v/>
      </c>
      <c r="BI155">
        <f>$C155*BI154</f>
        <v/>
      </c>
      <c r="BJ155">
        <f>$C155*BJ154</f>
        <v/>
      </c>
      <c r="BK155">
        <f>$C155*BK154</f>
        <v/>
      </c>
      <c r="BL155">
        <f>$C155*BL154</f>
        <v/>
      </c>
      <c r="BM155">
        <f>$C155*BM154</f>
        <v/>
      </c>
      <c r="BN155">
        <f>$C155*BN154</f>
        <v/>
      </c>
      <c r="BO155">
        <f>$C155*BO154</f>
        <v/>
      </c>
      <c r="BP155">
        <f>$C155*BP154</f>
        <v/>
      </c>
      <c r="BQ155">
        <f>$C155*BQ154</f>
        <v/>
      </c>
      <c r="BR155">
        <f>$C155*BR154</f>
        <v/>
      </c>
      <c r="BS155">
        <f>$C155*BS154</f>
        <v/>
      </c>
      <c r="BT155">
        <f>$C155*BT154</f>
        <v/>
      </c>
      <c r="BU155">
        <f>$C155*BU154</f>
        <v/>
      </c>
      <c r="BV155">
        <f>$C155*BV154</f>
        <v/>
      </c>
      <c r="BW155">
        <f>$C155*BW154</f>
        <v/>
      </c>
      <c r="BX155">
        <f>$C155*BX154</f>
        <v/>
      </c>
      <c r="BY155">
        <f>$C155*BY154</f>
        <v/>
      </c>
      <c r="BZ155">
        <f>$C155*BZ154</f>
        <v/>
      </c>
      <c r="CA155">
        <f>$C155*CA154</f>
        <v/>
      </c>
      <c r="CB155">
        <f>$C155*CB154</f>
        <v/>
      </c>
      <c r="CC155">
        <f>$C155*CC154</f>
        <v/>
      </c>
      <c r="CD155">
        <f>$C155*CD154</f>
        <v/>
      </c>
      <c r="CE155">
        <f>$C155*CE154</f>
        <v/>
      </c>
      <c r="CF155">
        <f>$C155*CF154</f>
        <v/>
      </c>
      <c r="CG155">
        <f>$C155*CG154</f>
        <v/>
      </c>
      <c r="CH155">
        <f>$C155*CH154</f>
        <v/>
      </c>
      <c r="CI155">
        <f>$C155*CI154</f>
        <v/>
      </c>
      <c r="CJ155">
        <f>$C155*CJ154</f>
        <v/>
      </c>
      <c r="CK155">
        <f>$C155*CK154</f>
        <v/>
      </c>
      <c r="CL155">
        <f>$C155*CL154</f>
        <v/>
      </c>
      <c r="CM155">
        <f>$C155*CM154</f>
        <v/>
      </c>
      <c r="CN155">
        <f>$C155*CN154</f>
        <v/>
      </c>
      <c r="CO155">
        <f>$C155*CO154</f>
        <v/>
      </c>
      <c r="CP155">
        <f>$C155*CP154</f>
        <v/>
      </c>
      <c r="CQ155">
        <f>$C155*CQ154</f>
        <v/>
      </c>
      <c r="CR155">
        <f>$C155*CR154</f>
        <v/>
      </c>
      <c r="CS155">
        <f>$C155*CS154</f>
        <v/>
      </c>
      <c r="CT155">
        <f>$C155*CT154</f>
        <v/>
      </c>
      <c r="CU155">
        <f>$C155*CU154</f>
        <v/>
      </c>
      <c r="CV155">
        <f>$C155*CV154</f>
        <v/>
      </c>
      <c r="CW155">
        <f>$C155*CW154</f>
        <v/>
      </c>
      <c r="CX155">
        <f>$C155*CX154</f>
        <v/>
      </c>
      <c r="CY155">
        <f>$C155*CY154</f>
        <v/>
      </c>
      <c r="CZ155">
        <f>$C155*CZ154</f>
        <v/>
      </c>
      <c r="DA155">
        <f>$C155*DA154</f>
        <v/>
      </c>
      <c r="DB155">
        <f>$C155*DB154</f>
        <v/>
      </c>
      <c r="DC155">
        <f>$C155*DC154</f>
        <v/>
      </c>
    </row>
    <row r="156">
      <c r="B156" t="inlineStr">
        <is>
          <t>K0030</t>
        </is>
      </c>
      <c r="C156" t="inlineStr">
        <is>
          <t>No. of batches</t>
        </is>
      </c>
      <c r="D156">
        <f>IFERROR(INDEX(PP_Grid[#Data],$DD156,2),0)</f>
        <v/>
      </c>
      <c r="E156">
        <f>IFERROR(INDEX(PP_Grid[#Data],$DD156,3),0)</f>
        <v/>
      </c>
      <c r="F156">
        <f>IFERROR(INDEX(PP_Grid[#Data],$DD156,4),0)</f>
        <v/>
      </c>
      <c r="G156">
        <f>IFERROR(INDEX(PP_Grid[#Data],$DD156,5),0)</f>
        <v/>
      </c>
      <c r="H156">
        <f>IFERROR(INDEX(PP_Grid[#Data],$DD156,6),0)</f>
        <v/>
      </c>
      <c r="I156">
        <f>IFERROR(INDEX(PP_Grid[#Data],$DD156,7),0)</f>
        <v/>
      </c>
      <c r="J156">
        <f>IFERROR(INDEX(PP_Grid[#Data],$DD156,8),0)</f>
        <v/>
      </c>
      <c r="K156">
        <f>IFERROR(INDEX(PP_Grid[#Data],$DD156,9),0)</f>
        <v/>
      </c>
      <c r="L156">
        <f>IFERROR(INDEX(PP_Grid[#Data],$DD156,10),0)</f>
        <v/>
      </c>
      <c r="M156">
        <f>IFERROR(INDEX(PP_Grid[#Data],$DD156,11),0)</f>
        <v/>
      </c>
      <c r="N156">
        <f>IFERROR(INDEX(PP_Grid[#Data],$DD156,12),0)</f>
        <v/>
      </c>
      <c r="O156">
        <f>IFERROR(INDEX(PP_Grid[#Data],$DD156,13),0)</f>
        <v/>
      </c>
      <c r="P156">
        <f>IFERROR(INDEX(PP_Grid[#Data],$DD156,14),0)</f>
        <v/>
      </c>
      <c r="Q156">
        <f>IFERROR(INDEX(PP_Grid[#Data],$DD156,15),0)</f>
        <v/>
      </c>
      <c r="R156">
        <f>IFERROR(INDEX(PP_Grid[#Data],$DD156,16),0)</f>
        <v/>
      </c>
      <c r="S156">
        <f>IFERROR(INDEX(PP_Grid[#Data],$DD156,17),0)</f>
        <v/>
      </c>
      <c r="T156">
        <f>IFERROR(INDEX(PP_Grid[#Data],$DD156,18),0)</f>
        <v/>
      </c>
      <c r="U156">
        <f>IFERROR(INDEX(PP_Grid[#Data],$DD156,19),0)</f>
        <v/>
      </c>
      <c r="V156">
        <f>IFERROR(INDEX(PP_Grid[#Data],$DD156,20),0)</f>
        <v/>
      </c>
      <c r="W156">
        <f>IFERROR(INDEX(PP_Grid[#Data],$DD156,21),0)</f>
        <v/>
      </c>
      <c r="X156">
        <f>IFERROR(INDEX(PP_Grid[#Data],$DD156,22),0)</f>
        <v/>
      </c>
      <c r="Y156">
        <f>IFERROR(INDEX(PP_Grid[#Data],$DD156,23),0)</f>
        <v/>
      </c>
      <c r="Z156">
        <f>IFERROR(INDEX(PP_Grid[#Data],$DD156,24),0)</f>
        <v/>
      </c>
      <c r="AA156">
        <f>IFERROR(INDEX(PP_Grid[#Data],$DD156,25),0)</f>
        <v/>
      </c>
      <c r="AB156">
        <f>IFERROR(INDEX(PP_Grid[#Data],$DD156,26),0)</f>
        <v/>
      </c>
      <c r="AC156">
        <f>IFERROR(INDEX(PP_Grid[#Data],$DD156,27),0)</f>
        <v/>
      </c>
      <c r="AD156">
        <f>IFERROR(INDEX(PP_Grid[#Data],$DD156,28),0)</f>
        <v/>
      </c>
      <c r="AE156">
        <f>IFERROR(INDEX(PP_Grid[#Data],$DD156,29),0)</f>
        <v/>
      </c>
      <c r="AF156">
        <f>IFERROR(INDEX(PP_Grid[#Data],$DD156,30),0)</f>
        <v/>
      </c>
      <c r="AG156">
        <f>IFERROR(INDEX(PP_Grid[#Data],$DD156,31),0)</f>
        <v/>
      </c>
      <c r="AH156">
        <f>IFERROR(INDEX(PP_Grid[#Data],$DD156,32),0)</f>
        <v/>
      </c>
      <c r="AI156">
        <f>IFERROR(INDEX(PP_Grid[#Data],$DD156,33),0)</f>
        <v/>
      </c>
      <c r="AJ156">
        <f>IFERROR(INDEX(PP_Grid[#Data],$DD156,34),0)</f>
        <v/>
      </c>
      <c r="AK156">
        <f>IFERROR(INDEX(PP_Grid[#Data],$DD156,35),0)</f>
        <v/>
      </c>
      <c r="AL156">
        <f>IFERROR(INDEX(PP_Grid[#Data],$DD156,36),0)</f>
        <v/>
      </c>
      <c r="AM156">
        <f>IFERROR(INDEX(PP_Grid[#Data],$DD156,37),0)</f>
        <v/>
      </c>
      <c r="AN156">
        <f>IFERROR(INDEX(PP_Grid[#Data],$DD156,38),0)</f>
        <v/>
      </c>
      <c r="AO156">
        <f>IFERROR(INDEX(PP_Grid[#Data],$DD156,39),0)</f>
        <v/>
      </c>
      <c r="AP156">
        <f>IFERROR(INDEX(PP_Grid[#Data],$DD156,40),0)</f>
        <v/>
      </c>
      <c r="AQ156">
        <f>IFERROR(INDEX(PP_Grid[#Data],$DD156,41),0)</f>
        <v/>
      </c>
      <c r="AR156">
        <f>IFERROR(INDEX(PP_Grid[#Data],$DD156,42),0)</f>
        <v/>
      </c>
      <c r="AS156">
        <f>IFERROR(INDEX(PP_Grid[#Data],$DD156,43),0)</f>
        <v/>
      </c>
      <c r="AT156">
        <f>IFERROR(INDEX(PP_Grid[#Data],$DD156,44),0)</f>
        <v/>
      </c>
      <c r="AU156">
        <f>IFERROR(INDEX(PP_Grid[#Data],$DD156,45),0)</f>
        <v/>
      </c>
      <c r="AV156">
        <f>IFERROR(INDEX(PP_Grid[#Data],$DD156,46),0)</f>
        <v/>
      </c>
      <c r="AW156">
        <f>IFERROR(INDEX(PP_Grid[#Data],$DD156,47),0)</f>
        <v/>
      </c>
      <c r="AX156">
        <f>IFERROR(INDEX(PP_Grid[#Data],$DD156,48),0)</f>
        <v/>
      </c>
      <c r="AY156">
        <f>IFERROR(INDEX(PP_Grid[#Data],$DD156,49),0)</f>
        <v/>
      </c>
      <c r="AZ156">
        <f>IFERROR(INDEX(PP_Grid[#Data],$DD156,50),0)</f>
        <v/>
      </c>
      <c r="BA156">
        <f>IFERROR(INDEX(PP_Grid[#Data],$DD156,51),0)</f>
        <v/>
      </c>
      <c r="BB156">
        <f>IFERROR(INDEX(PP_Grid[#Data],$DD156,52),0)</f>
        <v/>
      </c>
      <c r="BC156">
        <f>IFERROR(INDEX(PP_Grid[#Data],$DD156,53),0)</f>
        <v/>
      </c>
      <c r="BD156">
        <f>IFERROR(INDEX(PP_Grid[#Data],$DD156,54),0)</f>
        <v/>
      </c>
      <c r="BE156">
        <f>IFERROR(INDEX(PP_Grid[#Data],$DD156,55),0)</f>
        <v/>
      </c>
      <c r="BF156">
        <f>IFERROR(INDEX(PP_Grid[#Data],$DD156,56),0)</f>
        <v/>
      </c>
      <c r="BG156">
        <f>IFERROR(INDEX(PP_Grid[#Data],$DD156,57),0)</f>
        <v/>
      </c>
      <c r="BH156">
        <f>IFERROR(INDEX(PP_Grid[#Data],$DD156,58),0)</f>
        <v/>
      </c>
      <c r="BI156">
        <f>IFERROR(INDEX(PP_Grid[#Data],$DD156,59),0)</f>
        <v/>
      </c>
      <c r="BJ156">
        <f>IFERROR(INDEX(PP_Grid[#Data],$DD156,60),0)</f>
        <v/>
      </c>
      <c r="BK156">
        <f>IFERROR(INDEX(PP_Grid[#Data],$DD156,61),0)</f>
        <v/>
      </c>
      <c r="BL156">
        <f>IFERROR(INDEX(PP_Grid[#Data],$DD156,62),0)</f>
        <v/>
      </c>
      <c r="BM156">
        <f>IFERROR(INDEX(PP_Grid[#Data],$DD156,63),0)</f>
        <v/>
      </c>
      <c r="BN156">
        <f>IFERROR(INDEX(PP_Grid[#Data],$DD156,64),0)</f>
        <v/>
      </c>
      <c r="BO156">
        <f>IFERROR(INDEX(PP_Grid[#Data],$DD156,65),0)</f>
        <v/>
      </c>
      <c r="BP156">
        <f>IFERROR(INDEX(PP_Grid[#Data],$DD156,66),0)</f>
        <v/>
      </c>
      <c r="BQ156">
        <f>IFERROR(INDEX(PP_Grid[#Data],$DD156,67),0)</f>
        <v/>
      </c>
      <c r="BR156">
        <f>IFERROR(INDEX(PP_Grid[#Data],$DD156,68),0)</f>
        <v/>
      </c>
      <c r="BS156">
        <f>IFERROR(INDEX(PP_Grid[#Data],$DD156,69),0)</f>
        <v/>
      </c>
      <c r="BT156">
        <f>IFERROR(INDEX(PP_Grid[#Data],$DD156,70),0)</f>
        <v/>
      </c>
      <c r="BU156">
        <f>IFERROR(INDEX(PP_Grid[#Data],$DD156,71),0)</f>
        <v/>
      </c>
      <c r="BV156">
        <f>IFERROR(INDEX(PP_Grid[#Data],$DD156,72),0)</f>
        <v/>
      </c>
      <c r="BW156">
        <f>IFERROR(INDEX(PP_Grid[#Data],$DD156,73),0)</f>
        <v/>
      </c>
      <c r="BX156">
        <f>IFERROR(INDEX(PP_Grid[#Data],$DD156,74),0)</f>
        <v/>
      </c>
      <c r="BY156">
        <f>IFERROR(INDEX(PP_Grid[#Data],$DD156,75),0)</f>
        <v/>
      </c>
      <c r="BZ156">
        <f>IFERROR(INDEX(PP_Grid[#Data],$DD156,76),0)</f>
        <v/>
      </c>
      <c r="CA156">
        <f>IFERROR(INDEX(PP_Grid[#Data],$DD156,77),0)</f>
        <v/>
      </c>
      <c r="CB156">
        <f>IFERROR(INDEX(PP_Grid[#Data],$DD156,78),0)</f>
        <v/>
      </c>
      <c r="CC156">
        <f>IFERROR(INDEX(PP_Grid[#Data],$DD156,79),0)</f>
        <v/>
      </c>
      <c r="CD156">
        <f>IFERROR(INDEX(PP_Grid[#Data],$DD156,80),0)</f>
        <v/>
      </c>
      <c r="CE156">
        <f>IFERROR(INDEX(PP_Grid[#Data],$DD156,81),0)</f>
        <v/>
      </c>
      <c r="CF156">
        <f>IFERROR(INDEX(PP_Grid[#Data],$DD156,82),0)</f>
        <v/>
      </c>
      <c r="CG156">
        <f>IFERROR(INDEX(PP_Grid[#Data],$DD156,83),0)</f>
        <v/>
      </c>
      <c r="CH156">
        <f>IFERROR(INDEX(PP_Grid[#Data],$DD156,84),0)</f>
        <v/>
      </c>
      <c r="CI156">
        <f>IFERROR(INDEX(PP_Grid[#Data],$DD156,85),0)</f>
        <v/>
      </c>
      <c r="CJ156">
        <f>IFERROR(INDEX(PP_Grid[#Data],$DD156,86),0)</f>
        <v/>
      </c>
      <c r="CK156">
        <f>IFERROR(INDEX(PP_Grid[#Data],$DD156,87),0)</f>
        <v/>
      </c>
      <c r="CL156">
        <f>IFERROR(INDEX(PP_Grid[#Data],$DD156,88),0)</f>
        <v/>
      </c>
      <c r="CM156">
        <f>IFERROR(INDEX(PP_Grid[#Data],$DD156,89),0)</f>
        <v/>
      </c>
      <c r="CN156">
        <f>IFERROR(INDEX(PP_Grid[#Data],$DD156,90),0)</f>
        <v/>
      </c>
      <c r="CO156">
        <f>IFERROR(INDEX(PP_Grid[#Data],$DD156,91),0)</f>
        <v/>
      </c>
      <c r="CP156">
        <f>IFERROR(INDEX(PP_Grid[#Data],$DD156,92),0)</f>
        <v/>
      </c>
      <c r="CQ156">
        <f>IFERROR(INDEX(PP_Grid[#Data],$DD156,93),0)</f>
        <v/>
      </c>
      <c r="CR156">
        <f>IFERROR(INDEX(PP_Grid[#Data],$DD156,94),0)</f>
        <v/>
      </c>
      <c r="CS156">
        <f>IFERROR(INDEX(PP_Grid[#Data],$DD156,95),0)</f>
        <v/>
      </c>
      <c r="CT156">
        <f>IFERROR(INDEX(PP_Grid[#Data],$DD156,96),0)</f>
        <v/>
      </c>
      <c r="CU156">
        <f>IFERROR(INDEX(PP_Grid[#Data],$DD156,97),0)</f>
        <v/>
      </c>
      <c r="CV156">
        <f>IFERROR(INDEX(PP_Grid[#Data],$DD156,98),0)</f>
        <v/>
      </c>
      <c r="CW156">
        <f>IFERROR(INDEX(PP_Grid[#Data],$DD156,99),0)</f>
        <v/>
      </c>
      <c r="CX156">
        <f>IFERROR(INDEX(PP_Grid[#Data],$DD156,100),0)</f>
        <v/>
      </c>
      <c r="CY156">
        <f>IFERROR(INDEX(PP_Grid[#Data],$DD156,101),0)</f>
        <v/>
      </c>
      <c r="CZ156">
        <f>IFERROR(INDEX(PP_Grid[#Data],$DD156,102),0)</f>
        <v/>
      </c>
      <c r="DA156">
        <f>IFERROR(INDEX(PP_Grid[#Data],$DD156,103),0)</f>
        <v/>
      </c>
      <c r="DB156">
        <f>IFERROR(INDEX(PP_Grid[#Data],$DD156,104),0)</f>
        <v/>
      </c>
      <c r="DC156">
        <f>IFERROR(INDEX(PP_Grid[#Data],$DD156,105),0)</f>
        <v/>
      </c>
      <c r="DD156" s="12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SUMIFS(M_BOM[RM_Qty_Per_Batch],M_BOM[Intermediate],$B156,M_BOM[Part Name],$A153)</f>
        <v/>
      </c>
      <c r="D157">
        <f>$C157*D156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</row>
    <row r="158">
      <c r="B158" s="5" t="inlineStr">
        <is>
          <t>合計使用量(kg)/週</t>
        </is>
      </c>
      <c r="D158">
        <f>'Grid_Requirement'!B4</f>
        <v/>
      </c>
      <c r="E158">
        <f>'Grid_Requirement'!C4</f>
        <v/>
      </c>
      <c r="F158">
        <f>'Grid_Requirement'!D4</f>
        <v/>
      </c>
      <c r="G158">
        <f>'Grid_Requirement'!E4</f>
        <v/>
      </c>
      <c r="H158">
        <f>'Grid_Requirement'!F4</f>
        <v/>
      </c>
      <c r="I158">
        <f>'Grid_Requirement'!G4</f>
        <v/>
      </c>
      <c r="J158">
        <f>'Grid_Requirement'!H4</f>
        <v/>
      </c>
      <c r="K158">
        <f>'Grid_Requirement'!I4</f>
        <v/>
      </c>
      <c r="L158">
        <f>'Grid_Requirement'!J4</f>
        <v/>
      </c>
      <c r="M158">
        <f>'Grid_Requirement'!K4</f>
        <v/>
      </c>
      <c r="N158">
        <f>'Grid_Requirement'!L4</f>
        <v/>
      </c>
      <c r="O158">
        <f>'Grid_Requirement'!M4</f>
        <v/>
      </c>
      <c r="P158">
        <f>'Grid_Requirement'!N4</f>
        <v/>
      </c>
      <c r="Q158">
        <f>'Grid_Requirement'!O4</f>
        <v/>
      </c>
      <c r="R158">
        <f>'Grid_Requirement'!P4</f>
        <v/>
      </c>
      <c r="S158">
        <f>'Grid_Requirement'!Q4</f>
        <v/>
      </c>
      <c r="T158">
        <f>'Grid_Requirement'!R4</f>
        <v/>
      </c>
      <c r="U158">
        <f>'Grid_Requirement'!S4</f>
        <v/>
      </c>
      <c r="V158">
        <f>'Grid_Requirement'!T4</f>
        <v/>
      </c>
      <c r="W158">
        <f>'Grid_Requirement'!U4</f>
        <v/>
      </c>
      <c r="X158">
        <f>'Grid_Requirement'!V4</f>
        <v/>
      </c>
      <c r="Y158">
        <f>'Grid_Requirement'!W4</f>
        <v/>
      </c>
      <c r="Z158">
        <f>'Grid_Requirement'!X4</f>
        <v/>
      </c>
      <c r="AA158">
        <f>'Grid_Requirement'!Y4</f>
        <v/>
      </c>
      <c r="AB158">
        <f>'Grid_Requirement'!Z4</f>
        <v/>
      </c>
      <c r="AC158">
        <f>'Grid_Requirement'!AA4</f>
        <v/>
      </c>
      <c r="AD158">
        <f>'Grid_Requirement'!AB4</f>
        <v/>
      </c>
      <c r="AE158">
        <f>'Grid_Requirement'!AC4</f>
        <v/>
      </c>
      <c r="AF158">
        <f>'Grid_Requirement'!AD4</f>
        <v/>
      </c>
      <c r="AG158">
        <f>'Grid_Requirement'!AE4</f>
        <v/>
      </c>
      <c r="AH158">
        <f>'Grid_Requirement'!AF4</f>
        <v/>
      </c>
      <c r="AI158">
        <f>'Grid_Requirement'!AG4</f>
        <v/>
      </c>
      <c r="AJ158">
        <f>'Grid_Requirement'!AH4</f>
        <v/>
      </c>
      <c r="AK158">
        <f>'Grid_Requirement'!AI4</f>
        <v/>
      </c>
      <c r="AL158">
        <f>'Grid_Requirement'!AJ4</f>
        <v/>
      </c>
      <c r="AM158">
        <f>'Grid_Requirement'!AK4</f>
        <v/>
      </c>
      <c r="AN158">
        <f>'Grid_Requirement'!AL4</f>
        <v/>
      </c>
      <c r="AO158">
        <f>'Grid_Requirement'!AM4</f>
        <v/>
      </c>
      <c r="AP158">
        <f>'Grid_Requirement'!AN4</f>
        <v/>
      </c>
      <c r="AQ158">
        <f>'Grid_Requirement'!AO4</f>
        <v/>
      </c>
      <c r="AR158">
        <f>'Grid_Requirement'!AP4</f>
        <v/>
      </c>
      <c r="AS158">
        <f>'Grid_Requirement'!AQ4</f>
        <v/>
      </c>
      <c r="AT158">
        <f>'Grid_Requirement'!AR4</f>
        <v/>
      </c>
      <c r="AU158">
        <f>'Grid_Requirement'!AS4</f>
        <v/>
      </c>
      <c r="AV158">
        <f>'Grid_Requirement'!AT4</f>
        <v/>
      </c>
      <c r="AW158">
        <f>'Grid_Requirement'!AU4</f>
        <v/>
      </c>
      <c r="AX158">
        <f>'Grid_Requirement'!AV4</f>
        <v/>
      </c>
      <c r="AY158">
        <f>'Grid_Requirement'!AW4</f>
        <v/>
      </c>
      <c r="AZ158">
        <f>'Grid_Requirement'!AX4</f>
        <v/>
      </c>
      <c r="BA158">
        <f>'Grid_Requirement'!AY4</f>
        <v/>
      </c>
      <c r="BB158">
        <f>'Grid_Requirement'!AZ4</f>
        <v/>
      </c>
      <c r="BC158">
        <f>'Grid_Requirement'!BA4</f>
        <v/>
      </c>
      <c r="BD158">
        <f>'Grid_Requirement'!BB4</f>
        <v/>
      </c>
      <c r="BE158">
        <f>'Grid_Requirement'!BC4</f>
        <v/>
      </c>
      <c r="BF158">
        <f>'Grid_Requirement'!BD4</f>
        <v/>
      </c>
      <c r="BG158">
        <f>'Grid_Requirement'!BE4</f>
        <v/>
      </c>
      <c r="BH158">
        <f>'Grid_Requirement'!BF4</f>
        <v/>
      </c>
      <c r="BI158">
        <f>'Grid_Requirement'!BG4</f>
        <v/>
      </c>
      <c r="BJ158">
        <f>'Grid_Requirement'!BH4</f>
        <v/>
      </c>
      <c r="BK158">
        <f>'Grid_Requirement'!BI4</f>
        <v/>
      </c>
      <c r="BL158">
        <f>'Grid_Requirement'!BJ4</f>
        <v/>
      </c>
      <c r="BM158">
        <f>'Grid_Requirement'!BK4</f>
        <v/>
      </c>
      <c r="BN158">
        <f>'Grid_Requirement'!BL4</f>
        <v/>
      </c>
      <c r="BO158">
        <f>'Grid_Requirement'!BM4</f>
        <v/>
      </c>
      <c r="BP158">
        <f>'Grid_Requirement'!BN4</f>
        <v/>
      </c>
      <c r="BQ158">
        <f>'Grid_Requirement'!BO4</f>
        <v/>
      </c>
      <c r="BR158">
        <f>'Grid_Requirement'!BP4</f>
        <v/>
      </c>
      <c r="BS158">
        <f>'Grid_Requirement'!BQ4</f>
        <v/>
      </c>
      <c r="BT158">
        <f>'Grid_Requirement'!BR4</f>
        <v/>
      </c>
      <c r="BU158">
        <f>'Grid_Requirement'!BS4</f>
        <v/>
      </c>
      <c r="BV158">
        <f>'Grid_Requirement'!BT4</f>
        <v/>
      </c>
      <c r="BW158">
        <f>'Grid_Requirement'!BU4</f>
        <v/>
      </c>
      <c r="BX158">
        <f>'Grid_Requirement'!BV4</f>
        <v/>
      </c>
      <c r="BY158">
        <f>'Grid_Requirement'!BW4</f>
        <v/>
      </c>
      <c r="BZ158">
        <f>'Grid_Requirement'!BX4</f>
        <v/>
      </c>
      <c r="CA158">
        <f>'Grid_Requirement'!BY4</f>
        <v/>
      </c>
      <c r="CB158">
        <f>'Grid_Requirement'!BZ4</f>
        <v/>
      </c>
      <c r="CC158">
        <f>'Grid_Requirement'!CA4</f>
        <v/>
      </c>
      <c r="CD158">
        <f>'Grid_Requirement'!CB4</f>
        <v/>
      </c>
      <c r="CE158">
        <f>'Grid_Requirement'!CC4</f>
        <v/>
      </c>
      <c r="CF158">
        <f>'Grid_Requirement'!CD4</f>
        <v/>
      </c>
      <c r="CG158">
        <f>'Grid_Requirement'!CE4</f>
        <v/>
      </c>
      <c r="CH158">
        <f>'Grid_Requirement'!CF4</f>
        <v/>
      </c>
      <c r="CI158">
        <f>'Grid_Requirement'!CG4</f>
        <v/>
      </c>
      <c r="CJ158">
        <f>'Grid_Requirement'!CH4</f>
        <v/>
      </c>
      <c r="CK158">
        <f>'Grid_Requirement'!CI4</f>
        <v/>
      </c>
      <c r="CL158">
        <f>'Grid_Requirement'!CJ4</f>
        <v/>
      </c>
      <c r="CM158">
        <f>'Grid_Requirement'!CK4</f>
        <v/>
      </c>
      <c r="CN158">
        <f>'Grid_Requirement'!CL4</f>
        <v/>
      </c>
      <c r="CO158">
        <f>'Grid_Requirement'!CM4</f>
        <v/>
      </c>
      <c r="CP158">
        <f>'Grid_Requirement'!CN4</f>
        <v/>
      </c>
      <c r="CQ158">
        <f>'Grid_Requirement'!CO4</f>
        <v/>
      </c>
      <c r="CR158">
        <f>'Grid_Requirement'!CP4</f>
        <v/>
      </c>
      <c r="CS158">
        <f>'Grid_Requirement'!CQ4</f>
        <v/>
      </c>
      <c r="CT158">
        <f>'Grid_Requirement'!CR4</f>
        <v/>
      </c>
      <c r="CU158">
        <f>'Grid_Requirement'!CS4</f>
        <v/>
      </c>
      <c r="CV158">
        <f>'Grid_Requirement'!CT4</f>
        <v/>
      </c>
      <c r="CW158">
        <f>'Grid_Requirement'!CU4</f>
        <v/>
      </c>
      <c r="CX158">
        <f>'Grid_Requirement'!CV4</f>
        <v/>
      </c>
      <c r="CY158">
        <f>'Grid_Requirement'!CW4</f>
        <v/>
      </c>
      <c r="CZ158">
        <f>'Grid_Requirement'!CX4</f>
        <v/>
      </c>
      <c r="DA158">
        <f>'Grid_Requirement'!CY4</f>
        <v/>
      </c>
      <c r="DB158">
        <f>'Grid_Requirement'!CZ4</f>
        <v/>
      </c>
      <c r="DC158">
        <f>'Grid_Requirement'!DA4</f>
        <v/>
      </c>
    </row>
    <row r="159">
      <c r="B159" t="inlineStr">
        <is>
          <t>TTAF在庫(実績,kg)</t>
        </is>
      </c>
      <c r="D159">
        <f>'T_TTAFStock'!B8</f>
        <v/>
      </c>
      <c r="E159">
        <f>'T_TTAFStock'!C8</f>
        <v/>
      </c>
      <c r="F159">
        <f>'T_TTAFStock'!D8</f>
        <v/>
      </c>
      <c r="G159">
        <f>'T_TTAFStock'!E8</f>
        <v/>
      </c>
      <c r="H159">
        <f>'T_TTAFStock'!F8</f>
        <v/>
      </c>
      <c r="I159">
        <f>'T_TTAFStock'!G8</f>
        <v/>
      </c>
      <c r="J159">
        <f>'T_TTAFStock'!H8</f>
        <v/>
      </c>
      <c r="K159">
        <f>'T_TTAFStock'!I8</f>
        <v/>
      </c>
      <c r="L159">
        <f>'T_TTAFStock'!J8</f>
        <v/>
      </c>
      <c r="M159">
        <f>'T_TTAFStock'!K8</f>
        <v/>
      </c>
      <c r="N159">
        <f>'T_TTAFStock'!L8</f>
        <v/>
      </c>
      <c r="O159">
        <f>'T_TTAFStock'!M8</f>
        <v/>
      </c>
      <c r="P159">
        <f>'T_TTAFStock'!N8</f>
        <v/>
      </c>
      <c r="Q159">
        <f>'T_TTAFStock'!O8</f>
        <v/>
      </c>
      <c r="R159">
        <f>'T_TTAFStock'!P8</f>
        <v/>
      </c>
      <c r="S159">
        <f>'T_TTAFStock'!Q8</f>
        <v/>
      </c>
      <c r="T159">
        <f>'T_TTAFStock'!R8</f>
        <v/>
      </c>
      <c r="U159">
        <f>'T_TTAFStock'!S8</f>
        <v/>
      </c>
      <c r="V159">
        <f>'T_TTAFStock'!T8</f>
        <v/>
      </c>
      <c r="W159">
        <f>'T_TTAFStock'!U8</f>
        <v/>
      </c>
      <c r="X159">
        <f>'T_TTAFStock'!V8</f>
        <v/>
      </c>
      <c r="Y159">
        <f>'T_TTAFStock'!W8</f>
        <v/>
      </c>
      <c r="Z159">
        <f>'T_TTAFStock'!X8</f>
        <v/>
      </c>
      <c r="AA159">
        <f>'T_TTAFStock'!Y8</f>
        <v/>
      </c>
      <c r="AB159">
        <f>'T_TTAFStock'!Z8</f>
        <v/>
      </c>
      <c r="AC159">
        <f>'T_TTAFStock'!AA8</f>
        <v/>
      </c>
      <c r="AD159">
        <f>'T_TTAFStock'!AB8</f>
        <v/>
      </c>
      <c r="AE159">
        <f>'T_TTAFStock'!AC8</f>
        <v/>
      </c>
      <c r="AF159">
        <f>'T_TTAFStock'!AD8</f>
        <v/>
      </c>
      <c r="AG159">
        <f>'T_TTAFStock'!AE8</f>
        <v/>
      </c>
      <c r="AH159">
        <f>'T_TTAFStock'!AF8</f>
        <v/>
      </c>
      <c r="AI159">
        <f>'T_TTAFStock'!AG8</f>
        <v/>
      </c>
      <c r="AJ159">
        <f>'T_TTAFStock'!AH8</f>
        <v/>
      </c>
      <c r="AK159">
        <f>'T_TTAFStock'!AI8</f>
        <v/>
      </c>
      <c r="AL159">
        <f>'T_TTAFStock'!AJ8</f>
        <v/>
      </c>
      <c r="AM159">
        <f>'T_TTAFStock'!AK8</f>
        <v/>
      </c>
      <c r="AN159">
        <f>'T_TTAFStock'!AL8</f>
        <v/>
      </c>
      <c r="AO159">
        <f>'T_TTAFStock'!AM8</f>
        <v/>
      </c>
      <c r="AP159">
        <f>'T_TTAFStock'!AN8</f>
        <v/>
      </c>
      <c r="AQ159">
        <f>'T_TTAFStock'!AO8</f>
        <v/>
      </c>
      <c r="AR159">
        <f>'T_TTAFStock'!AP8</f>
        <v/>
      </c>
      <c r="AS159">
        <f>'T_TTAFStock'!AQ8</f>
        <v/>
      </c>
      <c r="AT159">
        <f>'T_TTAFStock'!AR8</f>
        <v/>
      </c>
      <c r="AU159">
        <f>'T_TTAFStock'!AS8</f>
        <v/>
      </c>
      <c r="AV159">
        <f>'T_TTAFStock'!AT8</f>
        <v/>
      </c>
      <c r="AW159">
        <f>'T_TTAFStock'!AU8</f>
        <v/>
      </c>
      <c r="AX159">
        <f>'T_TTAFStock'!AV8</f>
        <v/>
      </c>
      <c r="AY159">
        <f>'T_TTAFStock'!AW8</f>
        <v/>
      </c>
      <c r="AZ159">
        <f>'T_TTAFStock'!AX8</f>
        <v/>
      </c>
      <c r="BA159">
        <f>'T_TTAFStock'!AY8</f>
        <v/>
      </c>
      <c r="BB159">
        <f>'T_TTAFStock'!AZ8</f>
        <v/>
      </c>
      <c r="BC159">
        <f>'T_TTAFStock'!BA8</f>
        <v/>
      </c>
      <c r="BD159">
        <f>'T_TTAFStock'!BB8</f>
        <v/>
      </c>
      <c r="BE159">
        <f>'T_TTAFStock'!BC8</f>
        <v/>
      </c>
      <c r="BF159">
        <f>'T_TTAFStock'!BD8</f>
        <v/>
      </c>
      <c r="BG159">
        <f>'T_TTAFStock'!BE8</f>
        <v/>
      </c>
      <c r="BH159">
        <f>'T_TTAFStock'!BF8</f>
        <v/>
      </c>
      <c r="BI159">
        <f>'T_TTAFStock'!BG8</f>
        <v/>
      </c>
      <c r="BJ159">
        <f>'T_TTAFStock'!BH8</f>
        <v/>
      </c>
      <c r="BK159">
        <f>'T_TTAFStock'!BI8</f>
        <v/>
      </c>
      <c r="BL159">
        <f>'T_TTAFStock'!BJ8</f>
        <v/>
      </c>
      <c r="BM159">
        <f>'T_TTAFStock'!BK8</f>
        <v/>
      </c>
      <c r="BN159">
        <f>'T_TTAFStock'!BL8</f>
        <v/>
      </c>
      <c r="BO159">
        <f>'T_TTAFStock'!BM8</f>
        <v/>
      </c>
      <c r="BP159">
        <f>'T_TTAFStock'!BN8</f>
        <v/>
      </c>
      <c r="BQ159">
        <f>'T_TTAFStock'!BO8</f>
        <v/>
      </c>
      <c r="BR159">
        <f>'T_TTAFStock'!BP8</f>
        <v/>
      </c>
      <c r="BS159">
        <f>'T_TTAFStock'!BQ8</f>
        <v/>
      </c>
      <c r="BT159">
        <f>'T_TTAFStock'!BR8</f>
        <v/>
      </c>
      <c r="BU159">
        <f>'T_TTAFStock'!BS8</f>
        <v/>
      </c>
      <c r="BV159">
        <f>'T_TTAFStock'!BT8</f>
        <v/>
      </c>
      <c r="BW159">
        <f>'T_TTAFStock'!BU8</f>
        <v/>
      </c>
      <c r="BX159">
        <f>'T_TTAFStock'!BV8</f>
        <v/>
      </c>
      <c r="BY159">
        <f>'T_TTAFStock'!BW8</f>
        <v/>
      </c>
      <c r="BZ159">
        <f>'T_TTAFStock'!BX8</f>
        <v/>
      </c>
      <c r="CA159">
        <f>'T_TTAFStock'!BY8</f>
        <v/>
      </c>
      <c r="CB159">
        <f>'T_TTAFStock'!BZ8</f>
        <v/>
      </c>
      <c r="CC159">
        <f>'T_TTAFStock'!CA8</f>
        <v/>
      </c>
      <c r="CD159">
        <f>'T_TTAFStock'!CB8</f>
        <v/>
      </c>
      <c r="CE159">
        <f>'T_TTAFStock'!CC8</f>
        <v/>
      </c>
      <c r="CF159">
        <f>'T_TTAFStock'!CD8</f>
        <v/>
      </c>
      <c r="CG159">
        <f>'T_TTAFStock'!CE8</f>
        <v/>
      </c>
      <c r="CH159">
        <f>'T_TTAFStock'!CF8</f>
        <v/>
      </c>
      <c r="CI159">
        <f>'T_TTAFStock'!CG8</f>
        <v/>
      </c>
      <c r="CJ159">
        <f>'T_TTAFStock'!CH8</f>
        <v/>
      </c>
      <c r="CK159">
        <f>'T_TTAFStock'!CI8</f>
        <v/>
      </c>
      <c r="CL159">
        <f>'T_TTAFStock'!CJ8</f>
        <v/>
      </c>
      <c r="CM159">
        <f>'T_TTAFStock'!CK8</f>
        <v/>
      </c>
      <c r="CN159">
        <f>'T_TTAFStock'!CL8</f>
        <v/>
      </c>
      <c r="CO159">
        <f>'T_TTAFStock'!CM8</f>
        <v/>
      </c>
      <c r="CP159">
        <f>'T_TTAFStock'!CN8</f>
        <v/>
      </c>
      <c r="CQ159">
        <f>'T_TTAFStock'!CO8</f>
        <v/>
      </c>
      <c r="CR159">
        <f>'T_TTAFStock'!CP8</f>
        <v/>
      </c>
      <c r="CS159">
        <f>'T_TTAFStock'!CQ8</f>
        <v/>
      </c>
      <c r="CT159">
        <f>'T_TTAFStock'!CR8</f>
        <v/>
      </c>
      <c r="CU159">
        <f>'T_TTAFStock'!CS8</f>
        <v/>
      </c>
      <c r="CV159">
        <f>'T_TTAFStock'!CT8</f>
        <v/>
      </c>
      <c r="CW159">
        <f>'T_TTAFStock'!CU8</f>
        <v/>
      </c>
      <c r="CX159">
        <f>'T_TTAFStock'!CV8</f>
        <v/>
      </c>
      <c r="CY159">
        <f>'T_TTAFStock'!CW8</f>
        <v/>
      </c>
      <c r="CZ159">
        <f>'T_TTAFStock'!CX8</f>
        <v/>
      </c>
      <c r="DA159">
        <f>'T_TTAFStock'!CY8</f>
        <v/>
      </c>
      <c r="DB159">
        <f>'T_TTAFStock'!CZ8</f>
        <v/>
      </c>
      <c r="DC159">
        <f>'T_TTAFStock'!DA8</f>
        <v/>
      </c>
    </row>
    <row r="160">
      <c r="B160" t="inlineStr">
        <is>
          <t>自社在庫(実績,kg)</t>
        </is>
      </c>
      <c r="D160">
        <f>'T_SelfStock'!B8</f>
        <v/>
      </c>
      <c r="E160">
        <f>'T_SelfStock'!C8</f>
        <v/>
      </c>
      <c r="F160">
        <f>'T_SelfStock'!D8</f>
        <v/>
      </c>
      <c r="G160">
        <f>'T_SelfStock'!E8</f>
        <v/>
      </c>
      <c r="H160">
        <f>'T_SelfStock'!F8</f>
        <v/>
      </c>
      <c r="I160">
        <f>'T_SelfStock'!G8</f>
        <v/>
      </c>
      <c r="J160">
        <f>'T_SelfStock'!H8</f>
        <v/>
      </c>
      <c r="K160">
        <f>'T_SelfStock'!I8</f>
        <v/>
      </c>
      <c r="L160">
        <f>'T_SelfStock'!J8</f>
        <v/>
      </c>
      <c r="M160">
        <f>'T_SelfStock'!K8</f>
        <v/>
      </c>
      <c r="N160">
        <f>'T_SelfStock'!L8</f>
        <v/>
      </c>
      <c r="O160">
        <f>'T_SelfStock'!M8</f>
        <v/>
      </c>
      <c r="P160">
        <f>'T_SelfStock'!N8</f>
        <v/>
      </c>
      <c r="Q160">
        <f>'T_SelfStock'!O8</f>
        <v/>
      </c>
      <c r="R160">
        <f>'T_SelfStock'!P8</f>
        <v/>
      </c>
      <c r="S160">
        <f>'T_SelfStock'!Q8</f>
        <v/>
      </c>
      <c r="T160">
        <f>'T_SelfStock'!R8</f>
        <v/>
      </c>
      <c r="U160">
        <f>'T_SelfStock'!S8</f>
        <v/>
      </c>
      <c r="V160">
        <f>'T_SelfStock'!T8</f>
        <v/>
      </c>
      <c r="W160">
        <f>'T_SelfStock'!U8</f>
        <v/>
      </c>
      <c r="X160">
        <f>'T_SelfStock'!V8</f>
        <v/>
      </c>
      <c r="Y160">
        <f>'T_SelfStock'!W8</f>
        <v/>
      </c>
      <c r="Z160">
        <f>'T_SelfStock'!X8</f>
        <v/>
      </c>
      <c r="AA160">
        <f>'T_SelfStock'!Y8</f>
        <v/>
      </c>
      <c r="AB160">
        <f>'T_SelfStock'!Z8</f>
        <v/>
      </c>
      <c r="AC160">
        <f>'T_SelfStock'!AA8</f>
        <v/>
      </c>
      <c r="AD160">
        <f>'T_SelfStock'!AB8</f>
        <v/>
      </c>
      <c r="AE160">
        <f>'T_SelfStock'!AC8</f>
        <v/>
      </c>
      <c r="AF160">
        <f>'T_SelfStock'!AD8</f>
        <v/>
      </c>
      <c r="AG160">
        <f>'T_SelfStock'!AE8</f>
        <v/>
      </c>
      <c r="AH160">
        <f>'T_SelfStock'!AF8</f>
        <v/>
      </c>
      <c r="AI160">
        <f>'T_SelfStock'!AG8</f>
        <v/>
      </c>
      <c r="AJ160">
        <f>'T_SelfStock'!AH8</f>
        <v/>
      </c>
      <c r="AK160">
        <f>'T_SelfStock'!AI8</f>
        <v/>
      </c>
      <c r="AL160">
        <f>'T_SelfStock'!AJ8</f>
        <v/>
      </c>
      <c r="AM160">
        <f>'T_SelfStock'!AK8</f>
        <v/>
      </c>
      <c r="AN160">
        <f>'T_SelfStock'!AL8</f>
        <v/>
      </c>
      <c r="AO160">
        <f>'T_SelfStock'!AM8</f>
        <v/>
      </c>
      <c r="AP160">
        <f>'T_SelfStock'!AN8</f>
        <v/>
      </c>
      <c r="AQ160">
        <f>'T_SelfStock'!AO8</f>
        <v/>
      </c>
      <c r="AR160">
        <f>'T_SelfStock'!AP8</f>
        <v/>
      </c>
      <c r="AS160">
        <f>'T_SelfStock'!AQ8</f>
        <v/>
      </c>
      <c r="AT160">
        <f>'T_SelfStock'!AR8</f>
        <v/>
      </c>
      <c r="AU160">
        <f>'T_SelfStock'!AS8</f>
        <v/>
      </c>
      <c r="AV160">
        <f>'T_SelfStock'!AT8</f>
        <v/>
      </c>
      <c r="AW160">
        <f>'T_SelfStock'!AU8</f>
        <v/>
      </c>
      <c r="AX160">
        <f>'T_SelfStock'!AV8</f>
        <v/>
      </c>
      <c r="AY160">
        <f>'T_SelfStock'!AW8</f>
        <v/>
      </c>
      <c r="AZ160">
        <f>'T_SelfStock'!AX8</f>
        <v/>
      </c>
      <c r="BA160">
        <f>'T_SelfStock'!AY8</f>
        <v/>
      </c>
      <c r="BB160">
        <f>'T_SelfStock'!AZ8</f>
        <v/>
      </c>
      <c r="BC160">
        <f>'T_SelfStock'!BA8</f>
        <v/>
      </c>
      <c r="BD160">
        <f>'T_SelfStock'!BB8</f>
        <v/>
      </c>
      <c r="BE160">
        <f>'T_SelfStock'!BC8</f>
        <v/>
      </c>
      <c r="BF160">
        <f>'T_SelfStock'!BD8</f>
        <v/>
      </c>
      <c r="BG160">
        <f>'T_SelfStock'!BE8</f>
        <v/>
      </c>
      <c r="BH160">
        <f>'T_SelfStock'!BF8</f>
        <v/>
      </c>
      <c r="BI160">
        <f>'T_SelfStock'!BG8</f>
        <v/>
      </c>
      <c r="BJ160">
        <f>'T_SelfStock'!BH8</f>
        <v/>
      </c>
      <c r="BK160">
        <f>'T_SelfStock'!BI8</f>
        <v/>
      </c>
      <c r="BL160">
        <f>'T_SelfStock'!BJ8</f>
        <v/>
      </c>
      <c r="BM160">
        <f>'T_SelfStock'!BK8</f>
        <v/>
      </c>
      <c r="BN160">
        <f>'T_SelfStock'!BL8</f>
        <v/>
      </c>
      <c r="BO160">
        <f>'T_SelfStock'!BM8</f>
        <v/>
      </c>
      <c r="BP160">
        <f>'T_SelfStock'!BN8</f>
        <v/>
      </c>
      <c r="BQ160">
        <f>'T_SelfStock'!BO8</f>
        <v/>
      </c>
      <c r="BR160">
        <f>'T_SelfStock'!BP8</f>
        <v/>
      </c>
      <c r="BS160">
        <f>'T_SelfStock'!BQ8</f>
        <v/>
      </c>
      <c r="BT160">
        <f>'T_SelfStock'!BR8</f>
        <v/>
      </c>
      <c r="BU160">
        <f>'T_SelfStock'!BS8</f>
        <v/>
      </c>
      <c r="BV160">
        <f>'T_SelfStock'!BT8</f>
        <v/>
      </c>
      <c r="BW160">
        <f>'T_SelfStock'!BU8</f>
        <v/>
      </c>
      <c r="BX160">
        <f>'T_SelfStock'!BV8</f>
        <v/>
      </c>
      <c r="BY160">
        <f>'T_SelfStock'!BW8</f>
        <v/>
      </c>
      <c r="BZ160">
        <f>'T_SelfStock'!BX8</f>
        <v/>
      </c>
      <c r="CA160">
        <f>'T_SelfStock'!BY8</f>
        <v/>
      </c>
      <c r="CB160">
        <f>'T_SelfStock'!BZ8</f>
        <v/>
      </c>
      <c r="CC160">
        <f>'T_SelfStock'!CA8</f>
        <v/>
      </c>
      <c r="CD160">
        <f>'T_SelfStock'!CB8</f>
        <v/>
      </c>
      <c r="CE160">
        <f>'T_SelfStock'!CC8</f>
        <v/>
      </c>
      <c r="CF160">
        <f>'T_SelfStock'!CD8</f>
        <v/>
      </c>
      <c r="CG160">
        <f>'T_SelfStock'!CE8</f>
        <v/>
      </c>
      <c r="CH160">
        <f>'T_SelfStock'!CF8</f>
        <v/>
      </c>
      <c r="CI160">
        <f>'T_SelfStock'!CG8</f>
        <v/>
      </c>
      <c r="CJ160">
        <f>'T_SelfStock'!CH8</f>
        <v/>
      </c>
      <c r="CK160">
        <f>'T_SelfStock'!CI8</f>
        <v/>
      </c>
      <c r="CL160">
        <f>'T_SelfStock'!CJ8</f>
        <v/>
      </c>
      <c r="CM160">
        <f>'T_SelfStock'!CK8</f>
        <v/>
      </c>
      <c r="CN160">
        <f>'T_SelfStock'!CL8</f>
        <v/>
      </c>
      <c r="CO160">
        <f>'T_SelfStock'!CM8</f>
        <v/>
      </c>
      <c r="CP160">
        <f>'T_SelfStock'!CN8</f>
        <v/>
      </c>
      <c r="CQ160">
        <f>'T_SelfStock'!CO8</f>
        <v/>
      </c>
      <c r="CR160">
        <f>'T_SelfStock'!CP8</f>
        <v/>
      </c>
      <c r="CS160">
        <f>'T_SelfStock'!CQ8</f>
        <v/>
      </c>
      <c r="CT160">
        <f>'T_SelfStock'!CR8</f>
        <v/>
      </c>
      <c r="CU160">
        <f>'T_SelfStock'!CS8</f>
        <v/>
      </c>
      <c r="CV160">
        <f>'T_SelfStock'!CT8</f>
        <v/>
      </c>
      <c r="CW160">
        <f>'T_SelfStock'!CU8</f>
        <v/>
      </c>
      <c r="CX160">
        <f>'T_SelfStock'!CV8</f>
        <v/>
      </c>
      <c r="CY160">
        <f>'T_SelfStock'!CW8</f>
        <v/>
      </c>
      <c r="CZ160">
        <f>'T_SelfStock'!CX8</f>
        <v/>
      </c>
      <c r="DA160">
        <f>'T_SelfStock'!CY8</f>
        <v/>
      </c>
      <c r="DB160">
        <f>'T_SelfStock'!CZ8</f>
        <v/>
      </c>
      <c r="DC160">
        <f>'T_SelfStock'!DA8</f>
        <v/>
      </c>
    </row>
    <row r="161">
      <c r="B161" t="inlineStr">
        <is>
          <t>Order(発注予定,kg)</t>
        </is>
      </c>
      <c r="D161">
        <f>IF(SUMIFS(T_PlannedOrders[EffectiveQty],T_PlannedOrders[Part Name],$A153,T_PlannedOrders[WeekIndex],1)=0,"",SUMIFS(T_PlannedOrders[EffectiveQty],T_PlannedOrders[Part Name],$A153,T_PlannedOrders[WeekIndex],1)&amp;" ("&amp;TEXT(SUMPRODUCT(MAX((T_PlannedOrders[Part Name]=$A153)*(T_PlannedOrders[WeekIndex]=1)*(T_PlannedOrders[EffectiveQty]&gt;0)*T_PlannedOrders[Order_Month])),"m月")&amp;"発注)")</f>
        <v/>
      </c>
      <c r="E161">
        <f>IF(SUMIFS(T_PlannedOrders[EffectiveQty],T_PlannedOrders[Part Name],$A153,T_PlannedOrders[WeekIndex],2)=0,"",SUMIFS(T_PlannedOrders[EffectiveQty],T_PlannedOrders[Part Name],$A153,T_PlannedOrders[WeekIndex],2)&amp;" ("&amp;TEXT(SUMPRODUCT(MAX((T_PlannedOrders[Part Name]=$A153)*(T_PlannedOrders[WeekIndex]=2)*(T_PlannedOrders[EffectiveQty]&gt;0)*T_PlannedOrders[Order_Month])),"m月")&amp;"発注)")</f>
        <v/>
      </c>
      <c r="F161">
        <f>IF(SUMIFS(T_PlannedOrders[EffectiveQty],T_PlannedOrders[Part Name],$A153,T_PlannedOrders[WeekIndex],3)=0,"",SUMIFS(T_PlannedOrders[EffectiveQty],T_PlannedOrders[Part Name],$A153,T_PlannedOrders[WeekIndex],3)&amp;" ("&amp;TEXT(SUMPRODUCT(MAX((T_PlannedOrders[Part Name]=$A153)*(T_PlannedOrders[WeekIndex]=3)*(T_PlannedOrders[EffectiveQty]&gt;0)*T_PlannedOrders[Order_Month])),"m月")&amp;"発注)")</f>
        <v/>
      </c>
      <c r="G161">
        <f>IF(SUMIFS(T_PlannedOrders[EffectiveQty],T_PlannedOrders[Part Name],$A153,T_PlannedOrders[WeekIndex],4)=0,"",SUMIFS(T_PlannedOrders[EffectiveQty],T_PlannedOrders[Part Name],$A153,T_PlannedOrders[WeekIndex],4)&amp;" ("&amp;TEXT(SUMPRODUCT(MAX((T_PlannedOrders[Part Name]=$A153)*(T_PlannedOrders[WeekIndex]=4)*(T_PlannedOrders[EffectiveQty]&gt;0)*T_PlannedOrders[Order_Month])),"m月")&amp;"発注)")</f>
        <v/>
      </c>
      <c r="H161">
        <f>IF(SUMIFS(T_PlannedOrders[EffectiveQty],T_PlannedOrders[Part Name],$A153,T_PlannedOrders[WeekIndex],5)=0,"",SUMIFS(T_PlannedOrders[EffectiveQty],T_PlannedOrders[Part Name],$A153,T_PlannedOrders[WeekIndex],5)&amp;" ("&amp;TEXT(SUMPRODUCT(MAX((T_PlannedOrders[Part Name]=$A153)*(T_PlannedOrders[WeekIndex]=5)*(T_PlannedOrders[EffectiveQty]&gt;0)*T_PlannedOrders[Order_Month])),"m月")&amp;"発注)")</f>
        <v/>
      </c>
      <c r="I161">
        <f>IF(SUMIFS(T_PlannedOrders[EffectiveQty],T_PlannedOrders[Part Name],$A153,T_PlannedOrders[WeekIndex],6)=0,"",SUMIFS(T_PlannedOrders[EffectiveQty],T_PlannedOrders[Part Name],$A153,T_PlannedOrders[WeekIndex],6)&amp;" ("&amp;TEXT(SUMPRODUCT(MAX((T_PlannedOrders[Part Name]=$A153)*(T_PlannedOrders[WeekIndex]=6)*(T_PlannedOrders[EffectiveQty]&gt;0)*T_PlannedOrders[Order_Month])),"m月")&amp;"発注)")</f>
        <v/>
      </c>
      <c r="J161">
        <f>IF(SUMIFS(T_PlannedOrders[EffectiveQty],T_PlannedOrders[Part Name],$A153,T_PlannedOrders[WeekIndex],7)=0,"",SUMIFS(T_PlannedOrders[EffectiveQty],T_PlannedOrders[Part Name],$A153,T_PlannedOrders[WeekIndex],7)&amp;" ("&amp;TEXT(SUMPRODUCT(MAX((T_PlannedOrders[Part Name]=$A153)*(T_PlannedOrders[WeekIndex]=7)*(T_PlannedOrders[EffectiveQty]&gt;0)*T_PlannedOrders[Order_Month])),"m月")&amp;"発注)")</f>
        <v/>
      </c>
      <c r="K161">
        <f>IF(SUMIFS(T_PlannedOrders[EffectiveQty],T_PlannedOrders[Part Name],$A153,T_PlannedOrders[WeekIndex],8)=0,"",SUMIFS(T_PlannedOrders[EffectiveQty],T_PlannedOrders[Part Name],$A153,T_PlannedOrders[WeekIndex],8)&amp;" ("&amp;TEXT(SUMPRODUCT(MAX((T_PlannedOrders[Part Name]=$A153)*(T_PlannedOrders[WeekIndex]=8)*(T_PlannedOrders[EffectiveQty]&gt;0)*T_PlannedOrders[Order_Month])),"m月")&amp;"発注)")</f>
        <v/>
      </c>
      <c r="L161">
        <f>IF(SUMIFS(T_PlannedOrders[EffectiveQty],T_PlannedOrders[Part Name],$A153,T_PlannedOrders[WeekIndex],9)=0,"",SUMIFS(T_PlannedOrders[EffectiveQty],T_PlannedOrders[Part Name],$A153,T_PlannedOrders[WeekIndex],9)&amp;" ("&amp;TEXT(SUMPRODUCT(MAX((T_PlannedOrders[Part Name]=$A153)*(T_PlannedOrders[WeekIndex]=9)*(T_PlannedOrders[EffectiveQty]&gt;0)*T_PlannedOrders[Order_Month])),"m月")&amp;"発注)")</f>
        <v/>
      </c>
      <c r="M161">
        <f>IF(SUMIFS(T_PlannedOrders[EffectiveQty],T_PlannedOrders[Part Name],$A153,T_PlannedOrders[WeekIndex],10)=0,"",SUMIFS(T_PlannedOrders[EffectiveQty],T_PlannedOrders[Part Name],$A153,T_PlannedOrders[WeekIndex],10)&amp;" ("&amp;TEXT(SUMPRODUCT(MAX((T_PlannedOrders[Part Name]=$A153)*(T_PlannedOrders[WeekIndex]=10)*(T_PlannedOrders[EffectiveQty]&gt;0)*T_PlannedOrders[Order_Month])),"m月")&amp;"発注)")</f>
        <v/>
      </c>
      <c r="N161">
        <f>IF(SUMIFS(T_PlannedOrders[EffectiveQty],T_PlannedOrders[Part Name],$A153,T_PlannedOrders[WeekIndex],11)=0,"",SUMIFS(T_PlannedOrders[EffectiveQty],T_PlannedOrders[Part Name],$A153,T_PlannedOrders[WeekIndex],11)&amp;" ("&amp;TEXT(SUMPRODUCT(MAX((T_PlannedOrders[Part Name]=$A153)*(T_PlannedOrders[WeekIndex]=11)*(T_PlannedOrders[EffectiveQty]&gt;0)*T_PlannedOrders[Order_Month])),"m月")&amp;"発注)")</f>
        <v/>
      </c>
      <c r="O161">
        <f>IF(SUMIFS(T_PlannedOrders[EffectiveQty],T_PlannedOrders[Part Name],$A153,T_PlannedOrders[WeekIndex],12)=0,"",SUMIFS(T_PlannedOrders[EffectiveQty],T_PlannedOrders[Part Name],$A153,T_PlannedOrders[WeekIndex],12)&amp;" ("&amp;TEXT(SUMPRODUCT(MAX((T_PlannedOrders[Part Name]=$A153)*(T_PlannedOrders[WeekIndex]=12)*(T_PlannedOrders[EffectiveQty]&gt;0)*T_PlannedOrders[Order_Month])),"m月")&amp;"発注)")</f>
        <v/>
      </c>
      <c r="P161">
        <f>IF(SUMIFS(T_PlannedOrders[EffectiveQty],T_PlannedOrders[Part Name],$A153,T_PlannedOrders[WeekIndex],13)=0,"",SUMIFS(T_PlannedOrders[EffectiveQty],T_PlannedOrders[Part Name],$A153,T_PlannedOrders[WeekIndex],13)&amp;" ("&amp;TEXT(SUMPRODUCT(MAX((T_PlannedOrders[Part Name]=$A153)*(T_PlannedOrders[WeekIndex]=13)*(T_PlannedOrders[EffectiveQty]&gt;0)*T_PlannedOrders[Order_Month])),"m月")&amp;"発注)")</f>
        <v/>
      </c>
      <c r="Q161">
        <f>IF(SUMIFS(T_PlannedOrders[EffectiveQty],T_PlannedOrders[Part Name],$A153,T_PlannedOrders[WeekIndex],14)=0,"",SUMIFS(T_PlannedOrders[EffectiveQty],T_PlannedOrders[Part Name],$A153,T_PlannedOrders[WeekIndex],14)&amp;" ("&amp;TEXT(SUMPRODUCT(MAX((T_PlannedOrders[Part Name]=$A153)*(T_PlannedOrders[WeekIndex]=14)*(T_PlannedOrders[EffectiveQty]&gt;0)*T_PlannedOrders[Order_Month])),"m月")&amp;"発注)")</f>
        <v/>
      </c>
      <c r="R161">
        <f>IF(SUMIFS(T_PlannedOrders[EffectiveQty],T_PlannedOrders[Part Name],$A153,T_PlannedOrders[WeekIndex],15)=0,"",SUMIFS(T_PlannedOrders[EffectiveQty],T_PlannedOrders[Part Name],$A153,T_PlannedOrders[WeekIndex],15)&amp;" ("&amp;TEXT(SUMPRODUCT(MAX((T_PlannedOrders[Part Name]=$A153)*(T_PlannedOrders[WeekIndex]=15)*(T_PlannedOrders[EffectiveQty]&gt;0)*T_PlannedOrders[Order_Month])),"m月")&amp;"発注)")</f>
        <v/>
      </c>
      <c r="S161">
        <f>IF(SUMIFS(T_PlannedOrders[EffectiveQty],T_PlannedOrders[Part Name],$A153,T_PlannedOrders[WeekIndex],16)=0,"",SUMIFS(T_PlannedOrders[EffectiveQty],T_PlannedOrders[Part Name],$A153,T_PlannedOrders[WeekIndex],16)&amp;" ("&amp;TEXT(SUMPRODUCT(MAX((T_PlannedOrders[Part Name]=$A153)*(T_PlannedOrders[WeekIndex]=16)*(T_PlannedOrders[EffectiveQty]&gt;0)*T_PlannedOrders[Order_Month])),"m月")&amp;"発注)")</f>
        <v/>
      </c>
      <c r="T161">
        <f>IF(SUMIFS(T_PlannedOrders[EffectiveQty],T_PlannedOrders[Part Name],$A153,T_PlannedOrders[WeekIndex],17)=0,"",SUMIFS(T_PlannedOrders[EffectiveQty],T_PlannedOrders[Part Name],$A153,T_PlannedOrders[WeekIndex],17)&amp;" ("&amp;TEXT(SUMPRODUCT(MAX((T_PlannedOrders[Part Name]=$A153)*(T_PlannedOrders[WeekIndex]=17)*(T_PlannedOrders[EffectiveQty]&gt;0)*T_PlannedOrders[Order_Month])),"m月")&amp;"発注)")</f>
        <v/>
      </c>
      <c r="U161">
        <f>IF(SUMIFS(T_PlannedOrders[EffectiveQty],T_PlannedOrders[Part Name],$A153,T_PlannedOrders[WeekIndex],18)=0,"",SUMIFS(T_PlannedOrders[EffectiveQty],T_PlannedOrders[Part Name],$A153,T_PlannedOrders[WeekIndex],18)&amp;" ("&amp;TEXT(SUMPRODUCT(MAX((T_PlannedOrders[Part Name]=$A153)*(T_PlannedOrders[WeekIndex]=18)*(T_PlannedOrders[EffectiveQty]&gt;0)*T_PlannedOrders[Order_Month])),"m月")&amp;"発注)")</f>
        <v/>
      </c>
      <c r="V161">
        <f>IF(SUMIFS(T_PlannedOrders[EffectiveQty],T_PlannedOrders[Part Name],$A153,T_PlannedOrders[WeekIndex],19)=0,"",SUMIFS(T_PlannedOrders[EffectiveQty],T_PlannedOrders[Part Name],$A153,T_PlannedOrders[WeekIndex],19)&amp;" ("&amp;TEXT(SUMPRODUCT(MAX((T_PlannedOrders[Part Name]=$A153)*(T_PlannedOrders[WeekIndex]=19)*(T_PlannedOrders[EffectiveQty]&gt;0)*T_PlannedOrders[Order_Month])),"m月")&amp;"発注)")</f>
        <v/>
      </c>
      <c r="W161">
        <f>IF(SUMIFS(T_PlannedOrders[EffectiveQty],T_PlannedOrders[Part Name],$A153,T_PlannedOrders[WeekIndex],20)=0,"",SUMIFS(T_PlannedOrders[EffectiveQty],T_PlannedOrders[Part Name],$A153,T_PlannedOrders[WeekIndex],20)&amp;" ("&amp;TEXT(SUMPRODUCT(MAX((T_PlannedOrders[Part Name]=$A153)*(T_PlannedOrders[WeekIndex]=20)*(T_PlannedOrders[EffectiveQty]&gt;0)*T_PlannedOrders[Order_Month])),"m月")&amp;"発注)")</f>
        <v/>
      </c>
      <c r="X161">
        <f>IF(SUMIFS(T_PlannedOrders[EffectiveQty],T_PlannedOrders[Part Name],$A153,T_PlannedOrders[WeekIndex],21)=0,"",SUMIFS(T_PlannedOrders[EffectiveQty],T_PlannedOrders[Part Name],$A153,T_PlannedOrders[WeekIndex],21)&amp;" ("&amp;TEXT(SUMPRODUCT(MAX((T_PlannedOrders[Part Name]=$A153)*(T_PlannedOrders[WeekIndex]=21)*(T_PlannedOrders[EffectiveQty]&gt;0)*T_PlannedOrders[Order_Month])),"m月")&amp;"発注)")</f>
        <v/>
      </c>
      <c r="Y161">
        <f>IF(SUMIFS(T_PlannedOrders[EffectiveQty],T_PlannedOrders[Part Name],$A153,T_PlannedOrders[WeekIndex],22)=0,"",SUMIFS(T_PlannedOrders[EffectiveQty],T_PlannedOrders[Part Name],$A153,T_PlannedOrders[WeekIndex],22)&amp;" ("&amp;TEXT(SUMPRODUCT(MAX((T_PlannedOrders[Part Name]=$A153)*(T_PlannedOrders[WeekIndex]=22)*(T_PlannedOrders[EffectiveQty]&gt;0)*T_PlannedOrders[Order_Month])),"m月")&amp;"発注)")</f>
        <v/>
      </c>
      <c r="Z161">
        <f>IF(SUMIFS(T_PlannedOrders[EffectiveQty],T_PlannedOrders[Part Name],$A153,T_PlannedOrders[WeekIndex],23)=0,"",SUMIFS(T_PlannedOrders[EffectiveQty],T_PlannedOrders[Part Name],$A153,T_PlannedOrders[WeekIndex],23)&amp;" ("&amp;TEXT(SUMPRODUCT(MAX((T_PlannedOrders[Part Name]=$A153)*(T_PlannedOrders[WeekIndex]=23)*(T_PlannedOrders[EffectiveQty]&gt;0)*T_PlannedOrders[Order_Month])),"m月")&amp;"発注)")</f>
        <v/>
      </c>
      <c r="AA161">
        <f>IF(SUMIFS(T_PlannedOrders[EffectiveQty],T_PlannedOrders[Part Name],$A153,T_PlannedOrders[WeekIndex],24)=0,"",SUMIFS(T_PlannedOrders[EffectiveQty],T_PlannedOrders[Part Name],$A153,T_PlannedOrders[WeekIndex],24)&amp;" ("&amp;TEXT(SUMPRODUCT(MAX((T_PlannedOrders[Part Name]=$A153)*(T_PlannedOrders[WeekIndex]=24)*(T_PlannedOrders[EffectiveQty]&gt;0)*T_PlannedOrders[Order_Month])),"m月")&amp;"発注)")</f>
        <v/>
      </c>
      <c r="AB161">
        <f>IF(SUMIFS(T_PlannedOrders[EffectiveQty],T_PlannedOrders[Part Name],$A153,T_PlannedOrders[WeekIndex],25)=0,"",SUMIFS(T_PlannedOrders[EffectiveQty],T_PlannedOrders[Part Name],$A153,T_PlannedOrders[WeekIndex],25)&amp;" ("&amp;TEXT(SUMPRODUCT(MAX((T_PlannedOrders[Part Name]=$A153)*(T_PlannedOrders[WeekIndex]=25)*(T_PlannedOrders[EffectiveQty]&gt;0)*T_PlannedOrders[Order_Month])),"m月")&amp;"発注)")</f>
        <v/>
      </c>
      <c r="AC161">
        <f>IF(SUMIFS(T_PlannedOrders[EffectiveQty],T_PlannedOrders[Part Name],$A153,T_PlannedOrders[WeekIndex],26)=0,"",SUMIFS(T_PlannedOrders[EffectiveQty],T_PlannedOrders[Part Name],$A153,T_PlannedOrders[WeekIndex],26)&amp;" ("&amp;TEXT(SUMPRODUCT(MAX((T_PlannedOrders[Part Name]=$A153)*(T_PlannedOrders[WeekIndex]=26)*(T_PlannedOrders[EffectiveQty]&gt;0)*T_PlannedOrders[Order_Month])),"m月")&amp;"発注)")</f>
        <v/>
      </c>
      <c r="AD161">
        <f>IF(SUMIFS(T_PlannedOrders[EffectiveQty],T_PlannedOrders[Part Name],$A153,T_PlannedOrders[WeekIndex],27)=0,"",SUMIFS(T_PlannedOrders[EffectiveQty],T_PlannedOrders[Part Name],$A153,T_PlannedOrders[WeekIndex],27)&amp;" ("&amp;TEXT(SUMPRODUCT(MAX((T_PlannedOrders[Part Name]=$A153)*(T_PlannedOrders[WeekIndex]=27)*(T_PlannedOrders[EffectiveQty]&gt;0)*T_PlannedOrders[Order_Month])),"m月")&amp;"発注)")</f>
        <v/>
      </c>
      <c r="AE161">
        <f>IF(SUMIFS(T_PlannedOrders[EffectiveQty],T_PlannedOrders[Part Name],$A153,T_PlannedOrders[WeekIndex],28)=0,"",SUMIFS(T_PlannedOrders[EffectiveQty],T_PlannedOrders[Part Name],$A153,T_PlannedOrders[WeekIndex],28)&amp;" ("&amp;TEXT(SUMPRODUCT(MAX((T_PlannedOrders[Part Name]=$A153)*(T_PlannedOrders[WeekIndex]=28)*(T_PlannedOrders[EffectiveQty]&gt;0)*T_PlannedOrders[Order_Month])),"m月")&amp;"発注)")</f>
        <v/>
      </c>
      <c r="AF161">
        <f>IF(SUMIFS(T_PlannedOrders[EffectiveQty],T_PlannedOrders[Part Name],$A153,T_PlannedOrders[WeekIndex],29)=0,"",SUMIFS(T_PlannedOrders[EffectiveQty],T_PlannedOrders[Part Name],$A153,T_PlannedOrders[WeekIndex],29)&amp;" ("&amp;TEXT(SUMPRODUCT(MAX((T_PlannedOrders[Part Name]=$A153)*(T_PlannedOrders[WeekIndex]=29)*(T_PlannedOrders[EffectiveQty]&gt;0)*T_PlannedOrders[Order_Month])),"m月")&amp;"発注)")</f>
        <v/>
      </c>
      <c r="AG161">
        <f>IF(SUMIFS(T_PlannedOrders[EffectiveQty],T_PlannedOrders[Part Name],$A153,T_PlannedOrders[WeekIndex],30)=0,"",SUMIFS(T_PlannedOrders[EffectiveQty],T_PlannedOrders[Part Name],$A153,T_PlannedOrders[WeekIndex],30)&amp;" ("&amp;TEXT(SUMPRODUCT(MAX((T_PlannedOrders[Part Name]=$A153)*(T_PlannedOrders[WeekIndex]=30)*(T_PlannedOrders[EffectiveQty]&gt;0)*T_PlannedOrders[Order_Month])),"m月")&amp;"発注)")</f>
        <v/>
      </c>
      <c r="AH161">
        <f>IF(SUMIFS(T_PlannedOrders[EffectiveQty],T_PlannedOrders[Part Name],$A153,T_PlannedOrders[WeekIndex],31)=0,"",SUMIFS(T_PlannedOrders[EffectiveQty],T_PlannedOrders[Part Name],$A153,T_PlannedOrders[WeekIndex],31)&amp;" ("&amp;TEXT(SUMPRODUCT(MAX((T_PlannedOrders[Part Name]=$A153)*(T_PlannedOrders[WeekIndex]=31)*(T_PlannedOrders[EffectiveQty]&gt;0)*T_PlannedOrders[Order_Month])),"m月")&amp;"発注)")</f>
        <v/>
      </c>
      <c r="AI161">
        <f>IF(SUMIFS(T_PlannedOrders[EffectiveQty],T_PlannedOrders[Part Name],$A153,T_PlannedOrders[WeekIndex],32)=0,"",SUMIFS(T_PlannedOrders[EffectiveQty],T_PlannedOrders[Part Name],$A153,T_PlannedOrders[WeekIndex],32)&amp;" ("&amp;TEXT(SUMPRODUCT(MAX((T_PlannedOrders[Part Name]=$A153)*(T_PlannedOrders[WeekIndex]=32)*(T_PlannedOrders[EffectiveQty]&gt;0)*T_PlannedOrders[Order_Month])),"m月")&amp;"発注)")</f>
        <v/>
      </c>
      <c r="AJ161">
        <f>IF(SUMIFS(T_PlannedOrders[EffectiveQty],T_PlannedOrders[Part Name],$A153,T_PlannedOrders[WeekIndex],33)=0,"",SUMIFS(T_PlannedOrders[EffectiveQty],T_PlannedOrders[Part Name],$A153,T_PlannedOrders[WeekIndex],33)&amp;" ("&amp;TEXT(SUMPRODUCT(MAX((T_PlannedOrders[Part Name]=$A153)*(T_PlannedOrders[WeekIndex]=33)*(T_PlannedOrders[EffectiveQty]&gt;0)*T_PlannedOrders[Order_Month])),"m月")&amp;"発注)")</f>
        <v/>
      </c>
      <c r="AK161">
        <f>IF(SUMIFS(T_PlannedOrders[EffectiveQty],T_PlannedOrders[Part Name],$A153,T_PlannedOrders[WeekIndex],34)=0,"",SUMIFS(T_PlannedOrders[EffectiveQty],T_PlannedOrders[Part Name],$A153,T_PlannedOrders[WeekIndex],34)&amp;" ("&amp;TEXT(SUMPRODUCT(MAX((T_PlannedOrders[Part Name]=$A153)*(T_PlannedOrders[WeekIndex]=34)*(T_PlannedOrders[EffectiveQty]&gt;0)*T_PlannedOrders[Order_Month])),"m月")&amp;"発注)")</f>
        <v/>
      </c>
      <c r="AL161">
        <f>IF(SUMIFS(T_PlannedOrders[EffectiveQty],T_PlannedOrders[Part Name],$A153,T_PlannedOrders[WeekIndex],35)=0,"",SUMIFS(T_PlannedOrders[EffectiveQty],T_PlannedOrders[Part Name],$A153,T_PlannedOrders[WeekIndex],35)&amp;" ("&amp;TEXT(SUMPRODUCT(MAX((T_PlannedOrders[Part Name]=$A153)*(T_PlannedOrders[WeekIndex]=35)*(T_PlannedOrders[EffectiveQty]&gt;0)*T_PlannedOrders[Order_Month])),"m月")&amp;"発注)")</f>
        <v/>
      </c>
      <c r="AM161">
        <f>IF(SUMIFS(T_PlannedOrders[EffectiveQty],T_PlannedOrders[Part Name],$A153,T_PlannedOrders[WeekIndex],36)=0,"",SUMIFS(T_PlannedOrders[EffectiveQty],T_PlannedOrders[Part Name],$A153,T_PlannedOrders[WeekIndex],36)&amp;" ("&amp;TEXT(SUMPRODUCT(MAX((T_PlannedOrders[Part Name]=$A153)*(T_PlannedOrders[WeekIndex]=36)*(T_PlannedOrders[EffectiveQty]&gt;0)*T_PlannedOrders[Order_Month])),"m月")&amp;"発注)")</f>
        <v/>
      </c>
      <c r="AN161">
        <f>IF(SUMIFS(T_PlannedOrders[EffectiveQty],T_PlannedOrders[Part Name],$A153,T_PlannedOrders[WeekIndex],37)=0,"",SUMIFS(T_PlannedOrders[EffectiveQty],T_PlannedOrders[Part Name],$A153,T_PlannedOrders[WeekIndex],37)&amp;" ("&amp;TEXT(SUMPRODUCT(MAX((T_PlannedOrders[Part Name]=$A153)*(T_PlannedOrders[WeekIndex]=37)*(T_PlannedOrders[EffectiveQty]&gt;0)*T_PlannedOrders[Order_Month])),"m月")&amp;"発注)")</f>
        <v/>
      </c>
      <c r="AO161">
        <f>IF(SUMIFS(T_PlannedOrders[EffectiveQty],T_PlannedOrders[Part Name],$A153,T_PlannedOrders[WeekIndex],38)=0,"",SUMIFS(T_PlannedOrders[EffectiveQty],T_PlannedOrders[Part Name],$A153,T_PlannedOrders[WeekIndex],38)&amp;" ("&amp;TEXT(SUMPRODUCT(MAX((T_PlannedOrders[Part Name]=$A153)*(T_PlannedOrders[WeekIndex]=38)*(T_PlannedOrders[EffectiveQty]&gt;0)*T_PlannedOrders[Order_Month])),"m月")&amp;"発注)")</f>
        <v/>
      </c>
      <c r="AP161">
        <f>IF(SUMIFS(T_PlannedOrders[EffectiveQty],T_PlannedOrders[Part Name],$A153,T_PlannedOrders[WeekIndex],39)=0,"",SUMIFS(T_PlannedOrders[EffectiveQty],T_PlannedOrders[Part Name],$A153,T_PlannedOrders[WeekIndex],39)&amp;" ("&amp;TEXT(SUMPRODUCT(MAX((T_PlannedOrders[Part Name]=$A153)*(T_PlannedOrders[WeekIndex]=39)*(T_PlannedOrders[EffectiveQty]&gt;0)*T_PlannedOrders[Order_Month])),"m月")&amp;"発注)")</f>
        <v/>
      </c>
      <c r="AQ161">
        <f>IF(SUMIFS(T_PlannedOrders[EffectiveQty],T_PlannedOrders[Part Name],$A153,T_PlannedOrders[WeekIndex],40)=0,"",SUMIFS(T_PlannedOrders[EffectiveQty],T_PlannedOrders[Part Name],$A153,T_PlannedOrders[WeekIndex],40)&amp;" ("&amp;TEXT(SUMPRODUCT(MAX((T_PlannedOrders[Part Name]=$A153)*(T_PlannedOrders[WeekIndex]=40)*(T_PlannedOrders[EffectiveQty]&gt;0)*T_PlannedOrders[Order_Month])),"m月")&amp;"発注)")</f>
        <v/>
      </c>
      <c r="AR161">
        <f>IF(SUMIFS(T_PlannedOrders[EffectiveQty],T_PlannedOrders[Part Name],$A153,T_PlannedOrders[WeekIndex],41)=0,"",SUMIFS(T_PlannedOrders[EffectiveQty],T_PlannedOrders[Part Name],$A153,T_PlannedOrders[WeekIndex],41)&amp;" ("&amp;TEXT(SUMPRODUCT(MAX((T_PlannedOrders[Part Name]=$A153)*(T_PlannedOrders[WeekIndex]=41)*(T_PlannedOrders[EffectiveQty]&gt;0)*T_PlannedOrders[Order_Month])),"m月")&amp;"発注)")</f>
        <v/>
      </c>
      <c r="AS161">
        <f>IF(SUMIFS(T_PlannedOrders[EffectiveQty],T_PlannedOrders[Part Name],$A153,T_PlannedOrders[WeekIndex],42)=0,"",SUMIFS(T_PlannedOrders[EffectiveQty],T_PlannedOrders[Part Name],$A153,T_PlannedOrders[WeekIndex],42)&amp;" ("&amp;TEXT(SUMPRODUCT(MAX((T_PlannedOrders[Part Name]=$A153)*(T_PlannedOrders[WeekIndex]=42)*(T_PlannedOrders[EffectiveQty]&gt;0)*T_PlannedOrders[Order_Month])),"m月")&amp;"発注)")</f>
        <v/>
      </c>
      <c r="AT161">
        <f>IF(SUMIFS(T_PlannedOrders[EffectiveQty],T_PlannedOrders[Part Name],$A153,T_PlannedOrders[WeekIndex],43)=0,"",SUMIFS(T_PlannedOrders[EffectiveQty],T_PlannedOrders[Part Name],$A153,T_PlannedOrders[WeekIndex],43)&amp;" ("&amp;TEXT(SUMPRODUCT(MAX((T_PlannedOrders[Part Name]=$A153)*(T_PlannedOrders[WeekIndex]=43)*(T_PlannedOrders[EffectiveQty]&gt;0)*T_PlannedOrders[Order_Month])),"m月")&amp;"発注)")</f>
        <v/>
      </c>
      <c r="AU161">
        <f>IF(SUMIFS(T_PlannedOrders[EffectiveQty],T_PlannedOrders[Part Name],$A153,T_PlannedOrders[WeekIndex],44)=0,"",SUMIFS(T_PlannedOrders[EffectiveQty],T_PlannedOrders[Part Name],$A153,T_PlannedOrders[WeekIndex],44)&amp;" ("&amp;TEXT(SUMPRODUCT(MAX((T_PlannedOrders[Part Name]=$A153)*(T_PlannedOrders[WeekIndex]=44)*(T_PlannedOrders[EffectiveQty]&gt;0)*T_PlannedOrders[Order_Month])),"m月")&amp;"発注)")</f>
        <v/>
      </c>
      <c r="AV161">
        <f>IF(SUMIFS(T_PlannedOrders[EffectiveQty],T_PlannedOrders[Part Name],$A153,T_PlannedOrders[WeekIndex],45)=0,"",SUMIFS(T_PlannedOrders[EffectiveQty],T_PlannedOrders[Part Name],$A153,T_PlannedOrders[WeekIndex],45)&amp;" ("&amp;TEXT(SUMPRODUCT(MAX((T_PlannedOrders[Part Name]=$A153)*(T_PlannedOrders[WeekIndex]=45)*(T_PlannedOrders[EffectiveQty]&gt;0)*T_PlannedOrders[Order_Month])),"m月")&amp;"発注)")</f>
        <v/>
      </c>
      <c r="AW161">
        <f>IF(SUMIFS(T_PlannedOrders[EffectiveQty],T_PlannedOrders[Part Name],$A153,T_PlannedOrders[WeekIndex],46)=0,"",SUMIFS(T_PlannedOrders[EffectiveQty],T_PlannedOrders[Part Name],$A153,T_PlannedOrders[WeekIndex],46)&amp;" ("&amp;TEXT(SUMPRODUCT(MAX((T_PlannedOrders[Part Name]=$A153)*(T_PlannedOrders[WeekIndex]=46)*(T_PlannedOrders[EffectiveQty]&gt;0)*T_PlannedOrders[Order_Month])),"m月")&amp;"発注)")</f>
        <v/>
      </c>
      <c r="AX161">
        <f>IF(SUMIFS(T_PlannedOrders[EffectiveQty],T_PlannedOrders[Part Name],$A153,T_PlannedOrders[WeekIndex],47)=0,"",SUMIFS(T_PlannedOrders[EffectiveQty],T_PlannedOrders[Part Name],$A153,T_PlannedOrders[WeekIndex],47)&amp;" ("&amp;TEXT(SUMPRODUCT(MAX((T_PlannedOrders[Part Name]=$A153)*(T_PlannedOrders[WeekIndex]=47)*(T_PlannedOrders[EffectiveQty]&gt;0)*T_PlannedOrders[Order_Month])),"m月")&amp;"発注)")</f>
        <v/>
      </c>
      <c r="AY161">
        <f>IF(SUMIFS(T_PlannedOrders[EffectiveQty],T_PlannedOrders[Part Name],$A153,T_PlannedOrders[WeekIndex],48)=0,"",SUMIFS(T_PlannedOrders[EffectiveQty],T_PlannedOrders[Part Name],$A153,T_PlannedOrders[WeekIndex],48)&amp;" ("&amp;TEXT(SUMPRODUCT(MAX((T_PlannedOrders[Part Name]=$A153)*(T_PlannedOrders[WeekIndex]=48)*(T_PlannedOrders[EffectiveQty]&gt;0)*T_PlannedOrders[Order_Month])),"m月")&amp;"発注)")</f>
        <v/>
      </c>
      <c r="AZ161">
        <f>IF(SUMIFS(T_PlannedOrders[EffectiveQty],T_PlannedOrders[Part Name],$A153,T_PlannedOrders[WeekIndex],49)=0,"",SUMIFS(T_PlannedOrders[EffectiveQty],T_PlannedOrders[Part Name],$A153,T_PlannedOrders[WeekIndex],49)&amp;" ("&amp;TEXT(SUMPRODUCT(MAX((T_PlannedOrders[Part Name]=$A153)*(T_PlannedOrders[WeekIndex]=49)*(T_PlannedOrders[EffectiveQty]&gt;0)*T_PlannedOrders[Order_Month])),"m月")&amp;"発注)")</f>
        <v/>
      </c>
      <c r="BA161">
        <f>IF(SUMIFS(T_PlannedOrders[EffectiveQty],T_PlannedOrders[Part Name],$A153,T_PlannedOrders[WeekIndex],50)=0,"",SUMIFS(T_PlannedOrders[EffectiveQty],T_PlannedOrders[Part Name],$A153,T_PlannedOrders[WeekIndex],50)&amp;" ("&amp;TEXT(SUMPRODUCT(MAX((T_PlannedOrders[Part Name]=$A153)*(T_PlannedOrders[WeekIndex]=50)*(T_PlannedOrders[EffectiveQty]&gt;0)*T_PlannedOrders[Order_Month])),"m月")&amp;"発注)")</f>
        <v/>
      </c>
      <c r="BB161">
        <f>IF(SUMIFS(T_PlannedOrders[EffectiveQty],T_PlannedOrders[Part Name],$A153,T_PlannedOrders[WeekIndex],51)=0,"",SUMIFS(T_PlannedOrders[EffectiveQty],T_PlannedOrders[Part Name],$A153,T_PlannedOrders[WeekIndex],51)&amp;" ("&amp;TEXT(SUMPRODUCT(MAX((T_PlannedOrders[Part Name]=$A153)*(T_PlannedOrders[WeekIndex]=51)*(T_PlannedOrders[EffectiveQty]&gt;0)*T_PlannedOrders[Order_Month])),"m月")&amp;"発注)")</f>
        <v/>
      </c>
      <c r="BC161">
        <f>IF(SUMIFS(T_PlannedOrders[EffectiveQty],T_PlannedOrders[Part Name],$A153,T_PlannedOrders[WeekIndex],52)=0,"",SUMIFS(T_PlannedOrders[EffectiveQty],T_PlannedOrders[Part Name],$A153,T_PlannedOrders[WeekIndex],52)&amp;" ("&amp;TEXT(SUMPRODUCT(MAX((T_PlannedOrders[Part Name]=$A153)*(T_PlannedOrders[WeekIndex]=52)*(T_PlannedOrders[EffectiveQty]&gt;0)*T_PlannedOrders[Order_Month])),"m月")&amp;"発注)")</f>
        <v/>
      </c>
      <c r="BD161">
        <f>IF(SUMIFS(T_PlannedOrders[EffectiveQty],T_PlannedOrders[Part Name],$A153,T_PlannedOrders[WeekIndex],53)=0,"",SUMIFS(T_PlannedOrders[EffectiveQty],T_PlannedOrders[Part Name],$A153,T_PlannedOrders[WeekIndex],53)&amp;" ("&amp;TEXT(SUMPRODUCT(MAX((T_PlannedOrders[Part Name]=$A153)*(T_PlannedOrders[WeekIndex]=53)*(T_PlannedOrders[EffectiveQty]&gt;0)*T_PlannedOrders[Order_Month])),"m月")&amp;"発注)")</f>
        <v/>
      </c>
      <c r="BE161">
        <f>IF(SUMIFS(T_PlannedOrders[EffectiveQty],T_PlannedOrders[Part Name],$A153,T_PlannedOrders[WeekIndex],54)=0,"",SUMIFS(T_PlannedOrders[EffectiveQty],T_PlannedOrders[Part Name],$A153,T_PlannedOrders[WeekIndex],54)&amp;" ("&amp;TEXT(SUMPRODUCT(MAX((T_PlannedOrders[Part Name]=$A153)*(T_PlannedOrders[WeekIndex]=54)*(T_PlannedOrders[EffectiveQty]&gt;0)*T_PlannedOrders[Order_Month])),"m月")&amp;"発注)")</f>
        <v/>
      </c>
      <c r="BF161">
        <f>IF(SUMIFS(T_PlannedOrders[EffectiveQty],T_PlannedOrders[Part Name],$A153,T_PlannedOrders[WeekIndex],55)=0,"",SUMIFS(T_PlannedOrders[EffectiveQty],T_PlannedOrders[Part Name],$A153,T_PlannedOrders[WeekIndex],55)&amp;" ("&amp;TEXT(SUMPRODUCT(MAX((T_PlannedOrders[Part Name]=$A153)*(T_PlannedOrders[WeekIndex]=55)*(T_PlannedOrders[EffectiveQty]&gt;0)*T_PlannedOrders[Order_Month])),"m月")&amp;"発注)")</f>
        <v/>
      </c>
      <c r="BG161">
        <f>IF(SUMIFS(T_PlannedOrders[EffectiveQty],T_PlannedOrders[Part Name],$A153,T_PlannedOrders[WeekIndex],56)=0,"",SUMIFS(T_PlannedOrders[EffectiveQty],T_PlannedOrders[Part Name],$A153,T_PlannedOrders[WeekIndex],56)&amp;" ("&amp;TEXT(SUMPRODUCT(MAX((T_PlannedOrders[Part Name]=$A153)*(T_PlannedOrders[WeekIndex]=56)*(T_PlannedOrders[EffectiveQty]&gt;0)*T_PlannedOrders[Order_Month])),"m月")&amp;"発注)")</f>
        <v/>
      </c>
      <c r="BH161">
        <f>IF(SUMIFS(T_PlannedOrders[EffectiveQty],T_PlannedOrders[Part Name],$A153,T_PlannedOrders[WeekIndex],57)=0,"",SUMIFS(T_PlannedOrders[EffectiveQty],T_PlannedOrders[Part Name],$A153,T_PlannedOrders[WeekIndex],57)&amp;" ("&amp;TEXT(SUMPRODUCT(MAX((T_PlannedOrders[Part Name]=$A153)*(T_PlannedOrders[WeekIndex]=57)*(T_PlannedOrders[EffectiveQty]&gt;0)*T_PlannedOrders[Order_Month])),"m月")&amp;"発注)")</f>
        <v/>
      </c>
      <c r="BI161">
        <f>IF(SUMIFS(T_PlannedOrders[EffectiveQty],T_PlannedOrders[Part Name],$A153,T_PlannedOrders[WeekIndex],58)=0,"",SUMIFS(T_PlannedOrders[EffectiveQty],T_PlannedOrders[Part Name],$A153,T_PlannedOrders[WeekIndex],58)&amp;" ("&amp;TEXT(SUMPRODUCT(MAX((T_PlannedOrders[Part Name]=$A153)*(T_PlannedOrders[WeekIndex]=58)*(T_PlannedOrders[EffectiveQty]&gt;0)*T_PlannedOrders[Order_Month])),"m月")&amp;"発注)")</f>
        <v/>
      </c>
      <c r="BJ161">
        <f>IF(SUMIFS(T_PlannedOrders[EffectiveQty],T_PlannedOrders[Part Name],$A153,T_PlannedOrders[WeekIndex],59)=0,"",SUMIFS(T_PlannedOrders[EffectiveQty],T_PlannedOrders[Part Name],$A153,T_PlannedOrders[WeekIndex],59)&amp;" ("&amp;TEXT(SUMPRODUCT(MAX((T_PlannedOrders[Part Name]=$A153)*(T_PlannedOrders[WeekIndex]=59)*(T_PlannedOrders[EffectiveQty]&gt;0)*T_PlannedOrders[Order_Month])),"m月")&amp;"発注)")</f>
        <v/>
      </c>
      <c r="BK161">
        <f>IF(SUMIFS(T_PlannedOrders[EffectiveQty],T_PlannedOrders[Part Name],$A153,T_PlannedOrders[WeekIndex],60)=0,"",SUMIFS(T_PlannedOrders[EffectiveQty],T_PlannedOrders[Part Name],$A153,T_PlannedOrders[WeekIndex],60)&amp;" ("&amp;TEXT(SUMPRODUCT(MAX((T_PlannedOrders[Part Name]=$A153)*(T_PlannedOrders[WeekIndex]=60)*(T_PlannedOrders[EffectiveQty]&gt;0)*T_PlannedOrders[Order_Month])),"m月")&amp;"発注)")</f>
        <v/>
      </c>
      <c r="BL161">
        <f>IF(SUMIFS(T_PlannedOrders[EffectiveQty],T_PlannedOrders[Part Name],$A153,T_PlannedOrders[WeekIndex],61)=0,"",SUMIFS(T_PlannedOrders[EffectiveQty],T_PlannedOrders[Part Name],$A153,T_PlannedOrders[WeekIndex],61)&amp;" ("&amp;TEXT(SUMPRODUCT(MAX((T_PlannedOrders[Part Name]=$A153)*(T_PlannedOrders[WeekIndex]=61)*(T_PlannedOrders[EffectiveQty]&gt;0)*T_PlannedOrders[Order_Month])),"m月")&amp;"発注)")</f>
        <v/>
      </c>
      <c r="BM161">
        <f>IF(SUMIFS(T_PlannedOrders[EffectiveQty],T_PlannedOrders[Part Name],$A153,T_PlannedOrders[WeekIndex],62)=0,"",SUMIFS(T_PlannedOrders[EffectiveQty],T_PlannedOrders[Part Name],$A153,T_PlannedOrders[WeekIndex],62)&amp;" ("&amp;TEXT(SUMPRODUCT(MAX((T_PlannedOrders[Part Name]=$A153)*(T_PlannedOrders[WeekIndex]=62)*(T_PlannedOrders[EffectiveQty]&gt;0)*T_PlannedOrders[Order_Month])),"m月")&amp;"発注)")</f>
        <v/>
      </c>
      <c r="BN161">
        <f>IF(SUMIFS(T_PlannedOrders[EffectiveQty],T_PlannedOrders[Part Name],$A153,T_PlannedOrders[WeekIndex],63)=0,"",SUMIFS(T_PlannedOrders[EffectiveQty],T_PlannedOrders[Part Name],$A153,T_PlannedOrders[WeekIndex],63)&amp;" ("&amp;TEXT(SUMPRODUCT(MAX((T_PlannedOrders[Part Name]=$A153)*(T_PlannedOrders[WeekIndex]=63)*(T_PlannedOrders[EffectiveQty]&gt;0)*T_PlannedOrders[Order_Month])),"m月")&amp;"発注)")</f>
        <v/>
      </c>
      <c r="BO161">
        <f>IF(SUMIFS(T_PlannedOrders[EffectiveQty],T_PlannedOrders[Part Name],$A153,T_PlannedOrders[WeekIndex],64)=0,"",SUMIFS(T_PlannedOrders[EffectiveQty],T_PlannedOrders[Part Name],$A153,T_PlannedOrders[WeekIndex],64)&amp;" ("&amp;TEXT(SUMPRODUCT(MAX((T_PlannedOrders[Part Name]=$A153)*(T_PlannedOrders[WeekIndex]=64)*(T_PlannedOrders[EffectiveQty]&gt;0)*T_PlannedOrders[Order_Month])),"m月")&amp;"発注)")</f>
        <v/>
      </c>
      <c r="BP161">
        <f>IF(SUMIFS(T_PlannedOrders[EffectiveQty],T_PlannedOrders[Part Name],$A153,T_PlannedOrders[WeekIndex],65)=0,"",SUMIFS(T_PlannedOrders[EffectiveQty],T_PlannedOrders[Part Name],$A153,T_PlannedOrders[WeekIndex],65)&amp;" ("&amp;TEXT(SUMPRODUCT(MAX((T_PlannedOrders[Part Name]=$A153)*(T_PlannedOrders[WeekIndex]=65)*(T_PlannedOrders[EffectiveQty]&gt;0)*T_PlannedOrders[Order_Month])),"m月")&amp;"発注)")</f>
        <v/>
      </c>
      <c r="BQ161">
        <f>IF(SUMIFS(T_PlannedOrders[EffectiveQty],T_PlannedOrders[Part Name],$A153,T_PlannedOrders[WeekIndex],66)=0,"",SUMIFS(T_PlannedOrders[EffectiveQty],T_PlannedOrders[Part Name],$A153,T_PlannedOrders[WeekIndex],66)&amp;" ("&amp;TEXT(SUMPRODUCT(MAX((T_PlannedOrders[Part Name]=$A153)*(T_PlannedOrders[WeekIndex]=66)*(T_PlannedOrders[EffectiveQty]&gt;0)*T_PlannedOrders[Order_Month])),"m月")&amp;"発注)")</f>
        <v/>
      </c>
      <c r="BR161">
        <f>IF(SUMIFS(T_PlannedOrders[EffectiveQty],T_PlannedOrders[Part Name],$A153,T_PlannedOrders[WeekIndex],67)=0,"",SUMIFS(T_PlannedOrders[EffectiveQty],T_PlannedOrders[Part Name],$A153,T_PlannedOrders[WeekIndex],67)&amp;" ("&amp;TEXT(SUMPRODUCT(MAX((T_PlannedOrders[Part Name]=$A153)*(T_PlannedOrders[WeekIndex]=67)*(T_PlannedOrders[EffectiveQty]&gt;0)*T_PlannedOrders[Order_Month])),"m月")&amp;"発注)")</f>
        <v/>
      </c>
      <c r="BS161">
        <f>IF(SUMIFS(T_PlannedOrders[EffectiveQty],T_PlannedOrders[Part Name],$A153,T_PlannedOrders[WeekIndex],68)=0,"",SUMIFS(T_PlannedOrders[EffectiveQty],T_PlannedOrders[Part Name],$A153,T_PlannedOrders[WeekIndex],68)&amp;" ("&amp;TEXT(SUMPRODUCT(MAX((T_PlannedOrders[Part Name]=$A153)*(T_PlannedOrders[WeekIndex]=68)*(T_PlannedOrders[EffectiveQty]&gt;0)*T_PlannedOrders[Order_Month])),"m月")&amp;"発注)")</f>
        <v/>
      </c>
      <c r="BT161">
        <f>IF(SUMIFS(T_PlannedOrders[EffectiveQty],T_PlannedOrders[Part Name],$A153,T_PlannedOrders[WeekIndex],69)=0,"",SUMIFS(T_PlannedOrders[EffectiveQty],T_PlannedOrders[Part Name],$A153,T_PlannedOrders[WeekIndex],69)&amp;" ("&amp;TEXT(SUMPRODUCT(MAX((T_PlannedOrders[Part Name]=$A153)*(T_PlannedOrders[WeekIndex]=69)*(T_PlannedOrders[EffectiveQty]&gt;0)*T_PlannedOrders[Order_Month])),"m月")&amp;"発注)")</f>
        <v/>
      </c>
      <c r="BU161">
        <f>IF(SUMIFS(T_PlannedOrders[EffectiveQty],T_PlannedOrders[Part Name],$A153,T_PlannedOrders[WeekIndex],70)=0,"",SUMIFS(T_PlannedOrders[EffectiveQty],T_PlannedOrders[Part Name],$A153,T_PlannedOrders[WeekIndex],70)&amp;" ("&amp;TEXT(SUMPRODUCT(MAX((T_PlannedOrders[Part Name]=$A153)*(T_PlannedOrders[WeekIndex]=70)*(T_PlannedOrders[EffectiveQty]&gt;0)*T_PlannedOrders[Order_Month])),"m月")&amp;"発注)")</f>
        <v/>
      </c>
      <c r="BV161">
        <f>IF(SUMIFS(T_PlannedOrders[EffectiveQty],T_PlannedOrders[Part Name],$A153,T_PlannedOrders[WeekIndex],71)=0,"",SUMIFS(T_PlannedOrders[EffectiveQty],T_PlannedOrders[Part Name],$A153,T_PlannedOrders[WeekIndex],71)&amp;" ("&amp;TEXT(SUMPRODUCT(MAX((T_PlannedOrders[Part Name]=$A153)*(T_PlannedOrders[WeekIndex]=71)*(T_PlannedOrders[EffectiveQty]&gt;0)*T_PlannedOrders[Order_Month])),"m月")&amp;"発注)")</f>
        <v/>
      </c>
      <c r="BW161">
        <f>IF(SUMIFS(T_PlannedOrders[EffectiveQty],T_PlannedOrders[Part Name],$A153,T_PlannedOrders[WeekIndex],72)=0,"",SUMIFS(T_PlannedOrders[EffectiveQty],T_PlannedOrders[Part Name],$A153,T_PlannedOrders[WeekIndex],72)&amp;" ("&amp;TEXT(SUMPRODUCT(MAX((T_PlannedOrders[Part Name]=$A153)*(T_PlannedOrders[WeekIndex]=72)*(T_PlannedOrders[EffectiveQty]&gt;0)*T_PlannedOrders[Order_Month])),"m月")&amp;"発注)")</f>
        <v/>
      </c>
      <c r="BX161">
        <f>IF(SUMIFS(T_PlannedOrders[EffectiveQty],T_PlannedOrders[Part Name],$A153,T_PlannedOrders[WeekIndex],73)=0,"",SUMIFS(T_PlannedOrders[EffectiveQty],T_PlannedOrders[Part Name],$A153,T_PlannedOrders[WeekIndex],73)&amp;" ("&amp;TEXT(SUMPRODUCT(MAX((T_PlannedOrders[Part Name]=$A153)*(T_PlannedOrders[WeekIndex]=73)*(T_PlannedOrders[EffectiveQty]&gt;0)*T_PlannedOrders[Order_Month])),"m月")&amp;"発注)")</f>
        <v/>
      </c>
      <c r="BY161">
        <f>IF(SUMIFS(T_PlannedOrders[EffectiveQty],T_PlannedOrders[Part Name],$A153,T_PlannedOrders[WeekIndex],74)=0,"",SUMIFS(T_PlannedOrders[EffectiveQty],T_PlannedOrders[Part Name],$A153,T_PlannedOrders[WeekIndex],74)&amp;" ("&amp;TEXT(SUMPRODUCT(MAX((T_PlannedOrders[Part Name]=$A153)*(T_PlannedOrders[WeekIndex]=74)*(T_PlannedOrders[EffectiveQty]&gt;0)*T_PlannedOrders[Order_Month])),"m月")&amp;"発注)")</f>
        <v/>
      </c>
      <c r="BZ161">
        <f>IF(SUMIFS(T_PlannedOrders[EffectiveQty],T_PlannedOrders[Part Name],$A153,T_PlannedOrders[WeekIndex],75)=0,"",SUMIFS(T_PlannedOrders[EffectiveQty],T_PlannedOrders[Part Name],$A153,T_PlannedOrders[WeekIndex],75)&amp;" ("&amp;TEXT(SUMPRODUCT(MAX((T_PlannedOrders[Part Name]=$A153)*(T_PlannedOrders[WeekIndex]=75)*(T_PlannedOrders[EffectiveQty]&gt;0)*T_PlannedOrders[Order_Month])),"m月")&amp;"発注)")</f>
        <v/>
      </c>
      <c r="CA161">
        <f>IF(SUMIFS(T_PlannedOrders[EffectiveQty],T_PlannedOrders[Part Name],$A153,T_PlannedOrders[WeekIndex],76)=0,"",SUMIFS(T_PlannedOrders[EffectiveQty],T_PlannedOrders[Part Name],$A153,T_PlannedOrders[WeekIndex],76)&amp;" ("&amp;TEXT(SUMPRODUCT(MAX((T_PlannedOrders[Part Name]=$A153)*(T_PlannedOrders[WeekIndex]=76)*(T_PlannedOrders[EffectiveQty]&gt;0)*T_PlannedOrders[Order_Month])),"m月")&amp;"発注)")</f>
        <v/>
      </c>
      <c r="CB161">
        <f>IF(SUMIFS(T_PlannedOrders[EffectiveQty],T_PlannedOrders[Part Name],$A153,T_PlannedOrders[WeekIndex],77)=0,"",SUMIFS(T_PlannedOrders[EffectiveQty],T_PlannedOrders[Part Name],$A153,T_PlannedOrders[WeekIndex],77)&amp;" ("&amp;TEXT(SUMPRODUCT(MAX((T_PlannedOrders[Part Name]=$A153)*(T_PlannedOrders[WeekIndex]=77)*(T_PlannedOrders[EffectiveQty]&gt;0)*T_PlannedOrders[Order_Month])),"m月")&amp;"発注)")</f>
        <v/>
      </c>
      <c r="CC161">
        <f>IF(SUMIFS(T_PlannedOrders[EffectiveQty],T_PlannedOrders[Part Name],$A153,T_PlannedOrders[WeekIndex],78)=0,"",SUMIFS(T_PlannedOrders[EffectiveQty],T_PlannedOrders[Part Name],$A153,T_PlannedOrders[WeekIndex],78)&amp;" ("&amp;TEXT(SUMPRODUCT(MAX((T_PlannedOrders[Part Name]=$A153)*(T_PlannedOrders[WeekIndex]=78)*(T_PlannedOrders[EffectiveQty]&gt;0)*T_PlannedOrders[Order_Month])),"m月")&amp;"発注)")</f>
        <v/>
      </c>
      <c r="CD161">
        <f>IF(SUMIFS(T_PlannedOrders[EffectiveQty],T_PlannedOrders[Part Name],$A153,T_PlannedOrders[WeekIndex],79)=0,"",SUMIFS(T_PlannedOrders[EffectiveQty],T_PlannedOrders[Part Name],$A153,T_PlannedOrders[WeekIndex],79)&amp;" ("&amp;TEXT(SUMPRODUCT(MAX((T_PlannedOrders[Part Name]=$A153)*(T_PlannedOrders[WeekIndex]=79)*(T_PlannedOrders[EffectiveQty]&gt;0)*T_PlannedOrders[Order_Month])),"m月")&amp;"発注)")</f>
        <v/>
      </c>
      <c r="CE161">
        <f>IF(SUMIFS(T_PlannedOrders[EffectiveQty],T_PlannedOrders[Part Name],$A153,T_PlannedOrders[WeekIndex],80)=0,"",SUMIFS(T_PlannedOrders[EffectiveQty],T_PlannedOrders[Part Name],$A153,T_PlannedOrders[WeekIndex],80)&amp;" ("&amp;TEXT(SUMPRODUCT(MAX((T_PlannedOrders[Part Name]=$A153)*(T_PlannedOrders[WeekIndex]=80)*(T_PlannedOrders[EffectiveQty]&gt;0)*T_PlannedOrders[Order_Month])),"m月")&amp;"発注)")</f>
        <v/>
      </c>
      <c r="CF161">
        <f>IF(SUMIFS(T_PlannedOrders[EffectiveQty],T_PlannedOrders[Part Name],$A153,T_PlannedOrders[WeekIndex],81)=0,"",SUMIFS(T_PlannedOrders[EffectiveQty],T_PlannedOrders[Part Name],$A153,T_PlannedOrders[WeekIndex],81)&amp;" ("&amp;TEXT(SUMPRODUCT(MAX((T_PlannedOrders[Part Name]=$A153)*(T_PlannedOrders[WeekIndex]=81)*(T_PlannedOrders[EffectiveQty]&gt;0)*T_PlannedOrders[Order_Month])),"m月")&amp;"発注)")</f>
        <v/>
      </c>
      <c r="CG161">
        <f>IF(SUMIFS(T_PlannedOrders[EffectiveQty],T_PlannedOrders[Part Name],$A153,T_PlannedOrders[WeekIndex],82)=0,"",SUMIFS(T_PlannedOrders[EffectiveQty],T_PlannedOrders[Part Name],$A153,T_PlannedOrders[WeekIndex],82)&amp;" ("&amp;TEXT(SUMPRODUCT(MAX((T_PlannedOrders[Part Name]=$A153)*(T_PlannedOrders[WeekIndex]=82)*(T_PlannedOrders[EffectiveQty]&gt;0)*T_PlannedOrders[Order_Month])),"m月")&amp;"発注)")</f>
        <v/>
      </c>
      <c r="CH161">
        <f>IF(SUMIFS(T_PlannedOrders[EffectiveQty],T_PlannedOrders[Part Name],$A153,T_PlannedOrders[WeekIndex],83)=0,"",SUMIFS(T_PlannedOrders[EffectiveQty],T_PlannedOrders[Part Name],$A153,T_PlannedOrders[WeekIndex],83)&amp;" ("&amp;TEXT(SUMPRODUCT(MAX((T_PlannedOrders[Part Name]=$A153)*(T_PlannedOrders[WeekIndex]=83)*(T_PlannedOrders[EffectiveQty]&gt;0)*T_PlannedOrders[Order_Month])),"m月")&amp;"発注)")</f>
        <v/>
      </c>
      <c r="CI161">
        <f>IF(SUMIFS(T_PlannedOrders[EffectiveQty],T_PlannedOrders[Part Name],$A153,T_PlannedOrders[WeekIndex],84)=0,"",SUMIFS(T_PlannedOrders[EffectiveQty],T_PlannedOrders[Part Name],$A153,T_PlannedOrders[WeekIndex],84)&amp;" ("&amp;TEXT(SUMPRODUCT(MAX((T_PlannedOrders[Part Name]=$A153)*(T_PlannedOrders[WeekIndex]=84)*(T_PlannedOrders[EffectiveQty]&gt;0)*T_PlannedOrders[Order_Month])),"m月")&amp;"発注)")</f>
        <v/>
      </c>
      <c r="CJ161">
        <f>IF(SUMIFS(T_PlannedOrders[EffectiveQty],T_PlannedOrders[Part Name],$A153,T_PlannedOrders[WeekIndex],85)=0,"",SUMIFS(T_PlannedOrders[EffectiveQty],T_PlannedOrders[Part Name],$A153,T_PlannedOrders[WeekIndex],85)&amp;" ("&amp;TEXT(SUMPRODUCT(MAX((T_PlannedOrders[Part Name]=$A153)*(T_PlannedOrders[WeekIndex]=85)*(T_PlannedOrders[EffectiveQty]&gt;0)*T_PlannedOrders[Order_Month])),"m月")&amp;"発注)")</f>
        <v/>
      </c>
      <c r="CK161">
        <f>IF(SUMIFS(T_PlannedOrders[EffectiveQty],T_PlannedOrders[Part Name],$A153,T_PlannedOrders[WeekIndex],86)=0,"",SUMIFS(T_PlannedOrders[EffectiveQty],T_PlannedOrders[Part Name],$A153,T_PlannedOrders[WeekIndex],86)&amp;" ("&amp;TEXT(SUMPRODUCT(MAX((T_PlannedOrders[Part Name]=$A153)*(T_PlannedOrders[WeekIndex]=86)*(T_PlannedOrders[EffectiveQty]&gt;0)*T_PlannedOrders[Order_Month])),"m月")&amp;"発注)")</f>
        <v/>
      </c>
      <c r="CL161">
        <f>IF(SUMIFS(T_PlannedOrders[EffectiveQty],T_PlannedOrders[Part Name],$A153,T_PlannedOrders[WeekIndex],87)=0,"",SUMIFS(T_PlannedOrders[EffectiveQty],T_PlannedOrders[Part Name],$A153,T_PlannedOrders[WeekIndex],87)&amp;" ("&amp;TEXT(SUMPRODUCT(MAX((T_PlannedOrders[Part Name]=$A153)*(T_PlannedOrders[WeekIndex]=87)*(T_PlannedOrders[EffectiveQty]&gt;0)*T_PlannedOrders[Order_Month])),"m月")&amp;"発注)")</f>
        <v/>
      </c>
      <c r="CM161">
        <f>IF(SUMIFS(T_PlannedOrders[EffectiveQty],T_PlannedOrders[Part Name],$A153,T_PlannedOrders[WeekIndex],88)=0,"",SUMIFS(T_PlannedOrders[EffectiveQty],T_PlannedOrders[Part Name],$A153,T_PlannedOrders[WeekIndex],88)&amp;" ("&amp;TEXT(SUMPRODUCT(MAX((T_PlannedOrders[Part Name]=$A153)*(T_PlannedOrders[WeekIndex]=88)*(T_PlannedOrders[EffectiveQty]&gt;0)*T_PlannedOrders[Order_Month])),"m月")&amp;"発注)")</f>
        <v/>
      </c>
      <c r="CN161">
        <f>IF(SUMIFS(T_PlannedOrders[EffectiveQty],T_PlannedOrders[Part Name],$A153,T_PlannedOrders[WeekIndex],89)=0,"",SUMIFS(T_PlannedOrders[EffectiveQty],T_PlannedOrders[Part Name],$A153,T_PlannedOrders[WeekIndex],89)&amp;" ("&amp;TEXT(SUMPRODUCT(MAX((T_PlannedOrders[Part Name]=$A153)*(T_PlannedOrders[WeekIndex]=89)*(T_PlannedOrders[EffectiveQty]&gt;0)*T_PlannedOrders[Order_Month])),"m月")&amp;"発注)")</f>
        <v/>
      </c>
      <c r="CO161">
        <f>IF(SUMIFS(T_PlannedOrders[EffectiveQty],T_PlannedOrders[Part Name],$A153,T_PlannedOrders[WeekIndex],90)=0,"",SUMIFS(T_PlannedOrders[EffectiveQty],T_PlannedOrders[Part Name],$A153,T_PlannedOrders[WeekIndex],90)&amp;" ("&amp;TEXT(SUMPRODUCT(MAX((T_PlannedOrders[Part Name]=$A153)*(T_PlannedOrders[WeekIndex]=90)*(T_PlannedOrders[EffectiveQty]&gt;0)*T_PlannedOrders[Order_Month])),"m月")&amp;"発注)")</f>
        <v/>
      </c>
      <c r="CP161">
        <f>IF(SUMIFS(T_PlannedOrders[EffectiveQty],T_PlannedOrders[Part Name],$A153,T_PlannedOrders[WeekIndex],91)=0,"",SUMIFS(T_PlannedOrders[EffectiveQty],T_PlannedOrders[Part Name],$A153,T_PlannedOrders[WeekIndex],91)&amp;" ("&amp;TEXT(SUMPRODUCT(MAX((T_PlannedOrders[Part Name]=$A153)*(T_PlannedOrders[WeekIndex]=91)*(T_PlannedOrders[EffectiveQty]&gt;0)*T_PlannedOrders[Order_Month])),"m月")&amp;"発注)")</f>
        <v/>
      </c>
      <c r="CQ161">
        <f>IF(SUMIFS(T_PlannedOrders[EffectiveQty],T_PlannedOrders[Part Name],$A153,T_PlannedOrders[WeekIndex],92)=0,"",SUMIFS(T_PlannedOrders[EffectiveQty],T_PlannedOrders[Part Name],$A153,T_PlannedOrders[WeekIndex],92)&amp;" ("&amp;TEXT(SUMPRODUCT(MAX((T_PlannedOrders[Part Name]=$A153)*(T_PlannedOrders[WeekIndex]=92)*(T_PlannedOrders[EffectiveQty]&gt;0)*T_PlannedOrders[Order_Month])),"m月")&amp;"発注)")</f>
        <v/>
      </c>
      <c r="CR161">
        <f>IF(SUMIFS(T_PlannedOrders[EffectiveQty],T_PlannedOrders[Part Name],$A153,T_PlannedOrders[WeekIndex],93)=0,"",SUMIFS(T_PlannedOrders[EffectiveQty],T_PlannedOrders[Part Name],$A153,T_PlannedOrders[WeekIndex],93)&amp;" ("&amp;TEXT(SUMPRODUCT(MAX((T_PlannedOrders[Part Name]=$A153)*(T_PlannedOrders[WeekIndex]=93)*(T_PlannedOrders[EffectiveQty]&gt;0)*T_PlannedOrders[Order_Month])),"m月")&amp;"発注)")</f>
        <v/>
      </c>
      <c r="CS161">
        <f>IF(SUMIFS(T_PlannedOrders[EffectiveQty],T_PlannedOrders[Part Name],$A153,T_PlannedOrders[WeekIndex],94)=0,"",SUMIFS(T_PlannedOrders[EffectiveQty],T_PlannedOrders[Part Name],$A153,T_PlannedOrders[WeekIndex],94)&amp;" ("&amp;TEXT(SUMPRODUCT(MAX((T_PlannedOrders[Part Name]=$A153)*(T_PlannedOrders[WeekIndex]=94)*(T_PlannedOrders[EffectiveQty]&gt;0)*T_PlannedOrders[Order_Month])),"m月")&amp;"発注)")</f>
        <v/>
      </c>
      <c r="CT161">
        <f>IF(SUMIFS(T_PlannedOrders[EffectiveQty],T_PlannedOrders[Part Name],$A153,T_PlannedOrders[WeekIndex],95)=0,"",SUMIFS(T_PlannedOrders[EffectiveQty],T_PlannedOrders[Part Name],$A153,T_PlannedOrders[WeekIndex],95)&amp;" ("&amp;TEXT(SUMPRODUCT(MAX((T_PlannedOrders[Part Name]=$A153)*(T_PlannedOrders[WeekIndex]=95)*(T_PlannedOrders[EffectiveQty]&gt;0)*T_PlannedOrders[Order_Month])),"m月")&amp;"発注)")</f>
        <v/>
      </c>
      <c r="CU161">
        <f>IF(SUMIFS(T_PlannedOrders[EffectiveQty],T_PlannedOrders[Part Name],$A153,T_PlannedOrders[WeekIndex],96)=0,"",SUMIFS(T_PlannedOrders[EffectiveQty],T_PlannedOrders[Part Name],$A153,T_PlannedOrders[WeekIndex],96)&amp;" ("&amp;TEXT(SUMPRODUCT(MAX((T_PlannedOrders[Part Name]=$A153)*(T_PlannedOrders[WeekIndex]=96)*(T_PlannedOrders[EffectiveQty]&gt;0)*T_PlannedOrders[Order_Month])),"m月")&amp;"発注)")</f>
        <v/>
      </c>
      <c r="CV161">
        <f>IF(SUMIFS(T_PlannedOrders[EffectiveQty],T_PlannedOrders[Part Name],$A153,T_PlannedOrders[WeekIndex],97)=0,"",SUMIFS(T_PlannedOrders[EffectiveQty],T_PlannedOrders[Part Name],$A153,T_PlannedOrders[WeekIndex],97)&amp;" ("&amp;TEXT(SUMPRODUCT(MAX((T_PlannedOrders[Part Name]=$A153)*(T_PlannedOrders[WeekIndex]=97)*(T_PlannedOrders[EffectiveQty]&gt;0)*T_PlannedOrders[Order_Month])),"m月")&amp;"発注)")</f>
        <v/>
      </c>
      <c r="CW161">
        <f>IF(SUMIFS(T_PlannedOrders[EffectiveQty],T_PlannedOrders[Part Name],$A153,T_PlannedOrders[WeekIndex],98)=0,"",SUMIFS(T_PlannedOrders[EffectiveQty],T_PlannedOrders[Part Name],$A153,T_PlannedOrders[WeekIndex],98)&amp;" ("&amp;TEXT(SUMPRODUCT(MAX((T_PlannedOrders[Part Name]=$A153)*(T_PlannedOrders[WeekIndex]=98)*(T_PlannedOrders[EffectiveQty]&gt;0)*T_PlannedOrders[Order_Month])),"m月")&amp;"発注)")</f>
        <v/>
      </c>
      <c r="CX161">
        <f>IF(SUMIFS(T_PlannedOrders[EffectiveQty],T_PlannedOrders[Part Name],$A153,T_PlannedOrders[WeekIndex],99)=0,"",SUMIFS(T_PlannedOrders[EffectiveQty],T_PlannedOrders[Part Name],$A153,T_PlannedOrders[WeekIndex],99)&amp;" ("&amp;TEXT(SUMPRODUCT(MAX((T_PlannedOrders[Part Name]=$A153)*(T_PlannedOrders[WeekIndex]=99)*(T_PlannedOrders[EffectiveQty]&gt;0)*T_PlannedOrders[Order_Month])),"m月")&amp;"発注)")</f>
        <v/>
      </c>
      <c r="CY161">
        <f>IF(SUMIFS(T_PlannedOrders[EffectiveQty],T_PlannedOrders[Part Name],$A153,T_PlannedOrders[WeekIndex],100)=0,"",SUMIFS(T_PlannedOrders[EffectiveQty],T_PlannedOrders[Part Name],$A153,T_PlannedOrders[WeekIndex],100)&amp;" ("&amp;TEXT(SUMPRODUCT(MAX((T_PlannedOrders[Part Name]=$A153)*(T_PlannedOrders[WeekIndex]=100)*(T_PlannedOrders[EffectiveQty]&gt;0)*T_PlannedOrders[Order_Month])),"m月")&amp;"発注)")</f>
        <v/>
      </c>
      <c r="CZ161">
        <f>IF(SUMIFS(T_PlannedOrders[EffectiveQty],T_PlannedOrders[Part Name],$A153,T_PlannedOrders[WeekIndex],101)=0,"",SUMIFS(T_PlannedOrders[EffectiveQty],T_PlannedOrders[Part Name],$A153,T_PlannedOrders[WeekIndex],101)&amp;" ("&amp;TEXT(SUMPRODUCT(MAX((T_PlannedOrders[Part Name]=$A153)*(T_PlannedOrders[WeekIndex]=101)*(T_PlannedOrders[EffectiveQty]&gt;0)*T_PlannedOrders[Order_Month])),"m月")&amp;"発注)")</f>
        <v/>
      </c>
      <c r="DA161">
        <f>IF(SUMIFS(T_PlannedOrders[EffectiveQty],T_PlannedOrders[Part Name],$A153,T_PlannedOrders[WeekIndex],102)=0,"",SUMIFS(T_PlannedOrders[EffectiveQty],T_PlannedOrders[Part Name],$A153,T_PlannedOrders[WeekIndex],102)&amp;" ("&amp;TEXT(SUMPRODUCT(MAX((T_PlannedOrders[Part Name]=$A153)*(T_PlannedOrders[WeekIndex]=102)*(T_PlannedOrders[EffectiveQty]&gt;0)*T_PlannedOrders[Order_Month])),"m月")&amp;"発注)")</f>
        <v/>
      </c>
      <c r="DB161">
        <f>IF(SUMIFS(T_PlannedOrders[EffectiveQty],T_PlannedOrders[Part Name],$A153,T_PlannedOrders[WeekIndex],103)=0,"",SUMIFS(T_PlannedOrders[EffectiveQty],T_PlannedOrders[Part Name],$A153,T_PlannedOrders[WeekIndex],103)&amp;" ("&amp;TEXT(SUMPRODUCT(MAX((T_PlannedOrders[Part Name]=$A153)*(T_PlannedOrders[WeekIndex]=103)*(T_PlannedOrders[EffectiveQty]&gt;0)*T_PlannedOrders[Order_Month])),"m月")&amp;"発注)")</f>
        <v/>
      </c>
      <c r="DC161">
        <f>IF(SUMIFS(T_PlannedOrders[EffectiveQty],T_PlannedOrders[Part Name],$A153,T_PlannedOrders[WeekIndex],104)=0,"",SUMIFS(T_PlannedOrders[EffectiveQty],T_PlannedOrders[Part Name],$A153,T_PlannedOrders[WeekIndex],104)&amp;" ("&amp;TEXT(SUMPRODUCT(MAX((T_PlannedOrders[Part Name]=$A153)*(T_PlannedOrders[WeekIndex]=104)*(T_PlannedOrders[EffectiveQty]&gt;0)*T_PlannedOrders[Order_Month])),"m月")&amp;"発注)")</f>
        <v/>
      </c>
    </row>
    <row r="162">
      <c r="B162" s="5" t="inlineStr">
        <is>
          <t>合計在庫(週末時点,kg)</t>
        </is>
      </c>
      <c r="D162">
        <f>'Grid_Stock'!B4</f>
        <v/>
      </c>
      <c r="E162">
        <f>'Grid_Stock'!C4</f>
        <v/>
      </c>
      <c r="F162">
        <f>'Grid_Stock'!D4</f>
        <v/>
      </c>
      <c r="G162">
        <f>'Grid_Stock'!E4</f>
        <v/>
      </c>
      <c r="H162">
        <f>'Grid_Stock'!F4</f>
        <v/>
      </c>
      <c r="I162">
        <f>'Grid_Stock'!G4</f>
        <v/>
      </c>
      <c r="J162">
        <f>'Grid_Stock'!H4</f>
        <v/>
      </c>
      <c r="K162">
        <f>'Grid_Stock'!I4</f>
        <v/>
      </c>
      <c r="L162">
        <f>'Grid_Stock'!J4</f>
        <v/>
      </c>
      <c r="M162">
        <f>'Grid_Stock'!K4</f>
        <v/>
      </c>
      <c r="N162">
        <f>'Grid_Stock'!L4</f>
        <v/>
      </c>
      <c r="O162">
        <f>'Grid_Stock'!M4</f>
        <v/>
      </c>
      <c r="P162">
        <f>'Grid_Stock'!N4</f>
        <v/>
      </c>
      <c r="Q162">
        <f>'Grid_Stock'!O4</f>
        <v/>
      </c>
      <c r="R162">
        <f>'Grid_Stock'!P4</f>
        <v/>
      </c>
      <c r="S162">
        <f>'Grid_Stock'!Q4</f>
        <v/>
      </c>
      <c r="T162">
        <f>'Grid_Stock'!R4</f>
        <v/>
      </c>
      <c r="U162">
        <f>'Grid_Stock'!S4</f>
        <v/>
      </c>
      <c r="V162">
        <f>'Grid_Stock'!T4</f>
        <v/>
      </c>
      <c r="W162">
        <f>'Grid_Stock'!U4</f>
        <v/>
      </c>
      <c r="X162">
        <f>'Grid_Stock'!V4</f>
        <v/>
      </c>
      <c r="Y162">
        <f>'Grid_Stock'!W4</f>
        <v/>
      </c>
      <c r="Z162">
        <f>'Grid_Stock'!X4</f>
        <v/>
      </c>
      <c r="AA162">
        <f>'Grid_Stock'!Y4</f>
        <v/>
      </c>
      <c r="AB162">
        <f>'Grid_Stock'!Z4</f>
        <v/>
      </c>
      <c r="AC162">
        <f>'Grid_Stock'!AA4</f>
        <v/>
      </c>
      <c r="AD162">
        <f>'Grid_Stock'!AB4</f>
        <v/>
      </c>
      <c r="AE162">
        <f>'Grid_Stock'!AC4</f>
        <v/>
      </c>
      <c r="AF162">
        <f>'Grid_Stock'!AD4</f>
        <v/>
      </c>
      <c r="AG162">
        <f>'Grid_Stock'!AE4</f>
        <v/>
      </c>
      <c r="AH162">
        <f>'Grid_Stock'!AF4</f>
        <v/>
      </c>
      <c r="AI162">
        <f>'Grid_Stock'!AG4</f>
        <v/>
      </c>
      <c r="AJ162">
        <f>'Grid_Stock'!AH4</f>
        <v/>
      </c>
      <c r="AK162">
        <f>'Grid_Stock'!AI4</f>
        <v/>
      </c>
      <c r="AL162">
        <f>'Grid_Stock'!AJ4</f>
        <v/>
      </c>
      <c r="AM162">
        <f>'Grid_Stock'!AK4</f>
        <v/>
      </c>
      <c r="AN162">
        <f>'Grid_Stock'!AL4</f>
        <v/>
      </c>
      <c r="AO162">
        <f>'Grid_Stock'!AM4</f>
        <v/>
      </c>
      <c r="AP162">
        <f>'Grid_Stock'!AN4</f>
        <v/>
      </c>
      <c r="AQ162">
        <f>'Grid_Stock'!AO4</f>
        <v/>
      </c>
      <c r="AR162">
        <f>'Grid_Stock'!AP4</f>
        <v/>
      </c>
      <c r="AS162">
        <f>'Grid_Stock'!AQ4</f>
        <v/>
      </c>
      <c r="AT162">
        <f>'Grid_Stock'!AR4</f>
        <v/>
      </c>
      <c r="AU162">
        <f>'Grid_Stock'!AS4</f>
        <v/>
      </c>
      <c r="AV162">
        <f>'Grid_Stock'!AT4</f>
        <v/>
      </c>
      <c r="AW162">
        <f>'Grid_Stock'!AU4</f>
        <v/>
      </c>
      <c r="AX162">
        <f>'Grid_Stock'!AV4</f>
        <v/>
      </c>
      <c r="AY162">
        <f>'Grid_Stock'!AW4</f>
        <v/>
      </c>
      <c r="AZ162">
        <f>'Grid_Stock'!AX4</f>
        <v/>
      </c>
      <c r="BA162">
        <f>'Grid_Stock'!AY4</f>
        <v/>
      </c>
      <c r="BB162">
        <f>'Grid_Stock'!AZ4</f>
        <v/>
      </c>
      <c r="BC162">
        <f>'Grid_Stock'!BA4</f>
        <v/>
      </c>
      <c r="BD162">
        <f>'Grid_Stock'!BB4</f>
        <v/>
      </c>
      <c r="BE162">
        <f>'Grid_Stock'!BC4</f>
        <v/>
      </c>
      <c r="BF162">
        <f>'Grid_Stock'!BD4</f>
        <v/>
      </c>
      <c r="BG162">
        <f>'Grid_Stock'!BE4</f>
        <v/>
      </c>
      <c r="BH162">
        <f>'Grid_Stock'!BF4</f>
        <v/>
      </c>
      <c r="BI162">
        <f>'Grid_Stock'!BG4</f>
        <v/>
      </c>
      <c r="BJ162">
        <f>'Grid_Stock'!BH4</f>
        <v/>
      </c>
      <c r="BK162">
        <f>'Grid_Stock'!BI4</f>
        <v/>
      </c>
      <c r="BL162">
        <f>'Grid_Stock'!BJ4</f>
        <v/>
      </c>
      <c r="BM162">
        <f>'Grid_Stock'!BK4</f>
        <v/>
      </c>
      <c r="BN162">
        <f>'Grid_Stock'!BL4</f>
        <v/>
      </c>
      <c r="BO162">
        <f>'Grid_Stock'!BM4</f>
        <v/>
      </c>
      <c r="BP162">
        <f>'Grid_Stock'!BN4</f>
        <v/>
      </c>
      <c r="BQ162">
        <f>'Grid_Stock'!BO4</f>
        <v/>
      </c>
      <c r="BR162">
        <f>'Grid_Stock'!BP4</f>
        <v/>
      </c>
      <c r="BS162">
        <f>'Grid_Stock'!BQ4</f>
        <v/>
      </c>
      <c r="BT162">
        <f>'Grid_Stock'!BR4</f>
        <v/>
      </c>
      <c r="BU162">
        <f>'Grid_Stock'!BS4</f>
        <v/>
      </c>
      <c r="BV162">
        <f>'Grid_Stock'!BT4</f>
        <v/>
      </c>
      <c r="BW162">
        <f>'Grid_Stock'!BU4</f>
        <v/>
      </c>
      <c r="BX162">
        <f>'Grid_Stock'!BV4</f>
        <v/>
      </c>
      <c r="BY162">
        <f>'Grid_Stock'!BW4</f>
        <v/>
      </c>
      <c r="BZ162">
        <f>'Grid_Stock'!BX4</f>
        <v/>
      </c>
      <c r="CA162">
        <f>'Grid_Stock'!BY4</f>
        <v/>
      </c>
      <c r="CB162">
        <f>'Grid_Stock'!BZ4</f>
        <v/>
      </c>
      <c r="CC162">
        <f>'Grid_Stock'!CA4</f>
        <v/>
      </c>
      <c r="CD162">
        <f>'Grid_Stock'!CB4</f>
        <v/>
      </c>
      <c r="CE162">
        <f>'Grid_Stock'!CC4</f>
        <v/>
      </c>
      <c r="CF162">
        <f>'Grid_Stock'!CD4</f>
        <v/>
      </c>
      <c r="CG162">
        <f>'Grid_Stock'!CE4</f>
        <v/>
      </c>
      <c r="CH162">
        <f>'Grid_Stock'!CF4</f>
        <v/>
      </c>
      <c r="CI162">
        <f>'Grid_Stock'!CG4</f>
        <v/>
      </c>
      <c r="CJ162">
        <f>'Grid_Stock'!CH4</f>
        <v/>
      </c>
      <c r="CK162">
        <f>'Grid_Stock'!CI4</f>
        <v/>
      </c>
      <c r="CL162">
        <f>'Grid_Stock'!CJ4</f>
        <v/>
      </c>
      <c r="CM162">
        <f>'Grid_Stock'!CK4</f>
        <v/>
      </c>
      <c r="CN162">
        <f>'Grid_Stock'!CL4</f>
        <v/>
      </c>
      <c r="CO162">
        <f>'Grid_Stock'!CM4</f>
        <v/>
      </c>
      <c r="CP162">
        <f>'Grid_Stock'!CN4</f>
        <v/>
      </c>
      <c r="CQ162">
        <f>'Grid_Stock'!CO4</f>
        <v/>
      </c>
      <c r="CR162">
        <f>'Grid_Stock'!CP4</f>
        <v/>
      </c>
      <c r="CS162">
        <f>'Grid_Stock'!CQ4</f>
        <v/>
      </c>
      <c r="CT162">
        <f>'Grid_Stock'!CR4</f>
        <v/>
      </c>
      <c r="CU162">
        <f>'Grid_Stock'!CS4</f>
        <v/>
      </c>
      <c r="CV162">
        <f>'Grid_Stock'!CT4</f>
        <v/>
      </c>
      <c r="CW162">
        <f>'Grid_Stock'!CU4</f>
        <v/>
      </c>
      <c r="CX162">
        <f>'Grid_Stock'!CV4</f>
        <v/>
      </c>
      <c r="CY162">
        <f>'Grid_Stock'!CW4</f>
        <v/>
      </c>
      <c r="CZ162">
        <f>'Grid_Stock'!CX4</f>
        <v/>
      </c>
      <c r="DA162">
        <f>'Grid_Stock'!CY4</f>
        <v/>
      </c>
      <c r="DB162">
        <f>'Grid_Stock'!CZ4</f>
        <v/>
      </c>
      <c r="DC162">
        <f>'Grid_Stock'!DA4</f>
        <v/>
      </c>
    </row>
    <row r="163">
      <c r="B163" s="23" t="inlineStr">
        <is>
          <t>（発注の目安はDashboardの基準在庫[下限/上限]と色分けを参照）</t>
        </is>
      </c>
    </row>
    <row r="165">
      <c r="A165" s="21" t="inlineStr">
        <is>
          <t>9RN</t>
        </is>
      </c>
      <c r="B165" s="21" t="inlineStr">
        <is>
          <t>TTAF 4FK13117080</t>
        </is>
      </c>
      <c r="C165" s="22" t="n"/>
      <c r="D165" s="21" t="n"/>
      <c r="E165" s="21" t="n"/>
      <c r="F165" s="21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  <c r="AA165" s="21" t="n"/>
      <c r="AB165" s="21" t="n"/>
      <c r="AC165" s="21" t="n"/>
      <c r="AD165" s="21" t="n"/>
      <c r="AE165" s="21" t="n"/>
      <c r="AF165" s="21" t="n"/>
      <c r="AG165" s="21" t="n"/>
      <c r="AH165" s="21" t="n"/>
      <c r="AI165" s="21" t="n"/>
      <c r="AJ165" s="21" t="n"/>
      <c r="AK165" s="21" t="n"/>
      <c r="AL165" s="21" t="n"/>
      <c r="AM165" s="21" t="n"/>
      <c r="AN165" s="21" t="n"/>
      <c r="AO165" s="21" t="n"/>
      <c r="AP165" s="21" t="n"/>
      <c r="AQ165" s="21" t="n"/>
      <c r="AR165" s="21" t="n"/>
      <c r="AS165" s="21" t="n"/>
      <c r="AT165" s="21" t="n"/>
      <c r="AU165" s="21" t="n"/>
      <c r="AV165" s="21" t="n"/>
      <c r="AW165" s="21" t="n"/>
      <c r="AX165" s="21" t="n"/>
      <c r="AY165" s="21" t="n"/>
      <c r="AZ165" s="21" t="n"/>
      <c r="BA165" s="21" t="n"/>
      <c r="BB165" s="21" t="n"/>
      <c r="BC165" s="21" t="n"/>
      <c r="BD165" s="21" t="n"/>
      <c r="BE165" s="21" t="n"/>
      <c r="BF165" s="21" t="n"/>
      <c r="BG165" s="21" t="n"/>
      <c r="BH165" s="21" t="n"/>
      <c r="BI165" s="21" t="n"/>
      <c r="BJ165" s="21" t="n"/>
      <c r="BK165" s="21" t="n"/>
      <c r="BL165" s="21" t="n"/>
      <c r="BM165" s="21" t="n"/>
      <c r="BN165" s="21" t="n"/>
      <c r="BO165" s="21" t="n"/>
      <c r="BP165" s="21" t="n"/>
      <c r="BQ165" s="21" t="n"/>
      <c r="BR165" s="21" t="n"/>
      <c r="BS165" s="21" t="n"/>
      <c r="BT165" s="21" t="n"/>
      <c r="BU165" s="21" t="n"/>
      <c r="BV165" s="21" t="n"/>
      <c r="BW165" s="21" t="n"/>
      <c r="BX165" s="21" t="n"/>
      <c r="BY165" s="21" t="n"/>
      <c r="BZ165" s="21" t="n"/>
      <c r="CA165" s="21" t="n"/>
      <c r="CB165" s="21" t="n"/>
      <c r="CC165" s="21" t="n"/>
      <c r="CD165" s="21" t="n"/>
      <c r="CE165" s="21" t="n"/>
      <c r="CF165" s="21" t="n"/>
      <c r="CG165" s="21" t="n"/>
      <c r="CH165" s="21" t="n"/>
      <c r="CI165" s="21" t="n"/>
      <c r="CJ165" s="21" t="n"/>
      <c r="CK165" s="21" t="n"/>
      <c r="CL165" s="21" t="n"/>
      <c r="CM165" s="21" t="n"/>
      <c r="CN165" s="21" t="n"/>
      <c r="CO165" s="21" t="n"/>
      <c r="CP165" s="21" t="n"/>
      <c r="CQ165" s="21" t="n"/>
      <c r="CR165" s="21" t="n"/>
      <c r="CS165" s="21" t="n"/>
      <c r="CT165" s="21" t="n"/>
      <c r="CU165" s="21" t="n"/>
      <c r="CV165" s="21" t="n"/>
      <c r="CW165" s="21" t="n"/>
      <c r="CX165" s="21" t="n"/>
      <c r="CY165" s="21" t="n"/>
      <c r="CZ165" s="21" t="n"/>
      <c r="DA165" s="21" t="n"/>
      <c r="DB165" s="21" t="n"/>
      <c r="DC165" s="21" t="n"/>
    </row>
    <row r="166">
      <c r="B166" t="inlineStr">
        <is>
          <t>K0050</t>
        </is>
      </c>
      <c r="C166" t="inlineStr">
        <is>
          <t>No. of batches</t>
        </is>
      </c>
      <c r="D166">
        <f>IFERROR(INDEX(PP_Grid[#Data],$DD166,2),0)</f>
        <v/>
      </c>
      <c r="E166">
        <f>IFERROR(INDEX(PP_Grid[#Data],$DD166,3),0)</f>
        <v/>
      </c>
      <c r="F166">
        <f>IFERROR(INDEX(PP_Grid[#Data],$DD166,4),0)</f>
        <v/>
      </c>
      <c r="G166">
        <f>IFERROR(INDEX(PP_Grid[#Data],$DD166,5),0)</f>
        <v/>
      </c>
      <c r="H166">
        <f>IFERROR(INDEX(PP_Grid[#Data],$DD166,6),0)</f>
        <v/>
      </c>
      <c r="I166">
        <f>IFERROR(INDEX(PP_Grid[#Data],$DD166,7),0)</f>
        <v/>
      </c>
      <c r="J166">
        <f>IFERROR(INDEX(PP_Grid[#Data],$DD166,8),0)</f>
        <v/>
      </c>
      <c r="K166">
        <f>IFERROR(INDEX(PP_Grid[#Data],$DD166,9),0)</f>
        <v/>
      </c>
      <c r="L166">
        <f>IFERROR(INDEX(PP_Grid[#Data],$DD166,10),0)</f>
        <v/>
      </c>
      <c r="M166">
        <f>IFERROR(INDEX(PP_Grid[#Data],$DD166,11),0)</f>
        <v/>
      </c>
      <c r="N166">
        <f>IFERROR(INDEX(PP_Grid[#Data],$DD166,12),0)</f>
        <v/>
      </c>
      <c r="O166">
        <f>IFERROR(INDEX(PP_Grid[#Data],$DD166,13),0)</f>
        <v/>
      </c>
      <c r="P166">
        <f>IFERROR(INDEX(PP_Grid[#Data],$DD166,14),0)</f>
        <v/>
      </c>
      <c r="Q166">
        <f>IFERROR(INDEX(PP_Grid[#Data],$DD166,15),0)</f>
        <v/>
      </c>
      <c r="R166">
        <f>IFERROR(INDEX(PP_Grid[#Data],$DD166,16),0)</f>
        <v/>
      </c>
      <c r="S166">
        <f>IFERROR(INDEX(PP_Grid[#Data],$DD166,17),0)</f>
        <v/>
      </c>
      <c r="T166">
        <f>IFERROR(INDEX(PP_Grid[#Data],$DD166,18),0)</f>
        <v/>
      </c>
      <c r="U166">
        <f>IFERROR(INDEX(PP_Grid[#Data],$DD166,19),0)</f>
        <v/>
      </c>
      <c r="V166">
        <f>IFERROR(INDEX(PP_Grid[#Data],$DD166,20),0)</f>
        <v/>
      </c>
      <c r="W166">
        <f>IFERROR(INDEX(PP_Grid[#Data],$DD166,21),0)</f>
        <v/>
      </c>
      <c r="X166">
        <f>IFERROR(INDEX(PP_Grid[#Data],$DD166,22),0)</f>
        <v/>
      </c>
      <c r="Y166">
        <f>IFERROR(INDEX(PP_Grid[#Data],$DD166,23),0)</f>
        <v/>
      </c>
      <c r="Z166">
        <f>IFERROR(INDEX(PP_Grid[#Data],$DD166,24),0)</f>
        <v/>
      </c>
      <c r="AA166">
        <f>IFERROR(INDEX(PP_Grid[#Data],$DD166,25),0)</f>
        <v/>
      </c>
      <c r="AB166">
        <f>IFERROR(INDEX(PP_Grid[#Data],$DD166,26),0)</f>
        <v/>
      </c>
      <c r="AC166">
        <f>IFERROR(INDEX(PP_Grid[#Data],$DD166,27),0)</f>
        <v/>
      </c>
      <c r="AD166">
        <f>IFERROR(INDEX(PP_Grid[#Data],$DD166,28),0)</f>
        <v/>
      </c>
      <c r="AE166">
        <f>IFERROR(INDEX(PP_Grid[#Data],$DD166,29),0)</f>
        <v/>
      </c>
      <c r="AF166">
        <f>IFERROR(INDEX(PP_Grid[#Data],$DD166,30),0)</f>
        <v/>
      </c>
      <c r="AG166">
        <f>IFERROR(INDEX(PP_Grid[#Data],$DD166,31),0)</f>
        <v/>
      </c>
      <c r="AH166">
        <f>IFERROR(INDEX(PP_Grid[#Data],$DD166,32),0)</f>
        <v/>
      </c>
      <c r="AI166">
        <f>IFERROR(INDEX(PP_Grid[#Data],$DD166,33),0)</f>
        <v/>
      </c>
      <c r="AJ166">
        <f>IFERROR(INDEX(PP_Grid[#Data],$DD166,34),0)</f>
        <v/>
      </c>
      <c r="AK166">
        <f>IFERROR(INDEX(PP_Grid[#Data],$DD166,35),0)</f>
        <v/>
      </c>
      <c r="AL166">
        <f>IFERROR(INDEX(PP_Grid[#Data],$DD166,36),0)</f>
        <v/>
      </c>
      <c r="AM166">
        <f>IFERROR(INDEX(PP_Grid[#Data],$DD166,37),0)</f>
        <v/>
      </c>
      <c r="AN166">
        <f>IFERROR(INDEX(PP_Grid[#Data],$DD166,38),0)</f>
        <v/>
      </c>
      <c r="AO166">
        <f>IFERROR(INDEX(PP_Grid[#Data],$DD166,39),0)</f>
        <v/>
      </c>
      <c r="AP166">
        <f>IFERROR(INDEX(PP_Grid[#Data],$DD166,40),0)</f>
        <v/>
      </c>
      <c r="AQ166">
        <f>IFERROR(INDEX(PP_Grid[#Data],$DD166,41),0)</f>
        <v/>
      </c>
      <c r="AR166">
        <f>IFERROR(INDEX(PP_Grid[#Data],$DD166,42),0)</f>
        <v/>
      </c>
      <c r="AS166">
        <f>IFERROR(INDEX(PP_Grid[#Data],$DD166,43),0)</f>
        <v/>
      </c>
      <c r="AT166">
        <f>IFERROR(INDEX(PP_Grid[#Data],$DD166,44),0)</f>
        <v/>
      </c>
      <c r="AU166">
        <f>IFERROR(INDEX(PP_Grid[#Data],$DD166,45),0)</f>
        <v/>
      </c>
      <c r="AV166">
        <f>IFERROR(INDEX(PP_Grid[#Data],$DD166,46),0)</f>
        <v/>
      </c>
      <c r="AW166">
        <f>IFERROR(INDEX(PP_Grid[#Data],$DD166,47),0)</f>
        <v/>
      </c>
      <c r="AX166">
        <f>IFERROR(INDEX(PP_Grid[#Data],$DD166,48),0)</f>
        <v/>
      </c>
      <c r="AY166">
        <f>IFERROR(INDEX(PP_Grid[#Data],$DD166,49),0)</f>
        <v/>
      </c>
      <c r="AZ166">
        <f>IFERROR(INDEX(PP_Grid[#Data],$DD166,50),0)</f>
        <v/>
      </c>
      <c r="BA166">
        <f>IFERROR(INDEX(PP_Grid[#Data],$DD166,51),0)</f>
        <v/>
      </c>
      <c r="BB166">
        <f>IFERROR(INDEX(PP_Grid[#Data],$DD166,52),0)</f>
        <v/>
      </c>
      <c r="BC166">
        <f>IFERROR(INDEX(PP_Grid[#Data],$DD166,53),0)</f>
        <v/>
      </c>
      <c r="BD166">
        <f>IFERROR(INDEX(PP_Grid[#Data],$DD166,54),0)</f>
        <v/>
      </c>
      <c r="BE166">
        <f>IFERROR(INDEX(PP_Grid[#Data],$DD166,55),0)</f>
        <v/>
      </c>
      <c r="BF166">
        <f>IFERROR(INDEX(PP_Grid[#Data],$DD166,56),0)</f>
        <v/>
      </c>
      <c r="BG166">
        <f>IFERROR(INDEX(PP_Grid[#Data],$DD166,57),0)</f>
        <v/>
      </c>
      <c r="BH166">
        <f>IFERROR(INDEX(PP_Grid[#Data],$DD166,58),0)</f>
        <v/>
      </c>
      <c r="BI166">
        <f>IFERROR(INDEX(PP_Grid[#Data],$DD166,59),0)</f>
        <v/>
      </c>
      <c r="BJ166">
        <f>IFERROR(INDEX(PP_Grid[#Data],$DD166,60),0)</f>
        <v/>
      </c>
      <c r="BK166">
        <f>IFERROR(INDEX(PP_Grid[#Data],$DD166,61),0)</f>
        <v/>
      </c>
      <c r="BL166">
        <f>IFERROR(INDEX(PP_Grid[#Data],$DD166,62),0)</f>
        <v/>
      </c>
      <c r="BM166">
        <f>IFERROR(INDEX(PP_Grid[#Data],$DD166,63),0)</f>
        <v/>
      </c>
      <c r="BN166">
        <f>IFERROR(INDEX(PP_Grid[#Data],$DD166,64),0)</f>
        <v/>
      </c>
      <c r="BO166">
        <f>IFERROR(INDEX(PP_Grid[#Data],$DD166,65),0)</f>
        <v/>
      </c>
      <c r="BP166">
        <f>IFERROR(INDEX(PP_Grid[#Data],$DD166,66),0)</f>
        <v/>
      </c>
      <c r="BQ166">
        <f>IFERROR(INDEX(PP_Grid[#Data],$DD166,67),0)</f>
        <v/>
      </c>
      <c r="BR166">
        <f>IFERROR(INDEX(PP_Grid[#Data],$DD166,68),0)</f>
        <v/>
      </c>
      <c r="BS166">
        <f>IFERROR(INDEX(PP_Grid[#Data],$DD166,69),0)</f>
        <v/>
      </c>
      <c r="BT166">
        <f>IFERROR(INDEX(PP_Grid[#Data],$DD166,70),0)</f>
        <v/>
      </c>
      <c r="BU166">
        <f>IFERROR(INDEX(PP_Grid[#Data],$DD166,71),0)</f>
        <v/>
      </c>
      <c r="BV166">
        <f>IFERROR(INDEX(PP_Grid[#Data],$DD166,72),0)</f>
        <v/>
      </c>
      <c r="BW166">
        <f>IFERROR(INDEX(PP_Grid[#Data],$DD166,73),0)</f>
        <v/>
      </c>
      <c r="BX166">
        <f>IFERROR(INDEX(PP_Grid[#Data],$DD166,74),0)</f>
        <v/>
      </c>
      <c r="BY166">
        <f>IFERROR(INDEX(PP_Grid[#Data],$DD166,75),0)</f>
        <v/>
      </c>
      <c r="BZ166">
        <f>IFERROR(INDEX(PP_Grid[#Data],$DD166,76),0)</f>
        <v/>
      </c>
      <c r="CA166">
        <f>IFERROR(INDEX(PP_Grid[#Data],$DD166,77),0)</f>
        <v/>
      </c>
      <c r="CB166">
        <f>IFERROR(INDEX(PP_Grid[#Data],$DD166,78),0)</f>
        <v/>
      </c>
      <c r="CC166">
        <f>IFERROR(INDEX(PP_Grid[#Data],$DD166,79),0)</f>
        <v/>
      </c>
      <c r="CD166">
        <f>IFERROR(INDEX(PP_Grid[#Data],$DD166,80),0)</f>
        <v/>
      </c>
      <c r="CE166">
        <f>IFERROR(INDEX(PP_Grid[#Data],$DD166,81),0)</f>
        <v/>
      </c>
      <c r="CF166">
        <f>IFERROR(INDEX(PP_Grid[#Data],$DD166,82),0)</f>
        <v/>
      </c>
      <c r="CG166">
        <f>IFERROR(INDEX(PP_Grid[#Data],$DD166,83),0)</f>
        <v/>
      </c>
      <c r="CH166">
        <f>IFERROR(INDEX(PP_Grid[#Data],$DD166,84),0)</f>
        <v/>
      </c>
      <c r="CI166">
        <f>IFERROR(INDEX(PP_Grid[#Data],$DD166,85),0)</f>
        <v/>
      </c>
      <c r="CJ166">
        <f>IFERROR(INDEX(PP_Grid[#Data],$DD166,86),0)</f>
        <v/>
      </c>
      <c r="CK166">
        <f>IFERROR(INDEX(PP_Grid[#Data],$DD166,87),0)</f>
        <v/>
      </c>
      <c r="CL166">
        <f>IFERROR(INDEX(PP_Grid[#Data],$DD166,88),0)</f>
        <v/>
      </c>
      <c r="CM166">
        <f>IFERROR(INDEX(PP_Grid[#Data],$DD166,89),0)</f>
        <v/>
      </c>
      <c r="CN166">
        <f>IFERROR(INDEX(PP_Grid[#Data],$DD166,90),0)</f>
        <v/>
      </c>
      <c r="CO166">
        <f>IFERROR(INDEX(PP_Grid[#Data],$DD166,91),0)</f>
        <v/>
      </c>
      <c r="CP166">
        <f>IFERROR(INDEX(PP_Grid[#Data],$DD166,92),0)</f>
        <v/>
      </c>
      <c r="CQ166">
        <f>IFERROR(INDEX(PP_Grid[#Data],$DD166,93),0)</f>
        <v/>
      </c>
      <c r="CR166">
        <f>IFERROR(INDEX(PP_Grid[#Data],$DD166,94),0)</f>
        <v/>
      </c>
      <c r="CS166">
        <f>IFERROR(INDEX(PP_Grid[#Data],$DD166,95),0)</f>
        <v/>
      </c>
      <c r="CT166">
        <f>IFERROR(INDEX(PP_Grid[#Data],$DD166,96),0)</f>
        <v/>
      </c>
      <c r="CU166">
        <f>IFERROR(INDEX(PP_Grid[#Data],$DD166,97),0)</f>
        <v/>
      </c>
      <c r="CV166">
        <f>IFERROR(INDEX(PP_Grid[#Data],$DD166,98),0)</f>
        <v/>
      </c>
      <c r="CW166">
        <f>IFERROR(INDEX(PP_Grid[#Data],$DD166,99),0)</f>
        <v/>
      </c>
      <c r="CX166">
        <f>IFERROR(INDEX(PP_Grid[#Data],$DD166,100),0)</f>
        <v/>
      </c>
      <c r="CY166">
        <f>IFERROR(INDEX(PP_Grid[#Data],$DD166,101),0)</f>
        <v/>
      </c>
      <c r="CZ166">
        <f>IFERROR(INDEX(PP_Grid[#Data],$DD166,102),0)</f>
        <v/>
      </c>
      <c r="DA166">
        <f>IFERROR(INDEX(PP_Grid[#Data],$DD166,103),0)</f>
        <v/>
      </c>
      <c r="DB166">
        <f>IFERROR(INDEX(PP_Grid[#Data],$DD166,104),0)</f>
        <v/>
      </c>
      <c r="DC166">
        <f>IFERROR(INDEX(PP_Grid[#Data],$DD166,105),0)</f>
        <v/>
      </c>
      <c r="DD166" s="12">
        <f>IFERROR(MATCH($B166,PP_Grid[Intermediate],0),99999)</f>
        <v/>
      </c>
    </row>
    <row r="167">
      <c r="B167" t="inlineStr">
        <is>
          <t>使用量(kg)</t>
        </is>
      </c>
      <c r="C167">
        <f>SUMIFS(M_BOM[RM_Qty_Per_Batch],M_BOM[Intermediate],$B166,M_BOM[Part Name],$A165)</f>
        <v/>
      </c>
      <c r="D167">
        <f>$C167*D166</f>
        <v/>
      </c>
      <c r="E167">
        <f>$C167*E166</f>
        <v/>
      </c>
      <c r="F167">
        <f>$C167*F166</f>
        <v/>
      </c>
      <c r="G167">
        <f>$C167*G166</f>
        <v/>
      </c>
      <c r="H167">
        <f>$C167*H166</f>
        <v/>
      </c>
      <c r="I167">
        <f>$C167*I166</f>
        <v/>
      </c>
      <c r="J167">
        <f>$C167*J166</f>
        <v/>
      </c>
      <c r="K167">
        <f>$C167*K166</f>
        <v/>
      </c>
      <c r="L167">
        <f>$C167*L166</f>
        <v/>
      </c>
      <c r="M167">
        <f>$C167*M166</f>
        <v/>
      </c>
      <c r="N167">
        <f>$C167*N166</f>
        <v/>
      </c>
      <c r="O167">
        <f>$C167*O166</f>
        <v/>
      </c>
      <c r="P167">
        <f>$C167*P166</f>
        <v/>
      </c>
      <c r="Q167">
        <f>$C167*Q166</f>
        <v/>
      </c>
      <c r="R167">
        <f>$C167*R166</f>
        <v/>
      </c>
      <c r="S167">
        <f>$C167*S166</f>
        <v/>
      </c>
      <c r="T167">
        <f>$C167*T166</f>
        <v/>
      </c>
      <c r="U167">
        <f>$C167*U166</f>
        <v/>
      </c>
      <c r="V167">
        <f>$C167*V166</f>
        <v/>
      </c>
      <c r="W167">
        <f>$C167*W166</f>
        <v/>
      </c>
      <c r="X167">
        <f>$C167*X166</f>
        <v/>
      </c>
      <c r="Y167">
        <f>$C167*Y166</f>
        <v/>
      </c>
      <c r="Z167">
        <f>$C167*Z166</f>
        <v/>
      </c>
      <c r="AA167">
        <f>$C167*AA166</f>
        <v/>
      </c>
      <c r="AB167">
        <f>$C167*AB166</f>
        <v/>
      </c>
      <c r="AC167">
        <f>$C167*AC166</f>
        <v/>
      </c>
      <c r="AD167">
        <f>$C167*AD166</f>
        <v/>
      </c>
      <c r="AE167">
        <f>$C167*AE166</f>
        <v/>
      </c>
      <c r="AF167">
        <f>$C167*AF166</f>
        <v/>
      </c>
      <c r="AG167">
        <f>$C167*AG166</f>
        <v/>
      </c>
      <c r="AH167">
        <f>$C167*AH166</f>
        <v/>
      </c>
      <c r="AI167">
        <f>$C167*AI166</f>
        <v/>
      </c>
      <c r="AJ167">
        <f>$C167*AJ166</f>
        <v/>
      </c>
      <c r="AK167">
        <f>$C167*AK166</f>
        <v/>
      </c>
      <c r="AL167">
        <f>$C167*AL166</f>
        <v/>
      </c>
      <c r="AM167">
        <f>$C167*AM166</f>
        <v/>
      </c>
      <c r="AN167">
        <f>$C167*AN166</f>
        <v/>
      </c>
      <c r="AO167">
        <f>$C167*AO166</f>
        <v/>
      </c>
      <c r="AP167">
        <f>$C167*AP166</f>
        <v/>
      </c>
      <c r="AQ167">
        <f>$C167*AQ166</f>
        <v/>
      </c>
      <c r="AR167">
        <f>$C167*AR166</f>
        <v/>
      </c>
      <c r="AS167">
        <f>$C167*AS166</f>
        <v/>
      </c>
      <c r="AT167">
        <f>$C167*AT166</f>
        <v/>
      </c>
      <c r="AU167">
        <f>$C167*AU166</f>
        <v/>
      </c>
      <c r="AV167">
        <f>$C167*AV166</f>
        <v/>
      </c>
      <c r="AW167">
        <f>$C167*AW166</f>
        <v/>
      </c>
      <c r="AX167">
        <f>$C167*AX166</f>
        <v/>
      </c>
      <c r="AY167">
        <f>$C167*AY166</f>
        <v/>
      </c>
      <c r="AZ167">
        <f>$C167*AZ166</f>
        <v/>
      </c>
      <c r="BA167">
        <f>$C167*BA166</f>
        <v/>
      </c>
      <c r="BB167">
        <f>$C167*BB166</f>
        <v/>
      </c>
      <c r="BC167">
        <f>$C167*BC166</f>
        <v/>
      </c>
      <c r="BD167">
        <f>$C167*BD166</f>
        <v/>
      </c>
      <c r="BE167">
        <f>$C167*BE166</f>
        <v/>
      </c>
      <c r="BF167">
        <f>$C167*BF166</f>
        <v/>
      </c>
      <c r="BG167">
        <f>$C167*BG166</f>
        <v/>
      </c>
      <c r="BH167">
        <f>$C167*BH166</f>
        <v/>
      </c>
      <c r="BI167">
        <f>$C167*BI166</f>
        <v/>
      </c>
      <c r="BJ167">
        <f>$C167*BJ166</f>
        <v/>
      </c>
      <c r="BK167">
        <f>$C167*BK166</f>
        <v/>
      </c>
      <c r="BL167">
        <f>$C167*BL166</f>
        <v/>
      </c>
      <c r="BM167">
        <f>$C167*BM166</f>
        <v/>
      </c>
      <c r="BN167">
        <f>$C167*BN166</f>
        <v/>
      </c>
      <c r="BO167">
        <f>$C167*BO166</f>
        <v/>
      </c>
      <c r="BP167">
        <f>$C167*BP166</f>
        <v/>
      </c>
      <c r="BQ167">
        <f>$C167*BQ166</f>
        <v/>
      </c>
      <c r="BR167">
        <f>$C167*BR166</f>
        <v/>
      </c>
      <c r="BS167">
        <f>$C167*BS166</f>
        <v/>
      </c>
      <c r="BT167">
        <f>$C167*BT166</f>
        <v/>
      </c>
      <c r="BU167">
        <f>$C167*BU166</f>
        <v/>
      </c>
      <c r="BV167">
        <f>$C167*BV166</f>
        <v/>
      </c>
      <c r="BW167">
        <f>$C167*BW166</f>
        <v/>
      </c>
      <c r="BX167">
        <f>$C167*BX166</f>
        <v/>
      </c>
      <c r="BY167">
        <f>$C167*BY166</f>
        <v/>
      </c>
      <c r="BZ167">
        <f>$C167*BZ166</f>
        <v/>
      </c>
      <c r="CA167">
        <f>$C167*CA166</f>
        <v/>
      </c>
      <c r="CB167">
        <f>$C167*CB166</f>
        <v/>
      </c>
      <c r="CC167">
        <f>$C167*CC166</f>
        <v/>
      </c>
      <c r="CD167">
        <f>$C167*CD166</f>
        <v/>
      </c>
      <c r="CE167">
        <f>$C167*CE166</f>
        <v/>
      </c>
      <c r="CF167">
        <f>$C167*CF166</f>
        <v/>
      </c>
      <c r="CG167">
        <f>$C167*CG166</f>
        <v/>
      </c>
      <c r="CH167">
        <f>$C167*CH166</f>
        <v/>
      </c>
      <c r="CI167">
        <f>$C167*CI166</f>
        <v/>
      </c>
      <c r="CJ167">
        <f>$C167*CJ166</f>
        <v/>
      </c>
      <c r="CK167">
        <f>$C167*CK166</f>
        <v/>
      </c>
      <c r="CL167">
        <f>$C167*CL166</f>
        <v/>
      </c>
      <c r="CM167">
        <f>$C167*CM166</f>
        <v/>
      </c>
      <c r="CN167">
        <f>$C167*CN166</f>
        <v/>
      </c>
      <c r="CO167">
        <f>$C167*CO166</f>
        <v/>
      </c>
      <c r="CP167">
        <f>$C167*CP166</f>
        <v/>
      </c>
      <c r="CQ167">
        <f>$C167*CQ166</f>
        <v/>
      </c>
      <c r="CR167">
        <f>$C167*CR166</f>
        <v/>
      </c>
      <c r="CS167">
        <f>$C167*CS166</f>
        <v/>
      </c>
      <c r="CT167">
        <f>$C167*CT166</f>
        <v/>
      </c>
      <c r="CU167">
        <f>$C167*CU166</f>
        <v/>
      </c>
      <c r="CV167">
        <f>$C167*CV166</f>
        <v/>
      </c>
      <c r="CW167">
        <f>$C167*CW166</f>
        <v/>
      </c>
      <c r="CX167">
        <f>$C167*CX166</f>
        <v/>
      </c>
      <c r="CY167">
        <f>$C167*CY166</f>
        <v/>
      </c>
      <c r="CZ167">
        <f>$C167*CZ166</f>
        <v/>
      </c>
      <c r="DA167">
        <f>$C167*DA166</f>
        <v/>
      </c>
      <c r="DB167">
        <f>$C167*DB166</f>
        <v/>
      </c>
      <c r="DC167">
        <f>$C167*DC166</f>
        <v/>
      </c>
    </row>
    <row r="168">
      <c r="B168" s="5" t="inlineStr">
        <is>
          <t>合計使用量(kg)/週</t>
        </is>
      </c>
      <c r="D168">
        <f>'Grid_Requirement'!B5</f>
        <v/>
      </c>
      <c r="E168">
        <f>'Grid_Requirement'!C5</f>
        <v/>
      </c>
      <c r="F168">
        <f>'Grid_Requirement'!D5</f>
        <v/>
      </c>
      <c r="G168">
        <f>'Grid_Requirement'!E5</f>
        <v/>
      </c>
      <c r="H168">
        <f>'Grid_Requirement'!F5</f>
        <v/>
      </c>
      <c r="I168">
        <f>'Grid_Requirement'!G5</f>
        <v/>
      </c>
      <c r="J168">
        <f>'Grid_Requirement'!H5</f>
        <v/>
      </c>
      <c r="K168">
        <f>'Grid_Requirement'!I5</f>
        <v/>
      </c>
      <c r="L168">
        <f>'Grid_Requirement'!J5</f>
        <v/>
      </c>
      <c r="M168">
        <f>'Grid_Requirement'!K5</f>
        <v/>
      </c>
      <c r="N168">
        <f>'Grid_Requirement'!L5</f>
        <v/>
      </c>
      <c r="O168">
        <f>'Grid_Requirement'!M5</f>
        <v/>
      </c>
      <c r="P168">
        <f>'Grid_Requirement'!N5</f>
        <v/>
      </c>
      <c r="Q168">
        <f>'Grid_Requirement'!O5</f>
        <v/>
      </c>
      <c r="R168">
        <f>'Grid_Requirement'!P5</f>
        <v/>
      </c>
      <c r="S168">
        <f>'Grid_Requirement'!Q5</f>
        <v/>
      </c>
      <c r="T168">
        <f>'Grid_Requirement'!R5</f>
        <v/>
      </c>
      <c r="U168">
        <f>'Grid_Requirement'!S5</f>
        <v/>
      </c>
      <c r="V168">
        <f>'Grid_Requirement'!T5</f>
        <v/>
      </c>
      <c r="W168">
        <f>'Grid_Requirement'!U5</f>
        <v/>
      </c>
      <c r="X168">
        <f>'Grid_Requirement'!V5</f>
        <v/>
      </c>
      <c r="Y168">
        <f>'Grid_Requirement'!W5</f>
        <v/>
      </c>
      <c r="Z168">
        <f>'Grid_Requirement'!X5</f>
        <v/>
      </c>
      <c r="AA168">
        <f>'Grid_Requirement'!Y5</f>
        <v/>
      </c>
      <c r="AB168">
        <f>'Grid_Requirement'!Z5</f>
        <v/>
      </c>
      <c r="AC168">
        <f>'Grid_Requirement'!AA5</f>
        <v/>
      </c>
      <c r="AD168">
        <f>'Grid_Requirement'!AB5</f>
        <v/>
      </c>
      <c r="AE168">
        <f>'Grid_Requirement'!AC5</f>
        <v/>
      </c>
      <c r="AF168">
        <f>'Grid_Requirement'!AD5</f>
        <v/>
      </c>
      <c r="AG168">
        <f>'Grid_Requirement'!AE5</f>
        <v/>
      </c>
      <c r="AH168">
        <f>'Grid_Requirement'!AF5</f>
        <v/>
      </c>
      <c r="AI168">
        <f>'Grid_Requirement'!AG5</f>
        <v/>
      </c>
      <c r="AJ168">
        <f>'Grid_Requirement'!AH5</f>
        <v/>
      </c>
      <c r="AK168">
        <f>'Grid_Requirement'!AI5</f>
        <v/>
      </c>
      <c r="AL168">
        <f>'Grid_Requirement'!AJ5</f>
        <v/>
      </c>
      <c r="AM168">
        <f>'Grid_Requirement'!AK5</f>
        <v/>
      </c>
      <c r="AN168">
        <f>'Grid_Requirement'!AL5</f>
        <v/>
      </c>
      <c r="AO168">
        <f>'Grid_Requirement'!AM5</f>
        <v/>
      </c>
      <c r="AP168">
        <f>'Grid_Requirement'!AN5</f>
        <v/>
      </c>
      <c r="AQ168">
        <f>'Grid_Requirement'!AO5</f>
        <v/>
      </c>
      <c r="AR168">
        <f>'Grid_Requirement'!AP5</f>
        <v/>
      </c>
      <c r="AS168">
        <f>'Grid_Requirement'!AQ5</f>
        <v/>
      </c>
      <c r="AT168">
        <f>'Grid_Requirement'!AR5</f>
        <v/>
      </c>
      <c r="AU168">
        <f>'Grid_Requirement'!AS5</f>
        <v/>
      </c>
      <c r="AV168">
        <f>'Grid_Requirement'!AT5</f>
        <v/>
      </c>
      <c r="AW168">
        <f>'Grid_Requirement'!AU5</f>
        <v/>
      </c>
      <c r="AX168">
        <f>'Grid_Requirement'!AV5</f>
        <v/>
      </c>
      <c r="AY168">
        <f>'Grid_Requirement'!AW5</f>
        <v/>
      </c>
      <c r="AZ168">
        <f>'Grid_Requirement'!AX5</f>
        <v/>
      </c>
      <c r="BA168">
        <f>'Grid_Requirement'!AY5</f>
        <v/>
      </c>
      <c r="BB168">
        <f>'Grid_Requirement'!AZ5</f>
        <v/>
      </c>
      <c r="BC168">
        <f>'Grid_Requirement'!BA5</f>
        <v/>
      </c>
      <c r="BD168">
        <f>'Grid_Requirement'!BB5</f>
        <v/>
      </c>
      <c r="BE168">
        <f>'Grid_Requirement'!BC5</f>
        <v/>
      </c>
      <c r="BF168">
        <f>'Grid_Requirement'!BD5</f>
        <v/>
      </c>
      <c r="BG168">
        <f>'Grid_Requirement'!BE5</f>
        <v/>
      </c>
      <c r="BH168">
        <f>'Grid_Requirement'!BF5</f>
        <v/>
      </c>
      <c r="BI168">
        <f>'Grid_Requirement'!BG5</f>
        <v/>
      </c>
      <c r="BJ168">
        <f>'Grid_Requirement'!BH5</f>
        <v/>
      </c>
      <c r="BK168">
        <f>'Grid_Requirement'!BI5</f>
        <v/>
      </c>
      <c r="BL168">
        <f>'Grid_Requirement'!BJ5</f>
        <v/>
      </c>
      <c r="BM168">
        <f>'Grid_Requirement'!BK5</f>
        <v/>
      </c>
      <c r="BN168">
        <f>'Grid_Requirement'!BL5</f>
        <v/>
      </c>
      <c r="BO168">
        <f>'Grid_Requirement'!BM5</f>
        <v/>
      </c>
      <c r="BP168">
        <f>'Grid_Requirement'!BN5</f>
        <v/>
      </c>
      <c r="BQ168">
        <f>'Grid_Requirement'!BO5</f>
        <v/>
      </c>
      <c r="BR168">
        <f>'Grid_Requirement'!BP5</f>
        <v/>
      </c>
      <c r="BS168">
        <f>'Grid_Requirement'!BQ5</f>
        <v/>
      </c>
      <c r="BT168">
        <f>'Grid_Requirement'!BR5</f>
        <v/>
      </c>
      <c r="BU168">
        <f>'Grid_Requirement'!BS5</f>
        <v/>
      </c>
      <c r="BV168">
        <f>'Grid_Requirement'!BT5</f>
        <v/>
      </c>
      <c r="BW168">
        <f>'Grid_Requirement'!BU5</f>
        <v/>
      </c>
      <c r="BX168">
        <f>'Grid_Requirement'!BV5</f>
        <v/>
      </c>
      <c r="BY168">
        <f>'Grid_Requirement'!BW5</f>
        <v/>
      </c>
      <c r="BZ168">
        <f>'Grid_Requirement'!BX5</f>
        <v/>
      </c>
      <c r="CA168">
        <f>'Grid_Requirement'!BY5</f>
        <v/>
      </c>
      <c r="CB168">
        <f>'Grid_Requirement'!BZ5</f>
        <v/>
      </c>
      <c r="CC168">
        <f>'Grid_Requirement'!CA5</f>
        <v/>
      </c>
      <c r="CD168">
        <f>'Grid_Requirement'!CB5</f>
        <v/>
      </c>
      <c r="CE168">
        <f>'Grid_Requirement'!CC5</f>
        <v/>
      </c>
      <c r="CF168">
        <f>'Grid_Requirement'!CD5</f>
        <v/>
      </c>
      <c r="CG168">
        <f>'Grid_Requirement'!CE5</f>
        <v/>
      </c>
      <c r="CH168">
        <f>'Grid_Requirement'!CF5</f>
        <v/>
      </c>
      <c r="CI168">
        <f>'Grid_Requirement'!CG5</f>
        <v/>
      </c>
      <c r="CJ168">
        <f>'Grid_Requirement'!CH5</f>
        <v/>
      </c>
      <c r="CK168">
        <f>'Grid_Requirement'!CI5</f>
        <v/>
      </c>
      <c r="CL168">
        <f>'Grid_Requirement'!CJ5</f>
        <v/>
      </c>
      <c r="CM168">
        <f>'Grid_Requirement'!CK5</f>
        <v/>
      </c>
      <c r="CN168">
        <f>'Grid_Requirement'!CL5</f>
        <v/>
      </c>
      <c r="CO168">
        <f>'Grid_Requirement'!CM5</f>
        <v/>
      </c>
      <c r="CP168">
        <f>'Grid_Requirement'!CN5</f>
        <v/>
      </c>
      <c r="CQ168">
        <f>'Grid_Requirement'!CO5</f>
        <v/>
      </c>
      <c r="CR168">
        <f>'Grid_Requirement'!CP5</f>
        <v/>
      </c>
      <c r="CS168">
        <f>'Grid_Requirement'!CQ5</f>
        <v/>
      </c>
      <c r="CT168">
        <f>'Grid_Requirement'!CR5</f>
        <v/>
      </c>
      <c r="CU168">
        <f>'Grid_Requirement'!CS5</f>
        <v/>
      </c>
      <c r="CV168">
        <f>'Grid_Requirement'!CT5</f>
        <v/>
      </c>
      <c r="CW168">
        <f>'Grid_Requirement'!CU5</f>
        <v/>
      </c>
      <c r="CX168">
        <f>'Grid_Requirement'!CV5</f>
        <v/>
      </c>
      <c r="CY168">
        <f>'Grid_Requirement'!CW5</f>
        <v/>
      </c>
      <c r="CZ168">
        <f>'Grid_Requirement'!CX5</f>
        <v/>
      </c>
      <c r="DA168">
        <f>'Grid_Requirement'!CY5</f>
        <v/>
      </c>
      <c r="DB168">
        <f>'Grid_Requirement'!CZ5</f>
        <v/>
      </c>
      <c r="DC168">
        <f>'Grid_Requirement'!DA5</f>
        <v/>
      </c>
    </row>
    <row r="169">
      <c r="B169" t="inlineStr">
        <is>
          <t>TTAF在庫(実績,kg)</t>
        </is>
      </c>
      <c r="D169">
        <f>'T_TTAFStock'!B9</f>
        <v/>
      </c>
      <c r="E169">
        <f>'T_TTAFStock'!C9</f>
        <v/>
      </c>
      <c r="F169">
        <f>'T_TTAFStock'!D9</f>
        <v/>
      </c>
      <c r="G169">
        <f>'T_TTAFStock'!E9</f>
        <v/>
      </c>
      <c r="H169">
        <f>'T_TTAFStock'!F9</f>
        <v/>
      </c>
      <c r="I169">
        <f>'T_TTAFStock'!G9</f>
        <v/>
      </c>
      <c r="J169">
        <f>'T_TTAFStock'!H9</f>
        <v/>
      </c>
      <c r="K169">
        <f>'T_TTAFStock'!I9</f>
        <v/>
      </c>
      <c r="L169">
        <f>'T_TTAFStock'!J9</f>
        <v/>
      </c>
      <c r="M169">
        <f>'T_TTAFStock'!K9</f>
        <v/>
      </c>
      <c r="N169">
        <f>'T_TTAFStock'!L9</f>
        <v/>
      </c>
      <c r="O169">
        <f>'T_TTAFStock'!M9</f>
        <v/>
      </c>
      <c r="P169">
        <f>'T_TTAFStock'!N9</f>
        <v/>
      </c>
      <c r="Q169">
        <f>'T_TTAFStock'!O9</f>
        <v/>
      </c>
      <c r="R169">
        <f>'T_TTAFStock'!P9</f>
        <v/>
      </c>
      <c r="S169">
        <f>'T_TTAFStock'!Q9</f>
        <v/>
      </c>
      <c r="T169">
        <f>'T_TTAFStock'!R9</f>
        <v/>
      </c>
      <c r="U169">
        <f>'T_TTAFStock'!S9</f>
        <v/>
      </c>
      <c r="V169">
        <f>'T_TTAFStock'!T9</f>
        <v/>
      </c>
      <c r="W169">
        <f>'T_TTAFStock'!U9</f>
        <v/>
      </c>
      <c r="X169">
        <f>'T_TTAFStock'!V9</f>
        <v/>
      </c>
      <c r="Y169">
        <f>'T_TTAFStock'!W9</f>
        <v/>
      </c>
      <c r="Z169">
        <f>'T_TTAFStock'!X9</f>
        <v/>
      </c>
      <c r="AA169">
        <f>'T_TTAFStock'!Y9</f>
        <v/>
      </c>
      <c r="AB169">
        <f>'T_TTAFStock'!Z9</f>
        <v/>
      </c>
      <c r="AC169">
        <f>'T_TTAFStock'!AA9</f>
        <v/>
      </c>
      <c r="AD169">
        <f>'T_TTAFStock'!AB9</f>
        <v/>
      </c>
      <c r="AE169">
        <f>'T_TTAFStock'!AC9</f>
        <v/>
      </c>
      <c r="AF169">
        <f>'T_TTAFStock'!AD9</f>
        <v/>
      </c>
      <c r="AG169">
        <f>'T_TTAFStock'!AE9</f>
        <v/>
      </c>
      <c r="AH169">
        <f>'T_TTAFStock'!AF9</f>
        <v/>
      </c>
      <c r="AI169">
        <f>'T_TTAFStock'!AG9</f>
        <v/>
      </c>
      <c r="AJ169">
        <f>'T_TTAFStock'!AH9</f>
        <v/>
      </c>
      <c r="AK169">
        <f>'T_TTAFStock'!AI9</f>
        <v/>
      </c>
      <c r="AL169">
        <f>'T_TTAFStock'!AJ9</f>
        <v/>
      </c>
      <c r="AM169">
        <f>'T_TTAFStock'!AK9</f>
        <v/>
      </c>
      <c r="AN169">
        <f>'T_TTAFStock'!AL9</f>
        <v/>
      </c>
      <c r="AO169">
        <f>'T_TTAFStock'!AM9</f>
        <v/>
      </c>
      <c r="AP169">
        <f>'T_TTAFStock'!AN9</f>
        <v/>
      </c>
      <c r="AQ169">
        <f>'T_TTAFStock'!AO9</f>
        <v/>
      </c>
      <c r="AR169">
        <f>'T_TTAFStock'!AP9</f>
        <v/>
      </c>
      <c r="AS169">
        <f>'T_TTAFStock'!AQ9</f>
        <v/>
      </c>
      <c r="AT169">
        <f>'T_TTAFStock'!AR9</f>
        <v/>
      </c>
      <c r="AU169">
        <f>'T_TTAFStock'!AS9</f>
        <v/>
      </c>
      <c r="AV169">
        <f>'T_TTAFStock'!AT9</f>
        <v/>
      </c>
      <c r="AW169">
        <f>'T_TTAFStock'!AU9</f>
        <v/>
      </c>
      <c r="AX169">
        <f>'T_TTAFStock'!AV9</f>
        <v/>
      </c>
      <c r="AY169">
        <f>'T_TTAFStock'!AW9</f>
        <v/>
      </c>
      <c r="AZ169">
        <f>'T_TTAFStock'!AX9</f>
        <v/>
      </c>
      <c r="BA169">
        <f>'T_TTAFStock'!AY9</f>
        <v/>
      </c>
      <c r="BB169">
        <f>'T_TTAFStock'!AZ9</f>
        <v/>
      </c>
      <c r="BC169">
        <f>'T_TTAFStock'!BA9</f>
        <v/>
      </c>
      <c r="BD169">
        <f>'T_TTAFStock'!BB9</f>
        <v/>
      </c>
      <c r="BE169">
        <f>'T_TTAFStock'!BC9</f>
        <v/>
      </c>
      <c r="BF169">
        <f>'T_TTAFStock'!BD9</f>
        <v/>
      </c>
      <c r="BG169">
        <f>'T_TTAFStock'!BE9</f>
        <v/>
      </c>
      <c r="BH169">
        <f>'T_TTAFStock'!BF9</f>
        <v/>
      </c>
      <c r="BI169">
        <f>'T_TTAFStock'!BG9</f>
        <v/>
      </c>
      <c r="BJ169">
        <f>'T_TTAFStock'!BH9</f>
        <v/>
      </c>
      <c r="BK169">
        <f>'T_TTAFStock'!BI9</f>
        <v/>
      </c>
      <c r="BL169">
        <f>'T_TTAFStock'!BJ9</f>
        <v/>
      </c>
      <c r="BM169">
        <f>'T_TTAFStock'!BK9</f>
        <v/>
      </c>
      <c r="BN169">
        <f>'T_TTAFStock'!BL9</f>
        <v/>
      </c>
      <c r="BO169">
        <f>'T_TTAFStock'!BM9</f>
        <v/>
      </c>
      <c r="BP169">
        <f>'T_TTAFStock'!BN9</f>
        <v/>
      </c>
      <c r="BQ169">
        <f>'T_TTAFStock'!BO9</f>
        <v/>
      </c>
      <c r="BR169">
        <f>'T_TTAFStock'!BP9</f>
        <v/>
      </c>
      <c r="BS169">
        <f>'T_TTAFStock'!BQ9</f>
        <v/>
      </c>
      <c r="BT169">
        <f>'T_TTAFStock'!BR9</f>
        <v/>
      </c>
      <c r="BU169">
        <f>'T_TTAFStock'!BS9</f>
        <v/>
      </c>
      <c r="BV169">
        <f>'T_TTAFStock'!BT9</f>
        <v/>
      </c>
      <c r="BW169">
        <f>'T_TTAFStock'!BU9</f>
        <v/>
      </c>
      <c r="BX169">
        <f>'T_TTAFStock'!BV9</f>
        <v/>
      </c>
      <c r="BY169">
        <f>'T_TTAFStock'!BW9</f>
        <v/>
      </c>
      <c r="BZ169">
        <f>'T_TTAFStock'!BX9</f>
        <v/>
      </c>
      <c r="CA169">
        <f>'T_TTAFStock'!BY9</f>
        <v/>
      </c>
      <c r="CB169">
        <f>'T_TTAFStock'!BZ9</f>
        <v/>
      </c>
      <c r="CC169">
        <f>'T_TTAFStock'!CA9</f>
        <v/>
      </c>
      <c r="CD169">
        <f>'T_TTAFStock'!CB9</f>
        <v/>
      </c>
      <c r="CE169">
        <f>'T_TTAFStock'!CC9</f>
        <v/>
      </c>
      <c r="CF169">
        <f>'T_TTAFStock'!CD9</f>
        <v/>
      </c>
      <c r="CG169">
        <f>'T_TTAFStock'!CE9</f>
        <v/>
      </c>
      <c r="CH169">
        <f>'T_TTAFStock'!CF9</f>
        <v/>
      </c>
      <c r="CI169">
        <f>'T_TTAFStock'!CG9</f>
        <v/>
      </c>
      <c r="CJ169">
        <f>'T_TTAFStock'!CH9</f>
        <v/>
      </c>
      <c r="CK169">
        <f>'T_TTAFStock'!CI9</f>
        <v/>
      </c>
      <c r="CL169">
        <f>'T_TTAFStock'!CJ9</f>
        <v/>
      </c>
      <c r="CM169">
        <f>'T_TTAFStock'!CK9</f>
        <v/>
      </c>
      <c r="CN169">
        <f>'T_TTAFStock'!CL9</f>
        <v/>
      </c>
      <c r="CO169">
        <f>'T_TTAFStock'!CM9</f>
        <v/>
      </c>
      <c r="CP169">
        <f>'T_TTAFStock'!CN9</f>
        <v/>
      </c>
      <c r="CQ169">
        <f>'T_TTAFStock'!CO9</f>
        <v/>
      </c>
      <c r="CR169">
        <f>'T_TTAFStock'!CP9</f>
        <v/>
      </c>
      <c r="CS169">
        <f>'T_TTAFStock'!CQ9</f>
        <v/>
      </c>
      <c r="CT169">
        <f>'T_TTAFStock'!CR9</f>
        <v/>
      </c>
      <c r="CU169">
        <f>'T_TTAFStock'!CS9</f>
        <v/>
      </c>
      <c r="CV169">
        <f>'T_TTAFStock'!CT9</f>
        <v/>
      </c>
      <c r="CW169">
        <f>'T_TTAFStock'!CU9</f>
        <v/>
      </c>
      <c r="CX169">
        <f>'T_TTAFStock'!CV9</f>
        <v/>
      </c>
      <c r="CY169">
        <f>'T_TTAFStock'!CW9</f>
        <v/>
      </c>
      <c r="CZ169">
        <f>'T_TTAFStock'!CX9</f>
        <v/>
      </c>
      <c r="DA169">
        <f>'T_TTAFStock'!CY9</f>
        <v/>
      </c>
      <c r="DB169">
        <f>'T_TTAFStock'!CZ9</f>
        <v/>
      </c>
      <c r="DC169">
        <f>'T_TTAFStock'!DA9</f>
        <v/>
      </c>
    </row>
    <row r="170">
      <c r="B170" t="inlineStr">
        <is>
          <t>自社在庫(実績,kg)</t>
        </is>
      </c>
      <c r="D170">
        <f>'T_SelfStock'!B9</f>
        <v/>
      </c>
      <c r="E170">
        <f>'T_SelfStock'!C9</f>
        <v/>
      </c>
      <c r="F170">
        <f>'T_SelfStock'!D9</f>
        <v/>
      </c>
      <c r="G170">
        <f>'T_SelfStock'!E9</f>
        <v/>
      </c>
      <c r="H170">
        <f>'T_SelfStock'!F9</f>
        <v/>
      </c>
      <c r="I170">
        <f>'T_SelfStock'!G9</f>
        <v/>
      </c>
      <c r="J170">
        <f>'T_SelfStock'!H9</f>
        <v/>
      </c>
      <c r="K170">
        <f>'T_SelfStock'!I9</f>
        <v/>
      </c>
      <c r="L170">
        <f>'T_SelfStock'!J9</f>
        <v/>
      </c>
      <c r="M170">
        <f>'T_SelfStock'!K9</f>
        <v/>
      </c>
      <c r="N170">
        <f>'T_SelfStock'!L9</f>
        <v/>
      </c>
      <c r="O170">
        <f>'T_SelfStock'!M9</f>
        <v/>
      </c>
      <c r="P170">
        <f>'T_SelfStock'!N9</f>
        <v/>
      </c>
      <c r="Q170">
        <f>'T_SelfStock'!O9</f>
        <v/>
      </c>
      <c r="R170">
        <f>'T_SelfStock'!P9</f>
        <v/>
      </c>
      <c r="S170">
        <f>'T_SelfStock'!Q9</f>
        <v/>
      </c>
      <c r="T170">
        <f>'T_SelfStock'!R9</f>
        <v/>
      </c>
      <c r="U170">
        <f>'T_SelfStock'!S9</f>
        <v/>
      </c>
      <c r="V170">
        <f>'T_SelfStock'!T9</f>
        <v/>
      </c>
      <c r="W170">
        <f>'T_SelfStock'!U9</f>
        <v/>
      </c>
      <c r="X170">
        <f>'T_SelfStock'!V9</f>
        <v/>
      </c>
      <c r="Y170">
        <f>'T_SelfStock'!W9</f>
        <v/>
      </c>
      <c r="Z170">
        <f>'T_SelfStock'!X9</f>
        <v/>
      </c>
      <c r="AA170">
        <f>'T_SelfStock'!Y9</f>
        <v/>
      </c>
      <c r="AB170">
        <f>'T_SelfStock'!Z9</f>
        <v/>
      </c>
      <c r="AC170">
        <f>'T_SelfStock'!AA9</f>
        <v/>
      </c>
      <c r="AD170">
        <f>'T_SelfStock'!AB9</f>
        <v/>
      </c>
      <c r="AE170">
        <f>'T_SelfStock'!AC9</f>
        <v/>
      </c>
      <c r="AF170">
        <f>'T_SelfStock'!AD9</f>
        <v/>
      </c>
      <c r="AG170">
        <f>'T_SelfStock'!AE9</f>
        <v/>
      </c>
      <c r="AH170">
        <f>'T_SelfStock'!AF9</f>
        <v/>
      </c>
      <c r="AI170">
        <f>'T_SelfStock'!AG9</f>
        <v/>
      </c>
      <c r="AJ170">
        <f>'T_SelfStock'!AH9</f>
        <v/>
      </c>
      <c r="AK170">
        <f>'T_SelfStock'!AI9</f>
        <v/>
      </c>
      <c r="AL170">
        <f>'T_SelfStock'!AJ9</f>
        <v/>
      </c>
      <c r="AM170">
        <f>'T_SelfStock'!AK9</f>
        <v/>
      </c>
      <c r="AN170">
        <f>'T_SelfStock'!AL9</f>
        <v/>
      </c>
      <c r="AO170">
        <f>'T_SelfStock'!AM9</f>
        <v/>
      </c>
      <c r="AP170">
        <f>'T_SelfStock'!AN9</f>
        <v/>
      </c>
      <c r="AQ170">
        <f>'T_SelfStock'!AO9</f>
        <v/>
      </c>
      <c r="AR170">
        <f>'T_SelfStock'!AP9</f>
        <v/>
      </c>
      <c r="AS170">
        <f>'T_SelfStock'!AQ9</f>
        <v/>
      </c>
      <c r="AT170">
        <f>'T_SelfStock'!AR9</f>
        <v/>
      </c>
      <c r="AU170">
        <f>'T_SelfStock'!AS9</f>
        <v/>
      </c>
      <c r="AV170">
        <f>'T_SelfStock'!AT9</f>
        <v/>
      </c>
      <c r="AW170">
        <f>'T_SelfStock'!AU9</f>
        <v/>
      </c>
      <c r="AX170">
        <f>'T_SelfStock'!AV9</f>
        <v/>
      </c>
      <c r="AY170">
        <f>'T_SelfStock'!AW9</f>
        <v/>
      </c>
      <c r="AZ170">
        <f>'T_SelfStock'!AX9</f>
        <v/>
      </c>
      <c r="BA170">
        <f>'T_SelfStock'!AY9</f>
        <v/>
      </c>
      <c r="BB170">
        <f>'T_SelfStock'!AZ9</f>
        <v/>
      </c>
      <c r="BC170">
        <f>'T_SelfStock'!BA9</f>
        <v/>
      </c>
      <c r="BD170">
        <f>'T_SelfStock'!BB9</f>
        <v/>
      </c>
      <c r="BE170">
        <f>'T_SelfStock'!BC9</f>
        <v/>
      </c>
      <c r="BF170">
        <f>'T_SelfStock'!BD9</f>
        <v/>
      </c>
      <c r="BG170">
        <f>'T_SelfStock'!BE9</f>
        <v/>
      </c>
      <c r="BH170">
        <f>'T_SelfStock'!BF9</f>
        <v/>
      </c>
      <c r="BI170">
        <f>'T_SelfStock'!BG9</f>
        <v/>
      </c>
      <c r="BJ170">
        <f>'T_SelfStock'!BH9</f>
        <v/>
      </c>
      <c r="BK170">
        <f>'T_SelfStock'!BI9</f>
        <v/>
      </c>
      <c r="BL170">
        <f>'T_SelfStock'!BJ9</f>
        <v/>
      </c>
      <c r="BM170">
        <f>'T_SelfStock'!BK9</f>
        <v/>
      </c>
      <c r="BN170">
        <f>'T_SelfStock'!BL9</f>
        <v/>
      </c>
      <c r="BO170">
        <f>'T_SelfStock'!BM9</f>
        <v/>
      </c>
      <c r="BP170">
        <f>'T_SelfStock'!BN9</f>
        <v/>
      </c>
      <c r="BQ170">
        <f>'T_SelfStock'!BO9</f>
        <v/>
      </c>
      <c r="BR170">
        <f>'T_SelfStock'!BP9</f>
        <v/>
      </c>
      <c r="BS170">
        <f>'T_SelfStock'!BQ9</f>
        <v/>
      </c>
      <c r="BT170">
        <f>'T_SelfStock'!BR9</f>
        <v/>
      </c>
      <c r="BU170">
        <f>'T_SelfStock'!BS9</f>
        <v/>
      </c>
      <c r="BV170">
        <f>'T_SelfStock'!BT9</f>
        <v/>
      </c>
      <c r="BW170">
        <f>'T_SelfStock'!BU9</f>
        <v/>
      </c>
      <c r="BX170">
        <f>'T_SelfStock'!BV9</f>
        <v/>
      </c>
      <c r="BY170">
        <f>'T_SelfStock'!BW9</f>
        <v/>
      </c>
      <c r="BZ170">
        <f>'T_SelfStock'!BX9</f>
        <v/>
      </c>
      <c r="CA170">
        <f>'T_SelfStock'!BY9</f>
        <v/>
      </c>
      <c r="CB170">
        <f>'T_SelfStock'!BZ9</f>
        <v/>
      </c>
      <c r="CC170">
        <f>'T_SelfStock'!CA9</f>
        <v/>
      </c>
      <c r="CD170">
        <f>'T_SelfStock'!CB9</f>
        <v/>
      </c>
      <c r="CE170">
        <f>'T_SelfStock'!CC9</f>
        <v/>
      </c>
      <c r="CF170">
        <f>'T_SelfStock'!CD9</f>
        <v/>
      </c>
      <c r="CG170">
        <f>'T_SelfStock'!CE9</f>
        <v/>
      </c>
      <c r="CH170">
        <f>'T_SelfStock'!CF9</f>
        <v/>
      </c>
      <c r="CI170">
        <f>'T_SelfStock'!CG9</f>
        <v/>
      </c>
      <c r="CJ170">
        <f>'T_SelfStock'!CH9</f>
        <v/>
      </c>
      <c r="CK170">
        <f>'T_SelfStock'!CI9</f>
        <v/>
      </c>
      <c r="CL170">
        <f>'T_SelfStock'!CJ9</f>
        <v/>
      </c>
      <c r="CM170">
        <f>'T_SelfStock'!CK9</f>
        <v/>
      </c>
      <c r="CN170">
        <f>'T_SelfStock'!CL9</f>
        <v/>
      </c>
      <c r="CO170">
        <f>'T_SelfStock'!CM9</f>
        <v/>
      </c>
      <c r="CP170">
        <f>'T_SelfStock'!CN9</f>
        <v/>
      </c>
      <c r="CQ170">
        <f>'T_SelfStock'!CO9</f>
        <v/>
      </c>
      <c r="CR170">
        <f>'T_SelfStock'!CP9</f>
        <v/>
      </c>
      <c r="CS170">
        <f>'T_SelfStock'!CQ9</f>
        <v/>
      </c>
      <c r="CT170">
        <f>'T_SelfStock'!CR9</f>
        <v/>
      </c>
      <c r="CU170">
        <f>'T_SelfStock'!CS9</f>
        <v/>
      </c>
      <c r="CV170">
        <f>'T_SelfStock'!CT9</f>
        <v/>
      </c>
      <c r="CW170">
        <f>'T_SelfStock'!CU9</f>
        <v/>
      </c>
      <c r="CX170">
        <f>'T_SelfStock'!CV9</f>
        <v/>
      </c>
      <c r="CY170">
        <f>'T_SelfStock'!CW9</f>
        <v/>
      </c>
      <c r="CZ170">
        <f>'T_SelfStock'!CX9</f>
        <v/>
      </c>
      <c r="DA170">
        <f>'T_SelfStock'!CY9</f>
        <v/>
      </c>
      <c r="DB170">
        <f>'T_SelfStock'!CZ9</f>
        <v/>
      </c>
      <c r="DC170">
        <f>'T_SelfStock'!DA9</f>
        <v/>
      </c>
    </row>
    <row r="171">
      <c r="B171" t="inlineStr">
        <is>
          <t>Order(発注予定,kg)</t>
        </is>
      </c>
      <c r="D171">
        <f>IF(SUMIFS(T_PlannedOrders[EffectiveQty],T_PlannedOrders[Part Name],$A165,T_PlannedOrders[WeekIndex],1)=0,"",SUMIFS(T_PlannedOrders[EffectiveQty],T_PlannedOrders[Part Name],$A165,T_PlannedOrders[WeekIndex],1)&amp;" ("&amp;TEXT(SUMPRODUCT(MAX((T_PlannedOrders[Part Name]=$A165)*(T_PlannedOrders[WeekIndex]=1)*(T_PlannedOrders[EffectiveQty]&gt;0)*T_PlannedOrders[Order_Month])),"m月")&amp;"発注)")</f>
        <v/>
      </c>
      <c r="E171">
        <f>IF(SUMIFS(T_PlannedOrders[EffectiveQty],T_PlannedOrders[Part Name],$A165,T_PlannedOrders[WeekIndex],2)=0,"",SUMIFS(T_PlannedOrders[EffectiveQty],T_PlannedOrders[Part Name],$A165,T_PlannedOrders[WeekIndex],2)&amp;" ("&amp;TEXT(SUMPRODUCT(MAX((T_PlannedOrders[Part Name]=$A165)*(T_PlannedOrders[WeekIndex]=2)*(T_PlannedOrders[EffectiveQty]&gt;0)*T_PlannedOrders[Order_Month])),"m月")&amp;"発注)")</f>
        <v/>
      </c>
      <c r="F171">
        <f>IF(SUMIFS(T_PlannedOrders[EffectiveQty],T_PlannedOrders[Part Name],$A165,T_PlannedOrders[WeekIndex],3)=0,"",SUMIFS(T_PlannedOrders[EffectiveQty],T_PlannedOrders[Part Name],$A165,T_PlannedOrders[WeekIndex],3)&amp;" ("&amp;TEXT(SUMPRODUCT(MAX((T_PlannedOrders[Part Name]=$A165)*(T_PlannedOrders[WeekIndex]=3)*(T_PlannedOrders[EffectiveQty]&gt;0)*T_PlannedOrders[Order_Month])),"m月")&amp;"発注)")</f>
        <v/>
      </c>
      <c r="G171">
        <f>IF(SUMIFS(T_PlannedOrders[EffectiveQty],T_PlannedOrders[Part Name],$A165,T_PlannedOrders[WeekIndex],4)=0,"",SUMIFS(T_PlannedOrders[EffectiveQty],T_PlannedOrders[Part Name],$A165,T_PlannedOrders[WeekIndex],4)&amp;" ("&amp;TEXT(SUMPRODUCT(MAX((T_PlannedOrders[Part Name]=$A165)*(T_PlannedOrders[WeekIndex]=4)*(T_PlannedOrders[EffectiveQty]&gt;0)*T_PlannedOrders[Order_Month])),"m月")&amp;"発注)")</f>
        <v/>
      </c>
      <c r="H171">
        <f>IF(SUMIFS(T_PlannedOrders[EffectiveQty],T_PlannedOrders[Part Name],$A165,T_PlannedOrders[WeekIndex],5)=0,"",SUMIFS(T_PlannedOrders[EffectiveQty],T_PlannedOrders[Part Name],$A165,T_PlannedOrders[WeekIndex],5)&amp;" ("&amp;TEXT(SUMPRODUCT(MAX((T_PlannedOrders[Part Name]=$A165)*(T_PlannedOrders[WeekIndex]=5)*(T_PlannedOrders[EffectiveQty]&gt;0)*T_PlannedOrders[Order_Month])),"m月")&amp;"発注)")</f>
        <v/>
      </c>
      <c r="I171">
        <f>IF(SUMIFS(T_PlannedOrders[EffectiveQty],T_PlannedOrders[Part Name],$A165,T_PlannedOrders[WeekIndex],6)=0,"",SUMIFS(T_PlannedOrders[EffectiveQty],T_PlannedOrders[Part Name],$A165,T_PlannedOrders[WeekIndex],6)&amp;" ("&amp;TEXT(SUMPRODUCT(MAX((T_PlannedOrders[Part Name]=$A165)*(T_PlannedOrders[WeekIndex]=6)*(T_PlannedOrders[EffectiveQty]&gt;0)*T_PlannedOrders[Order_Month])),"m月")&amp;"発注)")</f>
        <v/>
      </c>
      <c r="J171">
        <f>IF(SUMIFS(T_PlannedOrders[EffectiveQty],T_PlannedOrders[Part Name],$A165,T_PlannedOrders[WeekIndex],7)=0,"",SUMIFS(T_PlannedOrders[EffectiveQty],T_PlannedOrders[Part Name],$A165,T_PlannedOrders[WeekIndex],7)&amp;" ("&amp;TEXT(SUMPRODUCT(MAX((T_PlannedOrders[Part Name]=$A165)*(T_PlannedOrders[WeekIndex]=7)*(T_PlannedOrders[EffectiveQty]&gt;0)*T_PlannedOrders[Order_Month])),"m月")&amp;"発注)")</f>
        <v/>
      </c>
      <c r="K171">
        <f>IF(SUMIFS(T_PlannedOrders[EffectiveQty],T_PlannedOrders[Part Name],$A165,T_PlannedOrders[WeekIndex],8)=0,"",SUMIFS(T_PlannedOrders[EffectiveQty],T_PlannedOrders[Part Name],$A165,T_PlannedOrders[WeekIndex],8)&amp;" ("&amp;TEXT(SUMPRODUCT(MAX((T_PlannedOrders[Part Name]=$A165)*(T_PlannedOrders[WeekIndex]=8)*(T_PlannedOrders[EffectiveQty]&gt;0)*T_PlannedOrders[Order_Month])),"m月")&amp;"発注)")</f>
        <v/>
      </c>
      <c r="L171">
        <f>IF(SUMIFS(T_PlannedOrders[EffectiveQty],T_PlannedOrders[Part Name],$A165,T_PlannedOrders[WeekIndex],9)=0,"",SUMIFS(T_PlannedOrders[EffectiveQty],T_PlannedOrders[Part Name],$A165,T_PlannedOrders[WeekIndex],9)&amp;" ("&amp;TEXT(SUMPRODUCT(MAX((T_PlannedOrders[Part Name]=$A165)*(T_PlannedOrders[WeekIndex]=9)*(T_PlannedOrders[EffectiveQty]&gt;0)*T_PlannedOrders[Order_Month])),"m月")&amp;"発注)")</f>
        <v/>
      </c>
      <c r="M171">
        <f>IF(SUMIFS(T_PlannedOrders[EffectiveQty],T_PlannedOrders[Part Name],$A165,T_PlannedOrders[WeekIndex],10)=0,"",SUMIFS(T_PlannedOrders[EffectiveQty],T_PlannedOrders[Part Name],$A165,T_PlannedOrders[WeekIndex],10)&amp;" ("&amp;TEXT(SUMPRODUCT(MAX((T_PlannedOrders[Part Name]=$A165)*(T_PlannedOrders[WeekIndex]=10)*(T_PlannedOrders[EffectiveQty]&gt;0)*T_PlannedOrders[Order_Month])),"m月")&amp;"発注)")</f>
        <v/>
      </c>
      <c r="N171">
        <f>IF(SUMIFS(T_PlannedOrders[EffectiveQty],T_PlannedOrders[Part Name],$A165,T_PlannedOrders[WeekIndex],11)=0,"",SUMIFS(T_PlannedOrders[EffectiveQty],T_PlannedOrders[Part Name],$A165,T_PlannedOrders[WeekIndex],11)&amp;" ("&amp;TEXT(SUMPRODUCT(MAX((T_PlannedOrders[Part Name]=$A165)*(T_PlannedOrders[WeekIndex]=11)*(T_PlannedOrders[EffectiveQty]&gt;0)*T_PlannedOrders[Order_Month])),"m月")&amp;"発注)")</f>
        <v/>
      </c>
      <c r="O171">
        <f>IF(SUMIFS(T_PlannedOrders[EffectiveQty],T_PlannedOrders[Part Name],$A165,T_PlannedOrders[WeekIndex],12)=0,"",SUMIFS(T_PlannedOrders[EffectiveQty],T_PlannedOrders[Part Name],$A165,T_PlannedOrders[WeekIndex],12)&amp;" ("&amp;TEXT(SUMPRODUCT(MAX((T_PlannedOrders[Part Name]=$A165)*(T_PlannedOrders[WeekIndex]=12)*(T_PlannedOrders[EffectiveQty]&gt;0)*T_PlannedOrders[Order_Month])),"m月")&amp;"発注)")</f>
        <v/>
      </c>
      <c r="P171">
        <f>IF(SUMIFS(T_PlannedOrders[EffectiveQty],T_PlannedOrders[Part Name],$A165,T_PlannedOrders[WeekIndex],13)=0,"",SUMIFS(T_PlannedOrders[EffectiveQty],T_PlannedOrders[Part Name],$A165,T_PlannedOrders[WeekIndex],13)&amp;" ("&amp;TEXT(SUMPRODUCT(MAX((T_PlannedOrders[Part Name]=$A165)*(T_PlannedOrders[WeekIndex]=13)*(T_PlannedOrders[EffectiveQty]&gt;0)*T_PlannedOrders[Order_Month])),"m月")&amp;"発注)")</f>
        <v/>
      </c>
      <c r="Q171">
        <f>IF(SUMIFS(T_PlannedOrders[EffectiveQty],T_PlannedOrders[Part Name],$A165,T_PlannedOrders[WeekIndex],14)=0,"",SUMIFS(T_PlannedOrders[EffectiveQty],T_PlannedOrders[Part Name],$A165,T_PlannedOrders[WeekIndex],14)&amp;" ("&amp;TEXT(SUMPRODUCT(MAX((T_PlannedOrders[Part Name]=$A165)*(T_PlannedOrders[WeekIndex]=14)*(T_PlannedOrders[EffectiveQty]&gt;0)*T_PlannedOrders[Order_Month])),"m月")&amp;"発注)")</f>
        <v/>
      </c>
      <c r="R171">
        <f>IF(SUMIFS(T_PlannedOrders[EffectiveQty],T_PlannedOrders[Part Name],$A165,T_PlannedOrders[WeekIndex],15)=0,"",SUMIFS(T_PlannedOrders[EffectiveQty],T_PlannedOrders[Part Name],$A165,T_PlannedOrders[WeekIndex],15)&amp;" ("&amp;TEXT(SUMPRODUCT(MAX((T_PlannedOrders[Part Name]=$A165)*(T_PlannedOrders[WeekIndex]=15)*(T_PlannedOrders[EffectiveQty]&gt;0)*T_PlannedOrders[Order_Month])),"m月")&amp;"発注)")</f>
        <v/>
      </c>
      <c r="S171">
        <f>IF(SUMIFS(T_PlannedOrders[EffectiveQty],T_PlannedOrders[Part Name],$A165,T_PlannedOrders[WeekIndex],16)=0,"",SUMIFS(T_PlannedOrders[EffectiveQty],T_PlannedOrders[Part Name],$A165,T_PlannedOrders[WeekIndex],16)&amp;" ("&amp;TEXT(SUMPRODUCT(MAX((T_PlannedOrders[Part Name]=$A165)*(T_PlannedOrders[WeekIndex]=16)*(T_PlannedOrders[EffectiveQty]&gt;0)*T_PlannedOrders[Order_Month])),"m月")&amp;"発注)")</f>
        <v/>
      </c>
      <c r="T171">
        <f>IF(SUMIFS(T_PlannedOrders[EffectiveQty],T_PlannedOrders[Part Name],$A165,T_PlannedOrders[WeekIndex],17)=0,"",SUMIFS(T_PlannedOrders[EffectiveQty],T_PlannedOrders[Part Name],$A165,T_PlannedOrders[WeekIndex],17)&amp;" ("&amp;TEXT(SUMPRODUCT(MAX((T_PlannedOrders[Part Name]=$A165)*(T_PlannedOrders[WeekIndex]=17)*(T_PlannedOrders[EffectiveQty]&gt;0)*T_PlannedOrders[Order_Month])),"m月")&amp;"発注)")</f>
        <v/>
      </c>
      <c r="U171">
        <f>IF(SUMIFS(T_PlannedOrders[EffectiveQty],T_PlannedOrders[Part Name],$A165,T_PlannedOrders[WeekIndex],18)=0,"",SUMIFS(T_PlannedOrders[EffectiveQty],T_PlannedOrders[Part Name],$A165,T_PlannedOrders[WeekIndex],18)&amp;" ("&amp;TEXT(SUMPRODUCT(MAX((T_PlannedOrders[Part Name]=$A165)*(T_PlannedOrders[WeekIndex]=18)*(T_PlannedOrders[EffectiveQty]&gt;0)*T_PlannedOrders[Order_Month])),"m月")&amp;"発注)")</f>
        <v/>
      </c>
      <c r="V171">
        <f>IF(SUMIFS(T_PlannedOrders[EffectiveQty],T_PlannedOrders[Part Name],$A165,T_PlannedOrders[WeekIndex],19)=0,"",SUMIFS(T_PlannedOrders[EffectiveQty],T_PlannedOrders[Part Name],$A165,T_PlannedOrders[WeekIndex],19)&amp;" ("&amp;TEXT(SUMPRODUCT(MAX((T_PlannedOrders[Part Name]=$A165)*(T_PlannedOrders[WeekIndex]=19)*(T_PlannedOrders[EffectiveQty]&gt;0)*T_PlannedOrders[Order_Month])),"m月")&amp;"発注)")</f>
        <v/>
      </c>
      <c r="W171">
        <f>IF(SUMIFS(T_PlannedOrders[EffectiveQty],T_PlannedOrders[Part Name],$A165,T_PlannedOrders[WeekIndex],20)=0,"",SUMIFS(T_PlannedOrders[EffectiveQty],T_PlannedOrders[Part Name],$A165,T_PlannedOrders[WeekIndex],20)&amp;" ("&amp;TEXT(SUMPRODUCT(MAX((T_PlannedOrders[Part Name]=$A165)*(T_PlannedOrders[WeekIndex]=20)*(T_PlannedOrders[EffectiveQty]&gt;0)*T_PlannedOrders[Order_Month])),"m月")&amp;"発注)")</f>
        <v/>
      </c>
      <c r="X171">
        <f>IF(SUMIFS(T_PlannedOrders[EffectiveQty],T_PlannedOrders[Part Name],$A165,T_PlannedOrders[WeekIndex],21)=0,"",SUMIFS(T_PlannedOrders[EffectiveQty],T_PlannedOrders[Part Name],$A165,T_PlannedOrders[WeekIndex],21)&amp;" ("&amp;TEXT(SUMPRODUCT(MAX((T_PlannedOrders[Part Name]=$A165)*(T_PlannedOrders[WeekIndex]=21)*(T_PlannedOrders[EffectiveQty]&gt;0)*T_PlannedOrders[Order_Month])),"m月")&amp;"発注)")</f>
        <v/>
      </c>
      <c r="Y171">
        <f>IF(SUMIFS(T_PlannedOrders[EffectiveQty],T_PlannedOrders[Part Name],$A165,T_PlannedOrders[WeekIndex],22)=0,"",SUMIFS(T_PlannedOrders[EffectiveQty],T_PlannedOrders[Part Name],$A165,T_PlannedOrders[WeekIndex],22)&amp;" ("&amp;TEXT(SUMPRODUCT(MAX((T_PlannedOrders[Part Name]=$A165)*(T_PlannedOrders[WeekIndex]=22)*(T_PlannedOrders[EffectiveQty]&gt;0)*T_PlannedOrders[Order_Month])),"m月")&amp;"発注)")</f>
        <v/>
      </c>
      <c r="Z171">
        <f>IF(SUMIFS(T_PlannedOrders[EffectiveQty],T_PlannedOrders[Part Name],$A165,T_PlannedOrders[WeekIndex],23)=0,"",SUMIFS(T_PlannedOrders[EffectiveQty],T_PlannedOrders[Part Name],$A165,T_PlannedOrders[WeekIndex],23)&amp;" ("&amp;TEXT(SUMPRODUCT(MAX((T_PlannedOrders[Part Name]=$A165)*(T_PlannedOrders[WeekIndex]=23)*(T_PlannedOrders[EffectiveQty]&gt;0)*T_PlannedOrders[Order_Month])),"m月")&amp;"発注)")</f>
        <v/>
      </c>
      <c r="AA171">
        <f>IF(SUMIFS(T_PlannedOrders[EffectiveQty],T_PlannedOrders[Part Name],$A165,T_PlannedOrders[WeekIndex],24)=0,"",SUMIFS(T_PlannedOrders[EffectiveQty],T_PlannedOrders[Part Name],$A165,T_PlannedOrders[WeekIndex],24)&amp;" ("&amp;TEXT(SUMPRODUCT(MAX((T_PlannedOrders[Part Name]=$A165)*(T_PlannedOrders[WeekIndex]=24)*(T_PlannedOrders[EffectiveQty]&gt;0)*T_PlannedOrders[Order_Month])),"m月")&amp;"発注)")</f>
        <v/>
      </c>
      <c r="AB171">
        <f>IF(SUMIFS(T_PlannedOrders[EffectiveQty],T_PlannedOrders[Part Name],$A165,T_PlannedOrders[WeekIndex],25)=0,"",SUMIFS(T_PlannedOrders[EffectiveQty],T_PlannedOrders[Part Name],$A165,T_PlannedOrders[WeekIndex],25)&amp;" ("&amp;TEXT(SUMPRODUCT(MAX((T_PlannedOrders[Part Name]=$A165)*(T_PlannedOrders[WeekIndex]=25)*(T_PlannedOrders[EffectiveQty]&gt;0)*T_PlannedOrders[Order_Month])),"m月")&amp;"発注)")</f>
        <v/>
      </c>
      <c r="AC171">
        <f>IF(SUMIFS(T_PlannedOrders[EffectiveQty],T_PlannedOrders[Part Name],$A165,T_PlannedOrders[WeekIndex],26)=0,"",SUMIFS(T_PlannedOrders[EffectiveQty],T_PlannedOrders[Part Name],$A165,T_PlannedOrders[WeekIndex],26)&amp;" ("&amp;TEXT(SUMPRODUCT(MAX((T_PlannedOrders[Part Name]=$A165)*(T_PlannedOrders[WeekIndex]=26)*(T_PlannedOrders[EffectiveQty]&gt;0)*T_PlannedOrders[Order_Month])),"m月")&amp;"発注)")</f>
        <v/>
      </c>
      <c r="AD171">
        <f>IF(SUMIFS(T_PlannedOrders[EffectiveQty],T_PlannedOrders[Part Name],$A165,T_PlannedOrders[WeekIndex],27)=0,"",SUMIFS(T_PlannedOrders[EffectiveQty],T_PlannedOrders[Part Name],$A165,T_PlannedOrders[WeekIndex],27)&amp;" ("&amp;TEXT(SUMPRODUCT(MAX((T_PlannedOrders[Part Name]=$A165)*(T_PlannedOrders[WeekIndex]=27)*(T_PlannedOrders[EffectiveQty]&gt;0)*T_PlannedOrders[Order_Month])),"m月")&amp;"発注)")</f>
        <v/>
      </c>
      <c r="AE171">
        <f>IF(SUMIFS(T_PlannedOrders[EffectiveQty],T_PlannedOrders[Part Name],$A165,T_PlannedOrders[WeekIndex],28)=0,"",SUMIFS(T_PlannedOrders[EffectiveQty],T_PlannedOrders[Part Name],$A165,T_PlannedOrders[WeekIndex],28)&amp;" ("&amp;TEXT(SUMPRODUCT(MAX((T_PlannedOrders[Part Name]=$A165)*(T_PlannedOrders[WeekIndex]=28)*(T_PlannedOrders[EffectiveQty]&gt;0)*T_PlannedOrders[Order_Month])),"m月")&amp;"発注)")</f>
        <v/>
      </c>
      <c r="AF171">
        <f>IF(SUMIFS(T_PlannedOrders[EffectiveQty],T_PlannedOrders[Part Name],$A165,T_PlannedOrders[WeekIndex],29)=0,"",SUMIFS(T_PlannedOrders[EffectiveQty],T_PlannedOrders[Part Name],$A165,T_PlannedOrders[WeekIndex],29)&amp;" ("&amp;TEXT(SUMPRODUCT(MAX((T_PlannedOrders[Part Name]=$A165)*(T_PlannedOrders[WeekIndex]=29)*(T_PlannedOrders[EffectiveQty]&gt;0)*T_PlannedOrders[Order_Month])),"m月")&amp;"発注)")</f>
        <v/>
      </c>
      <c r="AG171">
        <f>IF(SUMIFS(T_PlannedOrders[EffectiveQty],T_PlannedOrders[Part Name],$A165,T_PlannedOrders[WeekIndex],30)=0,"",SUMIFS(T_PlannedOrders[EffectiveQty],T_PlannedOrders[Part Name],$A165,T_PlannedOrders[WeekIndex],30)&amp;" ("&amp;TEXT(SUMPRODUCT(MAX((T_PlannedOrders[Part Name]=$A165)*(T_PlannedOrders[WeekIndex]=30)*(T_PlannedOrders[EffectiveQty]&gt;0)*T_PlannedOrders[Order_Month])),"m月")&amp;"発注)")</f>
        <v/>
      </c>
      <c r="AH171">
        <f>IF(SUMIFS(T_PlannedOrders[EffectiveQty],T_PlannedOrders[Part Name],$A165,T_PlannedOrders[WeekIndex],31)=0,"",SUMIFS(T_PlannedOrders[EffectiveQty],T_PlannedOrders[Part Name],$A165,T_PlannedOrders[WeekIndex],31)&amp;" ("&amp;TEXT(SUMPRODUCT(MAX((T_PlannedOrders[Part Name]=$A165)*(T_PlannedOrders[WeekIndex]=31)*(T_PlannedOrders[EffectiveQty]&gt;0)*T_PlannedOrders[Order_Month])),"m月")&amp;"発注)")</f>
        <v/>
      </c>
      <c r="AI171">
        <f>IF(SUMIFS(T_PlannedOrders[EffectiveQty],T_PlannedOrders[Part Name],$A165,T_PlannedOrders[WeekIndex],32)=0,"",SUMIFS(T_PlannedOrders[EffectiveQty],T_PlannedOrders[Part Name],$A165,T_PlannedOrders[WeekIndex],32)&amp;" ("&amp;TEXT(SUMPRODUCT(MAX((T_PlannedOrders[Part Name]=$A165)*(T_PlannedOrders[WeekIndex]=32)*(T_PlannedOrders[EffectiveQty]&gt;0)*T_PlannedOrders[Order_Month])),"m月")&amp;"発注)")</f>
        <v/>
      </c>
      <c r="AJ171">
        <f>IF(SUMIFS(T_PlannedOrders[EffectiveQty],T_PlannedOrders[Part Name],$A165,T_PlannedOrders[WeekIndex],33)=0,"",SUMIFS(T_PlannedOrders[EffectiveQty],T_PlannedOrders[Part Name],$A165,T_PlannedOrders[WeekIndex],33)&amp;" ("&amp;TEXT(SUMPRODUCT(MAX((T_PlannedOrders[Part Name]=$A165)*(T_PlannedOrders[WeekIndex]=33)*(T_PlannedOrders[EffectiveQty]&gt;0)*T_PlannedOrders[Order_Month])),"m月")&amp;"発注)")</f>
        <v/>
      </c>
      <c r="AK171">
        <f>IF(SUMIFS(T_PlannedOrders[EffectiveQty],T_PlannedOrders[Part Name],$A165,T_PlannedOrders[WeekIndex],34)=0,"",SUMIFS(T_PlannedOrders[EffectiveQty],T_PlannedOrders[Part Name],$A165,T_PlannedOrders[WeekIndex],34)&amp;" ("&amp;TEXT(SUMPRODUCT(MAX((T_PlannedOrders[Part Name]=$A165)*(T_PlannedOrders[WeekIndex]=34)*(T_PlannedOrders[EffectiveQty]&gt;0)*T_PlannedOrders[Order_Month])),"m月")&amp;"発注)")</f>
        <v/>
      </c>
      <c r="AL171">
        <f>IF(SUMIFS(T_PlannedOrders[EffectiveQty],T_PlannedOrders[Part Name],$A165,T_PlannedOrders[WeekIndex],35)=0,"",SUMIFS(T_PlannedOrders[EffectiveQty],T_PlannedOrders[Part Name],$A165,T_PlannedOrders[WeekIndex],35)&amp;" ("&amp;TEXT(SUMPRODUCT(MAX((T_PlannedOrders[Part Name]=$A165)*(T_PlannedOrders[WeekIndex]=35)*(T_PlannedOrders[EffectiveQty]&gt;0)*T_PlannedOrders[Order_Month])),"m月")&amp;"発注)")</f>
        <v/>
      </c>
      <c r="AM171">
        <f>IF(SUMIFS(T_PlannedOrders[EffectiveQty],T_PlannedOrders[Part Name],$A165,T_PlannedOrders[WeekIndex],36)=0,"",SUMIFS(T_PlannedOrders[EffectiveQty],T_PlannedOrders[Part Name],$A165,T_PlannedOrders[WeekIndex],36)&amp;" ("&amp;TEXT(SUMPRODUCT(MAX((T_PlannedOrders[Part Name]=$A165)*(T_PlannedOrders[WeekIndex]=36)*(T_PlannedOrders[EffectiveQty]&gt;0)*T_PlannedOrders[Order_Month])),"m月")&amp;"発注)")</f>
        <v/>
      </c>
      <c r="AN171">
        <f>IF(SUMIFS(T_PlannedOrders[EffectiveQty],T_PlannedOrders[Part Name],$A165,T_PlannedOrders[WeekIndex],37)=0,"",SUMIFS(T_PlannedOrders[EffectiveQty],T_PlannedOrders[Part Name],$A165,T_PlannedOrders[WeekIndex],37)&amp;" ("&amp;TEXT(SUMPRODUCT(MAX((T_PlannedOrders[Part Name]=$A165)*(T_PlannedOrders[WeekIndex]=37)*(T_PlannedOrders[EffectiveQty]&gt;0)*T_PlannedOrders[Order_Month])),"m月")&amp;"発注)")</f>
        <v/>
      </c>
      <c r="AO171">
        <f>IF(SUMIFS(T_PlannedOrders[EffectiveQty],T_PlannedOrders[Part Name],$A165,T_PlannedOrders[WeekIndex],38)=0,"",SUMIFS(T_PlannedOrders[EffectiveQty],T_PlannedOrders[Part Name],$A165,T_PlannedOrders[WeekIndex],38)&amp;" ("&amp;TEXT(SUMPRODUCT(MAX((T_PlannedOrders[Part Name]=$A165)*(T_PlannedOrders[WeekIndex]=38)*(T_PlannedOrders[EffectiveQty]&gt;0)*T_PlannedOrders[Order_Month])),"m月")&amp;"発注)")</f>
        <v/>
      </c>
      <c r="AP171">
        <f>IF(SUMIFS(T_PlannedOrders[EffectiveQty],T_PlannedOrders[Part Name],$A165,T_PlannedOrders[WeekIndex],39)=0,"",SUMIFS(T_PlannedOrders[EffectiveQty],T_PlannedOrders[Part Name],$A165,T_PlannedOrders[WeekIndex],39)&amp;" ("&amp;TEXT(SUMPRODUCT(MAX((T_PlannedOrders[Part Name]=$A165)*(T_PlannedOrders[WeekIndex]=39)*(T_PlannedOrders[EffectiveQty]&gt;0)*T_PlannedOrders[Order_Month])),"m月")&amp;"発注)")</f>
        <v/>
      </c>
      <c r="AQ171">
        <f>IF(SUMIFS(T_PlannedOrders[EffectiveQty],T_PlannedOrders[Part Name],$A165,T_PlannedOrders[WeekIndex],40)=0,"",SUMIFS(T_PlannedOrders[EffectiveQty],T_PlannedOrders[Part Name],$A165,T_PlannedOrders[WeekIndex],40)&amp;" ("&amp;TEXT(SUMPRODUCT(MAX((T_PlannedOrders[Part Name]=$A165)*(T_PlannedOrders[WeekIndex]=40)*(T_PlannedOrders[EffectiveQty]&gt;0)*T_PlannedOrders[Order_Month])),"m月")&amp;"発注)")</f>
        <v/>
      </c>
      <c r="AR171">
        <f>IF(SUMIFS(T_PlannedOrders[EffectiveQty],T_PlannedOrders[Part Name],$A165,T_PlannedOrders[WeekIndex],41)=0,"",SUMIFS(T_PlannedOrders[EffectiveQty],T_PlannedOrders[Part Name],$A165,T_PlannedOrders[WeekIndex],41)&amp;" ("&amp;TEXT(SUMPRODUCT(MAX((T_PlannedOrders[Part Name]=$A165)*(T_PlannedOrders[WeekIndex]=41)*(T_PlannedOrders[EffectiveQty]&gt;0)*T_PlannedOrders[Order_Month])),"m月")&amp;"発注)")</f>
        <v/>
      </c>
      <c r="AS171">
        <f>IF(SUMIFS(T_PlannedOrders[EffectiveQty],T_PlannedOrders[Part Name],$A165,T_PlannedOrders[WeekIndex],42)=0,"",SUMIFS(T_PlannedOrders[EffectiveQty],T_PlannedOrders[Part Name],$A165,T_PlannedOrders[WeekIndex],42)&amp;" ("&amp;TEXT(SUMPRODUCT(MAX((T_PlannedOrders[Part Name]=$A165)*(T_PlannedOrders[WeekIndex]=42)*(T_PlannedOrders[EffectiveQty]&gt;0)*T_PlannedOrders[Order_Month])),"m月")&amp;"発注)")</f>
        <v/>
      </c>
      <c r="AT171">
        <f>IF(SUMIFS(T_PlannedOrders[EffectiveQty],T_PlannedOrders[Part Name],$A165,T_PlannedOrders[WeekIndex],43)=0,"",SUMIFS(T_PlannedOrders[EffectiveQty],T_PlannedOrders[Part Name],$A165,T_PlannedOrders[WeekIndex],43)&amp;" ("&amp;TEXT(SUMPRODUCT(MAX((T_PlannedOrders[Part Name]=$A165)*(T_PlannedOrders[WeekIndex]=43)*(T_PlannedOrders[EffectiveQty]&gt;0)*T_PlannedOrders[Order_Month])),"m月")&amp;"発注)")</f>
        <v/>
      </c>
      <c r="AU171">
        <f>IF(SUMIFS(T_PlannedOrders[EffectiveQty],T_PlannedOrders[Part Name],$A165,T_PlannedOrders[WeekIndex],44)=0,"",SUMIFS(T_PlannedOrders[EffectiveQty],T_PlannedOrders[Part Name],$A165,T_PlannedOrders[WeekIndex],44)&amp;" ("&amp;TEXT(SUMPRODUCT(MAX((T_PlannedOrders[Part Name]=$A165)*(T_PlannedOrders[WeekIndex]=44)*(T_PlannedOrders[EffectiveQty]&gt;0)*T_PlannedOrders[Order_Month])),"m月")&amp;"発注)")</f>
        <v/>
      </c>
      <c r="AV171">
        <f>IF(SUMIFS(T_PlannedOrders[EffectiveQty],T_PlannedOrders[Part Name],$A165,T_PlannedOrders[WeekIndex],45)=0,"",SUMIFS(T_PlannedOrders[EffectiveQty],T_PlannedOrders[Part Name],$A165,T_PlannedOrders[WeekIndex],45)&amp;" ("&amp;TEXT(SUMPRODUCT(MAX((T_PlannedOrders[Part Name]=$A165)*(T_PlannedOrders[WeekIndex]=45)*(T_PlannedOrders[EffectiveQty]&gt;0)*T_PlannedOrders[Order_Month])),"m月")&amp;"発注)")</f>
        <v/>
      </c>
      <c r="AW171">
        <f>IF(SUMIFS(T_PlannedOrders[EffectiveQty],T_PlannedOrders[Part Name],$A165,T_PlannedOrders[WeekIndex],46)=0,"",SUMIFS(T_PlannedOrders[EffectiveQty],T_PlannedOrders[Part Name],$A165,T_PlannedOrders[WeekIndex],46)&amp;" ("&amp;TEXT(SUMPRODUCT(MAX((T_PlannedOrders[Part Name]=$A165)*(T_PlannedOrders[WeekIndex]=46)*(T_PlannedOrders[EffectiveQty]&gt;0)*T_PlannedOrders[Order_Month])),"m月")&amp;"発注)")</f>
        <v/>
      </c>
      <c r="AX171">
        <f>IF(SUMIFS(T_PlannedOrders[EffectiveQty],T_PlannedOrders[Part Name],$A165,T_PlannedOrders[WeekIndex],47)=0,"",SUMIFS(T_PlannedOrders[EffectiveQty],T_PlannedOrders[Part Name],$A165,T_PlannedOrders[WeekIndex],47)&amp;" ("&amp;TEXT(SUMPRODUCT(MAX((T_PlannedOrders[Part Name]=$A165)*(T_PlannedOrders[WeekIndex]=47)*(T_PlannedOrders[EffectiveQty]&gt;0)*T_PlannedOrders[Order_Month])),"m月")&amp;"発注)")</f>
        <v/>
      </c>
      <c r="AY171">
        <f>IF(SUMIFS(T_PlannedOrders[EffectiveQty],T_PlannedOrders[Part Name],$A165,T_PlannedOrders[WeekIndex],48)=0,"",SUMIFS(T_PlannedOrders[EffectiveQty],T_PlannedOrders[Part Name],$A165,T_PlannedOrders[WeekIndex],48)&amp;" ("&amp;TEXT(SUMPRODUCT(MAX((T_PlannedOrders[Part Name]=$A165)*(T_PlannedOrders[WeekIndex]=48)*(T_PlannedOrders[EffectiveQty]&gt;0)*T_PlannedOrders[Order_Month])),"m月")&amp;"発注)")</f>
        <v/>
      </c>
      <c r="AZ171">
        <f>IF(SUMIFS(T_PlannedOrders[EffectiveQty],T_PlannedOrders[Part Name],$A165,T_PlannedOrders[WeekIndex],49)=0,"",SUMIFS(T_PlannedOrders[EffectiveQty],T_PlannedOrders[Part Name],$A165,T_PlannedOrders[WeekIndex],49)&amp;" ("&amp;TEXT(SUMPRODUCT(MAX((T_PlannedOrders[Part Name]=$A165)*(T_PlannedOrders[WeekIndex]=49)*(T_PlannedOrders[EffectiveQty]&gt;0)*T_PlannedOrders[Order_Month])),"m月")&amp;"発注)")</f>
        <v/>
      </c>
      <c r="BA171">
        <f>IF(SUMIFS(T_PlannedOrders[EffectiveQty],T_PlannedOrders[Part Name],$A165,T_PlannedOrders[WeekIndex],50)=0,"",SUMIFS(T_PlannedOrders[EffectiveQty],T_PlannedOrders[Part Name],$A165,T_PlannedOrders[WeekIndex],50)&amp;" ("&amp;TEXT(SUMPRODUCT(MAX((T_PlannedOrders[Part Name]=$A165)*(T_PlannedOrders[WeekIndex]=50)*(T_PlannedOrders[EffectiveQty]&gt;0)*T_PlannedOrders[Order_Month])),"m月")&amp;"発注)")</f>
        <v/>
      </c>
      <c r="BB171">
        <f>IF(SUMIFS(T_PlannedOrders[EffectiveQty],T_PlannedOrders[Part Name],$A165,T_PlannedOrders[WeekIndex],51)=0,"",SUMIFS(T_PlannedOrders[EffectiveQty],T_PlannedOrders[Part Name],$A165,T_PlannedOrders[WeekIndex],51)&amp;" ("&amp;TEXT(SUMPRODUCT(MAX((T_PlannedOrders[Part Name]=$A165)*(T_PlannedOrders[WeekIndex]=51)*(T_PlannedOrders[EffectiveQty]&gt;0)*T_PlannedOrders[Order_Month])),"m月")&amp;"発注)")</f>
        <v/>
      </c>
      <c r="BC171">
        <f>IF(SUMIFS(T_PlannedOrders[EffectiveQty],T_PlannedOrders[Part Name],$A165,T_PlannedOrders[WeekIndex],52)=0,"",SUMIFS(T_PlannedOrders[EffectiveQty],T_PlannedOrders[Part Name],$A165,T_PlannedOrders[WeekIndex],52)&amp;" ("&amp;TEXT(SUMPRODUCT(MAX((T_PlannedOrders[Part Name]=$A165)*(T_PlannedOrders[WeekIndex]=52)*(T_PlannedOrders[EffectiveQty]&gt;0)*T_PlannedOrders[Order_Month])),"m月")&amp;"発注)")</f>
        <v/>
      </c>
      <c r="BD171">
        <f>IF(SUMIFS(T_PlannedOrders[EffectiveQty],T_PlannedOrders[Part Name],$A165,T_PlannedOrders[WeekIndex],53)=0,"",SUMIFS(T_PlannedOrders[EffectiveQty],T_PlannedOrders[Part Name],$A165,T_PlannedOrders[WeekIndex],53)&amp;" ("&amp;TEXT(SUMPRODUCT(MAX((T_PlannedOrders[Part Name]=$A165)*(T_PlannedOrders[WeekIndex]=53)*(T_PlannedOrders[EffectiveQty]&gt;0)*T_PlannedOrders[Order_Month])),"m月")&amp;"発注)")</f>
        <v/>
      </c>
      <c r="BE171">
        <f>IF(SUMIFS(T_PlannedOrders[EffectiveQty],T_PlannedOrders[Part Name],$A165,T_PlannedOrders[WeekIndex],54)=0,"",SUMIFS(T_PlannedOrders[EffectiveQty],T_PlannedOrders[Part Name],$A165,T_PlannedOrders[WeekIndex],54)&amp;" ("&amp;TEXT(SUMPRODUCT(MAX((T_PlannedOrders[Part Name]=$A165)*(T_PlannedOrders[WeekIndex]=54)*(T_PlannedOrders[EffectiveQty]&gt;0)*T_PlannedOrders[Order_Month])),"m月")&amp;"発注)")</f>
        <v/>
      </c>
      <c r="BF171">
        <f>IF(SUMIFS(T_PlannedOrders[EffectiveQty],T_PlannedOrders[Part Name],$A165,T_PlannedOrders[WeekIndex],55)=0,"",SUMIFS(T_PlannedOrders[EffectiveQty],T_PlannedOrders[Part Name],$A165,T_PlannedOrders[WeekIndex],55)&amp;" ("&amp;TEXT(SUMPRODUCT(MAX((T_PlannedOrders[Part Name]=$A165)*(T_PlannedOrders[WeekIndex]=55)*(T_PlannedOrders[EffectiveQty]&gt;0)*T_PlannedOrders[Order_Month])),"m月")&amp;"発注)")</f>
        <v/>
      </c>
      <c r="BG171">
        <f>IF(SUMIFS(T_PlannedOrders[EffectiveQty],T_PlannedOrders[Part Name],$A165,T_PlannedOrders[WeekIndex],56)=0,"",SUMIFS(T_PlannedOrders[EffectiveQty],T_PlannedOrders[Part Name],$A165,T_PlannedOrders[WeekIndex],56)&amp;" ("&amp;TEXT(SUMPRODUCT(MAX((T_PlannedOrders[Part Name]=$A165)*(T_PlannedOrders[WeekIndex]=56)*(T_PlannedOrders[EffectiveQty]&gt;0)*T_PlannedOrders[Order_Month])),"m月")&amp;"発注)")</f>
        <v/>
      </c>
      <c r="BH171">
        <f>IF(SUMIFS(T_PlannedOrders[EffectiveQty],T_PlannedOrders[Part Name],$A165,T_PlannedOrders[WeekIndex],57)=0,"",SUMIFS(T_PlannedOrders[EffectiveQty],T_PlannedOrders[Part Name],$A165,T_PlannedOrders[WeekIndex],57)&amp;" ("&amp;TEXT(SUMPRODUCT(MAX((T_PlannedOrders[Part Name]=$A165)*(T_PlannedOrders[WeekIndex]=57)*(T_PlannedOrders[EffectiveQty]&gt;0)*T_PlannedOrders[Order_Month])),"m月")&amp;"発注)")</f>
        <v/>
      </c>
      <c r="BI171">
        <f>IF(SUMIFS(T_PlannedOrders[EffectiveQty],T_PlannedOrders[Part Name],$A165,T_PlannedOrders[WeekIndex],58)=0,"",SUMIFS(T_PlannedOrders[EffectiveQty],T_PlannedOrders[Part Name],$A165,T_PlannedOrders[WeekIndex],58)&amp;" ("&amp;TEXT(SUMPRODUCT(MAX((T_PlannedOrders[Part Name]=$A165)*(T_PlannedOrders[WeekIndex]=58)*(T_PlannedOrders[EffectiveQty]&gt;0)*T_PlannedOrders[Order_Month])),"m月")&amp;"発注)")</f>
        <v/>
      </c>
      <c r="BJ171">
        <f>IF(SUMIFS(T_PlannedOrders[EffectiveQty],T_PlannedOrders[Part Name],$A165,T_PlannedOrders[WeekIndex],59)=0,"",SUMIFS(T_PlannedOrders[EffectiveQty],T_PlannedOrders[Part Name],$A165,T_PlannedOrders[WeekIndex],59)&amp;" ("&amp;TEXT(SUMPRODUCT(MAX((T_PlannedOrders[Part Name]=$A165)*(T_PlannedOrders[WeekIndex]=59)*(T_PlannedOrders[EffectiveQty]&gt;0)*T_PlannedOrders[Order_Month])),"m月")&amp;"発注)")</f>
        <v/>
      </c>
      <c r="BK171">
        <f>IF(SUMIFS(T_PlannedOrders[EffectiveQty],T_PlannedOrders[Part Name],$A165,T_PlannedOrders[WeekIndex],60)=0,"",SUMIFS(T_PlannedOrders[EffectiveQty],T_PlannedOrders[Part Name],$A165,T_PlannedOrders[WeekIndex],60)&amp;" ("&amp;TEXT(SUMPRODUCT(MAX((T_PlannedOrders[Part Name]=$A165)*(T_PlannedOrders[WeekIndex]=60)*(T_PlannedOrders[EffectiveQty]&gt;0)*T_PlannedOrders[Order_Month])),"m月")&amp;"発注)")</f>
        <v/>
      </c>
      <c r="BL171">
        <f>IF(SUMIFS(T_PlannedOrders[EffectiveQty],T_PlannedOrders[Part Name],$A165,T_PlannedOrders[WeekIndex],61)=0,"",SUMIFS(T_PlannedOrders[EffectiveQty],T_PlannedOrders[Part Name],$A165,T_PlannedOrders[WeekIndex],61)&amp;" ("&amp;TEXT(SUMPRODUCT(MAX((T_PlannedOrders[Part Name]=$A165)*(T_PlannedOrders[WeekIndex]=61)*(T_PlannedOrders[EffectiveQty]&gt;0)*T_PlannedOrders[Order_Month])),"m月")&amp;"発注)")</f>
        <v/>
      </c>
      <c r="BM171">
        <f>IF(SUMIFS(T_PlannedOrders[EffectiveQty],T_PlannedOrders[Part Name],$A165,T_PlannedOrders[WeekIndex],62)=0,"",SUMIFS(T_PlannedOrders[EffectiveQty],T_PlannedOrders[Part Name],$A165,T_PlannedOrders[WeekIndex],62)&amp;" ("&amp;TEXT(SUMPRODUCT(MAX((T_PlannedOrders[Part Name]=$A165)*(T_PlannedOrders[WeekIndex]=62)*(T_PlannedOrders[EffectiveQty]&gt;0)*T_PlannedOrders[Order_Month])),"m月")&amp;"発注)")</f>
        <v/>
      </c>
      <c r="BN171">
        <f>IF(SUMIFS(T_PlannedOrders[EffectiveQty],T_PlannedOrders[Part Name],$A165,T_PlannedOrders[WeekIndex],63)=0,"",SUMIFS(T_PlannedOrders[EffectiveQty],T_PlannedOrders[Part Name],$A165,T_PlannedOrders[WeekIndex],63)&amp;" ("&amp;TEXT(SUMPRODUCT(MAX((T_PlannedOrders[Part Name]=$A165)*(T_PlannedOrders[WeekIndex]=63)*(T_PlannedOrders[EffectiveQty]&gt;0)*T_PlannedOrders[Order_Month])),"m月")&amp;"発注)")</f>
        <v/>
      </c>
      <c r="BO171">
        <f>IF(SUMIFS(T_PlannedOrders[EffectiveQty],T_PlannedOrders[Part Name],$A165,T_PlannedOrders[WeekIndex],64)=0,"",SUMIFS(T_PlannedOrders[EffectiveQty],T_PlannedOrders[Part Name],$A165,T_PlannedOrders[WeekIndex],64)&amp;" ("&amp;TEXT(SUMPRODUCT(MAX((T_PlannedOrders[Part Name]=$A165)*(T_PlannedOrders[WeekIndex]=64)*(T_PlannedOrders[EffectiveQty]&gt;0)*T_PlannedOrders[Order_Month])),"m月")&amp;"発注)")</f>
        <v/>
      </c>
      <c r="BP171">
        <f>IF(SUMIFS(T_PlannedOrders[EffectiveQty],T_PlannedOrders[Part Name],$A165,T_PlannedOrders[WeekIndex],65)=0,"",SUMIFS(T_PlannedOrders[EffectiveQty],T_PlannedOrders[Part Name],$A165,T_PlannedOrders[WeekIndex],65)&amp;" ("&amp;TEXT(SUMPRODUCT(MAX((T_PlannedOrders[Part Name]=$A165)*(T_PlannedOrders[WeekIndex]=65)*(T_PlannedOrders[EffectiveQty]&gt;0)*T_PlannedOrders[Order_Month])),"m月")&amp;"発注)")</f>
        <v/>
      </c>
      <c r="BQ171">
        <f>IF(SUMIFS(T_PlannedOrders[EffectiveQty],T_PlannedOrders[Part Name],$A165,T_PlannedOrders[WeekIndex],66)=0,"",SUMIFS(T_PlannedOrders[EffectiveQty],T_PlannedOrders[Part Name],$A165,T_PlannedOrders[WeekIndex],66)&amp;" ("&amp;TEXT(SUMPRODUCT(MAX((T_PlannedOrders[Part Name]=$A165)*(T_PlannedOrders[WeekIndex]=66)*(T_PlannedOrders[EffectiveQty]&gt;0)*T_PlannedOrders[Order_Month])),"m月")&amp;"発注)")</f>
        <v/>
      </c>
      <c r="BR171">
        <f>IF(SUMIFS(T_PlannedOrders[EffectiveQty],T_PlannedOrders[Part Name],$A165,T_PlannedOrders[WeekIndex],67)=0,"",SUMIFS(T_PlannedOrders[EffectiveQty],T_PlannedOrders[Part Name],$A165,T_PlannedOrders[WeekIndex],67)&amp;" ("&amp;TEXT(SUMPRODUCT(MAX((T_PlannedOrders[Part Name]=$A165)*(T_PlannedOrders[WeekIndex]=67)*(T_PlannedOrders[EffectiveQty]&gt;0)*T_PlannedOrders[Order_Month])),"m月")&amp;"発注)")</f>
        <v/>
      </c>
      <c r="BS171">
        <f>IF(SUMIFS(T_PlannedOrders[EffectiveQty],T_PlannedOrders[Part Name],$A165,T_PlannedOrders[WeekIndex],68)=0,"",SUMIFS(T_PlannedOrders[EffectiveQty],T_PlannedOrders[Part Name],$A165,T_PlannedOrders[WeekIndex],68)&amp;" ("&amp;TEXT(SUMPRODUCT(MAX((T_PlannedOrders[Part Name]=$A165)*(T_PlannedOrders[WeekIndex]=68)*(T_PlannedOrders[EffectiveQty]&gt;0)*T_PlannedOrders[Order_Month])),"m月")&amp;"発注)")</f>
        <v/>
      </c>
      <c r="BT171">
        <f>IF(SUMIFS(T_PlannedOrders[EffectiveQty],T_PlannedOrders[Part Name],$A165,T_PlannedOrders[WeekIndex],69)=0,"",SUMIFS(T_PlannedOrders[EffectiveQty],T_PlannedOrders[Part Name],$A165,T_PlannedOrders[WeekIndex],69)&amp;" ("&amp;TEXT(SUMPRODUCT(MAX((T_PlannedOrders[Part Name]=$A165)*(T_PlannedOrders[WeekIndex]=69)*(T_PlannedOrders[EffectiveQty]&gt;0)*T_PlannedOrders[Order_Month])),"m月")&amp;"発注)")</f>
        <v/>
      </c>
      <c r="BU171">
        <f>IF(SUMIFS(T_PlannedOrders[EffectiveQty],T_PlannedOrders[Part Name],$A165,T_PlannedOrders[WeekIndex],70)=0,"",SUMIFS(T_PlannedOrders[EffectiveQty],T_PlannedOrders[Part Name],$A165,T_PlannedOrders[WeekIndex],70)&amp;" ("&amp;TEXT(SUMPRODUCT(MAX((T_PlannedOrders[Part Name]=$A165)*(T_PlannedOrders[WeekIndex]=70)*(T_PlannedOrders[EffectiveQty]&gt;0)*T_PlannedOrders[Order_Month])),"m月")&amp;"発注)")</f>
        <v/>
      </c>
      <c r="BV171">
        <f>IF(SUMIFS(T_PlannedOrders[EffectiveQty],T_PlannedOrders[Part Name],$A165,T_PlannedOrders[WeekIndex],71)=0,"",SUMIFS(T_PlannedOrders[EffectiveQty],T_PlannedOrders[Part Name],$A165,T_PlannedOrders[WeekIndex],71)&amp;" ("&amp;TEXT(SUMPRODUCT(MAX((T_PlannedOrders[Part Name]=$A165)*(T_PlannedOrders[WeekIndex]=71)*(T_PlannedOrders[EffectiveQty]&gt;0)*T_PlannedOrders[Order_Month])),"m月")&amp;"発注)")</f>
        <v/>
      </c>
      <c r="BW171">
        <f>IF(SUMIFS(T_PlannedOrders[EffectiveQty],T_PlannedOrders[Part Name],$A165,T_PlannedOrders[WeekIndex],72)=0,"",SUMIFS(T_PlannedOrders[EffectiveQty],T_PlannedOrders[Part Name],$A165,T_PlannedOrders[WeekIndex],72)&amp;" ("&amp;TEXT(SUMPRODUCT(MAX((T_PlannedOrders[Part Name]=$A165)*(T_PlannedOrders[WeekIndex]=72)*(T_PlannedOrders[EffectiveQty]&gt;0)*T_PlannedOrders[Order_Month])),"m月")&amp;"発注)")</f>
        <v/>
      </c>
      <c r="BX171">
        <f>IF(SUMIFS(T_PlannedOrders[EffectiveQty],T_PlannedOrders[Part Name],$A165,T_PlannedOrders[WeekIndex],73)=0,"",SUMIFS(T_PlannedOrders[EffectiveQty],T_PlannedOrders[Part Name],$A165,T_PlannedOrders[WeekIndex],73)&amp;" ("&amp;TEXT(SUMPRODUCT(MAX((T_PlannedOrders[Part Name]=$A165)*(T_PlannedOrders[WeekIndex]=73)*(T_PlannedOrders[EffectiveQty]&gt;0)*T_PlannedOrders[Order_Month])),"m月")&amp;"発注)")</f>
        <v/>
      </c>
      <c r="BY171">
        <f>IF(SUMIFS(T_PlannedOrders[EffectiveQty],T_PlannedOrders[Part Name],$A165,T_PlannedOrders[WeekIndex],74)=0,"",SUMIFS(T_PlannedOrders[EffectiveQty],T_PlannedOrders[Part Name],$A165,T_PlannedOrders[WeekIndex],74)&amp;" ("&amp;TEXT(SUMPRODUCT(MAX((T_PlannedOrders[Part Name]=$A165)*(T_PlannedOrders[WeekIndex]=74)*(T_PlannedOrders[EffectiveQty]&gt;0)*T_PlannedOrders[Order_Month])),"m月")&amp;"発注)")</f>
        <v/>
      </c>
      <c r="BZ171">
        <f>IF(SUMIFS(T_PlannedOrders[EffectiveQty],T_PlannedOrders[Part Name],$A165,T_PlannedOrders[WeekIndex],75)=0,"",SUMIFS(T_PlannedOrders[EffectiveQty],T_PlannedOrders[Part Name],$A165,T_PlannedOrders[WeekIndex],75)&amp;" ("&amp;TEXT(SUMPRODUCT(MAX((T_PlannedOrders[Part Name]=$A165)*(T_PlannedOrders[WeekIndex]=75)*(T_PlannedOrders[EffectiveQty]&gt;0)*T_PlannedOrders[Order_Month])),"m月")&amp;"発注)")</f>
        <v/>
      </c>
      <c r="CA171">
        <f>IF(SUMIFS(T_PlannedOrders[EffectiveQty],T_PlannedOrders[Part Name],$A165,T_PlannedOrders[WeekIndex],76)=0,"",SUMIFS(T_PlannedOrders[EffectiveQty],T_PlannedOrders[Part Name],$A165,T_PlannedOrders[WeekIndex],76)&amp;" ("&amp;TEXT(SUMPRODUCT(MAX((T_PlannedOrders[Part Name]=$A165)*(T_PlannedOrders[WeekIndex]=76)*(T_PlannedOrders[EffectiveQty]&gt;0)*T_PlannedOrders[Order_Month])),"m月")&amp;"発注)")</f>
        <v/>
      </c>
      <c r="CB171">
        <f>IF(SUMIFS(T_PlannedOrders[EffectiveQty],T_PlannedOrders[Part Name],$A165,T_PlannedOrders[WeekIndex],77)=0,"",SUMIFS(T_PlannedOrders[EffectiveQty],T_PlannedOrders[Part Name],$A165,T_PlannedOrders[WeekIndex],77)&amp;" ("&amp;TEXT(SUMPRODUCT(MAX((T_PlannedOrders[Part Name]=$A165)*(T_PlannedOrders[WeekIndex]=77)*(T_PlannedOrders[EffectiveQty]&gt;0)*T_PlannedOrders[Order_Month])),"m月")&amp;"発注)")</f>
        <v/>
      </c>
      <c r="CC171">
        <f>IF(SUMIFS(T_PlannedOrders[EffectiveQty],T_PlannedOrders[Part Name],$A165,T_PlannedOrders[WeekIndex],78)=0,"",SUMIFS(T_PlannedOrders[EffectiveQty],T_PlannedOrders[Part Name],$A165,T_PlannedOrders[WeekIndex],78)&amp;" ("&amp;TEXT(SUMPRODUCT(MAX((T_PlannedOrders[Part Name]=$A165)*(T_PlannedOrders[WeekIndex]=78)*(T_PlannedOrders[EffectiveQty]&gt;0)*T_PlannedOrders[Order_Month])),"m月")&amp;"発注)")</f>
        <v/>
      </c>
      <c r="CD171">
        <f>IF(SUMIFS(T_PlannedOrders[EffectiveQty],T_PlannedOrders[Part Name],$A165,T_PlannedOrders[WeekIndex],79)=0,"",SUMIFS(T_PlannedOrders[EffectiveQty],T_PlannedOrders[Part Name],$A165,T_PlannedOrders[WeekIndex],79)&amp;" ("&amp;TEXT(SUMPRODUCT(MAX((T_PlannedOrders[Part Name]=$A165)*(T_PlannedOrders[WeekIndex]=79)*(T_PlannedOrders[EffectiveQty]&gt;0)*T_PlannedOrders[Order_Month])),"m月")&amp;"発注)")</f>
        <v/>
      </c>
      <c r="CE171">
        <f>IF(SUMIFS(T_PlannedOrders[EffectiveQty],T_PlannedOrders[Part Name],$A165,T_PlannedOrders[WeekIndex],80)=0,"",SUMIFS(T_PlannedOrders[EffectiveQty],T_PlannedOrders[Part Name],$A165,T_PlannedOrders[WeekIndex],80)&amp;" ("&amp;TEXT(SUMPRODUCT(MAX((T_PlannedOrders[Part Name]=$A165)*(T_PlannedOrders[WeekIndex]=80)*(T_PlannedOrders[EffectiveQty]&gt;0)*T_PlannedOrders[Order_Month])),"m月")&amp;"発注)")</f>
        <v/>
      </c>
      <c r="CF171">
        <f>IF(SUMIFS(T_PlannedOrders[EffectiveQty],T_PlannedOrders[Part Name],$A165,T_PlannedOrders[WeekIndex],81)=0,"",SUMIFS(T_PlannedOrders[EffectiveQty],T_PlannedOrders[Part Name],$A165,T_PlannedOrders[WeekIndex],81)&amp;" ("&amp;TEXT(SUMPRODUCT(MAX((T_PlannedOrders[Part Name]=$A165)*(T_PlannedOrders[WeekIndex]=81)*(T_PlannedOrders[EffectiveQty]&gt;0)*T_PlannedOrders[Order_Month])),"m月")&amp;"発注)")</f>
        <v/>
      </c>
      <c r="CG171">
        <f>IF(SUMIFS(T_PlannedOrders[EffectiveQty],T_PlannedOrders[Part Name],$A165,T_PlannedOrders[WeekIndex],82)=0,"",SUMIFS(T_PlannedOrders[EffectiveQty],T_PlannedOrders[Part Name],$A165,T_PlannedOrders[WeekIndex],82)&amp;" ("&amp;TEXT(SUMPRODUCT(MAX((T_PlannedOrders[Part Name]=$A165)*(T_PlannedOrders[WeekIndex]=82)*(T_PlannedOrders[EffectiveQty]&gt;0)*T_PlannedOrders[Order_Month])),"m月")&amp;"発注)")</f>
        <v/>
      </c>
      <c r="CH171">
        <f>IF(SUMIFS(T_PlannedOrders[EffectiveQty],T_PlannedOrders[Part Name],$A165,T_PlannedOrders[WeekIndex],83)=0,"",SUMIFS(T_PlannedOrders[EffectiveQty],T_PlannedOrders[Part Name],$A165,T_PlannedOrders[WeekIndex],83)&amp;" ("&amp;TEXT(SUMPRODUCT(MAX((T_PlannedOrders[Part Name]=$A165)*(T_PlannedOrders[WeekIndex]=83)*(T_PlannedOrders[EffectiveQty]&gt;0)*T_PlannedOrders[Order_Month])),"m月")&amp;"発注)")</f>
        <v/>
      </c>
      <c r="CI171">
        <f>IF(SUMIFS(T_PlannedOrders[EffectiveQty],T_PlannedOrders[Part Name],$A165,T_PlannedOrders[WeekIndex],84)=0,"",SUMIFS(T_PlannedOrders[EffectiveQty],T_PlannedOrders[Part Name],$A165,T_PlannedOrders[WeekIndex],84)&amp;" ("&amp;TEXT(SUMPRODUCT(MAX((T_PlannedOrders[Part Name]=$A165)*(T_PlannedOrders[WeekIndex]=84)*(T_PlannedOrders[EffectiveQty]&gt;0)*T_PlannedOrders[Order_Month])),"m月")&amp;"発注)")</f>
        <v/>
      </c>
      <c r="CJ171">
        <f>IF(SUMIFS(T_PlannedOrders[EffectiveQty],T_PlannedOrders[Part Name],$A165,T_PlannedOrders[WeekIndex],85)=0,"",SUMIFS(T_PlannedOrders[EffectiveQty],T_PlannedOrders[Part Name],$A165,T_PlannedOrders[WeekIndex],85)&amp;" ("&amp;TEXT(SUMPRODUCT(MAX((T_PlannedOrders[Part Name]=$A165)*(T_PlannedOrders[WeekIndex]=85)*(T_PlannedOrders[EffectiveQty]&gt;0)*T_PlannedOrders[Order_Month])),"m月")&amp;"発注)")</f>
        <v/>
      </c>
      <c r="CK171">
        <f>IF(SUMIFS(T_PlannedOrders[EffectiveQty],T_PlannedOrders[Part Name],$A165,T_PlannedOrders[WeekIndex],86)=0,"",SUMIFS(T_PlannedOrders[EffectiveQty],T_PlannedOrders[Part Name],$A165,T_PlannedOrders[WeekIndex],86)&amp;" ("&amp;TEXT(SUMPRODUCT(MAX((T_PlannedOrders[Part Name]=$A165)*(T_PlannedOrders[WeekIndex]=86)*(T_PlannedOrders[EffectiveQty]&gt;0)*T_PlannedOrders[Order_Month])),"m月")&amp;"発注)")</f>
        <v/>
      </c>
      <c r="CL171">
        <f>IF(SUMIFS(T_PlannedOrders[EffectiveQty],T_PlannedOrders[Part Name],$A165,T_PlannedOrders[WeekIndex],87)=0,"",SUMIFS(T_PlannedOrders[EffectiveQty],T_PlannedOrders[Part Name],$A165,T_PlannedOrders[WeekIndex],87)&amp;" ("&amp;TEXT(SUMPRODUCT(MAX((T_PlannedOrders[Part Name]=$A165)*(T_PlannedOrders[WeekIndex]=87)*(T_PlannedOrders[EffectiveQty]&gt;0)*T_PlannedOrders[Order_Month])),"m月")&amp;"発注)")</f>
        <v/>
      </c>
      <c r="CM171">
        <f>IF(SUMIFS(T_PlannedOrders[EffectiveQty],T_PlannedOrders[Part Name],$A165,T_PlannedOrders[WeekIndex],88)=0,"",SUMIFS(T_PlannedOrders[EffectiveQty],T_PlannedOrders[Part Name],$A165,T_PlannedOrders[WeekIndex],88)&amp;" ("&amp;TEXT(SUMPRODUCT(MAX((T_PlannedOrders[Part Name]=$A165)*(T_PlannedOrders[WeekIndex]=88)*(T_PlannedOrders[EffectiveQty]&gt;0)*T_PlannedOrders[Order_Month])),"m月")&amp;"発注)")</f>
        <v/>
      </c>
      <c r="CN171">
        <f>IF(SUMIFS(T_PlannedOrders[EffectiveQty],T_PlannedOrders[Part Name],$A165,T_PlannedOrders[WeekIndex],89)=0,"",SUMIFS(T_PlannedOrders[EffectiveQty],T_PlannedOrders[Part Name],$A165,T_PlannedOrders[WeekIndex],89)&amp;" ("&amp;TEXT(SUMPRODUCT(MAX((T_PlannedOrders[Part Name]=$A165)*(T_PlannedOrders[WeekIndex]=89)*(T_PlannedOrders[EffectiveQty]&gt;0)*T_PlannedOrders[Order_Month])),"m月")&amp;"発注)")</f>
        <v/>
      </c>
      <c r="CO171">
        <f>IF(SUMIFS(T_PlannedOrders[EffectiveQty],T_PlannedOrders[Part Name],$A165,T_PlannedOrders[WeekIndex],90)=0,"",SUMIFS(T_PlannedOrders[EffectiveQty],T_PlannedOrders[Part Name],$A165,T_PlannedOrders[WeekIndex],90)&amp;" ("&amp;TEXT(SUMPRODUCT(MAX((T_PlannedOrders[Part Name]=$A165)*(T_PlannedOrders[WeekIndex]=90)*(T_PlannedOrders[EffectiveQty]&gt;0)*T_PlannedOrders[Order_Month])),"m月")&amp;"発注)")</f>
        <v/>
      </c>
      <c r="CP171">
        <f>IF(SUMIFS(T_PlannedOrders[EffectiveQty],T_PlannedOrders[Part Name],$A165,T_PlannedOrders[WeekIndex],91)=0,"",SUMIFS(T_PlannedOrders[EffectiveQty],T_PlannedOrders[Part Name],$A165,T_PlannedOrders[WeekIndex],91)&amp;" ("&amp;TEXT(SUMPRODUCT(MAX((T_PlannedOrders[Part Name]=$A165)*(T_PlannedOrders[WeekIndex]=91)*(T_PlannedOrders[EffectiveQty]&gt;0)*T_PlannedOrders[Order_Month])),"m月")&amp;"発注)")</f>
        <v/>
      </c>
      <c r="CQ171">
        <f>IF(SUMIFS(T_PlannedOrders[EffectiveQty],T_PlannedOrders[Part Name],$A165,T_PlannedOrders[WeekIndex],92)=0,"",SUMIFS(T_PlannedOrders[EffectiveQty],T_PlannedOrders[Part Name],$A165,T_PlannedOrders[WeekIndex],92)&amp;" ("&amp;TEXT(SUMPRODUCT(MAX((T_PlannedOrders[Part Name]=$A165)*(T_PlannedOrders[WeekIndex]=92)*(T_PlannedOrders[EffectiveQty]&gt;0)*T_PlannedOrders[Order_Month])),"m月")&amp;"発注)")</f>
        <v/>
      </c>
      <c r="CR171">
        <f>IF(SUMIFS(T_PlannedOrders[EffectiveQty],T_PlannedOrders[Part Name],$A165,T_PlannedOrders[WeekIndex],93)=0,"",SUMIFS(T_PlannedOrders[EffectiveQty],T_PlannedOrders[Part Name],$A165,T_PlannedOrders[WeekIndex],93)&amp;" ("&amp;TEXT(SUMPRODUCT(MAX((T_PlannedOrders[Part Name]=$A165)*(T_PlannedOrders[WeekIndex]=93)*(T_PlannedOrders[EffectiveQty]&gt;0)*T_PlannedOrders[Order_Month])),"m月")&amp;"発注)")</f>
        <v/>
      </c>
      <c r="CS171">
        <f>IF(SUMIFS(T_PlannedOrders[EffectiveQty],T_PlannedOrders[Part Name],$A165,T_PlannedOrders[WeekIndex],94)=0,"",SUMIFS(T_PlannedOrders[EffectiveQty],T_PlannedOrders[Part Name],$A165,T_PlannedOrders[WeekIndex],94)&amp;" ("&amp;TEXT(SUMPRODUCT(MAX((T_PlannedOrders[Part Name]=$A165)*(T_PlannedOrders[WeekIndex]=94)*(T_PlannedOrders[EffectiveQty]&gt;0)*T_PlannedOrders[Order_Month])),"m月")&amp;"発注)")</f>
        <v/>
      </c>
      <c r="CT171">
        <f>IF(SUMIFS(T_PlannedOrders[EffectiveQty],T_PlannedOrders[Part Name],$A165,T_PlannedOrders[WeekIndex],95)=0,"",SUMIFS(T_PlannedOrders[EffectiveQty],T_PlannedOrders[Part Name],$A165,T_PlannedOrders[WeekIndex],95)&amp;" ("&amp;TEXT(SUMPRODUCT(MAX((T_PlannedOrders[Part Name]=$A165)*(T_PlannedOrders[WeekIndex]=95)*(T_PlannedOrders[EffectiveQty]&gt;0)*T_PlannedOrders[Order_Month])),"m月")&amp;"発注)")</f>
        <v/>
      </c>
      <c r="CU171">
        <f>IF(SUMIFS(T_PlannedOrders[EffectiveQty],T_PlannedOrders[Part Name],$A165,T_PlannedOrders[WeekIndex],96)=0,"",SUMIFS(T_PlannedOrders[EffectiveQty],T_PlannedOrders[Part Name],$A165,T_PlannedOrders[WeekIndex],96)&amp;" ("&amp;TEXT(SUMPRODUCT(MAX((T_PlannedOrders[Part Name]=$A165)*(T_PlannedOrders[WeekIndex]=96)*(T_PlannedOrders[EffectiveQty]&gt;0)*T_PlannedOrders[Order_Month])),"m月")&amp;"発注)")</f>
        <v/>
      </c>
      <c r="CV171">
        <f>IF(SUMIFS(T_PlannedOrders[EffectiveQty],T_PlannedOrders[Part Name],$A165,T_PlannedOrders[WeekIndex],97)=0,"",SUMIFS(T_PlannedOrders[EffectiveQty],T_PlannedOrders[Part Name],$A165,T_PlannedOrders[WeekIndex],97)&amp;" ("&amp;TEXT(SUMPRODUCT(MAX((T_PlannedOrders[Part Name]=$A165)*(T_PlannedOrders[WeekIndex]=97)*(T_PlannedOrders[EffectiveQty]&gt;0)*T_PlannedOrders[Order_Month])),"m月")&amp;"発注)")</f>
        <v/>
      </c>
      <c r="CW171">
        <f>IF(SUMIFS(T_PlannedOrders[EffectiveQty],T_PlannedOrders[Part Name],$A165,T_PlannedOrders[WeekIndex],98)=0,"",SUMIFS(T_PlannedOrders[EffectiveQty],T_PlannedOrders[Part Name],$A165,T_PlannedOrders[WeekIndex],98)&amp;" ("&amp;TEXT(SUMPRODUCT(MAX((T_PlannedOrders[Part Name]=$A165)*(T_PlannedOrders[WeekIndex]=98)*(T_PlannedOrders[EffectiveQty]&gt;0)*T_PlannedOrders[Order_Month])),"m月")&amp;"発注)")</f>
        <v/>
      </c>
      <c r="CX171">
        <f>IF(SUMIFS(T_PlannedOrders[EffectiveQty],T_PlannedOrders[Part Name],$A165,T_PlannedOrders[WeekIndex],99)=0,"",SUMIFS(T_PlannedOrders[EffectiveQty],T_PlannedOrders[Part Name],$A165,T_PlannedOrders[WeekIndex],99)&amp;" ("&amp;TEXT(SUMPRODUCT(MAX((T_PlannedOrders[Part Name]=$A165)*(T_PlannedOrders[WeekIndex]=99)*(T_PlannedOrders[EffectiveQty]&gt;0)*T_PlannedOrders[Order_Month])),"m月")&amp;"発注)")</f>
        <v/>
      </c>
      <c r="CY171">
        <f>IF(SUMIFS(T_PlannedOrders[EffectiveQty],T_PlannedOrders[Part Name],$A165,T_PlannedOrders[WeekIndex],100)=0,"",SUMIFS(T_PlannedOrders[EffectiveQty],T_PlannedOrders[Part Name],$A165,T_PlannedOrders[WeekIndex],100)&amp;" ("&amp;TEXT(SUMPRODUCT(MAX((T_PlannedOrders[Part Name]=$A165)*(T_PlannedOrders[WeekIndex]=100)*(T_PlannedOrders[EffectiveQty]&gt;0)*T_PlannedOrders[Order_Month])),"m月")&amp;"発注)")</f>
        <v/>
      </c>
      <c r="CZ171">
        <f>IF(SUMIFS(T_PlannedOrders[EffectiveQty],T_PlannedOrders[Part Name],$A165,T_PlannedOrders[WeekIndex],101)=0,"",SUMIFS(T_PlannedOrders[EffectiveQty],T_PlannedOrders[Part Name],$A165,T_PlannedOrders[WeekIndex],101)&amp;" ("&amp;TEXT(SUMPRODUCT(MAX((T_PlannedOrders[Part Name]=$A165)*(T_PlannedOrders[WeekIndex]=101)*(T_PlannedOrders[EffectiveQty]&gt;0)*T_PlannedOrders[Order_Month])),"m月")&amp;"発注)")</f>
        <v/>
      </c>
      <c r="DA171">
        <f>IF(SUMIFS(T_PlannedOrders[EffectiveQty],T_PlannedOrders[Part Name],$A165,T_PlannedOrders[WeekIndex],102)=0,"",SUMIFS(T_PlannedOrders[EffectiveQty],T_PlannedOrders[Part Name],$A165,T_PlannedOrders[WeekIndex],102)&amp;" ("&amp;TEXT(SUMPRODUCT(MAX((T_PlannedOrders[Part Name]=$A165)*(T_PlannedOrders[WeekIndex]=102)*(T_PlannedOrders[EffectiveQty]&gt;0)*T_PlannedOrders[Order_Month])),"m月")&amp;"発注)")</f>
        <v/>
      </c>
      <c r="DB171">
        <f>IF(SUMIFS(T_PlannedOrders[EffectiveQty],T_PlannedOrders[Part Name],$A165,T_PlannedOrders[WeekIndex],103)=0,"",SUMIFS(T_PlannedOrders[EffectiveQty],T_PlannedOrders[Part Name],$A165,T_PlannedOrders[WeekIndex],103)&amp;" ("&amp;TEXT(SUMPRODUCT(MAX((T_PlannedOrders[Part Name]=$A165)*(T_PlannedOrders[WeekIndex]=103)*(T_PlannedOrders[EffectiveQty]&gt;0)*T_PlannedOrders[Order_Month])),"m月")&amp;"発注)")</f>
        <v/>
      </c>
      <c r="DC171">
        <f>IF(SUMIFS(T_PlannedOrders[EffectiveQty],T_PlannedOrders[Part Name],$A165,T_PlannedOrders[WeekIndex],104)=0,"",SUMIFS(T_PlannedOrders[EffectiveQty],T_PlannedOrders[Part Name],$A165,T_PlannedOrders[WeekIndex],104)&amp;" ("&amp;TEXT(SUMPRODUCT(MAX((T_PlannedOrders[Part Name]=$A165)*(T_PlannedOrders[WeekIndex]=104)*(T_PlannedOrders[EffectiveQty]&gt;0)*T_PlannedOrders[Order_Month])),"m月")&amp;"発注)")</f>
        <v/>
      </c>
    </row>
    <row r="172">
      <c r="B172" s="5" t="inlineStr">
        <is>
          <t>合計在庫(週末時点,kg)</t>
        </is>
      </c>
      <c r="D172">
        <f>'Grid_Stock'!B5</f>
        <v/>
      </c>
      <c r="E172">
        <f>'Grid_Stock'!C5</f>
        <v/>
      </c>
      <c r="F172">
        <f>'Grid_Stock'!D5</f>
        <v/>
      </c>
      <c r="G172">
        <f>'Grid_Stock'!E5</f>
        <v/>
      </c>
      <c r="H172">
        <f>'Grid_Stock'!F5</f>
        <v/>
      </c>
      <c r="I172">
        <f>'Grid_Stock'!G5</f>
        <v/>
      </c>
      <c r="J172">
        <f>'Grid_Stock'!H5</f>
        <v/>
      </c>
      <c r="K172">
        <f>'Grid_Stock'!I5</f>
        <v/>
      </c>
      <c r="L172">
        <f>'Grid_Stock'!J5</f>
        <v/>
      </c>
      <c r="M172">
        <f>'Grid_Stock'!K5</f>
        <v/>
      </c>
      <c r="N172">
        <f>'Grid_Stock'!L5</f>
        <v/>
      </c>
      <c r="O172">
        <f>'Grid_Stock'!M5</f>
        <v/>
      </c>
      <c r="P172">
        <f>'Grid_Stock'!N5</f>
        <v/>
      </c>
      <c r="Q172">
        <f>'Grid_Stock'!O5</f>
        <v/>
      </c>
      <c r="R172">
        <f>'Grid_Stock'!P5</f>
        <v/>
      </c>
      <c r="S172">
        <f>'Grid_Stock'!Q5</f>
        <v/>
      </c>
      <c r="T172">
        <f>'Grid_Stock'!R5</f>
        <v/>
      </c>
      <c r="U172">
        <f>'Grid_Stock'!S5</f>
        <v/>
      </c>
      <c r="V172">
        <f>'Grid_Stock'!T5</f>
        <v/>
      </c>
      <c r="W172">
        <f>'Grid_Stock'!U5</f>
        <v/>
      </c>
      <c r="X172">
        <f>'Grid_Stock'!V5</f>
        <v/>
      </c>
      <c r="Y172">
        <f>'Grid_Stock'!W5</f>
        <v/>
      </c>
      <c r="Z172">
        <f>'Grid_Stock'!X5</f>
        <v/>
      </c>
      <c r="AA172">
        <f>'Grid_Stock'!Y5</f>
        <v/>
      </c>
      <c r="AB172">
        <f>'Grid_Stock'!Z5</f>
        <v/>
      </c>
      <c r="AC172">
        <f>'Grid_Stock'!AA5</f>
        <v/>
      </c>
      <c r="AD172">
        <f>'Grid_Stock'!AB5</f>
        <v/>
      </c>
      <c r="AE172">
        <f>'Grid_Stock'!AC5</f>
        <v/>
      </c>
      <c r="AF172">
        <f>'Grid_Stock'!AD5</f>
        <v/>
      </c>
      <c r="AG172">
        <f>'Grid_Stock'!AE5</f>
        <v/>
      </c>
      <c r="AH172">
        <f>'Grid_Stock'!AF5</f>
        <v/>
      </c>
      <c r="AI172">
        <f>'Grid_Stock'!AG5</f>
        <v/>
      </c>
      <c r="AJ172">
        <f>'Grid_Stock'!AH5</f>
        <v/>
      </c>
      <c r="AK172">
        <f>'Grid_Stock'!AI5</f>
        <v/>
      </c>
      <c r="AL172">
        <f>'Grid_Stock'!AJ5</f>
        <v/>
      </c>
      <c r="AM172">
        <f>'Grid_Stock'!AK5</f>
        <v/>
      </c>
      <c r="AN172">
        <f>'Grid_Stock'!AL5</f>
        <v/>
      </c>
      <c r="AO172">
        <f>'Grid_Stock'!AM5</f>
        <v/>
      </c>
      <c r="AP172">
        <f>'Grid_Stock'!AN5</f>
        <v/>
      </c>
      <c r="AQ172">
        <f>'Grid_Stock'!AO5</f>
        <v/>
      </c>
      <c r="AR172">
        <f>'Grid_Stock'!AP5</f>
        <v/>
      </c>
      <c r="AS172">
        <f>'Grid_Stock'!AQ5</f>
        <v/>
      </c>
      <c r="AT172">
        <f>'Grid_Stock'!AR5</f>
        <v/>
      </c>
      <c r="AU172">
        <f>'Grid_Stock'!AS5</f>
        <v/>
      </c>
      <c r="AV172">
        <f>'Grid_Stock'!AT5</f>
        <v/>
      </c>
      <c r="AW172">
        <f>'Grid_Stock'!AU5</f>
        <v/>
      </c>
      <c r="AX172">
        <f>'Grid_Stock'!AV5</f>
        <v/>
      </c>
      <c r="AY172">
        <f>'Grid_Stock'!AW5</f>
        <v/>
      </c>
      <c r="AZ172">
        <f>'Grid_Stock'!AX5</f>
        <v/>
      </c>
      <c r="BA172">
        <f>'Grid_Stock'!AY5</f>
        <v/>
      </c>
      <c r="BB172">
        <f>'Grid_Stock'!AZ5</f>
        <v/>
      </c>
      <c r="BC172">
        <f>'Grid_Stock'!BA5</f>
        <v/>
      </c>
      <c r="BD172">
        <f>'Grid_Stock'!BB5</f>
        <v/>
      </c>
      <c r="BE172">
        <f>'Grid_Stock'!BC5</f>
        <v/>
      </c>
      <c r="BF172">
        <f>'Grid_Stock'!BD5</f>
        <v/>
      </c>
      <c r="BG172">
        <f>'Grid_Stock'!BE5</f>
        <v/>
      </c>
      <c r="BH172">
        <f>'Grid_Stock'!BF5</f>
        <v/>
      </c>
      <c r="BI172">
        <f>'Grid_Stock'!BG5</f>
        <v/>
      </c>
      <c r="BJ172">
        <f>'Grid_Stock'!BH5</f>
        <v/>
      </c>
      <c r="BK172">
        <f>'Grid_Stock'!BI5</f>
        <v/>
      </c>
      <c r="BL172">
        <f>'Grid_Stock'!BJ5</f>
        <v/>
      </c>
      <c r="BM172">
        <f>'Grid_Stock'!BK5</f>
        <v/>
      </c>
      <c r="BN172">
        <f>'Grid_Stock'!BL5</f>
        <v/>
      </c>
      <c r="BO172">
        <f>'Grid_Stock'!BM5</f>
        <v/>
      </c>
      <c r="BP172">
        <f>'Grid_Stock'!BN5</f>
        <v/>
      </c>
      <c r="BQ172">
        <f>'Grid_Stock'!BO5</f>
        <v/>
      </c>
      <c r="BR172">
        <f>'Grid_Stock'!BP5</f>
        <v/>
      </c>
      <c r="BS172">
        <f>'Grid_Stock'!BQ5</f>
        <v/>
      </c>
      <c r="BT172">
        <f>'Grid_Stock'!BR5</f>
        <v/>
      </c>
      <c r="BU172">
        <f>'Grid_Stock'!BS5</f>
        <v/>
      </c>
      <c r="BV172">
        <f>'Grid_Stock'!BT5</f>
        <v/>
      </c>
      <c r="BW172">
        <f>'Grid_Stock'!BU5</f>
        <v/>
      </c>
      <c r="BX172">
        <f>'Grid_Stock'!BV5</f>
        <v/>
      </c>
      <c r="BY172">
        <f>'Grid_Stock'!BW5</f>
        <v/>
      </c>
      <c r="BZ172">
        <f>'Grid_Stock'!BX5</f>
        <v/>
      </c>
      <c r="CA172">
        <f>'Grid_Stock'!BY5</f>
        <v/>
      </c>
      <c r="CB172">
        <f>'Grid_Stock'!BZ5</f>
        <v/>
      </c>
      <c r="CC172">
        <f>'Grid_Stock'!CA5</f>
        <v/>
      </c>
      <c r="CD172">
        <f>'Grid_Stock'!CB5</f>
        <v/>
      </c>
      <c r="CE172">
        <f>'Grid_Stock'!CC5</f>
        <v/>
      </c>
      <c r="CF172">
        <f>'Grid_Stock'!CD5</f>
        <v/>
      </c>
      <c r="CG172">
        <f>'Grid_Stock'!CE5</f>
        <v/>
      </c>
      <c r="CH172">
        <f>'Grid_Stock'!CF5</f>
        <v/>
      </c>
      <c r="CI172">
        <f>'Grid_Stock'!CG5</f>
        <v/>
      </c>
      <c r="CJ172">
        <f>'Grid_Stock'!CH5</f>
        <v/>
      </c>
      <c r="CK172">
        <f>'Grid_Stock'!CI5</f>
        <v/>
      </c>
      <c r="CL172">
        <f>'Grid_Stock'!CJ5</f>
        <v/>
      </c>
      <c r="CM172">
        <f>'Grid_Stock'!CK5</f>
        <v/>
      </c>
      <c r="CN172">
        <f>'Grid_Stock'!CL5</f>
        <v/>
      </c>
      <c r="CO172">
        <f>'Grid_Stock'!CM5</f>
        <v/>
      </c>
      <c r="CP172">
        <f>'Grid_Stock'!CN5</f>
        <v/>
      </c>
      <c r="CQ172">
        <f>'Grid_Stock'!CO5</f>
        <v/>
      </c>
      <c r="CR172">
        <f>'Grid_Stock'!CP5</f>
        <v/>
      </c>
      <c r="CS172">
        <f>'Grid_Stock'!CQ5</f>
        <v/>
      </c>
      <c r="CT172">
        <f>'Grid_Stock'!CR5</f>
        <v/>
      </c>
      <c r="CU172">
        <f>'Grid_Stock'!CS5</f>
        <v/>
      </c>
      <c r="CV172">
        <f>'Grid_Stock'!CT5</f>
        <v/>
      </c>
      <c r="CW172">
        <f>'Grid_Stock'!CU5</f>
        <v/>
      </c>
      <c r="CX172">
        <f>'Grid_Stock'!CV5</f>
        <v/>
      </c>
      <c r="CY172">
        <f>'Grid_Stock'!CW5</f>
        <v/>
      </c>
      <c r="CZ172">
        <f>'Grid_Stock'!CX5</f>
        <v/>
      </c>
      <c r="DA172">
        <f>'Grid_Stock'!CY5</f>
        <v/>
      </c>
      <c r="DB172">
        <f>'Grid_Stock'!CZ5</f>
        <v/>
      </c>
      <c r="DC172">
        <f>'Grid_Stock'!DA5</f>
        <v/>
      </c>
    </row>
    <row r="173">
      <c r="B173" s="23" t="inlineStr">
        <is>
          <t>（発注の目安はDashboardの基準在庫[下限/上限]と色分けを参照）</t>
        </is>
      </c>
    </row>
    <row r="175">
      <c r="A175" s="21" t="inlineStr">
        <is>
          <t>CHEM-1010</t>
        </is>
      </c>
      <c r="B175" s="21" t="inlineStr">
        <is>
          <t>Sodium Carbonate Anhydrous</t>
        </is>
      </c>
      <c r="C175" s="22" t="n"/>
      <c r="D175" s="21" t="n"/>
      <c r="E175" s="21" t="n"/>
      <c r="F175" s="21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  <c r="AA175" s="21" t="n"/>
      <c r="AB175" s="21" t="n"/>
      <c r="AC175" s="21" t="n"/>
      <c r="AD175" s="21" t="n"/>
      <c r="AE175" s="21" t="n"/>
      <c r="AF175" s="21" t="n"/>
      <c r="AG175" s="21" t="n"/>
      <c r="AH175" s="21" t="n"/>
      <c r="AI175" s="21" t="n"/>
      <c r="AJ175" s="21" t="n"/>
      <c r="AK175" s="21" t="n"/>
      <c r="AL175" s="21" t="n"/>
      <c r="AM175" s="21" t="n"/>
      <c r="AN175" s="21" t="n"/>
      <c r="AO175" s="21" t="n"/>
      <c r="AP175" s="21" t="n"/>
      <c r="AQ175" s="21" t="n"/>
      <c r="AR175" s="21" t="n"/>
      <c r="AS175" s="21" t="n"/>
      <c r="AT175" s="21" t="n"/>
      <c r="AU175" s="21" t="n"/>
      <c r="AV175" s="21" t="n"/>
      <c r="AW175" s="21" t="n"/>
      <c r="AX175" s="21" t="n"/>
      <c r="AY175" s="21" t="n"/>
      <c r="AZ175" s="21" t="n"/>
      <c r="BA175" s="21" t="n"/>
      <c r="BB175" s="21" t="n"/>
      <c r="BC175" s="21" t="n"/>
      <c r="BD175" s="21" t="n"/>
      <c r="BE175" s="21" t="n"/>
      <c r="BF175" s="21" t="n"/>
      <c r="BG175" s="21" t="n"/>
      <c r="BH175" s="21" t="n"/>
      <c r="BI175" s="21" t="n"/>
      <c r="BJ175" s="21" t="n"/>
      <c r="BK175" s="21" t="n"/>
      <c r="BL175" s="21" t="n"/>
      <c r="BM175" s="21" t="n"/>
      <c r="BN175" s="21" t="n"/>
      <c r="BO175" s="21" t="n"/>
      <c r="BP175" s="21" t="n"/>
      <c r="BQ175" s="21" t="n"/>
      <c r="BR175" s="21" t="n"/>
      <c r="BS175" s="21" t="n"/>
      <c r="BT175" s="21" t="n"/>
      <c r="BU175" s="21" t="n"/>
      <c r="BV175" s="21" t="n"/>
      <c r="BW175" s="21" t="n"/>
      <c r="BX175" s="21" t="n"/>
      <c r="BY175" s="21" t="n"/>
      <c r="BZ175" s="21" t="n"/>
      <c r="CA175" s="21" t="n"/>
      <c r="CB175" s="21" t="n"/>
      <c r="CC175" s="21" t="n"/>
      <c r="CD175" s="21" t="n"/>
      <c r="CE175" s="21" t="n"/>
      <c r="CF175" s="21" t="n"/>
      <c r="CG175" s="21" t="n"/>
      <c r="CH175" s="21" t="n"/>
      <c r="CI175" s="21" t="n"/>
      <c r="CJ175" s="21" t="n"/>
      <c r="CK175" s="21" t="n"/>
      <c r="CL175" s="21" t="n"/>
      <c r="CM175" s="21" t="n"/>
      <c r="CN175" s="21" t="n"/>
      <c r="CO175" s="21" t="n"/>
      <c r="CP175" s="21" t="n"/>
      <c r="CQ175" s="21" t="n"/>
      <c r="CR175" s="21" t="n"/>
      <c r="CS175" s="21" t="n"/>
      <c r="CT175" s="21" t="n"/>
      <c r="CU175" s="21" t="n"/>
      <c r="CV175" s="21" t="n"/>
      <c r="CW175" s="21" t="n"/>
      <c r="CX175" s="21" t="n"/>
      <c r="CY175" s="21" t="n"/>
      <c r="CZ175" s="21" t="n"/>
      <c r="DA175" s="21" t="n"/>
      <c r="DB175" s="21" t="n"/>
      <c r="DC175" s="21" t="n"/>
    </row>
    <row r="176">
      <c r="B176" t="inlineStr">
        <is>
          <t>SOL-20P</t>
        </is>
      </c>
      <c r="C176" t="inlineStr">
        <is>
          <t>No. of batches</t>
        </is>
      </c>
      <c r="D176">
        <f>IFERROR(INDEX(PP_Grid[#Data],$DD176,2),0)</f>
        <v/>
      </c>
      <c r="E176">
        <f>IFERROR(INDEX(PP_Grid[#Data],$DD176,3),0)</f>
        <v/>
      </c>
      <c r="F176">
        <f>IFERROR(INDEX(PP_Grid[#Data],$DD176,4),0)</f>
        <v/>
      </c>
      <c r="G176">
        <f>IFERROR(INDEX(PP_Grid[#Data],$DD176,5),0)</f>
        <v/>
      </c>
      <c r="H176">
        <f>IFERROR(INDEX(PP_Grid[#Data],$DD176,6),0)</f>
        <v/>
      </c>
      <c r="I176">
        <f>IFERROR(INDEX(PP_Grid[#Data],$DD176,7),0)</f>
        <v/>
      </c>
      <c r="J176">
        <f>IFERROR(INDEX(PP_Grid[#Data],$DD176,8),0)</f>
        <v/>
      </c>
      <c r="K176">
        <f>IFERROR(INDEX(PP_Grid[#Data],$DD176,9),0)</f>
        <v/>
      </c>
      <c r="L176">
        <f>IFERROR(INDEX(PP_Grid[#Data],$DD176,10),0)</f>
        <v/>
      </c>
      <c r="M176">
        <f>IFERROR(INDEX(PP_Grid[#Data],$DD176,11),0)</f>
        <v/>
      </c>
      <c r="N176">
        <f>IFERROR(INDEX(PP_Grid[#Data],$DD176,12),0)</f>
        <v/>
      </c>
      <c r="O176">
        <f>IFERROR(INDEX(PP_Grid[#Data],$DD176,13),0)</f>
        <v/>
      </c>
      <c r="P176">
        <f>IFERROR(INDEX(PP_Grid[#Data],$DD176,14),0)</f>
        <v/>
      </c>
      <c r="Q176">
        <f>IFERROR(INDEX(PP_Grid[#Data],$DD176,15),0)</f>
        <v/>
      </c>
      <c r="R176">
        <f>IFERROR(INDEX(PP_Grid[#Data],$DD176,16),0)</f>
        <v/>
      </c>
      <c r="S176">
        <f>IFERROR(INDEX(PP_Grid[#Data],$DD176,17),0)</f>
        <v/>
      </c>
      <c r="T176">
        <f>IFERROR(INDEX(PP_Grid[#Data],$DD176,18),0)</f>
        <v/>
      </c>
      <c r="U176">
        <f>IFERROR(INDEX(PP_Grid[#Data],$DD176,19),0)</f>
        <v/>
      </c>
      <c r="V176">
        <f>IFERROR(INDEX(PP_Grid[#Data],$DD176,20),0)</f>
        <v/>
      </c>
      <c r="W176">
        <f>IFERROR(INDEX(PP_Grid[#Data],$DD176,21),0)</f>
        <v/>
      </c>
      <c r="X176">
        <f>IFERROR(INDEX(PP_Grid[#Data],$DD176,22),0)</f>
        <v/>
      </c>
      <c r="Y176">
        <f>IFERROR(INDEX(PP_Grid[#Data],$DD176,23),0)</f>
        <v/>
      </c>
      <c r="Z176">
        <f>IFERROR(INDEX(PP_Grid[#Data],$DD176,24),0)</f>
        <v/>
      </c>
      <c r="AA176">
        <f>IFERROR(INDEX(PP_Grid[#Data],$DD176,25),0)</f>
        <v/>
      </c>
      <c r="AB176">
        <f>IFERROR(INDEX(PP_Grid[#Data],$DD176,26),0)</f>
        <v/>
      </c>
      <c r="AC176">
        <f>IFERROR(INDEX(PP_Grid[#Data],$DD176,27),0)</f>
        <v/>
      </c>
      <c r="AD176">
        <f>IFERROR(INDEX(PP_Grid[#Data],$DD176,28),0)</f>
        <v/>
      </c>
      <c r="AE176">
        <f>IFERROR(INDEX(PP_Grid[#Data],$DD176,29),0)</f>
        <v/>
      </c>
      <c r="AF176">
        <f>IFERROR(INDEX(PP_Grid[#Data],$DD176,30),0)</f>
        <v/>
      </c>
      <c r="AG176">
        <f>IFERROR(INDEX(PP_Grid[#Data],$DD176,31),0)</f>
        <v/>
      </c>
      <c r="AH176">
        <f>IFERROR(INDEX(PP_Grid[#Data],$DD176,32),0)</f>
        <v/>
      </c>
      <c r="AI176">
        <f>IFERROR(INDEX(PP_Grid[#Data],$DD176,33),0)</f>
        <v/>
      </c>
      <c r="AJ176">
        <f>IFERROR(INDEX(PP_Grid[#Data],$DD176,34),0)</f>
        <v/>
      </c>
      <c r="AK176">
        <f>IFERROR(INDEX(PP_Grid[#Data],$DD176,35),0)</f>
        <v/>
      </c>
      <c r="AL176">
        <f>IFERROR(INDEX(PP_Grid[#Data],$DD176,36),0)</f>
        <v/>
      </c>
      <c r="AM176">
        <f>IFERROR(INDEX(PP_Grid[#Data],$DD176,37),0)</f>
        <v/>
      </c>
      <c r="AN176">
        <f>IFERROR(INDEX(PP_Grid[#Data],$DD176,38),0)</f>
        <v/>
      </c>
      <c r="AO176">
        <f>IFERROR(INDEX(PP_Grid[#Data],$DD176,39),0)</f>
        <v/>
      </c>
      <c r="AP176">
        <f>IFERROR(INDEX(PP_Grid[#Data],$DD176,40),0)</f>
        <v/>
      </c>
      <c r="AQ176">
        <f>IFERROR(INDEX(PP_Grid[#Data],$DD176,41),0)</f>
        <v/>
      </c>
      <c r="AR176">
        <f>IFERROR(INDEX(PP_Grid[#Data],$DD176,42),0)</f>
        <v/>
      </c>
      <c r="AS176">
        <f>IFERROR(INDEX(PP_Grid[#Data],$DD176,43),0)</f>
        <v/>
      </c>
      <c r="AT176">
        <f>IFERROR(INDEX(PP_Grid[#Data],$DD176,44),0)</f>
        <v/>
      </c>
      <c r="AU176">
        <f>IFERROR(INDEX(PP_Grid[#Data],$DD176,45),0)</f>
        <v/>
      </c>
      <c r="AV176">
        <f>IFERROR(INDEX(PP_Grid[#Data],$DD176,46),0)</f>
        <v/>
      </c>
      <c r="AW176">
        <f>IFERROR(INDEX(PP_Grid[#Data],$DD176,47),0)</f>
        <v/>
      </c>
      <c r="AX176">
        <f>IFERROR(INDEX(PP_Grid[#Data],$DD176,48),0)</f>
        <v/>
      </c>
      <c r="AY176">
        <f>IFERROR(INDEX(PP_Grid[#Data],$DD176,49),0)</f>
        <v/>
      </c>
      <c r="AZ176">
        <f>IFERROR(INDEX(PP_Grid[#Data],$DD176,50),0)</f>
        <v/>
      </c>
      <c r="BA176">
        <f>IFERROR(INDEX(PP_Grid[#Data],$DD176,51),0)</f>
        <v/>
      </c>
      <c r="BB176">
        <f>IFERROR(INDEX(PP_Grid[#Data],$DD176,52),0)</f>
        <v/>
      </c>
      <c r="BC176">
        <f>IFERROR(INDEX(PP_Grid[#Data],$DD176,53),0)</f>
        <v/>
      </c>
      <c r="BD176">
        <f>IFERROR(INDEX(PP_Grid[#Data],$DD176,54),0)</f>
        <v/>
      </c>
      <c r="BE176">
        <f>IFERROR(INDEX(PP_Grid[#Data],$DD176,55),0)</f>
        <v/>
      </c>
      <c r="BF176">
        <f>IFERROR(INDEX(PP_Grid[#Data],$DD176,56),0)</f>
        <v/>
      </c>
      <c r="BG176">
        <f>IFERROR(INDEX(PP_Grid[#Data],$DD176,57),0)</f>
        <v/>
      </c>
      <c r="BH176">
        <f>IFERROR(INDEX(PP_Grid[#Data],$DD176,58),0)</f>
        <v/>
      </c>
      <c r="BI176">
        <f>IFERROR(INDEX(PP_Grid[#Data],$DD176,59),0)</f>
        <v/>
      </c>
      <c r="BJ176">
        <f>IFERROR(INDEX(PP_Grid[#Data],$DD176,60),0)</f>
        <v/>
      </c>
      <c r="BK176">
        <f>IFERROR(INDEX(PP_Grid[#Data],$DD176,61),0)</f>
        <v/>
      </c>
      <c r="BL176">
        <f>IFERROR(INDEX(PP_Grid[#Data],$DD176,62),0)</f>
        <v/>
      </c>
      <c r="BM176">
        <f>IFERROR(INDEX(PP_Grid[#Data],$DD176,63),0)</f>
        <v/>
      </c>
      <c r="BN176">
        <f>IFERROR(INDEX(PP_Grid[#Data],$DD176,64),0)</f>
        <v/>
      </c>
      <c r="BO176">
        <f>IFERROR(INDEX(PP_Grid[#Data],$DD176,65),0)</f>
        <v/>
      </c>
      <c r="BP176">
        <f>IFERROR(INDEX(PP_Grid[#Data],$DD176,66),0)</f>
        <v/>
      </c>
      <c r="BQ176">
        <f>IFERROR(INDEX(PP_Grid[#Data],$DD176,67),0)</f>
        <v/>
      </c>
      <c r="BR176">
        <f>IFERROR(INDEX(PP_Grid[#Data],$DD176,68),0)</f>
        <v/>
      </c>
      <c r="BS176">
        <f>IFERROR(INDEX(PP_Grid[#Data],$DD176,69),0)</f>
        <v/>
      </c>
      <c r="BT176">
        <f>IFERROR(INDEX(PP_Grid[#Data],$DD176,70),0)</f>
        <v/>
      </c>
      <c r="BU176">
        <f>IFERROR(INDEX(PP_Grid[#Data],$DD176,71),0)</f>
        <v/>
      </c>
      <c r="BV176">
        <f>IFERROR(INDEX(PP_Grid[#Data],$DD176,72),0)</f>
        <v/>
      </c>
      <c r="BW176">
        <f>IFERROR(INDEX(PP_Grid[#Data],$DD176,73),0)</f>
        <v/>
      </c>
      <c r="BX176">
        <f>IFERROR(INDEX(PP_Grid[#Data],$DD176,74),0)</f>
        <v/>
      </c>
      <c r="BY176">
        <f>IFERROR(INDEX(PP_Grid[#Data],$DD176,75),0)</f>
        <v/>
      </c>
      <c r="BZ176">
        <f>IFERROR(INDEX(PP_Grid[#Data],$DD176,76),0)</f>
        <v/>
      </c>
      <c r="CA176">
        <f>IFERROR(INDEX(PP_Grid[#Data],$DD176,77),0)</f>
        <v/>
      </c>
      <c r="CB176">
        <f>IFERROR(INDEX(PP_Grid[#Data],$DD176,78),0)</f>
        <v/>
      </c>
      <c r="CC176">
        <f>IFERROR(INDEX(PP_Grid[#Data],$DD176,79),0)</f>
        <v/>
      </c>
      <c r="CD176">
        <f>IFERROR(INDEX(PP_Grid[#Data],$DD176,80),0)</f>
        <v/>
      </c>
      <c r="CE176">
        <f>IFERROR(INDEX(PP_Grid[#Data],$DD176,81),0)</f>
        <v/>
      </c>
      <c r="CF176">
        <f>IFERROR(INDEX(PP_Grid[#Data],$DD176,82),0)</f>
        <v/>
      </c>
      <c r="CG176">
        <f>IFERROR(INDEX(PP_Grid[#Data],$DD176,83),0)</f>
        <v/>
      </c>
      <c r="CH176">
        <f>IFERROR(INDEX(PP_Grid[#Data],$DD176,84),0)</f>
        <v/>
      </c>
      <c r="CI176">
        <f>IFERROR(INDEX(PP_Grid[#Data],$DD176,85),0)</f>
        <v/>
      </c>
      <c r="CJ176">
        <f>IFERROR(INDEX(PP_Grid[#Data],$DD176,86),0)</f>
        <v/>
      </c>
      <c r="CK176">
        <f>IFERROR(INDEX(PP_Grid[#Data],$DD176,87),0)</f>
        <v/>
      </c>
      <c r="CL176">
        <f>IFERROR(INDEX(PP_Grid[#Data],$DD176,88),0)</f>
        <v/>
      </c>
      <c r="CM176">
        <f>IFERROR(INDEX(PP_Grid[#Data],$DD176,89),0)</f>
        <v/>
      </c>
      <c r="CN176">
        <f>IFERROR(INDEX(PP_Grid[#Data],$DD176,90),0)</f>
        <v/>
      </c>
      <c r="CO176">
        <f>IFERROR(INDEX(PP_Grid[#Data],$DD176,91),0)</f>
        <v/>
      </c>
      <c r="CP176">
        <f>IFERROR(INDEX(PP_Grid[#Data],$DD176,92),0)</f>
        <v/>
      </c>
      <c r="CQ176">
        <f>IFERROR(INDEX(PP_Grid[#Data],$DD176,93),0)</f>
        <v/>
      </c>
      <c r="CR176">
        <f>IFERROR(INDEX(PP_Grid[#Data],$DD176,94),0)</f>
        <v/>
      </c>
      <c r="CS176">
        <f>IFERROR(INDEX(PP_Grid[#Data],$DD176,95),0)</f>
        <v/>
      </c>
      <c r="CT176">
        <f>IFERROR(INDEX(PP_Grid[#Data],$DD176,96),0)</f>
        <v/>
      </c>
      <c r="CU176">
        <f>IFERROR(INDEX(PP_Grid[#Data],$DD176,97),0)</f>
        <v/>
      </c>
      <c r="CV176">
        <f>IFERROR(INDEX(PP_Grid[#Data],$DD176,98),0)</f>
        <v/>
      </c>
      <c r="CW176">
        <f>IFERROR(INDEX(PP_Grid[#Data],$DD176,99),0)</f>
        <v/>
      </c>
      <c r="CX176">
        <f>IFERROR(INDEX(PP_Grid[#Data],$DD176,100),0)</f>
        <v/>
      </c>
      <c r="CY176">
        <f>IFERROR(INDEX(PP_Grid[#Data],$DD176,101),0)</f>
        <v/>
      </c>
      <c r="CZ176">
        <f>IFERROR(INDEX(PP_Grid[#Data],$DD176,102),0)</f>
        <v/>
      </c>
      <c r="DA176">
        <f>IFERROR(INDEX(PP_Grid[#Data],$DD176,103),0)</f>
        <v/>
      </c>
      <c r="DB176">
        <f>IFERROR(INDEX(PP_Grid[#Data],$DD176,104),0)</f>
        <v/>
      </c>
      <c r="DC176">
        <f>IFERROR(INDEX(PP_Grid[#Data],$DD176,105),0)</f>
        <v/>
      </c>
      <c r="DD176" s="12">
        <f>IFERROR(MATCH($B176,PP_Grid[Intermediate],0),99999)</f>
        <v/>
      </c>
    </row>
    <row r="177">
      <c r="B177" t="inlineStr">
        <is>
          <t>使用量(kg)</t>
        </is>
      </c>
      <c r="C177">
        <f>SUMIFS(M_BOM[RM_Qty_Per_Batch],M_BOM[Intermediate],$B176,M_BOM[Part Name],$A175)</f>
        <v/>
      </c>
      <c r="D177">
        <f>$C177*D176</f>
        <v/>
      </c>
      <c r="E177">
        <f>$C177*E176</f>
        <v/>
      </c>
      <c r="F177">
        <f>$C177*F176</f>
        <v/>
      </c>
      <c r="G177">
        <f>$C177*G176</f>
        <v/>
      </c>
      <c r="H177">
        <f>$C177*H176</f>
        <v/>
      </c>
      <c r="I177">
        <f>$C177*I176</f>
        <v/>
      </c>
      <c r="J177">
        <f>$C177*J176</f>
        <v/>
      </c>
      <c r="K177">
        <f>$C177*K176</f>
        <v/>
      </c>
      <c r="L177">
        <f>$C177*L176</f>
        <v/>
      </c>
      <c r="M177">
        <f>$C177*M176</f>
        <v/>
      </c>
      <c r="N177">
        <f>$C177*N176</f>
        <v/>
      </c>
      <c r="O177">
        <f>$C177*O176</f>
        <v/>
      </c>
      <c r="P177">
        <f>$C177*P176</f>
        <v/>
      </c>
      <c r="Q177">
        <f>$C177*Q176</f>
        <v/>
      </c>
      <c r="R177">
        <f>$C177*R176</f>
        <v/>
      </c>
      <c r="S177">
        <f>$C177*S176</f>
        <v/>
      </c>
      <c r="T177">
        <f>$C177*T176</f>
        <v/>
      </c>
      <c r="U177">
        <f>$C177*U176</f>
        <v/>
      </c>
      <c r="V177">
        <f>$C177*V176</f>
        <v/>
      </c>
      <c r="W177">
        <f>$C177*W176</f>
        <v/>
      </c>
      <c r="X177">
        <f>$C177*X176</f>
        <v/>
      </c>
      <c r="Y177">
        <f>$C177*Y176</f>
        <v/>
      </c>
      <c r="Z177">
        <f>$C177*Z176</f>
        <v/>
      </c>
      <c r="AA177">
        <f>$C177*AA176</f>
        <v/>
      </c>
      <c r="AB177">
        <f>$C177*AB176</f>
        <v/>
      </c>
      <c r="AC177">
        <f>$C177*AC176</f>
        <v/>
      </c>
      <c r="AD177">
        <f>$C177*AD176</f>
        <v/>
      </c>
      <c r="AE177">
        <f>$C177*AE176</f>
        <v/>
      </c>
      <c r="AF177">
        <f>$C177*AF176</f>
        <v/>
      </c>
      <c r="AG177">
        <f>$C177*AG176</f>
        <v/>
      </c>
      <c r="AH177">
        <f>$C177*AH176</f>
        <v/>
      </c>
      <c r="AI177">
        <f>$C177*AI176</f>
        <v/>
      </c>
      <c r="AJ177">
        <f>$C177*AJ176</f>
        <v/>
      </c>
      <c r="AK177">
        <f>$C177*AK176</f>
        <v/>
      </c>
      <c r="AL177">
        <f>$C177*AL176</f>
        <v/>
      </c>
      <c r="AM177">
        <f>$C177*AM176</f>
        <v/>
      </c>
      <c r="AN177">
        <f>$C177*AN176</f>
        <v/>
      </c>
      <c r="AO177">
        <f>$C177*AO176</f>
        <v/>
      </c>
      <c r="AP177">
        <f>$C177*AP176</f>
        <v/>
      </c>
      <c r="AQ177">
        <f>$C177*AQ176</f>
        <v/>
      </c>
      <c r="AR177">
        <f>$C177*AR176</f>
        <v/>
      </c>
      <c r="AS177">
        <f>$C177*AS176</f>
        <v/>
      </c>
      <c r="AT177">
        <f>$C177*AT176</f>
        <v/>
      </c>
      <c r="AU177">
        <f>$C177*AU176</f>
        <v/>
      </c>
      <c r="AV177">
        <f>$C177*AV176</f>
        <v/>
      </c>
      <c r="AW177">
        <f>$C177*AW176</f>
        <v/>
      </c>
      <c r="AX177">
        <f>$C177*AX176</f>
        <v/>
      </c>
      <c r="AY177">
        <f>$C177*AY176</f>
        <v/>
      </c>
      <c r="AZ177">
        <f>$C177*AZ176</f>
        <v/>
      </c>
      <c r="BA177">
        <f>$C177*BA176</f>
        <v/>
      </c>
      <c r="BB177">
        <f>$C177*BB176</f>
        <v/>
      </c>
      <c r="BC177">
        <f>$C177*BC176</f>
        <v/>
      </c>
      <c r="BD177">
        <f>$C177*BD176</f>
        <v/>
      </c>
      <c r="BE177">
        <f>$C177*BE176</f>
        <v/>
      </c>
      <c r="BF177">
        <f>$C177*BF176</f>
        <v/>
      </c>
      <c r="BG177">
        <f>$C177*BG176</f>
        <v/>
      </c>
      <c r="BH177">
        <f>$C177*BH176</f>
        <v/>
      </c>
      <c r="BI177">
        <f>$C177*BI176</f>
        <v/>
      </c>
      <c r="BJ177">
        <f>$C177*BJ176</f>
        <v/>
      </c>
      <c r="BK177">
        <f>$C177*BK176</f>
        <v/>
      </c>
      <c r="BL177">
        <f>$C177*BL176</f>
        <v/>
      </c>
      <c r="BM177">
        <f>$C177*BM176</f>
        <v/>
      </c>
      <c r="BN177">
        <f>$C177*BN176</f>
        <v/>
      </c>
      <c r="BO177">
        <f>$C177*BO176</f>
        <v/>
      </c>
      <c r="BP177">
        <f>$C177*BP176</f>
        <v/>
      </c>
      <c r="BQ177">
        <f>$C177*BQ176</f>
        <v/>
      </c>
      <c r="BR177">
        <f>$C177*BR176</f>
        <v/>
      </c>
      <c r="BS177">
        <f>$C177*BS176</f>
        <v/>
      </c>
      <c r="BT177">
        <f>$C177*BT176</f>
        <v/>
      </c>
      <c r="BU177">
        <f>$C177*BU176</f>
        <v/>
      </c>
      <c r="BV177">
        <f>$C177*BV176</f>
        <v/>
      </c>
      <c r="BW177">
        <f>$C177*BW176</f>
        <v/>
      </c>
      <c r="BX177">
        <f>$C177*BX176</f>
        <v/>
      </c>
      <c r="BY177">
        <f>$C177*BY176</f>
        <v/>
      </c>
      <c r="BZ177">
        <f>$C177*BZ176</f>
        <v/>
      </c>
      <c r="CA177">
        <f>$C177*CA176</f>
        <v/>
      </c>
      <c r="CB177">
        <f>$C177*CB176</f>
        <v/>
      </c>
      <c r="CC177">
        <f>$C177*CC176</f>
        <v/>
      </c>
      <c r="CD177">
        <f>$C177*CD176</f>
        <v/>
      </c>
      <c r="CE177">
        <f>$C177*CE176</f>
        <v/>
      </c>
      <c r="CF177">
        <f>$C177*CF176</f>
        <v/>
      </c>
      <c r="CG177">
        <f>$C177*CG176</f>
        <v/>
      </c>
      <c r="CH177">
        <f>$C177*CH176</f>
        <v/>
      </c>
      <c r="CI177">
        <f>$C177*CI176</f>
        <v/>
      </c>
      <c r="CJ177">
        <f>$C177*CJ176</f>
        <v/>
      </c>
      <c r="CK177">
        <f>$C177*CK176</f>
        <v/>
      </c>
      <c r="CL177">
        <f>$C177*CL176</f>
        <v/>
      </c>
      <c r="CM177">
        <f>$C177*CM176</f>
        <v/>
      </c>
      <c r="CN177">
        <f>$C177*CN176</f>
        <v/>
      </c>
      <c r="CO177">
        <f>$C177*CO176</f>
        <v/>
      </c>
      <c r="CP177">
        <f>$C177*CP176</f>
        <v/>
      </c>
      <c r="CQ177">
        <f>$C177*CQ176</f>
        <v/>
      </c>
      <c r="CR177">
        <f>$C177*CR176</f>
        <v/>
      </c>
      <c r="CS177">
        <f>$C177*CS176</f>
        <v/>
      </c>
      <c r="CT177">
        <f>$C177*CT176</f>
        <v/>
      </c>
      <c r="CU177">
        <f>$C177*CU176</f>
        <v/>
      </c>
      <c r="CV177">
        <f>$C177*CV176</f>
        <v/>
      </c>
      <c r="CW177">
        <f>$C177*CW176</f>
        <v/>
      </c>
      <c r="CX177">
        <f>$C177*CX176</f>
        <v/>
      </c>
      <c r="CY177">
        <f>$C177*CY176</f>
        <v/>
      </c>
      <c r="CZ177">
        <f>$C177*CZ176</f>
        <v/>
      </c>
      <c r="DA177">
        <f>$C177*DA176</f>
        <v/>
      </c>
      <c r="DB177">
        <f>$C177*DB176</f>
        <v/>
      </c>
      <c r="DC177">
        <f>$C177*DC176</f>
        <v/>
      </c>
    </row>
    <row r="178">
      <c r="B178" t="inlineStr">
        <is>
          <t>TPP-699</t>
        </is>
      </c>
      <c r="C178" t="inlineStr">
        <is>
          <t>No. of batches</t>
        </is>
      </c>
      <c r="D178">
        <f>IFERROR(INDEX(PP_Grid[#Data],$DD178,2),0)</f>
        <v/>
      </c>
      <c r="E178">
        <f>IFERROR(INDEX(PP_Grid[#Data],$DD178,3),0)</f>
        <v/>
      </c>
      <c r="F178">
        <f>IFERROR(INDEX(PP_Grid[#Data],$DD178,4),0)</f>
        <v/>
      </c>
      <c r="G178">
        <f>IFERROR(INDEX(PP_Grid[#Data],$DD178,5),0)</f>
        <v/>
      </c>
      <c r="H178">
        <f>IFERROR(INDEX(PP_Grid[#Data],$DD178,6),0)</f>
        <v/>
      </c>
      <c r="I178">
        <f>IFERROR(INDEX(PP_Grid[#Data],$DD178,7),0)</f>
        <v/>
      </c>
      <c r="J178">
        <f>IFERROR(INDEX(PP_Grid[#Data],$DD178,8),0)</f>
        <v/>
      </c>
      <c r="K178">
        <f>IFERROR(INDEX(PP_Grid[#Data],$DD178,9),0)</f>
        <v/>
      </c>
      <c r="L178">
        <f>IFERROR(INDEX(PP_Grid[#Data],$DD178,10),0)</f>
        <v/>
      </c>
      <c r="M178">
        <f>IFERROR(INDEX(PP_Grid[#Data],$DD178,11),0)</f>
        <v/>
      </c>
      <c r="N178">
        <f>IFERROR(INDEX(PP_Grid[#Data],$DD178,12),0)</f>
        <v/>
      </c>
      <c r="O178">
        <f>IFERROR(INDEX(PP_Grid[#Data],$DD178,13),0)</f>
        <v/>
      </c>
      <c r="P178">
        <f>IFERROR(INDEX(PP_Grid[#Data],$DD178,14),0)</f>
        <v/>
      </c>
      <c r="Q178">
        <f>IFERROR(INDEX(PP_Grid[#Data],$DD178,15),0)</f>
        <v/>
      </c>
      <c r="R178">
        <f>IFERROR(INDEX(PP_Grid[#Data],$DD178,16),0)</f>
        <v/>
      </c>
      <c r="S178">
        <f>IFERROR(INDEX(PP_Grid[#Data],$DD178,17),0)</f>
        <v/>
      </c>
      <c r="T178">
        <f>IFERROR(INDEX(PP_Grid[#Data],$DD178,18),0)</f>
        <v/>
      </c>
      <c r="U178">
        <f>IFERROR(INDEX(PP_Grid[#Data],$DD178,19),0)</f>
        <v/>
      </c>
      <c r="V178">
        <f>IFERROR(INDEX(PP_Grid[#Data],$DD178,20),0)</f>
        <v/>
      </c>
      <c r="W178">
        <f>IFERROR(INDEX(PP_Grid[#Data],$DD178,21),0)</f>
        <v/>
      </c>
      <c r="X178">
        <f>IFERROR(INDEX(PP_Grid[#Data],$DD178,22),0)</f>
        <v/>
      </c>
      <c r="Y178">
        <f>IFERROR(INDEX(PP_Grid[#Data],$DD178,23),0)</f>
        <v/>
      </c>
      <c r="Z178">
        <f>IFERROR(INDEX(PP_Grid[#Data],$DD178,24),0)</f>
        <v/>
      </c>
      <c r="AA178">
        <f>IFERROR(INDEX(PP_Grid[#Data],$DD178,25),0)</f>
        <v/>
      </c>
      <c r="AB178">
        <f>IFERROR(INDEX(PP_Grid[#Data],$DD178,26),0)</f>
        <v/>
      </c>
      <c r="AC178">
        <f>IFERROR(INDEX(PP_Grid[#Data],$DD178,27),0)</f>
        <v/>
      </c>
      <c r="AD178">
        <f>IFERROR(INDEX(PP_Grid[#Data],$DD178,28),0)</f>
        <v/>
      </c>
      <c r="AE178">
        <f>IFERROR(INDEX(PP_Grid[#Data],$DD178,29),0)</f>
        <v/>
      </c>
      <c r="AF178">
        <f>IFERROR(INDEX(PP_Grid[#Data],$DD178,30),0)</f>
        <v/>
      </c>
      <c r="AG178">
        <f>IFERROR(INDEX(PP_Grid[#Data],$DD178,31),0)</f>
        <v/>
      </c>
      <c r="AH178">
        <f>IFERROR(INDEX(PP_Grid[#Data],$DD178,32),0)</f>
        <v/>
      </c>
      <c r="AI178">
        <f>IFERROR(INDEX(PP_Grid[#Data],$DD178,33),0)</f>
        <v/>
      </c>
      <c r="AJ178">
        <f>IFERROR(INDEX(PP_Grid[#Data],$DD178,34),0)</f>
        <v/>
      </c>
      <c r="AK178">
        <f>IFERROR(INDEX(PP_Grid[#Data],$DD178,35),0)</f>
        <v/>
      </c>
      <c r="AL178">
        <f>IFERROR(INDEX(PP_Grid[#Data],$DD178,36),0)</f>
        <v/>
      </c>
      <c r="AM178">
        <f>IFERROR(INDEX(PP_Grid[#Data],$DD178,37),0)</f>
        <v/>
      </c>
      <c r="AN178">
        <f>IFERROR(INDEX(PP_Grid[#Data],$DD178,38),0)</f>
        <v/>
      </c>
      <c r="AO178">
        <f>IFERROR(INDEX(PP_Grid[#Data],$DD178,39),0)</f>
        <v/>
      </c>
      <c r="AP178">
        <f>IFERROR(INDEX(PP_Grid[#Data],$DD178,40),0)</f>
        <v/>
      </c>
      <c r="AQ178">
        <f>IFERROR(INDEX(PP_Grid[#Data],$DD178,41),0)</f>
        <v/>
      </c>
      <c r="AR178">
        <f>IFERROR(INDEX(PP_Grid[#Data],$DD178,42),0)</f>
        <v/>
      </c>
      <c r="AS178">
        <f>IFERROR(INDEX(PP_Grid[#Data],$DD178,43),0)</f>
        <v/>
      </c>
      <c r="AT178">
        <f>IFERROR(INDEX(PP_Grid[#Data],$DD178,44),0)</f>
        <v/>
      </c>
      <c r="AU178">
        <f>IFERROR(INDEX(PP_Grid[#Data],$DD178,45),0)</f>
        <v/>
      </c>
      <c r="AV178">
        <f>IFERROR(INDEX(PP_Grid[#Data],$DD178,46),0)</f>
        <v/>
      </c>
      <c r="AW178">
        <f>IFERROR(INDEX(PP_Grid[#Data],$DD178,47),0)</f>
        <v/>
      </c>
      <c r="AX178">
        <f>IFERROR(INDEX(PP_Grid[#Data],$DD178,48),0)</f>
        <v/>
      </c>
      <c r="AY178">
        <f>IFERROR(INDEX(PP_Grid[#Data],$DD178,49),0)</f>
        <v/>
      </c>
      <c r="AZ178">
        <f>IFERROR(INDEX(PP_Grid[#Data],$DD178,50),0)</f>
        <v/>
      </c>
      <c r="BA178">
        <f>IFERROR(INDEX(PP_Grid[#Data],$DD178,51),0)</f>
        <v/>
      </c>
      <c r="BB178">
        <f>IFERROR(INDEX(PP_Grid[#Data],$DD178,52),0)</f>
        <v/>
      </c>
      <c r="BC178">
        <f>IFERROR(INDEX(PP_Grid[#Data],$DD178,53),0)</f>
        <v/>
      </c>
      <c r="BD178">
        <f>IFERROR(INDEX(PP_Grid[#Data],$DD178,54),0)</f>
        <v/>
      </c>
      <c r="BE178">
        <f>IFERROR(INDEX(PP_Grid[#Data],$DD178,55),0)</f>
        <v/>
      </c>
      <c r="BF178">
        <f>IFERROR(INDEX(PP_Grid[#Data],$DD178,56),0)</f>
        <v/>
      </c>
      <c r="BG178">
        <f>IFERROR(INDEX(PP_Grid[#Data],$DD178,57),0)</f>
        <v/>
      </c>
      <c r="BH178">
        <f>IFERROR(INDEX(PP_Grid[#Data],$DD178,58),0)</f>
        <v/>
      </c>
      <c r="BI178">
        <f>IFERROR(INDEX(PP_Grid[#Data],$DD178,59),0)</f>
        <v/>
      </c>
      <c r="BJ178">
        <f>IFERROR(INDEX(PP_Grid[#Data],$DD178,60),0)</f>
        <v/>
      </c>
      <c r="BK178">
        <f>IFERROR(INDEX(PP_Grid[#Data],$DD178,61),0)</f>
        <v/>
      </c>
      <c r="BL178">
        <f>IFERROR(INDEX(PP_Grid[#Data],$DD178,62),0)</f>
        <v/>
      </c>
      <c r="BM178">
        <f>IFERROR(INDEX(PP_Grid[#Data],$DD178,63),0)</f>
        <v/>
      </c>
      <c r="BN178">
        <f>IFERROR(INDEX(PP_Grid[#Data],$DD178,64),0)</f>
        <v/>
      </c>
      <c r="BO178">
        <f>IFERROR(INDEX(PP_Grid[#Data],$DD178,65),0)</f>
        <v/>
      </c>
      <c r="BP178">
        <f>IFERROR(INDEX(PP_Grid[#Data],$DD178,66),0)</f>
        <v/>
      </c>
      <c r="BQ178">
        <f>IFERROR(INDEX(PP_Grid[#Data],$DD178,67),0)</f>
        <v/>
      </c>
      <c r="BR178">
        <f>IFERROR(INDEX(PP_Grid[#Data],$DD178,68),0)</f>
        <v/>
      </c>
      <c r="BS178">
        <f>IFERROR(INDEX(PP_Grid[#Data],$DD178,69),0)</f>
        <v/>
      </c>
      <c r="BT178">
        <f>IFERROR(INDEX(PP_Grid[#Data],$DD178,70),0)</f>
        <v/>
      </c>
      <c r="BU178">
        <f>IFERROR(INDEX(PP_Grid[#Data],$DD178,71),0)</f>
        <v/>
      </c>
      <c r="BV178">
        <f>IFERROR(INDEX(PP_Grid[#Data],$DD178,72),0)</f>
        <v/>
      </c>
      <c r="BW178">
        <f>IFERROR(INDEX(PP_Grid[#Data],$DD178,73),0)</f>
        <v/>
      </c>
      <c r="BX178">
        <f>IFERROR(INDEX(PP_Grid[#Data],$DD178,74),0)</f>
        <v/>
      </c>
      <c r="BY178">
        <f>IFERROR(INDEX(PP_Grid[#Data],$DD178,75),0)</f>
        <v/>
      </c>
      <c r="BZ178">
        <f>IFERROR(INDEX(PP_Grid[#Data],$DD178,76),0)</f>
        <v/>
      </c>
      <c r="CA178">
        <f>IFERROR(INDEX(PP_Grid[#Data],$DD178,77),0)</f>
        <v/>
      </c>
      <c r="CB178">
        <f>IFERROR(INDEX(PP_Grid[#Data],$DD178,78),0)</f>
        <v/>
      </c>
      <c r="CC178">
        <f>IFERROR(INDEX(PP_Grid[#Data],$DD178,79),0)</f>
        <v/>
      </c>
      <c r="CD178">
        <f>IFERROR(INDEX(PP_Grid[#Data],$DD178,80),0)</f>
        <v/>
      </c>
      <c r="CE178">
        <f>IFERROR(INDEX(PP_Grid[#Data],$DD178,81),0)</f>
        <v/>
      </c>
      <c r="CF178">
        <f>IFERROR(INDEX(PP_Grid[#Data],$DD178,82),0)</f>
        <v/>
      </c>
      <c r="CG178">
        <f>IFERROR(INDEX(PP_Grid[#Data],$DD178,83),0)</f>
        <v/>
      </c>
      <c r="CH178">
        <f>IFERROR(INDEX(PP_Grid[#Data],$DD178,84),0)</f>
        <v/>
      </c>
      <c r="CI178">
        <f>IFERROR(INDEX(PP_Grid[#Data],$DD178,85),0)</f>
        <v/>
      </c>
      <c r="CJ178">
        <f>IFERROR(INDEX(PP_Grid[#Data],$DD178,86),0)</f>
        <v/>
      </c>
      <c r="CK178">
        <f>IFERROR(INDEX(PP_Grid[#Data],$DD178,87),0)</f>
        <v/>
      </c>
      <c r="CL178">
        <f>IFERROR(INDEX(PP_Grid[#Data],$DD178,88),0)</f>
        <v/>
      </c>
      <c r="CM178">
        <f>IFERROR(INDEX(PP_Grid[#Data],$DD178,89),0)</f>
        <v/>
      </c>
      <c r="CN178">
        <f>IFERROR(INDEX(PP_Grid[#Data],$DD178,90),0)</f>
        <v/>
      </c>
      <c r="CO178">
        <f>IFERROR(INDEX(PP_Grid[#Data],$DD178,91),0)</f>
        <v/>
      </c>
      <c r="CP178">
        <f>IFERROR(INDEX(PP_Grid[#Data],$DD178,92),0)</f>
        <v/>
      </c>
      <c r="CQ178">
        <f>IFERROR(INDEX(PP_Grid[#Data],$DD178,93),0)</f>
        <v/>
      </c>
      <c r="CR178">
        <f>IFERROR(INDEX(PP_Grid[#Data],$DD178,94),0)</f>
        <v/>
      </c>
      <c r="CS178">
        <f>IFERROR(INDEX(PP_Grid[#Data],$DD178,95),0)</f>
        <v/>
      </c>
      <c r="CT178">
        <f>IFERROR(INDEX(PP_Grid[#Data],$DD178,96),0)</f>
        <v/>
      </c>
      <c r="CU178">
        <f>IFERROR(INDEX(PP_Grid[#Data],$DD178,97),0)</f>
        <v/>
      </c>
      <c r="CV178">
        <f>IFERROR(INDEX(PP_Grid[#Data],$DD178,98),0)</f>
        <v/>
      </c>
      <c r="CW178">
        <f>IFERROR(INDEX(PP_Grid[#Data],$DD178,99),0)</f>
        <v/>
      </c>
      <c r="CX178">
        <f>IFERROR(INDEX(PP_Grid[#Data],$DD178,100),0)</f>
        <v/>
      </c>
      <c r="CY178">
        <f>IFERROR(INDEX(PP_Grid[#Data],$DD178,101),0)</f>
        <v/>
      </c>
      <c r="CZ178">
        <f>IFERROR(INDEX(PP_Grid[#Data],$DD178,102),0)</f>
        <v/>
      </c>
      <c r="DA178">
        <f>IFERROR(INDEX(PP_Grid[#Data],$DD178,103),0)</f>
        <v/>
      </c>
      <c r="DB178">
        <f>IFERROR(INDEX(PP_Grid[#Data],$DD178,104),0)</f>
        <v/>
      </c>
      <c r="DC178">
        <f>IFERROR(INDEX(PP_Grid[#Data],$DD178,105),0)</f>
        <v/>
      </c>
      <c r="DD178" s="12">
        <f>IFERROR(MATCH($B178,PP_Grid[Intermediate],0),99999)</f>
        <v/>
      </c>
    </row>
    <row r="179">
      <c r="B179" t="inlineStr">
        <is>
          <t>使用量(kg)</t>
        </is>
      </c>
      <c r="C179">
        <f>SUMIFS(M_BOM[RM_Qty_Per_Batch],M_BOM[Intermediate],$B178,M_BOM[Part Name],$A175)</f>
        <v/>
      </c>
      <c r="D179">
        <f>$C179*D178</f>
        <v/>
      </c>
      <c r="E179">
        <f>$C179*E178</f>
        <v/>
      </c>
      <c r="F179">
        <f>$C179*F178</f>
        <v/>
      </c>
      <c r="G179">
        <f>$C179*G178</f>
        <v/>
      </c>
      <c r="H179">
        <f>$C179*H178</f>
        <v/>
      </c>
      <c r="I179">
        <f>$C179*I178</f>
        <v/>
      </c>
      <c r="J179">
        <f>$C179*J178</f>
        <v/>
      </c>
      <c r="K179">
        <f>$C179*K178</f>
        <v/>
      </c>
      <c r="L179">
        <f>$C179*L178</f>
        <v/>
      </c>
      <c r="M179">
        <f>$C179*M178</f>
        <v/>
      </c>
      <c r="N179">
        <f>$C179*N178</f>
        <v/>
      </c>
      <c r="O179">
        <f>$C179*O178</f>
        <v/>
      </c>
      <c r="P179">
        <f>$C179*P178</f>
        <v/>
      </c>
      <c r="Q179">
        <f>$C179*Q178</f>
        <v/>
      </c>
      <c r="R179">
        <f>$C179*R178</f>
        <v/>
      </c>
      <c r="S179">
        <f>$C179*S178</f>
        <v/>
      </c>
      <c r="T179">
        <f>$C179*T178</f>
        <v/>
      </c>
      <c r="U179">
        <f>$C179*U178</f>
        <v/>
      </c>
      <c r="V179">
        <f>$C179*V178</f>
        <v/>
      </c>
      <c r="W179">
        <f>$C179*W178</f>
        <v/>
      </c>
      <c r="X179">
        <f>$C179*X178</f>
        <v/>
      </c>
      <c r="Y179">
        <f>$C179*Y178</f>
        <v/>
      </c>
      <c r="Z179">
        <f>$C179*Z178</f>
        <v/>
      </c>
      <c r="AA179">
        <f>$C179*AA178</f>
        <v/>
      </c>
      <c r="AB179">
        <f>$C179*AB178</f>
        <v/>
      </c>
      <c r="AC179">
        <f>$C179*AC178</f>
        <v/>
      </c>
      <c r="AD179">
        <f>$C179*AD178</f>
        <v/>
      </c>
      <c r="AE179">
        <f>$C179*AE178</f>
        <v/>
      </c>
      <c r="AF179">
        <f>$C179*AF178</f>
        <v/>
      </c>
      <c r="AG179">
        <f>$C179*AG178</f>
        <v/>
      </c>
      <c r="AH179">
        <f>$C179*AH178</f>
        <v/>
      </c>
      <c r="AI179">
        <f>$C179*AI178</f>
        <v/>
      </c>
      <c r="AJ179">
        <f>$C179*AJ178</f>
        <v/>
      </c>
      <c r="AK179">
        <f>$C179*AK178</f>
        <v/>
      </c>
      <c r="AL179">
        <f>$C179*AL178</f>
        <v/>
      </c>
      <c r="AM179">
        <f>$C179*AM178</f>
        <v/>
      </c>
      <c r="AN179">
        <f>$C179*AN178</f>
        <v/>
      </c>
      <c r="AO179">
        <f>$C179*AO178</f>
        <v/>
      </c>
      <c r="AP179">
        <f>$C179*AP178</f>
        <v/>
      </c>
      <c r="AQ179">
        <f>$C179*AQ178</f>
        <v/>
      </c>
      <c r="AR179">
        <f>$C179*AR178</f>
        <v/>
      </c>
      <c r="AS179">
        <f>$C179*AS178</f>
        <v/>
      </c>
      <c r="AT179">
        <f>$C179*AT178</f>
        <v/>
      </c>
      <c r="AU179">
        <f>$C179*AU178</f>
        <v/>
      </c>
      <c r="AV179">
        <f>$C179*AV178</f>
        <v/>
      </c>
      <c r="AW179">
        <f>$C179*AW178</f>
        <v/>
      </c>
      <c r="AX179">
        <f>$C179*AX178</f>
        <v/>
      </c>
      <c r="AY179">
        <f>$C179*AY178</f>
        <v/>
      </c>
      <c r="AZ179">
        <f>$C179*AZ178</f>
        <v/>
      </c>
      <c r="BA179">
        <f>$C179*BA178</f>
        <v/>
      </c>
      <c r="BB179">
        <f>$C179*BB178</f>
        <v/>
      </c>
      <c r="BC179">
        <f>$C179*BC178</f>
        <v/>
      </c>
      <c r="BD179">
        <f>$C179*BD178</f>
        <v/>
      </c>
      <c r="BE179">
        <f>$C179*BE178</f>
        <v/>
      </c>
      <c r="BF179">
        <f>$C179*BF178</f>
        <v/>
      </c>
      <c r="BG179">
        <f>$C179*BG178</f>
        <v/>
      </c>
      <c r="BH179">
        <f>$C179*BH178</f>
        <v/>
      </c>
      <c r="BI179">
        <f>$C179*BI178</f>
        <v/>
      </c>
      <c r="BJ179">
        <f>$C179*BJ178</f>
        <v/>
      </c>
      <c r="BK179">
        <f>$C179*BK178</f>
        <v/>
      </c>
      <c r="BL179">
        <f>$C179*BL178</f>
        <v/>
      </c>
      <c r="BM179">
        <f>$C179*BM178</f>
        <v/>
      </c>
      <c r="BN179">
        <f>$C179*BN178</f>
        <v/>
      </c>
      <c r="BO179">
        <f>$C179*BO178</f>
        <v/>
      </c>
      <c r="BP179">
        <f>$C179*BP178</f>
        <v/>
      </c>
      <c r="BQ179">
        <f>$C179*BQ178</f>
        <v/>
      </c>
      <c r="BR179">
        <f>$C179*BR178</f>
        <v/>
      </c>
      <c r="BS179">
        <f>$C179*BS178</f>
        <v/>
      </c>
      <c r="BT179">
        <f>$C179*BT178</f>
        <v/>
      </c>
      <c r="BU179">
        <f>$C179*BU178</f>
        <v/>
      </c>
      <c r="BV179">
        <f>$C179*BV178</f>
        <v/>
      </c>
      <c r="BW179">
        <f>$C179*BW178</f>
        <v/>
      </c>
      <c r="BX179">
        <f>$C179*BX178</f>
        <v/>
      </c>
      <c r="BY179">
        <f>$C179*BY178</f>
        <v/>
      </c>
      <c r="BZ179">
        <f>$C179*BZ178</f>
        <v/>
      </c>
      <c r="CA179">
        <f>$C179*CA178</f>
        <v/>
      </c>
      <c r="CB179">
        <f>$C179*CB178</f>
        <v/>
      </c>
      <c r="CC179">
        <f>$C179*CC178</f>
        <v/>
      </c>
      <c r="CD179">
        <f>$C179*CD178</f>
        <v/>
      </c>
      <c r="CE179">
        <f>$C179*CE178</f>
        <v/>
      </c>
      <c r="CF179">
        <f>$C179*CF178</f>
        <v/>
      </c>
      <c r="CG179">
        <f>$C179*CG178</f>
        <v/>
      </c>
      <c r="CH179">
        <f>$C179*CH178</f>
        <v/>
      </c>
      <c r="CI179">
        <f>$C179*CI178</f>
        <v/>
      </c>
      <c r="CJ179">
        <f>$C179*CJ178</f>
        <v/>
      </c>
      <c r="CK179">
        <f>$C179*CK178</f>
        <v/>
      </c>
      <c r="CL179">
        <f>$C179*CL178</f>
        <v/>
      </c>
      <c r="CM179">
        <f>$C179*CM178</f>
        <v/>
      </c>
      <c r="CN179">
        <f>$C179*CN178</f>
        <v/>
      </c>
      <c r="CO179">
        <f>$C179*CO178</f>
        <v/>
      </c>
      <c r="CP179">
        <f>$C179*CP178</f>
        <v/>
      </c>
      <c r="CQ179">
        <f>$C179*CQ178</f>
        <v/>
      </c>
      <c r="CR179">
        <f>$C179*CR178</f>
        <v/>
      </c>
      <c r="CS179">
        <f>$C179*CS178</f>
        <v/>
      </c>
      <c r="CT179">
        <f>$C179*CT178</f>
        <v/>
      </c>
      <c r="CU179">
        <f>$C179*CU178</f>
        <v/>
      </c>
      <c r="CV179">
        <f>$C179*CV178</f>
        <v/>
      </c>
      <c r="CW179">
        <f>$C179*CW178</f>
        <v/>
      </c>
      <c r="CX179">
        <f>$C179*CX178</f>
        <v/>
      </c>
      <c r="CY179">
        <f>$C179*CY178</f>
        <v/>
      </c>
      <c r="CZ179">
        <f>$C179*CZ178</f>
        <v/>
      </c>
      <c r="DA179">
        <f>$C179*DA178</f>
        <v/>
      </c>
      <c r="DB179">
        <f>$C179*DB178</f>
        <v/>
      </c>
      <c r="DC179">
        <f>$C179*DC178</f>
        <v/>
      </c>
    </row>
    <row r="180">
      <c r="B180" t="inlineStr">
        <is>
          <t>TPP-700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12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Name],$A175)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t="inlineStr">
        <is>
          <t>TPP-701</t>
        </is>
      </c>
      <c r="C182" t="inlineStr">
        <is>
          <t>No. of batches</t>
        </is>
      </c>
      <c r="D182">
        <f>IFERROR(INDEX(PP_Grid[#Data],$DD182,2),0)</f>
        <v/>
      </c>
      <c r="E182">
        <f>IFERROR(INDEX(PP_Grid[#Data],$DD182,3),0)</f>
        <v/>
      </c>
      <c r="F182">
        <f>IFERROR(INDEX(PP_Grid[#Data],$DD182,4),0)</f>
        <v/>
      </c>
      <c r="G182">
        <f>IFERROR(INDEX(PP_Grid[#Data],$DD182,5),0)</f>
        <v/>
      </c>
      <c r="H182">
        <f>IFERROR(INDEX(PP_Grid[#Data],$DD182,6),0)</f>
        <v/>
      </c>
      <c r="I182">
        <f>IFERROR(INDEX(PP_Grid[#Data],$DD182,7),0)</f>
        <v/>
      </c>
      <c r="J182">
        <f>IFERROR(INDEX(PP_Grid[#Data],$DD182,8),0)</f>
        <v/>
      </c>
      <c r="K182">
        <f>IFERROR(INDEX(PP_Grid[#Data],$DD182,9),0)</f>
        <v/>
      </c>
      <c r="L182">
        <f>IFERROR(INDEX(PP_Grid[#Data],$DD182,10),0)</f>
        <v/>
      </c>
      <c r="M182">
        <f>IFERROR(INDEX(PP_Grid[#Data],$DD182,11),0)</f>
        <v/>
      </c>
      <c r="N182">
        <f>IFERROR(INDEX(PP_Grid[#Data],$DD182,12),0)</f>
        <v/>
      </c>
      <c r="O182">
        <f>IFERROR(INDEX(PP_Grid[#Data],$DD182,13),0)</f>
        <v/>
      </c>
      <c r="P182">
        <f>IFERROR(INDEX(PP_Grid[#Data],$DD182,14),0)</f>
        <v/>
      </c>
      <c r="Q182">
        <f>IFERROR(INDEX(PP_Grid[#Data],$DD182,15),0)</f>
        <v/>
      </c>
      <c r="R182">
        <f>IFERROR(INDEX(PP_Grid[#Data],$DD182,16),0)</f>
        <v/>
      </c>
      <c r="S182">
        <f>IFERROR(INDEX(PP_Grid[#Data],$DD182,17),0)</f>
        <v/>
      </c>
      <c r="T182">
        <f>IFERROR(INDEX(PP_Grid[#Data],$DD182,18),0)</f>
        <v/>
      </c>
      <c r="U182">
        <f>IFERROR(INDEX(PP_Grid[#Data],$DD182,19),0)</f>
        <v/>
      </c>
      <c r="V182">
        <f>IFERROR(INDEX(PP_Grid[#Data],$DD182,20),0)</f>
        <v/>
      </c>
      <c r="W182">
        <f>IFERROR(INDEX(PP_Grid[#Data],$DD182,21),0)</f>
        <v/>
      </c>
      <c r="X182">
        <f>IFERROR(INDEX(PP_Grid[#Data],$DD182,22),0)</f>
        <v/>
      </c>
      <c r="Y182">
        <f>IFERROR(INDEX(PP_Grid[#Data],$DD182,23),0)</f>
        <v/>
      </c>
      <c r="Z182">
        <f>IFERROR(INDEX(PP_Grid[#Data],$DD182,24),0)</f>
        <v/>
      </c>
      <c r="AA182">
        <f>IFERROR(INDEX(PP_Grid[#Data],$DD182,25),0)</f>
        <v/>
      </c>
      <c r="AB182">
        <f>IFERROR(INDEX(PP_Grid[#Data],$DD182,26),0)</f>
        <v/>
      </c>
      <c r="AC182">
        <f>IFERROR(INDEX(PP_Grid[#Data],$DD182,27),0)</f>
        <v/>
      </c>
      <c r="AD182">
        <f>IFERROR(INDEX(PP_Grid[#Data],$DD182,28),0)</f>
        <v/>
      </c>
      <c r="AE182">
        <f>IFERROR(INDEX(PP_Grid[#Data],$DD182,29),0)</f>
        <v/>
      </c>
      <c r="AF182">
        <f>IFERROR(INDEX(PP_Grid[#Data],$DD182,30),0)</f>
        <v/>
      </c>
      <c r="AG182">
        <f>IFERROR(INDEX(PP_Grid[#Data],$DD182,31),0)</f>
        <v/>
      </c>
      <c r="AH182">
        <f>IFERROR(INDEX(PP_Grid[#Data],$DD182,32),0)</f>
        <v/>
      </c>
      <c r="AI182">
        <f>IFERROR(INDEX(PP_Grid[#Data],$DD182,33),0)</f>
        <v/>
      </c>
      <c r="AJ182">
        <f>IFERROR(INDEX(PP_Grid[#Data],$DD182,34),0)</f>
        <v/>
      </c>
      <c r="AK182">
        <f>IFERROR(INDEX(PP_Grid[#Data],$DD182,35),0)</f>
        <v/>
      </c>
      <c r="AL182">
        <f>IFERROR(INDEX(PP_Grid[#Data],$DD182,36),0)</f>
        <v/>
      </c>
      <c r="AM182">
        <f>IFERROR(INDEX(PP_Grid[#Data],$DD182,37),0)</f>
        <v/>
      </c>
      <c r="AN182">
        <f>IFERROR(INDEX(PP_Grid[#Data],$DD182,38),0)</f>
        <v/>
      </c>
      <c r="AO182">
        <f>IFERROR(INDEX(PP_Grid[#Data],$DD182,39),0)</f>
        <v/>
      </c>
      <c r="AP182">
        <f>IFERROR(INDEX(PP_Grid[#Data],$DD182,40),0)</f>
        <v/>
      </c>
      <c r="AQ182">
        <f>IFERROR(INDEX(PP_Grid[#Data],$DD182,41),0)</f>
        <v/>
      </c>
      <c r="AR182">
        <f>IFERROR(INDEX(PP_Grid[#Data],$DD182,42),0)</f>
        <v/>
      </c>
      <c r="AS182">
        <f>IFERROR(INDEX(PP_Grid[#Data],$DD182,43),0)</f>
        <v/>
      </c>
      <c r="AT182">
        <f>IFERROR(INDEX(PP_Grid[#Data],$DD182,44),0)</f>
        <v/>
      </c>
      <c r="AU182">
        <f>IFERROR(INDEX(PP_Grid[#Data],$DD182,45),0)</f>
        <v/>
      </c>
      <c r="AV182">
        <f>IFERROR(INDEX(PP_Grid[#Data],$DD182,46),0)</f>
        <v/>
      </c>
      <c r="AW182">
        <f>IFERROR(INDEX(PP_Grid[#Data],$DD182,47),0)</f>
        <v/>
      </c>
      <c r="AX182">
        <f>IFERROR(INDEX(PP_Grid[#Data],$DD182,48),0)</f>
        <v/>
      </c>
      <c r="AY182">
        <f>IFERROR(INDEX(PP_Grid[#Data],$DD182,49),0)</f>
        <v/>
      </c>
      <c r="AZ182">
        <f>IFERROR(INDEX(PP_Grid[#Data],$DD182,50),0)</f>
        <v/>
      </c>
      <c r="BA182">
        <f>IFERROR(INDEX(PP_Grid[#Data],$DD182,51),0)</f>
        <v/>
      </c>
      <c r="BB182">
        <f>IFERROR(INDEX(PP_Grid[#Data],$DD182,52),0)</f>
        <v/>
      </c>
      <c r="BC182">
        <f>IFERROR(INDEX(PP_Grid[#Data],$DD182,53),0)</f>
        <v/>
      </c>
      <c r="BD182">
        <f>IFERROR(INDEX(PP_Grid[#Data],$DD182,54),0)</f>
        <v/>
      </c>
      <c r="BE182">
        <f>IFERROR(INDEX(PP_Grid[#Data],$DD182,55),0)</f>
        <v/>
      </c>
      <c r="BF182">
        <f>IFERROR(INDEX(PP_Grid[#Data],$DD182,56),0)</f>
        <v/>
      </c>
      <c r="BG182">
        <f>IFERROR(INDEX(PP_Grid[#Data],$DD182,57),0)</f>
        <v/>
      </c>
      <c r="BH182">
        <f>IFERROR(INDEX(PP_Grid[#Data],$DD182,58),0)</f>
        <v/>
      </c>
      <c r="BI182">
        <f>IFERROR(INDEX(PP_Grid[#Data],$DD182,59),0)</f>
        <v/>
      </c>
      <c r="BJ182">
        <f>IFERROR(INDEX(PP_Grid[#Data],$DD182,60),0)</f>
        <v/>
      </c>
      <c r="BK182">
        <f>IFERROR(INDEX(PP_Grid[#Data],$DD182,61),0)</f>
        <v/>
      </c>
      <c r="BL182">
        <f>IFERROR(INDEX(PP_Grid[#Data],$DD182,62),0)</f>
        <v/>
      </c>
      <c r="BM182">
        <f>IFERROR(INDEX(PP_Grid[#Data],$DD182,63),0)</f>
        <v/>
      </c>
      <c r="BN182">
        <f>IFERROR(INDEX(PP_Grid[#Data],$DD182,64),0)</f>
        <v/>
      </c>
      <c r="BO182">
        <f>IFERROR(INDEX(PP_Grid[#Data],$DD182,65),0)</f>
        <v/>
      </c>
      <c r="BP182">
        <f>IFERROR(INDEX(PP_Grid[#Data],$DD182,66),0)</f>
        <v/>
      </c>
      <c r="BQ182">
        <f>IFERROR(INDEX(PP_Grid[#Data],$DD182,67),0)</f>
        <v/>
      </c>
      <c r="BR182">
        <f>IFERROR(INDEX(PP_Grid[#Data],$DD182,68),0)</f>
        <v/>
      </c>
      <c r="BS182">
        <f>IFERROR(INDEX(PP_Grid[#Data],$DD182,69),0)</f>
        <v/>
      </c>
      <c r="BT182">
        <f>IFERROR(INDEX(PP_Grid[#Data],$DD182,70),0)</f>
        <v/>
      </c>
      <c r="BU182">
        <f>IFERROR(INDEX(PP_Grid[#Data],$DD182,71),0)</f>
        <v/>
      </c>
      <c r="BV182">
        <f>IFERROR(INDEX(PP_Grid[#Data],$DD182,72),0)</f>
        <v/>
      </c>
      <c r="BW182">
        <f>IFERROR(INDEX(PP_Grid[#Data],$DD182,73),0)</f>
        <v/>
      </c>
      <c r="BX182">
        <f>IFERROR(INDEX(PP_Grid[#Data],$DD182,74),0)</f>
        <v/>
      </c>
      <c r="BY182">
        <f>IFERROR(INDEX(PP_Grid[#Data],$DD182,75),0)</f>
        <v/>
      </c>
      <c r="BZ182">
        <f>IFERROR(INDEX(PP_Grid[#Data],$DD182,76),0)</f>
        <v/>
      </c>
      <c r="CA182">
        <f>IFERROR(INDEX(PP_Grid[#Data],$DD182,77),0)</f>
        <v/>
      </c>
      <c r="CB182">
        <f>IFERROR(INDEX(PP_Grid[#Data],$DD182,78),0)</f>
        <v/>
      </c>
      <c r="CC182">
        <f>IFERROR(INDEX(PP_Grid[#Data],$DD182,79),0)</f>
        <v/>
      </c>
      <c r="CD182">
        <f>IFERROR(INDEX(PP_Grid[#Data],$DD182,80),0)</f>
        <v/>
      </c>
      <c r="CE182">
        <f>IFERROR(INDEX(PP_Grid[#Data],$DD182,81),0)</f>
        <v/>
      </c>
      <c r="CF182">
        <f>IFERROR(INDEX(PP_Grid[#Data],$DD182,82),0)</f>
        <v/>
      </c>
      <c r="CG182">
        <f>IFERROR(INDEX(PP_Grid[#Data],$DD182,83),0)</f>
        <v/>
      </c>
      <c r="CH182">
        <f>IFERROR(INDEX(PP_Grid[#Data],$DD182,84),0)</f>
        <v/>
      </c>
      <c r="CI182">
        <f>IFERROR(INDEX(PP_Grid[#Data],$DD182,85),0)</f>
        <v/>
      </c>
      <c r="CJ182">
        <f>IFERROR(INDEX(PP_Grid[#Data],$DD182,86),0)</f>
        <v/>
      </c>
      <c r="CK182">
        <f>IFERROR(INDEX(PP_Grid[#Data],$DD182,87),0)</f>
        <v/>
      </c>
      <c r="CL182">
        <f>IFERROR(INDEX(PP_Grid[#Data],$DD182,88),0)</f>
        <v/>
      </c>
      <c r="CM182">
        <f>IFERROR(INDEX(PP_Grid[#Data],$DD182,89),0)</f>
        <v/>
      </c>
      <c r="CN182">
        <f>IFERROR(INDEX(PP_Grid[#Data],$DD182,90),0)</f>
        <v/>
      </c>
      <c r="CO182">
        <f>IFERROR(INDEX(PP_Grid[#Data],$DD182,91),0)</f>
        <v/>
      </c>
      <c r="CP182">
        <f>IFERROR(INDEX(PP_Grid[#Data],$DD182,92),0)</f>
        <v/>
      </c>
      <c r="CQ182">
        <f>IFERROR(INDEX(PP_Grid[#Data],$DD182,93),0)</f>
        <v/>
      </c>
      <c r="CR182">
        <f>IFERROR(INDEX(PP_Grid[#Data],$DD182,94),0)</f>
        <v/>
      </c>
      <c r="CS182">
        <f>IFERROR(INDEX(PP_Grid[#Data],$DD182,95),0)</f>
        <v/>
      </c>
      <c r="CT182">
        <f>IFERROR(INDEX(PP_Grid[#Data],$DD182,96),0)</f>
        <v/>
      </c>
      <c r="CU182">
        <f>IFERROR(INDEX(PP_Grid[#Data],$DD182,97),0)</f>
        <v/>
      </c>
      <c r="CV182">
        <f>IFERROR(INDEX(PP_Grid[#Data],$DD182,98),0)</f>
        <v/>
      </c>
      <c r="CW182">
        <f>IFERROR(INDEX(PP_Grid[#Data],$DD182,99),0)</f>
        <v/>
      </c>
      <c r="CX182">
        <f>IFERROR(INDEX(PP_Grid[#Data],$DD182,100),0)</f>
        <v/>
      </c>
      <c r="CY182">
        <f>IFERROR(INDEX(PP_Grid[#Data],$DD182,101),0)</f>
        <v/>
      </c>
      <c r="CZ182">
        <f>IFERROR(INDEX(PP_Grid[#Data],$DD182,102),0)</f>
        <v/>
      </c>
      <c r="DA182">
        <f>IFERROR(INDEX(PP_Grid[#Data],$DD182,103),0)</f>
        <v/>
      </c>
      <c r="DB182">
        <f>IFERROR(INDEX(PP_Grid[#Data],$DD182,104),0)</f>
        <v/>
      </c>
      <c r="DC182">
        <f>IFERROR(INDEX(PP_Grid[#Data],$DD182,105),0)</f>
        <v/>
      </c>
      <c r="DD182" s="12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SUMIFS(M_BOM[RM_Qty_Per_Batch],M_BOM[Intermediate],$B182,M_BOM[Part Name],$A175)</f>
        <v/>
      </c>
      <c r="D183">
        <f>$C183*D182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</row>
    <row r="184">
      <c r="B184" t="inlineStr">
        <is>
          <t>TPP-825</t>
        </is>
      </c>
      <c r="C184" t="inlineStr">
        <is>
          <t>No. of batches</t>
        </is>
      </c>
      <c r="D184">
        <f>IFERROR(INDEX(PP_Grid[#Data],$DD184,2),0)</f>
        <v/>
      </c>
      <c r="E184">
        <f>IFERROR(INDEX(PP_Grid[#Data],$DD184,3),0)</f>
        <v/>
      </c>
      <c r="F184">
        <f>IFERROR(INDEX(PP_Grid[#Data],$DD184,4),0)</f>
        <v/>
      </c>
      <c r="G184">
        <f>IFERROR(INDEX(PP_Grid[#Data],$DD184,5),0)</f>
        <v/>
      </c>
      <c r="H184">
        <f>IFERROR(INDEX(PP_Grid[#Data],$DD184,6),0)</f>
        <v/>
      </c>
      <c r="I184">
        <f>IFERROR(INDEX(PP_Grid[#Data],$DD184,7),0)</f>
        <v/>
      </c>
      <c r="J184">
        <f>IFERROR(INDEX(PP_Grid[#Data],$DD184,8),0)</f>
        <v/>
      </c>
      <c r="K184">
        <f>IFERROR(INDEX(PP_Grid[#Data],$DD184,9),0)</f>
        <v/>
      </c>
      <c r="L184">
        <f>IFERROR(INDEX(PP_Grid[#Data],$DD184,10),0)</f>
        <v/>
      </c>
      <c r="M184">
        <f>IFERROR(INDEX(PP_Grid[#Data],$DD184,11),0)</f>
        <v/>
      </c>
      <c r="N184">
        <f>IFERROR(INDEX(PP_Grid[#Data],$DD184,12),0)</f>
        <v/>
      </c>
      <c r="O184">
        <f>IFERROR(INDEX(PP_Grid[#Data],$DD184,13),0)</f>
        <v/>
      </c>
      <c r="P184">
        <f>IFERROR(INDEX(PP_Grid[#Data],$DD184,14),0)</f>
        <v/>
      </c>
      <c r="Q184">
        <f>IFERROR(INDEX(PP_Grid[#Data],$DD184,15),0)</f>
        <v/>
      </c>
      <c r="R184">
        <f>IFERROR(INDEX(PP_Grid[#Data],$DD184,16),0)</f>
        <v/>
      </c>
      <c r="S184">
        <f>IFERROR(INDEX(PP_Grid[#Data],$DD184,17),0)</f>
        <v/>
      </c>
      <c r="T184">
        <f>IFERROR(INDEX(PP_Grid[#Data],$DD184,18),0)</f>
        <v/>
      </c>
      <c r="U184">
        <f>IFERROR(INDEX(PP_Grid[#Data],$DD184,19),0)</f>
        <v/>
      </c>
      <c r="V184">
        <f>IFERROR(INDEX(PP_Grid[#Data],$DD184,20),0)</f>
        <v/>
      </c>
      <c r="W184">
        <f>IFERROR(INDEX(PP_Grid[#Data],$DD184,21),0)</f>
        <v/>
      </c>
      <c r="X184">
        <f>IFERROR(INDEX(PP_Grid[#Data],$DD184,22),0)</f>
        <v/>
      </c>
      <c r="Y184">
        <f>IFERROR(INDEX(PP_Grid[#Data],$DD184,23),0)</f>
        <v/>
      </c>
      <c r="Z184">
        <f>IFERROR(INDEX(PP_Grid[#Data],$DD184,24),0)</f>
        <v/>
      </c>
      <c r="AA184">
        <f>IFERROR(INDEX(PP_Grid[#Data],$DD184,25),0)</f>
        <v/>
      </c>
      <c r="AB184">
        <f>IFERROR(INDEX(PP_Grid[#Data],$DD184,26),0)</f>
        <v/>
      </c>
      <c r="AC184">
        <f>IFERROR(INDEX(PP_Grid[#Data],$DD184,27),0)</f>
        <v/>
      </c>
      <c r="AD184">
        <f>IFERROR(INDEX(PP_Grid[#Data],$DD184,28),0)</f>
        <v/>
      </c>
      <c r="AE184">
        <f>IFERROR(INDEX(PP_Grid[#Data],$DD184,29),0)</f>
        <v/>
      </c>
      <c r="AF184">
        <f>IFERROR(INDEX(PP_Grid[#Data],$DD184,30),0)</f>
        <v/>
      </c>
      <c r="AG184">
        <f>IFERROR(INDEX(PP_Grid[#Data],$DD184,31),0)</f>
        <v/>
      </c>
      <c r="AH184">
        <f>IFERROR(INDEX(PP_Grid[#Data],$DD184,32),0)</f>
        <v/>
      </c>
      <c r="AI184">
        <f>IFERROR(INDEX(PP_Grid[#Data],$DD184,33),0)</f>
        <v/>
      </c>
      <c r="AJ184">
        <f>IFERROR(INDEX(PP_Grid[#Data],$DD184,34),0)</f>
        <v/>
      </c>
      <c r="AK184">
        <f>IFERROR(INDEX(PP_Grid[#Data],$DD184,35),0)</f>
        <v/>
      </c>
      <c r="AL184">
        <f>IFERROR(INDEX(PP_Grid[#Data],$DD184,36),0)</f>
        <v/>
      </c>
      <c r="AM184">
        <f>IFERROR(INDEX(PP_Grid[#Data],$DD184,37),0)</f>
        <v/>
      </c>
      <c r="AN184">
        <f>IFERROR(INDEX(PP_Grid[#Data],$DD184,38),0)</f>
        <v/>
      </c>
      <c r="AO184">
        <f>IFERROR(INDEX(PP_Grid[#Data],$DD184,39),0)</f>
        <v/>
      </c>
      <c r="AP184">
        <f>IFERROR(INDEX(PP_Grid[#Data],$DD184,40),0)</f>
        <v/>
      </c>
      <c r="AQ184">
        <f>IFERROR(INDEX(PP_Grid[#Data],$DD184,41),0)</f>
        <v/>
      </c>
      <c r="AR184">
        <f>IFERROR(INDEX(PP_Grid[#Data],$DD184,42),0)</f>
        <v/>
      </c>
      <c r="AS184">
        <f>IFERROR(INDEX(PP_Grid[#Data],$DD184,43),0)</f>
        <v/>
      </c>
      <c r="AT184">
        <f>IFERROR(INDEX(PP_Grid[#Data],$DD184,44),0)</f>
        <v/>
      </c>
      <c r="AU184">
        <f>IFERROR(INDEX(PP_Grid[#Data],$DD184,45),0)</f>
        <v/>
      </c>
      <c r="AV184">
        <f>IFERROR(INDEX(PP_Grid[#Data],$DD184,46),0)</f>
        <v/>
      </c>
      <c r="AW184">
        <f>IFERROR(INDEX(PP_Grid[#Data],$DD184,47),0)</f>
        <v/>
      </c>
      <c r="AX184">
        <f>IFERROR(INDEX(PP_Grid[#Data],$DD184,48),0)</f>
        <v/>
      </c>
      <c r="AY184">
        <f>IFERROR(INDEX(PP_Grid[#Data],$DD184,49),0)</f>
        <v/>
      </c>
      <c r="AZ184">
        <f>IFERROR(INDEX(PP_Grid[#Data],$DD184,50),0)</f>
        <v/>
      </c>
      <c r="BA184">
        <f>IFERROR(INDEX(PP_Grid[#Data],$DD184,51),0)</f>
        <v/>
      </c>
      <c r="BB184">
        <f>IFERROR(INDEX(PP_Grid[#Data],$DD184,52),0)</f>
        <v/>
      </c>
      <c r="BC184">
        <f>IFERROR(INDEX(PP_Grid[#Data],$DD184,53),0)</f>
        <v/>
      </c>
      <c r="BD184">
        <f>IFERROR(INDEX(PP_Grid[#Data],$DD184,54),0)</f>
        <v/>
      </c>
      <c r="BE184">
        <f>IFERROR(INDEX(PP_Grid[#Data],$DD184,55),0)</f>
        <v/>
      </c>
      <c r="BF184">
        <f>IFERROR(INDEX(PP_Grid[#Data],$DD184,56),0)</f>
        <v/>
      </c>
      <c r="BG184">
        <f>IFERROR(INDEX(PP_Grid[#Data],$DD184,57),0)</f>
        <v/>
      </c>
      <c r="BH184">
        <f>IFERROR(INDEX(PP_Grid[#Data],$DD184,58),0)</f>
        <v/>
      </c>
      <c r="BI184">
        <f>IFERROR(INDEX(PP_Grid[#Data],$DD184,59),0)</f>
        <v/>
      </c>
      <c r="BJ184">
        <f>IFERROR(INDEX(PP_Grid[#Data],$DD184,60),0)</f>
        <v/>
      </c>
      <c r="BK184">
        <f>IFERROR(INDEX(PP_Grid[#Data],$DD184,61),0)</f>
        <v/>
      </c>
      <c r="BL184">
        <f>IFERROR(INDEX(PP_Grid[#Data],$DD184,62),0)</f>
        <v/>
      </c>
      <c r="BM184">
        <f>IFERROR(INDEX(PP_Grid[#Data],$DD184,63),0)</f>
        <v/>
      </c>
      <c r="BN184">
        <f>IFERROR(INDEX(PP_Grid[#Data],$DD184,64),0)</f>
        <v/>
      </c>
      <c r="BO184">
        <f>IFERROR(INDEX(PP_Grid[#Data],$DD184,65),0)</f>
        <v/>
      </c>
      <c r="BP184">
        <f>IFERROR(INDEX(PP_Grid[#Data],$DD184,66),0)</f>
        <v/>
      </c>
      <c r="BQ184">
        <f>IFERROR(INDEX(PP_Grid[#Data],$DD184,67),0)</f>
        <v/>
      </c>
      <c r="BR184">
        <f>IFERROR(INDEX(PP_Grid[#Data],$DD184,68),0)</f>
        <v/>
      </c>
      <c r="BS184">
        <f>IFERROR(INDEX(PP_Grid[#Data],$DD184,69),0)</f>
        <v/>
      </c>
      <c r="BT184">
        <f>IFERROR(INDEX(PP_Grid[#Data],$DD184,70),0)</f>
        <v/>
      </c>
      <c r="BU184">
        <f>IFERROR(INDEX(PP_Grid[#Data],$DD184,71),0)</f>
        <v/>
      </c>
      <c r="BV184">
        <f>IFERROR(INDEX(PP_Grid[#Data],$DD184,72),0)</f>
        <v/>
      </c>
      <c r="BW184">
        <f>IFERROR(INDEX(PP_Grid[#Data],$DD184,73),0)</f>
        <v/>
      </c>
      <c r="BX184">
        <f>IFERROR(INDEX(PP_Grid[#Data],$DD184,74),0)</f>
        <v/>
      </c>
      <c r="BY184">
        <f>IFERROR(INDEX(PP_Grid[#Data],$DD184,75),0)</f>
        <v/>
      </c>
      <c r="BZ184">
        <f>IFERROR(INDEX(PP_Grid[#Data],$DD184,76),0)</f>
        <v/>
      </c>
      <c r="CA184">
        <f>IFERROR(INDEX(PP_Grid[#Data],$DD184,77),0)</f>
        <v/>
      </c>
      <c r="CB184">
        <f>IFERROR(INDEX(PP_Grid[#Data],$DD184,78),0)</f>
        <v/>
      </c>
      <c r="CC184">
        <f>IFERROR(INDEX(PP_Grid[#Data],$DD184,79),0)</f>
        <v/>
      </c>
      <c r="CD184">
        <f>IFERROR(INDEX(PP_Grid[#Data],$DD184,80),0)</f>
        <v/>
      </c>
      <c r="CE184">
        <f>IFERROR(INDEX(PP_Grid[#Data],$DD184,81),0)</f>
        <v/>
      </c>
      <c r="CF184">
        <f>IFERROR(INDEX(PP_Grid[#Data],$DD184,82),0)</f>
        <v/>
      </c>
      <c r="CG184">
        <f>IFERROR(INDEX(PP_Grid[#Data],$DD184,83),0)</f>
        <v/>
      </c>
      <c r="CH184">
        <f>IFERROR(INDEX(PP_Grid[#Data],$DD184,84),0)</f>
        <v/>
      </c>
      <c r="CI184">
        <f>IFERROR(INDEX(PP_Grid[#Data],$DD184,85),0)</f>
        <v/>
      </c>
      <c r="CJ184">
        <f>IFERROR(INDEX(PP_Grid[#Data],$DD184,86),0)</f>
        <v/>
      </c>
      <c r="CK184">
        <f>IFERROR(INDEX(PP_Grid[#Data],$DD184,87),0)</f>
        <v/>
      </c>
      <c r="CL184">
        <f>IFERROR(INDEX(PP_Grid[#Data],$DD184,88),0)</f>
        <v/>
      </c>
      <c r="CM184">
        <f>IFERROR(INDEX(PP_Grid[#Data],$DD184,89),0)</f>
        <v/>
      </c>
      <c r="CN184">
        <f>IFERROR(INDEX(PP_Grid[#Data],$DD184,90),0)</f>
        <v/>
      </c>
      <c r="CO184">
        <f>IFERROR(INDEX(PP_Grid[#Data],$DD184,91),0)</f>
        <v/>
      </c>
      <c r="CP184">
        <f>IFERROR(INDEX(PP_Grid[#Data],$DD184,92),0)</f>
        <v/>
      </c>
      <c r="CQ184">
        <f>IFERROR(INDEX(PP_Grid[#Data],$DD184,93),0)</f>
        <v/>
      </c>
      <c r="CR184">
        <f>IFERROR(INDEX(PP_Grid[#Data],$DD184,94),0)</f>
        <v/>
      </c>
      <c r="CS184">
        <f>IFERROR(INDEX(PP_Grid[#Data],$DD184,95),0)</f>
        <v/>
      </c>
      <c r="CT184">
        <f>IFERROR(INDEX(PP_Grid[#Data],$DD184,96),0)</f>
        <v/>
      </c>
      <c r="CU184">
        <f>IFERROR(INDEX(PP_Grid[#Data],$DD184,97),0)</f>
        <v/>
      </c>
      <c r="CV184">
        <f>IFERROR(INDEX(PP_Grid[#Data],$DD184,98),0)</f>
        <v/>
      </c>
      <c r="CW184">
        <f>IFERROR(INDEX(PP_Grid[#Data],$DD184,99),0)</f>
        <v/>
      </c>
      <c r="CX184">
        <f>IFERROR(INDEX(PP_Grid[#Data],$DD184,100),0)</f>
        <v/>
      </c>
      <c r="CY184">
        <f>IFERROR(INDEX(PP_Grid[#Data],$DD184,101),0)</f>
        <v/>
      </c>
      <c r="CZ184">
        <f>IFERROR(INDEX(PP_Grid[#Data],$DD184,102),0)</f>
        <v/>
      </c>
      <c r="DA184">
        <f>IFERROR(INDEX(PP_Grid[#Data],$DD184,103),0)</f>
        <v/>
      </c>
      <c r="DB184">
        <f>IFERROR(INDEX(PP_Grid[#Data],$DD184,104),0)</f>
        <v/>
      </c>
      <c r="DC184">
        <f>IFERROR(INDEX(PP_Grid[#Data],$DD184,105),0)</f>
        <v/>
      </c>
      <c r="DD184" s="12">
        <f>IFERROR(MATCH($B184,PP_Grid[Intermediate],0),99999)</f>
        <v/>
      </c>
    </row>
    <row r="185">
      <c r="B185" t="inlineStr">
        <is>
          <t>使用量(kg)</t>
        </is>
      </c>
      <c r="C185">
        <f>SUMIFS(M_BOM[RM_Qty_Per_Batch],M_BOM[Intermediate],$B184,M_BOM[Part Name],$A175)</f>
        <v/>
      </c>
      <c r="D185">
        <f>$C185*D184</f>
        <v/>
      </c>
      <c r="E185">
        <f>$C185*E184</f>
        <v/>
      </c>
      <c r="F185">
        <f>$C185*F184</f>
        <v/>
      </c>
      <c r="G185">
        <f>$C185*G184</f>
        <v/>
      </c>
      <c r="H185">
        <f>$C185*H184</f>
        <v/>
      </c>
      <c r="I185">
        <f>$C185*I184</f>
        <v/>
      </c>
      <c r="J185">
        <f>$C185*J184</f>
        <v/>
      </c>
      <c r="K185">
        <f>$C185*K184</f>
        <v/>
      </c>
      <c r="L185">
        <f>$C185*L184</f>
        <v/>
      </c>
      <c r="M185">
        <f>$C185*M184</f>
        <v/>
      </c>
      <c r="N185">
        <f>$C185*N184</f>
        <v/>
      </c>
      <c r="O185">
        <f>$C185*O184</f>
        <v/>
      </c>
      <c r="P185">
        <f>$C185*P184</f>
        <v/>
      </c>
      <c r="Q185">
        <f>$C185*Q184</f>
        <v/>
      </c>
      <c r="R185">
        <f>$C185*R184</f>
        <v/>
      </c>
      <c r="S185">
        <f>$C185*S184</f>
        <v/>
      </c>
      <c r="T185">
        <f>$C185*T184</f>
        <v/>
      </c>
      <c r="U185">
        <f>$C185*U184</f>
        <v/>
      </c>
      <c r="V185">
        <f>$C185*V184</f>
        <v/>
      </c>
      <c r="W185">
        <f>$C185*W184</f>
        <v/>
      </c>
      <c r="X185">
        <f>$C185*X184</f>
        <v/>
      </c>
      <c r="Y185">
        <f>$C185*Y184</f>
        <v/>
      </c>
      <c r="Z185">
        <f>$C185*Z184</f>
        <v/>
      </c>
      <c r="AA185">
        <f>$C185*AA184</f>
        <v/>
      </c>
      <c r="AB185">
        <f>$C185*AB184</f>
        <v/>
      </c>
      <c r="AC185">
        <f>$C185*AC184</f>
        <v/>
      </c>
      <c r="AD185">
        <f>$C185*AD184</f>
        <v/>
      </c>
      <c r="AE185">
        <f>$C185*AE184</f>
        <v/>
      </c>
      <c r="AF185">
        <f>$C185*AF184</f>
        <v/>
      </c>
      <c r="AG185">
        <f>$C185*AG184</f>
        <v/>
      </c>
      <c r="AH185">
        <f>$C185*AH184</f>
        <v/>
      </c>
      <c r="AI185">
        <f>$C185*AI184</f>
        <v/>
      </c>
      <c r="AJ185">
        <f>$C185*AJ184</f>
        <v/>
      </c>
      <c r="AK185">
        <f>$C185*AK184</f>
        <v/>
      </c>
      <c r="AL185">
        <f>$C185*AL184</f>
        <v/>
      </c>
      <c r="AM185">
        <f>$C185*AM184</f>
        <v/>
      </c>
      <c r="AN185">
        <f>$C185*AN184</f>
        <v/>
      </c>
      <c r="AO185">
        <f>$C185*AO184</f>
        <v/>
      </c>
      <c r="AP185">
        <f>$C185*AP184</f>
        <v/>
      </c>
      <c r="AQ185">
        <f>$C185*AQ184</f>
        <v/>
      </c>
      <c r="AR185">
        <f>$C185*AR184</f>
        <v/>
      </c>
      <c r="AS185">
        <f>$C185*AS184</f>
        <v/>
      </c>
      <c r="AT185">
        <f>$C185*AT184</f>
        <v/>
      </c>
      <c r="AU185">
        <f>$C185*AU184</f>
        <v/>
      </c>
      <c r="AV185">
        <f>$C185*AV184</f>
        <v/>
      </c>
      <c r="AW185">
        <f>$C185*AW184</f>
        <v/>
      </c>
      <c r="AX185">
        <f>$C185*AX184</f>
        <v/>
      </c>
      <c r="AY185">
        <f>$C185*AY184</f>
        <v/>
      </c>
      <c r="AZ185">
        <f>$C185*AZ184</f>
        <v/>
      </c>
      <c r="BA185">
        <f>$C185*BA184</f>
        <v/>
      </c>
      <c r="BB185">
        <f>$C185*BB184</f>
        <v/>
      </c>
      <c r="BC185">
        <f>$C185*BC184</f>
        <v/>
      </c>
      <c r="BD185">
        <f>$C185*BD184</f>
        <v/>
      </c>
      <c r="BE185">
        <f>$C185*BE184</f>
        <v/>
      </c>
      <c r="BF185">
        <f>$C185*BF184</f>
        <v/>
      </c>
      <c r="BG185">
        <f>$C185*BG184</f>
        <v/>
      </c>
      <c r="BH185">
        <f>$C185*BH184</f>
        <v/>
      </c>
      <c r="BI185">
        <f>$C185*BI184</f>
        <v/>
      </c>
      <c r="BJ185">
        <f>$C185*BJ184</f>
        <v/>
      </c>
      <c r="BK185">
        <f>$C185*BK184</f>
        <v/>
      </c>
      <c r="BL185">
        <f>$C185*BL184</f>
        <v/>
      </c>
      <c r="BM185">
        <f>$C185*BM184</f>
        <v/>
      </c>
      <c r="BN185">
        <f>$C185*BN184</f>
        <v/>
      </c>
      <c r="BO185">
        <f>$C185*BO184</f>
        <v/>
      </c>
      <c r="BP185">
        <f>$C185*BP184</f>
        <v/>
      </c>
      <c r="BQ185">
        <f>$C185*BQ184</f>
        <v/>
      </c>
      <c r="BR185">
        <f>$C185*BR184</f>
        <v/>
      </c>
      <c r="BS185">
        <f>$C185*BS184</f>
        <v/>
      </c>
      <c r="BT185">
        <f>$C185*BT184</f>
        <v/>
      </c>
      <c r="BU185">
        <f>$C185*BU184</f>
        <v/>
      </c>
      <c r="BV185">
        <f>$C185*BV184</f>
        <v/>
      </c>
      <c r="BW185">
        <f>$C185*BW184</f>
        <v/>
      </c>
      <c r="BX185">
        <f>$C185*BX184</f>
        <v/>
      </c>
      <c r="BY185">
        <f>$C185*BY184</f>
        <v/>
      </c>
      <c r="BZ185">
        <f>$C185*BZ184</f>
        <v/>
      </c>
      <c r="CA185">
        <f>$C185*CA184</f>
        <v/>
      </c>
      <c r="CB185">
        <f>$C185*CB184</f>
        <v/>
      </c>
      <c r="CC185">
        <f>$C185*CC184</f>
        <v/>
      </c>
      <c r="CD185">
        <f>$C185*CD184</f>
        <v/>
      </c>
      <c r="CE185">
        <f>$C185*CE184</f>
        <v/>
      </c>
      <c r="CF185">
        <f>$C185*CF184</f>
        <v/>
      </c>
      <c r="CG185">
        <f>$C185*CG184</f>
        <v/>
      </c>
      <c r="CH185">
        <f>$C185*CH184</f>
        <v/>
      </c>
      <c r="CI185">
        <f>$C185*CI184</f>
        <v/>
      </c>
      <c r="CJ185">
        <f>$C185*CJ184</f>
        <v/>
      </c>
      <c r="CK185">
        <f>$C185*CK184</f>
        <v/>
      </c>
      <c r="CL185">
        <f>$C185*CL184</f>
        <v/>
      </c>
      <c r="CM185">
        <f>$C185*CM184</f>
        <v/>
      </c>
      <c r="CN185">
        <f>$C185*CN184</f>
        <v/>
      </c>
      <c r="CO185">
        <f>$C185*CO184</f>
        <v/>
      </c>
      <c r="CP185">
        <f>$C185*CP184</f>
        <v/>
      </c>
      <c r="CQ185">
        <f>$C185*CQ184</f>
        <v/>
      </c>
      <c r="CR185">
        <f>$C185*CR184</f>
        <v/>
      </c>
      <c r="CS185">
        <f>$C185*CS184</f>
        <v/>
      </c>
      <c r="CT185">
        <f>$C185*CT184</f>
        <v/>
      </c>
      <c r="CU185">
        <f>$C185*CU184</f>
        <v/>
      </c>
      <c r="CV185">
        <f>$C185*CV184</f>
        <v/>
      </c>
      <c r="CW185">
        <f>$C185*CW184</f>
        <v/>
      </c>
      <c r="CX185">
        <f>$C185*CX184</f>
        <v/>
      </c>
      <c r="CY185">
        <f>$C185*CY184</f>
        <v/>
      </c>
      <c r="CZ185">
        <f>$C185*CZ184</f>
        <v/>
      </c>
      <c r="DA185">
        <f>$C185*DA184</f>
        <v/>
      </c>
      <c r="DB185">
        <f>$C185*DB184</f>
        <v/>
      </c>
      <c r="DC185">
        <f>$C185*DC184</f>
        <v/>
      </c>
    </row>
    <row r="186">
      <c r="B186" t="inlineStr">
        <is>
          <t>TSP-049</t>
        </is>
      </c>
      <c r="C186" t="inlineStr">
        <is>
          <t>No. of batches</t>
        </is>
      </c>
      <c r="D186">
        <f>IFERROR(INDEX(PP_Grid[#Data],$DD186,2),0)</f>
        <v/>
      </c>
      <c r="E186">
        <f>IFERROR(INDEX(PP_Grid[#Data],$DD186,3),0)</f>
        <v/>
      </c>
      <c r="F186">
        <f>IFERROR(INDEX(PP_Grid[#Data],$DD186,4),0)</f>
        <v/>
      </c>
      <c r="G186">
        <f>IFERROR(INDEX(PP_Grid[#Data],$DD186,5),0)</f>
        <v/>
      </c>
      <c r="H186">
        <f>IFERROR(INDEX(PP_Grid[#Data],$DD186,6),0)</f>
        <v/>
      </c>
      <c r="I186">
        <f>IFERROR(INDEX(PP_Grid[#Data],$DD186,7),0)</f>
        <v/>
      </c>
      <c r="J186">
        <f>IFERROR(INDEX(PP_Grid[#Data],$DD186,8),0)</f>
        <v/>
      </c>
      <c r="K186">
        <f>IFERROR(INDEX(PP_Grid[#Data],$DD186,9),0)</f>
        <v/>
      </c>
      <c r="L186">
        <f>IFERROR(INDEX(PP_Grid[#Data],$DD186,10),0)</f>
        <v/>
      </c>
      <c r="M186">
        <f>IFERROR(INDEX(PP_Grid[#Data],$DD186,11),0)</f>
        <v/>
      </c>
      <c r="N186">
        <f>IFERROR(INDEX(PP_Grid[#Data],$DD186,12),0)</f>
        <v/>
      </c>
      <c r="O186">
        <f>IFERROR(INDEX(PP_Grid[#Data],$DD186,13),0)</f>
        <v/>
      </c>
      <c r="P186">
        <f>IFERROR(INDEX(PP_Grid[#Data],$DD186,14),0)</f>
        <v/>
      </c>
      <c r="Q186">
        <f>IFERROR(INDEX(PP_Grid[#Data],$DD186,15),0)</f>
        <v/>
      </c>
      <c r="R186">
        <f>IFERROR(INDEX(PP_Grid[#Data],$DD186,16),0)</f>
        <v/>
      </c>
      <c r="S186">
        <f>IFERROR(INDEX(PP_Grid[#Data],$DD186,17),0)</f>
        <v/>
      </c>
      <c r="T186">
        <f>IFERROR(INDEX(PP_Grid[#Data],$DD186,18),0)</f>
        <v/>
      </c>
      <c r="U186">
        <f>IFERROR(INDEX(PP_Grid[#Data],$DD186,19),0)</f>
        <v/>
      </c>
      <c r="V186">
        <f>IFERROR(INDEX(PP_Grid[#Data],$DD186,20),0)</f>
        <v/>
      </c>
      <c r="W186">
        <f>IFERROR(INDEX(PP_Grid[#Data],$DD186,21),0)</f>
        <v/>
      </c>
      <c r="X186">
        <f>IFERROR(INDEX(PP_Grid[#Data],$DD186,22),0)</f>
        <v/>
      </c>
      <c r="Y186">
        <f>IFERROR(INDEX(PP_Grid[#Data],$DD186,23),0)</f>
        <v/>
      </c>
      <c r="Z186">
        <f>IFERROR(INDEX(PP_Grid[#Data],$DD186,24),0)</f>
        <v/>
      </c>
      <c r="AA186">
        <f>IFERROR(INDEX(PP_Grid[#Data],$DD186,25),0)</f>
        <v/>
      </c>
      <c r="AB186">
        <f>IFERROR(INDEX(PP_Grid[#Data],$DD186,26),0)</f>
        <v/>
      </c>
      <c r="AC186">
        <f>IFERROR(INDEX(PP_Grid[#Data],$DD186,27),0)</f>
        <v/>
      </c>
      <c r="AD186">
        <f>IFERROR(INDEX(PP_Grid[#Data],$DD186,28),0)</f>
        <v/>
      </c>
      <c r="AE186">
        <f>IFERROR(INDEX(PP_Grid[#Data],$DD186,29),0)</f>
        <v/>
      </c>
      <c r="AF186">
        <f>IFERROR(INDEX(PP_Grid[#Data],$DD186,30),0)</f>
        <v/>
      </c>
      <c r="AG186">
        <f>IFERROR(INDEX(PP_Grid[#Data],$DD186,31),0)</f>
        <v/>
      </c>
      <c r="AH186">
        <f>IFERROR(INDEX(PP_Grid[#Data],$DD186,32),0)</f>
        <v/>
      </c>
      <c r="AI186">
        <f>IFERROR(INDEX(PP_Grid[#Data],$DD186,33),0)</f>
        <v/>
      </c>
      <c r="AJ186">
        <f>IFERROR(INDEX(PP_Grid[#Data],$DD186,34),0)</f>
        <v/>
      </c>
      <c r="AK186">
        <f>IFERROR(INDEX(PP_Grid[#Data],$DD186,35),0)</f>
        <v/>
      </c>
      <c r="AL186">
        <f>IFERROR(INDEX(PP_Grid[#Data],$DD186,36),0)</f>
        <v/>
      </c>
      <c r="AM186">
        <f>IFERROR(INDEX(PP_Grid[#Data],$DD186,37),0)</f>
        <v/>
      </c>
      <c r="AN186">
        <f>IFERROR(INDEX(PP_Grid[#Data],$DD186,38),0)</f>
        <v/>
      </c>
      <c r="AO186">
        <f>IFERROR(INDEX(PP_Grid[#Data],$DD186,39),0)</f>
        <v/>
      </c>
      <c r="AP186">
        <f>IFERROR(INDEX(PP_Grid[#Data],$DD186,40),0)</f>
        <v/>
      </c>
      <c r="AQ186">
        <f>IFERROR(INDEX(PP_Grid[#Data],$DD186,41),0)</f>
        <v/>
      </c>
      <c r="AR186">
        <f>IFERROR(INDEX(PP_Grid[#Data],$DD186,42),0)</f>
        <v/>
      </c>
      <c r="AS186">
        <f>IFERROR(INDEX(PP_Grid[#Data],$DD186,43),0)</f>
        <v/>
      </c>
      <c r="AT186">
        <f>IFERROR(INDEX(PP_Grid[#Data],$DD186,44),0)</f>
        <v/>
      </c>
      <c r="AU186">
        <f>IFERROR(INDEX(PP_Grid[#Data],$DD186,45),0)</f>
        <v/>
      </c>
      <c r="AV186">
        <f>IFERROR(INDEX(PP_Grid[#Data],$DD186,46),0)</f>
        <v/>
      </c>
      <c r="AW186">
        <f>IFERROR(INDEX(PP_Grid[#Data],$DD186,47),0)</f>
        <v/>
      </c>
      <c r="AX186">
        <f>IFERROR(INDEX(PP_Grid[#Data],$DD186,48),0)</f>
        <v/>
      </c>
      <c r="AY186">
        <f>IFERROR(INDEX(PP_Grid[#Data],$DD186,49),0)</f>
        <v/>
      </c>
      <c r="AZ186">
        <f>IFERROR(INDEX(PP_Grid[#Data],$DD186,50),0)</f>
        <v/>
      </c>
      <c r="BA186">
        <f>IFERROR(INDEX(PP_Grid[#Data],$DD186,51),0)</f>
        <v/>
      </c>
      <c r="BB186">
        <f>IFERROR(INDEX(PP_Grid[#Data],$DD186,52),0)</f>
        <v/>
      </c>
      <c r="BC186">
        <f>IFERROR(INDEX(PP_Grid[#Data],$DD186,53),0)</f>
        <v/>
      </c>
      <c r="BD186">
        <f>IFERROR(INDEX(PP_Grid[#Data],$DD186,54),0)</f>
        <v/>
      </c>
      <c r="BE186">
        <f>IFERROR(INDEX(PP_Grid[#Data],$DD186,55),0)</f>
        <v/>
      </c>
      <c r="BF186">
        <f>IFERROR(INDEX(PP_Grid[#Data],$DD186,56),0)</f>
        <v/>
      </c>
      <c r="BG186">
        <f>IFERROR(INDEX(PP_Grid[#Data],$DD186,57),0)</f>
        <v/>
      </c>
      <c r="BH186">
        <f>IFERROR(INDEX(PP_Grid[#Data],$DD186,58),0)</f>
        <v/>
      </c>
      <c r="BI186">
        <f>IFERROR(INDEX(PP_Grid[#Data],$DD186,59),0)</f>
        <v/>
      </c>
      <c r="BJ186">
        <f>IFERROR(INDEX(PP_Grid[#Data],$DD186,60),0)</f>
        <v/>
      </c>
      <c r="BK186">
        <f>IFERROR(INDEX(PP_Grid[#Data],$DD186,61),0)</f>
        <v/>
      </c>
      <c r="BL186">
        <f>IFERROR(INDEX(PP_Grid[#Data],$DD186,62),0)</f>
        <v/>
      </c>
      <c r="BM186">
        <f>IFERROR(INDEX(PP_Grid[#Data],$DD186,63),0)</f>
        <v/>
      </c>
      <c r="BN186">
        <f>IFERROR(INDEX(PP_Grid[#Data],$DD186,64),0)</f>
        <v/>
      </c>
      <c r="BO186">
        <f>IFERROR(INDEX(PP_Grid[#Data],$DD186,65),0)</f>
        <v/>
      </c>
      <c r="BP186">
        <f>IFERROR(INDEX(PP_Grid[#Data],$DD186,66),0)</f>
        <v/>
      </c>
      <c r="BQ186">
        <f>IFERROR(INDEX(PP_Grid[#Data],$DD186,67),0)</f>
        <v/>
      </c>
      <c r="BR186">
        <f>IFERROR(INDEX(PP_Grid[#Data],$DD186,68),0)</f>
        <v/>
      </c>
      <c r="BS186">
        <f>IFERROR(INDEX(PP_Grid[#Data],$DD186,69),0)</f>
        <v/>
      </c>
      <c r="BT186">
        <f>IFERROR(INDEX(PP_Grid[#Data],$DD186,70),0)</f>
        <v/>
      </c>
      <c r="BU186">
        <f>IFERROR(INDEX(PP_Grid[#Data],$DD186,71),0)</f>
        <v/>
      </c>
      <c r="BV186">
        <f>IFERROR(INDEX(PP_Grid[#Data],$DD186,72),0)</f>
        <v/>
      </c>
      <c r="BW186">
        <f>IFERROR(INDEX(PP_Grid[#Data],$DD186,73),0)</f>
        <v/>
      </c>
      <c r="BX186">
        <f>IFERROR(INDEX(PP_Grid[#Data],$DD186,74),0)</f>
        <v/>
      </c>
      <c r="BY186">
        <f>IFERROR(INDEX(PP_Grid[#Data],$DD186,75),0)</f>
        <v/>
      </c>
      <c r="BZ186">
        <f>IFERROR(INDEX(PP_Grid[#Data],$DD186,76),0)</f>
        <v/>
      </c>
      <c r="CA186">
        <f>IFERROR(INDEX(PP_Grid[#Data],$DD186,77),0)</f>
        <v/>
      </c>
      <c r="CB186">
        <f>IFERROR(INDEX(PP_Grid[#Data],$DD186,78),0)</f>
        <v/>
      </c>
      <c r="CC186">
        <f>IFERROR(INDEX(PP_Grid[#Data],$DD186,79),0)</f>
        <v/>
      </c>
      <c r="CD186">
        <f>IFERROR(INDEX(PP_Grid[#Data],$DD186,80),0)</f>
        <v/>
      </c>
      <c r="CE186">
        <f>IFERROR(INDEX(PP_Grid[#Data],$DD186,81),0)</f>
        <v/>
      </c>
      <c r="CF186">
        <f>IFERROR(INDEX(PP_Grid[#Data],$DD186,82),0)</f>
        <v/>
      </c>
      <c r="CG186">
        <f>IFERROR(INDEX(PP_Grid[#Data],$DD186,83),0)</f>
        <v/>
      </c>
      <c r="CH186">
        <f>IFERROR(INDEX(PP_Grid[#Data],$DD186,84),0)</f>
        <v/>
      </c>
      <c r="CI186">
        <f>IFERROR(INDEX(PP_Grid[#Data],$DD186,85),0)</f>
        <v/>
      </c>
      <c r="CJ186">
        <f>IFERROR(INDEX(PP_Grid[#Data],$DD186,86),0)</f>
        <v/>
      </c>
      <c r="CK186">
        <f>IFERROR(INDEX(PP_Grid[#Data],$DD186,87),0)</f>
        <v/>
      </c>
      <c r="CL186">
        <f>IFERROR(INDEX(PP_Grid[#Data],$DD186,88),0)</f>
        <v/>
      </c>
      <c r="CM186">
        <f>IFERROR(INDEX(PP_Grid[#Data],$DD186,89),0)</f>
        <v/>
      </c>
      <c r="CN186">
        <f>IFERROR(INDEX(PP_Grid[#Data],$DD186,90),0)</f>
        <v/>
      </c>
      <c r="CO186">
        <f>IFERROR(INDEX(PP_Grid[#Data],$DD186,91),0)</f>
        <v/>
      </c>
      <c r="CP186">
        <f>IFERROR(INDEX(PP_Grid[#Data],$DD186,92),0)</f>
        <v/>
      </c>
      <c r="CQ186">
        <f>IFERROR(INDEX(PP_Grid[#Data],$DD186,93),0)</f>
        <v/>
      </c>
      <c r="CR186">
        <f>IFERROR(INDEX(PP_Grid[#Data],$DD186,94),0)</f>
        <v/>
      </c>
      <c r="CS186">
        <f>IFERROR(INDEX(PP_Grid[#Data],$DD186,95),0)</f>
        <v/>
      </c>
      <c r="CT186">
        <f>IFERROR(INDEX(PP_Grid[#Data],$DD186,96),0)</f>
        <v/>
      </c>
      <c r="CU186">
        <f>IFERROR(INDEX(PP_Grid[#Data],$DD186,97),0)</f>
        <v/>
      </c>
      <c r="CV186">
        <f>IFERROR(INDEX(PP_Grid[#Data],$DD186,98),0)</f>
        <v/>
      </c>
      <c r="CW186">
        <f>IFERROR(INDEX(PP_Grid[#Data],$DD186,99),0)</f>
        <v/>
      </c>
      <c r="CX186">
        <f>IFERROR(INDEX(PP_Grid[#Data],$DD186,100),0)</f>
        <v/>
      </c>
      <c r="CY186">
        <f>IFERROR(INDEX(PP_Grid[#Data],$DD186,101),0)</f>
        <v/>
      </c>
      <c r="CZ186">
        <f>IFERROR(INDEX(PP_Grid[#Data],$DD186,102),0)</f>
        <v/>
      </c>
      <c r="DA186">
        <f>IFERROR(INDEX(PP_Grid[#Data],$DD186,103),0)</f>
        <v/>
      </c>
      <c r="DB186">
        <f>IFERROR(INDEX(PP_Grid[#Data],$DD186,104),0)</f>
        <v/>
      </c>
      <c r="DC186">
        <f>IFERROR(INDEX(PP_Grid[#Data],$DD186,105),0)</f>
        <v/>
      </c>
      <c r="DD186" s="12">
        <f>IFERROR(MATCH($B186,PP_Grid[Intermediate],0),99999)</f>
        <v/>
      </c>
    </row>
    <row r="187">
      <c r="B187" t="inlineStr">
        <is>
          <t>使用量(kg)</t>
        </is>
      </c>
      <c r="C187">
        <f>SUMIFS(M_BOM[RM_Qty_Per_Batch],M_BOM[Intermediate],$B186,M_BOM[Part Name],$A175)</f>
        <v/>
      </c>
      <c r="D187">
        <f>$C187*D186</f>
        <v/>
      </c>
      <c r="E187">
        <f>$C187*E186</f>
        <v/>
      </c>
      <c r="F187">
        <f>$C187*F186</f>
        <v/>
      </c>
      <c r="G187">
        <f>$C187*G186</f>
        <v/>
      </c>
      <c r="H187">
        <f>$C187*H186</f>
        <v/>
      </c>
      <c r="I187">
        <f>$C187*I186</f>
        <v/>
      </c>
      <c r="J187">
        <f>$C187*J186</f>
        <v/>
      </c>
      <c r="K187">
        <f>$C187*K186</f>
        <v/>
      </c>
      <c r="L187">
        <f>$C187*L186</f>
        <v/>
      </c>
      <c r="M187">
        <f>$C187*M186</f>
        <v/>
      </c>
      <c r="N187">
        <f>$C187*N186</f>
        <v/>
      </c>
      <c r="O187">
        <f>$C187*O186</f>
        <v/>
      </c>
      <c r="P187">
        <f>$C187*P186</f>
        <v/>
      </c>
      <c r="Q187">
        <f>$C187*Q186</f>
        <v/>
      </c>
      <c r="R187">
        <f>$C187*R186</f>
        <v/>
      </c>
      <c r="S187">
        <f>$C187*S186</f>
        <v/>
      </c>
      <c r="T187">
        <f>$C187*T186</f>
        <v/>
      </c>
      <c r="U187">
        <f>$C187*U186</f>
        <v/>
      </c>
      <c r="V187">
        <f>$C187*V186</f>
        <v/>
      </c>
      <c r="W187">
        <f>$C187*W186</f>
        <v/>
      </c>
      <c r="X187">
        <f>$C187*X186</f>
        <v/>
      </c>
      <c r="Y187">
        <f>$C187*Y186</f>
        <v/>
      </c>
      <c r="Z187">
        <f>$C187*Z186</f>
        <v/>
      </c>
      <c r="AA187">
        <f>$C187*AA186</f>
        <v/>
      </c>
      <c r="AB187">
        <f>$C187*AB186</f>
        <v/>
      </c>
      <c r="AC187">
        <f>$C187*AC186</f>
        <v/>
      </c>
      <c r="AD187">
        <f>$C187*AD186</f>
        <v/>
      </c>
      <c r="AE187">
        <f>$C187*AE186</f>
        <v/>
      </c>
      <c r="AF187">
        <f>$C187*AF186</f>
        <v/>
      </c>
      <c r="AG187">
        <f>$C187*AG186</f>
        <v/>
      </c>
      <c r="AH187">
        <f>$C187*AH186</f>
        <v/>
      </c>
      <c r="AI187">
        <f>$C187*AI186</f>
        <v/>
      </c>
      <c r="AJ187">
        <f>$C187*AJ186</f>
        <v/>
      </c>
      <c r="AK187">
        <f>$C187*AK186</f>
        <v/>
      </c>
      <c r="AL187">
        <f>$C187*AL186</f>
        <v/>
      </c>
      <c r="AM187">
        <f>$C187*AM186</f>
        <v/>
      </c>
      <c r="AN187">
        <f>$C187*AN186</f>
        <v/>
      </c>
      <c r="AO187">
        <f>$C187*AO186</f>
        <v/>
      </c>
      <c r="AP187">
        <f>$C187*AP186</f>
        <v/>
      </c>
      <c r="AQ187">
        <f>$C187*AQ186</f>
        <v/>
      </c>
      <c r="AR187">
        <f>$C187*AR186</f>
        <v/>
      </c>
      <c r="AS187">
        <f>$C187*AS186</f>
        <v/>
      </c>
      <c r="AT187">
        <f>$C187*AT186</f>
        <v/>
      </c>
      <c r="AU187">
        <f>$C187*AU186</f>
        <v/>
      </c>
      <c r="AV187">
        <f>$C187*AV186</f>
        <v/>
      </c>
      <c r="AW187">
        <f>$C187*AW186</f>
        <v/>
      </c>
      <c r="AX187">
        <f>$C187*AX186</f>
        <v/>
      </c>
      <c r="AY187">
        <f>$C187*AY186</f>
        <v/>
      </c>
      <c r="AZ187">
        <f>$C187*AZ186</f>
        <v/>
      </c>
      <c r="BA187">
        <f>$C187*BA186</f>
        <v/>
      </c>
      <c r="BB187">
        <f>$C187*BB186</f>
        <v/>
      </c>
      <c r="BC187">
        <f>$C187*BC186</f>
        <v/>
      </c>
      <c r="BD187">
        <f>$C187*BD186</f>
        <v/>
      </c>
      <c r="BE187">
        <f>$C187*BE186</f>
        <v/>
      </c>
      <c r="BF187">
        <f>$C187*BF186</f>
        <v/>
      </c>
      <c r="BG187">
        <f>$C187*BG186</f>
        <v/>
      </c>
      <c r="BH187">
        <f>$C187*BH186</f>
        <v/>
      </c>
      <c r="BI187">
        <f>$C187*BI186</f>
        <v/>
      </c>
      <c r="BJ187">
        <f>$C187*BJ186</f>
        <v/>
      </c>
      <c r="BK187">
        <f>$C187*BK186</f>
        <v/>
      </c>
      <c r="BL187">
        <f>$C187*BL186</f>
        <v/>
      </c>
      <c r="BM187">
        <f>$C187*BM186</f>
        <v/>
      </c>
      <c r="BN187">
        <f>$C187*BN186</f>
        <v/>
      </c>
      <c r="BO187">
        <f>$C187*BO186</f>
        <v/>
      </c>
      <c r="BP187">
        <f>$C187*BP186</f>
        <v/>
      </c>
      <c r="BQ187">
        <f>$C187*BQ186</f>
        <v/>
      </c>
      <c r="BR187">
        <f>$C187*BR186</f>
        <v/>
      </c>
      <c r="BS187">
        <f>$C187*BS186</f>
        <v/>
      </c>
      <c r="BT187">
        <f>$C187*BT186</f>
        <v/>
      </c>
      <c r="BU187">
        <f>$C187*BU186</f>
        <v/>
      </c>
      <c r="BV187">
        <f>$C187*BV186</f>
        <v/>
      </c>
      <c r="BW187">
        <f>$C187*BW186</f>
        <v/>
      </c>
      <c r="BX187">
        <f>$C187*BX186</f>
        <v/>
      </c>
      <c r="BY187">
        <f>$C187*BY186</f>
        <v/>
      </c>
      <c r="BZ187">
        <f>$C187*BZ186</f>
        <v/>
      </c>
      <c r="CA187">
        <f>$C187*CA186</f>
        <v/>
      </c>
      <c r="CB187">
        <f>$C187*CB186</f>
        <v/>
      </c>
      <c r="CC187">
        <f>$C187*CC186</f>
        <v/>
      </c>
      <c r="CD187">
        <f>$C187*CD186</f>
        <v/>
      </c>
      <c r="CE187">
        <f>$C187*CE186</f>
        <v/>
      </c>
      <c r="CF187">
        <f>$C187*CF186</f>
        <v/>
      </c>
      <c r="CG187">
        <f>$C187*CG186</f>
        <v/>
      </c>
      <c r="CH187">
        <f>$C187*CH186</f>
        <v/>
      </c>
      <c r="CI187">
        <f>$C187*CI186</f>
        <v/>
      </c>
      <c r="CJ187">
        <f>$C187*CJ186</f>
        <v/>
      </c>
      <c r="CK187">
        <f>$C187*CK186</f>
        <v/>
      </c>
      <c r="CL187">
        <f>$C187*CL186</f>
        <v/>
      </c>
      <c r="CM187">
        <f>$C187*CM186</f>
        <v/>
      </c>
      <c r="CN187">
        <f>$C187*CN186</f>
        <v/>
      </c>
      <c r="CO187">
        <f>$C187*CO186</f>
        <v/>
      </c>
      <c r="CP187">
        <f>$C187*CP186</f>
        <v/>
      </c>
      <c r="CQ187">
        <f>$C187*CQ186</f>
        <v/>
      </c>
      <c r="CR187">
        <f>$C187*CR186</f>
        <v/>
      </c>
      <c r="CS187">
        <f>$C187*CS186</f>
        <v/>
      </c>
      <c r="CT187">
        <f>$C187*CT186</f>
        <v/>
      </c>
      <c r="CU187">
        <f>$C187*CU186</f>
        <v/>
      </c>
      <c r="CV187">
        <f>$C187*CV186</f>
        <v/>
      </c>
      <c r="CW187">
        <f>$C187*CW186</f>
        <v/>
      </c>
      <c r="CX187">
        <f>$C187*CX186</f>
        <v/>
      </c>
      <c r="CY187">
        <f>$C187*CY186</f>
        <v/>
      </c>
      <c r="CZ187">
        <f>$C187*CZ186</f>
        <v/>
      </c>
      <c r="DA187">
        <f>$C187*DA186</f>
        <v/>
      </c>
      <c r="DB187">
        <f>$C187*DB186</f>
        <v/>
      </c>
      <c r="DC187">
        <f>$C187*DC186</f>
        <v/>
      </c>
    </row>
    <row r="188">
      <c r="B188" t="inlineStr">
        <is>
          <t>TSP-067</t>
        </is>
      </c>
      <c r="C188" t="inlineStr">
        <is>
          <t>No. of batches</t>
        </is>
      </c>
      <c r="D188">
        <f>IFERROR(INDEX(PP_Grid[#Data],$DD188,2),0)</f>
        <v/>
      </c>
      <c r="E188">
        <f>IFERROR(INDEX(PP_Grid[#Data],$DD188,3),0)</f>
        <v/>
      </c>
      <c r="F188">
        <f>IFERROR(INDEX(PP_Grid[#Data],$DD188,4),0)</f>
        <v/>
      </c>
      <c r="G188">
        <f>IFERROR(INDEX(PP_Grid[#Data],$DD188,5),0)</f>
        <v/>
      </c>
      <c r="H188">
        <f>IFERROR(INDEX(PP_Grid[#Data],$DD188,6),0)</f>
        <v/>
      </c>
      <c r="I188">
        <f>IFERROR(INDEX(PP_Grid[#Data],$DD188,7),0)</f>
        <v/>
      </c>
      <c r="J188">
        <f>IFERROR(INDEX(PP_Grid[#Data],$DD188,8),0)</f>
        <v/>
      </c>
      <c r="K188">
        <f>IFERROR(INDEX(PP_Grid[#Data],$DD188,9),0)</f>
        <v/>
      </c>
      <c r="L188">
        <f>IFERROR(INDEX(PP_Grid[#Data],$DD188,10),0)</f>
        <v/>
      </c>
      <c r="M188">
        <f>IFERROR(INDEX(PP_Grid[#Data],$DD188,11),0)</f>
        <v/>
      </c>
      <c r="N188">
        <f>IFERROR(INDEX(PP_Grid[#Data],$DD188,12),0)</f>
        <v/>
      </c>
      <c r="O188">
        <f>IFERROR(INDEX(PP_Grid[#Data],$DD188,13),0)</f>
        <v/>
      </c>
      <c r="P188">
        <f>IFERROR(INDEX(PP_Grid[#Data],$DD188,14),0)</f>
        <v/>
      </c>
      <c r="Q188">
        <f>IFERROR(INDEX(PP_Grid[#Data],$DD188,15),0)</f>
        <v/>
      </c>
      <c r="R188">
        <f>IFERROR(INDEX(PP_Grid[#Data],$DD188,16),0)</f>
        <v/>
      </c>
      <c r="S188">
        <f>IFERROR(INDEX(PP_Grid[#Data],$DD188,17),0)</f>
        <v/>
      </c>
      <c r="T188">
        <f>IFERROR(INDEX(PP_Grid[#Data],$DD188,18),0)</f>
        <v/>
      </c>
      <c r="U188">
        <f>IFERROR(INDEX(PP_Grid[#Data],$DD188,19),0)</f>
        <v/>
      </c>
      <c r="V188">
        <f>IFERROR(INDEX(PP_Grid[#Data],$DD188,20),0)</f>
        <v/>
      </c>
      <c r="W188">
        <f>IFERROR(INDEX(PP_Grid[#Data],$DD188,21),0)</f>
        <v/>
      </c>
      <c r="X188">
        <f>IFERROR(INDEX(PP_Grid[#Data],$DD188,22),0)</f>
        <v/>
      </c>
      <c r="Y188">
        <f>IFERROR(INDEX(PP_Grid[#Data],$DD188,23),0)</f>
        <v/>
      </c>
      <c r="Z188">
        <f>IFERROR(INDEX(PP_Grid[#Data],$DD188,24),0)</f>
        <v/>
      </c>
      <c r="AA188">
        <f>IFERROR(INDEX(PP_Grid[#Data],$DD188,25),0)</f>
        <v/>
      </c>
      <c r="AB188">
        <f>IFERROR(INDEX(PP_Grid[#Data],$DD188,26),0)</f>
        <v/>
      </c>
      <c r="AC188">
        <f>IFERROR(INDEX(PP_Grid[#Data],$DD188,27),0)</f>
        <v/>
      </c>
      <c r="AD188">
        <f>IFERROR(INDEX(PP_Grid[#Data],$DD188,28),0)</f>
        <v/>
      </c>
      <c r="AE188">
        <f>IFERROR(INDEX(PP_Grid[#Data],$DD188,29),0)</f>
        <v/>
      </c>
      <c r="AF188">
        <f>IFERROR(INDEX(PP_Grid[#Data],$DD188,30),0)</f>
        <v/>
      </c>
      <c r="AG188">
        <f>IFERROR(INDEX(PP_Grid[#Data],$DD188,31),0)</f>
        <v/>
      </c>
      <c r="AH188">
        <f>IFERROR(INDEX(PP_Grid[#Data],$DD188,32),0)</f>
        <v/>
      </c>
      <c r="AI188">
        <f>IFERROR(INDEX(PP_Grid[#Data],$DD188,33),0)</f>
        <v/>
      </c>
      <c r="AJ188">
        <f>IFERROR(INDEX(PP_Grid[#Data],$DD188,34),0)</f>
        <v/>
      </c>
      <c r="AK188">
        <f>IFERROR(INDEX(PP_Grid[#Data],$DD188,35),0)</f>
        <v/>
      </c>
      <c r="AL188">
        <f>IFERROR(INDEX(PP_Grid[#Data],$DD188,36),0)</f>
        <v/>
      </c>
      <c r="AM188">
        <f>IFERROR(INDEX(PP_Grid[#Data],$DD188,37),0)</f>
        <v/>
      </c>
      <c r="AN188">
        <f>IFERROR(INDEX(PP_Grid[#Data],$DD188,38),0)</f>
        <v/>
      </c>
      <c r="AO188">
        <f>IFERROR(INDEX(PP_Grid[#Data],$DD188,39),0)</f>
        <v/>
      </c>
      <c r="AP188">
        <f>IFERROR(INDEX(PP_Grid[#Data],$DD188,40),0)</f>
        <v/>
      </c>
      <c r="AQ188">
        <f>IFERROR(INDEX(PP_Grid[#Data],$DD188,41),0)</f>
        <v/>
      </c>
      <c r="AR188">
        <f>IFERROR(INDEX(PP_Grid[#Data],$DD188,42),0)</f>
        <v/>
      </c>
      <c r="AS188">
        <f>IFERROR(INDEX(PP_Grid[#Data],$DD188,43),0)</f>
        <v/>
      </c>
      <c r="AT188">
        <f>IFERROR(INDEX(PP_Grid[#Data],$DD188,44),0)</f>
        <v/>
      </c>
      <c r="AU188">
        <f>IFERROR(INDEX(PP_Grid[#Data],$DD188,45),0)</f>
        <v/>
      </c>
      <c r="AV188">
        <f>IFERROR(INDEX(PP_Grid[#Data],$DD188,46),0)</f>
        <v/>
      </c>
      <c r="AW188">
        <f>IFERROR(INDEX(PP_Grid[#Data],$DD188,47),0)</f>
        <v/>
      </c>
      <c r="AX188">
        <f>IFERROR(INDEX(PP_Grid[#Data],$DD188,48),0)</f>
        <v/>
      </c>
      <c r="AY188">
        <f>IFERROR(INDEX(PP_Grid[#Data],$DD188,49),0)</f>
        <v/>
      </c>
      <c r="AZ188">
        <f>IFERROR(INDEX(PP_Grid[#Data],$DD188,50),0)</f>
        <v/>
      </c>
      <c r="BA188">
        <f>IFERROR(INDEX(PP_Grid[#Data],$DD188,51),0)</f>
        <v/>
      </c>
      <c r="BB188">
        <f>IFERROR(INDEX(PP_Grid[#Data],$DD188,52),0)</f>
        <v/>
      </c>
      <c r="BC188">
        <f>IFERROR(INDEX(PP_Grid[#Data],$DD188,53),0)</f>
        <v/>
      </c>
      <c r="BD188">
        <f>IFERROR(INDEX(PP_Grid[#Data],$DD188,54),0)</f>
        <v/>
      </c>
      <c r="BE188">
        <f>IFERROR(INDEX(PP_Grid[#Data],$DD188,55),0)</f>
        <v/>
      </c>
      <c r="BF188">
        <f>IFERROR(INDEX(PP_Grid[#Data],$DD188,56),0)</f>
        <v/>
      </c>
      <c r="BG188">
        <f>IFERROR(INDEX(PP_Grid[#Data],$DD188,57),0)</f>
        <v/>
      </c>
      <c r="BH188">
        <f>IFERROR(INDEX(PP_Grid[#Data],$DD188,58),0)</f>
        <v/>
      </c>
      <c r="BI188">
        <f>IFERROR(INDEX(PP_Grid[#Data],$DD188,59),0)</f>
        <v/>
      </c>
      <c r="BJ188">
        <f>IFERROR(INDEX(PP_Grid[#Data],$DD188,60),0)</f>
        <v/>
      </c>
      <c r="BK188">
        <f>IFERROR(INDEX(PP_Grid[#Data],$DD188,61),0)</f>
        <v/>
      </c>
      <c r="BL188">
        <f>IFERROR(INDEX(PP_Grid[#Data],$DD188,62),0)</f>
        <v/>
      </c>
      <c r="BM188">
        <f>IFERROR(INDEX(PP_Grid[#Data],$DD188,63),0)</f>
        <v/>
      </c>
      <c r="BN188">
        <f>IFERROR(INDEX(PP_Grid[#Data],$DD188,64),0)</f>
        <v/>
      </c>
      <c r="BO188">
        <f>IFERROR(INDEX(PP_Grid[#Data],$DD188,65),0)</f>
        <v/>
      </c>
      <c r="BP188">
        <f>IFERROR(INDEX(PP_Grid[#Data],$DD188,66),0)</f>
        <v/>
      </c>
      <c r="BQ188">
        <f>IFERROR(INDEX(PP_Grid[#Data],$DD188,67),0)</f>
        <v/>
      </c>
      <c r="BR188">
        <f>IFERROR(INDEX(PP_Grid[#Data],$DD188,68),0)</f>
        <v/>
      </c>
      <c r="BS188">
        <f>IFERROR(INDEX(PP_Grid[#Data],$DD188,69),0)</f>
        <v/>
      </c>
      <c r="BT188">
        <f>IFERROR(INDEX(PP_Grid[#Data],$DD188,70),0)</f>
        <v/>
      </c>
      <c r="BU188">
        <f>IFERROR(INDEX(PP_Grid[#Data],$DD188,71),0)</f>
        <v/>
      </c>
      <c r="BV188">
        <f>IFERROR(INDEX(PP_Grid[#Data],$DD188,72),0)</f>
        <v/>
      </c>
      <c r="BW188">
        <f>IFERROR(INDEX(PP_Grid[#Data],$DD188,73),0)</f>
        <v/>
      </c>
      <c r="BX188">
        <f>IFERROR(INDEX(PP_Grid[#Data],$DD188,74),0)</f>
        <v/>
      </c>
      <c r="BY188">
        <f>IFERROR(INDEX(PP_Grid[#Data],$DD188,75),0)</f>
        <v/>
      </c>
      <c r="BZ188">
        <f>IFERROR(INDEX(PP_Grid[#Data],$DD188,76),0)</f>
        <v/>
      </c>
      <c r="CA188">
        <f>IFERROR(INDEX(PP_Grid[#Data],$DD188,77),0)</f>
        <v/>
      </c>
      <c r="CB188">
        <f>IFERROR(INDEX(PP_Grid[#Data],$DD188,78),0)</f>
        <v/>
      </c>
      <c r="CC188">
        <f>IFERROR(INDEX(PP_Grid[#Data],$DD188,79),0)</f>
        <v/>
      </c>
      <c r="CD188">
        <f>IFERROR(INDEX(PP_Grid[#Data],$DD188,80),0)</f>
        <v/>
      </c>
      <c r="CE188">
        <f>IFERROR(INDEX(PP_Grid[#Data],$DD188,81),0)</f>
        <v/>
      </c>
      <c r="CF188">
        <f>IFERROR(INDEX(PP_Grid[#Data],$DD188,82),0)</f>
        <v/>
      </c>
      <c r="CG188">
        <f>IFERROR(INDEX(PP_Grid[#Data],$DD188,83),0)</f>
        <v/>
      </c>
      <c r="CH188">
        <f>IFERROR(INDEX(PP_Grid[#Data],$DD188,84),0)</f>
        <v/>
      </c>
      <c r="CI188">
        <f>IFERROR(INDEX(PP_Grid[#Data],$DD188,85),0)</f>
        <v/>
      </c>
      <c r="CJ188">
        <f>IFERROR(INDEX(PP_Grid[#Data],$DD188,86),0)</f>
        <v/>
      </c>
      <c r="CK188">
        <f>IFERROR(INDEX(PP_Grid[#Data],$DD188,87),0)</f>
        <v/>
      </c>
      <c r="CL188">
        <f>IFERROR(INDEX(PP_Grid[#Data],$DD188,88),0)</f>
        <v/>
      </c>
      <c r="CM188">
        <f>IFERROR(INDEX(PP_Grid[#Data],$DD188,89),0)</f>
        <v/>
      </c>
      <c r="CN188">
        <f>IFERROR(INDEX(PP_Grid[#Data],$DD188,90),0)</f>
        <v/>
      </c>
      <c r="CO188">
        <f>IFERROR(INDEX(PP_Grid[#Data],$DD188,91),0)</f>
        <v/>
      </c>
      <c r="CP188">
        <f>IFERROR(INDEX(PP_Grid[#Data],$DD188,92),0)</f>
        <v/>
      </c>
      <c r="CQ188">
        <f>IFERROR(INDEX(PP_Grid[#Data],$DD188,93),0)</f>
        <v/>
      </c>
      <c r="CR188">
        <f>IFERROR(INDEX(PP_Grid[#Data],$DD188,94),0)</f>
        <v/>
      </c>
      <c r="CS188">
        <f>IFERROR(INDEX(PP_Grid[#Data],$DD188,95),0)</f>
        <v/>
      </c>
      <c r="CT188">
        <f>IFERROR(INDEX(PP_Grid[#Data],$DD188,96),0)</f>
        <v/>
      </c>
      <c r="CU188">
        <f>IFERROR(INDEX(PP_Grid[#Data],$DD188,97),0)</f>
        <v/>
      </c>
      <c r="CV188">
        <f>IFERROR(INDEX(PP_Grid[#Data],$DD188,98),0)</f>
        <v/>
      </c>
      <c r="CW188">
        <f>IFERROR(INDEX(PP_Grid[#Data],$DD188,99),0)</f>
        <v/>
      </c>
      <c r="CX188">
        <f>IFERROR(INDEX(PP_Grid[#Data],$DD188,100),0)</f>
        <v/>
      </c>
      <c r="CY188">
        <f>IFERROR(INDEX(PP_Grid[#Data],$DD188,101),0)</f>
        <v/>
      </c>
      <c r="CZ188">
        <f>IFERROR(INDEX(PP_Grid[#Data],$DD188,102),0)</f>
        <v/>
      </c>
      <c r="DA188">
        <f>IFERROR(INDEX(PP_Grid[#Data],$DD188,103),0)</f>
        <v/>
      </c>
      <c r="DB188">
        <f>IFERROR(INDEX(PP_Grid[#Data],$DD188,104),0)</f>
        <v/>
      </c>
      <c r="DC188">
        <f>IFERROR(INDEX(PP_Grid[#Data],$DD188,105),0)</f>
        <v/>
      </c>
      <c r="DD188" s="12">
        <f>IFERROR(MATCH($B188,PP_Grid[Intermediate],0),99999)</f>
        <v/>
      </c>
    </row>
    <row r="189">
      <c r="B189" t="inlineStr">
        <is>
          <t>使用量(kg)</t>
        </is>
      </c>
      <c r="C189">
        <f>SUMIFS(M_BOM[RM_Qty_Per_Batch],M_BOM[Intermediate],$B188,M_BOM[Part Name],$A175)</f>
        <v/>
      </c>
      <c r="D189">
        <f>$C189*D188</f>
        <v/>
      </c>
      <c r="E189">
        <f>$C189*E188</f>
        <v/>
      </c>
      <c r="F189">
        <f>$C189*F188</f>
        <v/>
      </c>
      <c r="G189">
        <f>$C189*G188</f>
        <v/>
      </c>
      <c r="H189">
        <f>$C189*H188</f>
        <v/>
      </c>
      <c r="I189">
        <f>$C189*I188</f>
        <v/>
      </c>
      <c r="J189">
        <f>$C189*J188</f>
        <v/>
      </c>
      <c r="K189">
        <f>$C189*K188</f>
        <v/>
      </c>
      <c r="L189">
        <f>$C189*L188</f>
        <v/>
      </c>
      <c r="M189">
        <f>$C189*M188</f>
        <v/>
      </c>
      <c r="N189">
        <f>$C189*N188</f>
        <v/>
      </c>
      <c r="O189">
        <f>$C189*O188</f>
        <v/>
      </c>
      <c r="P189">
        <f>$C189*P188</f>
        <v/>
      </c>
      <c r="Q189">
        <f>$C189*Q188</f>
        <v/>
      </c>
      <c r="R189">
        <f>$C189*R188</f>
        <v/>
      </c>
      <c r="S189">
        <f>$C189*S188</f>
        <v/>
      </c>
      <c r="T189">
        <f>$C189*T188</f>
        <v/>
      </c>
      <c r="U189">
        <f>$C189*U188</f>
        <v/>
      </c>
      <c r="V189">
        <f>$C189*V188</f>
        <v/>
      </c>
      <c r="W189">
        <f>$C189*W188</f>
        <v/>
      </c>
      <c r="X189">
        <f>$C189*X188</f>
        <v/>
      </c>
      <c r="Y189">
        <f>$C189*Y188</f>
        <v/>
      </c>
      <c r="Z189">
        <f>$C189*Z188</f>
        <v/>
      </c>
      <c r="AA189">
        <f>$C189*AA188</f>
        <v/>
      </c>
      <c r="AB189">
        <f>$C189*AB188</f>
        <v/>
      </c>
      <c r="AC189">
        <f>$C189*AC188</f>
        <v/>
      </c>
      <c r="AD189">
        <f>$C189*AD188</f>
        <v/>
      </c>
      <c r="AE189">
        <f>$C189*AE188</f>
        <v/>
      </c>
      <c r="AF189">
        <f>$C189*AF188</f>
        <v/>
      </c>
      <c r="AG189">
        <f>$C189*AG188</f>
        <v/>
      </c>
      <c r="AH189">
        <f>$C189*AH188</f>
        <v/>
      </c>
      <c r="AI189">
        <f>$C189*AI188</f>
        <v/>
      </c>
      <c r="AJ189">
        <f>$C189*AJ188</f>
        <v/>
      </c>
      <c r="AK189">
        <f>$C189*AK188</f>
        <v/>
      </c>
      <c r="AL189">
        <f>$C189*AL188</f>
        <v/>
      </c>
      <c r="AM189">
        <f>$C189*AM188</f>
        <v/>
      </c>
      <c r="AN189">
        <f>$C189*AN188</f>
        <v/>
      </c>
      <c r="AO189">
        <f>$C189*AO188</f>
        <v/>
      </c>
      <c r="AP189">
        <f>$C189*AP188</f>
        <v/>
      </c>
      <c r="AQ189">
        <f>$C189*AQ188</f>
        <v/>
      </c>
      <c r="AR189">
        <f>$C189*AR188</f>
        <v/>
      </c>
      <c r="AS189">
        <f>$C189*AS188</f>
        <v/>
      </c>
      <c r="AT189">
        <f>$C189*AT188</f>
        <v/>
      </c>
      <c r="AU189">
        <f>$C189*AU188</f>
        <v/>
      </c>
      <c r="AV189">
        <f>$C189*AV188</f>
        <v/>
      </c>
      <c r="AW189">
        <f>$C189*AW188</f>
        <v/>
      </c>
      <c r="AX189">
        <f>$C189*AX188</f>
        <v/>
      </c>
      <c r="AY189">
        <f>$C189*AY188</f>
        <v/>
      </c>
      <c r="AZ189">
        <f>$C189*AZ188</f>
        <v/>
      </c>
      <c r="BA189">
        <f>$C189*BA188</f>
        <v/>
      </c>
      <c r="BB189">
        <f>$C189*BB188</f>
        <v/>
      </c>
      <c r="BC189">
        <f>$C189*BC188</f>
        <v/>
      </c>
      <c r="BD189">
        <f>$C189*BD188</f>
        <v/>
      </c>
      <c r="BE189">
        <f>$C189*BE188</f>
        <v/>
      </c>
      <c r="BF189">
        <f>$C189*BF188</f>
        <v/>
      </c>
      <c r="BG189">
        <f>$C189*BG188</f>
        <v/>
      </c>
      <c r="BH189">
        <f>$C189*BH188</f>
        <v/>
      </c>
      <c r="BI189">
        <f>$C189*BI188</f>
        <v/>
      </c>
      <c r="BJ189">
        <f>$C189*BJ188</f>
        <v/>
      </c>
      <c r="BK189">
        <f>$C189*BK188</f>
        <v/>
      </c>
      <c r="BL189">
        <f>$C189*BL188</f>
        <v/>
      </c>
      <c r="BM189">
        <f>$C189*BM188</f>
        <v/>
      </c>
      <c r="BN189">
        <f>$C189*BN188</f>
        <v/>
      </c>
      <c r="BO189">
        <f>$C189*BO188</f>
        <v/>
      </c>
      <c r="BP189">
        <f>$C189*BP188</f>
        <v/>
      </c>
      <c r="BQ189">
        <f>$C189*BQ188</f>
        <v/>
      </c>
      <c r="BR189">
        <f>$C189*BR188</f>
        <v/>
      </c>
      <c r="BS189">
        <f>$C189*BS188</f>
        <v/>
      </c>
      <c r="BT189">
        <f>$C189*BT188</f>
        <v/>
      </c>
      <c r="BU189">
        <f>$C189*BU188</f>
        <v/>
      </c>
      <c r="BV189">
        <f>$C189*BV188</f>
        <v/>
      </c>
      <c r="BW189">
        <f>$C189*BW188</f>
        <v/>
      </c>
      <c r="BX189">
        <f>$C189*BX188</f>
        <v/>
      </c>
      <c r="BY189">
        <f>$C189*BY188</f>
        <v/>
      </c>
      <c r="BZ189">
        <f>$C189*BZ188</f>
        <v/>
      </c>
      <c r="CA189">
        <f>$C189*CA188</f>
        <v/>
      </c>
      <c r="CB189">
        <f>$C189*CB188</f>
        <v/>
      </c>
      <c r="CC189">
        <f>$C189*CC188</f>
        <v/>
      </c>
      <c r="CD189">
        <f>$C189*CD188</f>
        <v/>
      </c>
      <c r="CE189">
        <f>$C189*CE188</f>
        <v/>
      </c>
      <c r="CF189">
        <f>$C189*CF188</f>
        <v/>
      </c>
      <c r="CG189">
        <f>$C189*CG188</f>
        <v/>
      </c>
      <c r="CH189">
        <f>$C189*CH188</f>
        <v/>
      </c>
      <c r="CI189">
        <f>$C189*CI188</f>
        <v/>
      </c>
      <c r="CJ189">
        <f>$C189*CJ188</f>
        <v/>
      </c>
      <c r="CK189">
        <f>$C189*CK188</f>
        <v/>
      </c>
      <c r="CL189">
        <f>$C189*CL188</f>
        <v/>
      </c>
      <c r="CM189">
        <f>$C189*CM188</f>
        <v/>
      </c>
      <c r="CN189">
        <f>$C189*CN188</f>
        <v/>
      </c>
      <c r="CO189">
        <f>$C189*CO188</f>
        <v/>
      </c>
      <c r="CP189">
        <f>$C189*CP188</f>
        <v/>
      </c>
      <c r="CQ189">
        <f>$C189*CQ188</f>
        <v/>
      </c>
      <c r="CR189">
        <f>$C189*CR188</f>
        <v/>
      </c>
      <c r="CS189">
        <f>$C189*CS188</f>
        <v/>
      </c>
      <c r="CT189">
        <f>$C189*CT188</f>
        <v/>
      </c>
      <c r="CU189">
        <f>$C189*CU188</f>
        <v/>
      </c>
      <c r="CV189">
        <f>$C189*CV188</f>
        <v/>
      </c>
      <c r="CW189">
        <f>$C189*CW188</f>
        <v/>
      </c>
      <c r="CX189">
        <f>$C189*CX188</f>
        <v/>
      </c>
      <c r="CY189">
        <f>$C189*CY188</f>
        <v/>
      </c>
      <c r="CZ189">
        <f>$C189*CZ188</f>
        <v/>
      </c>
      <c r="DA189">
        <f>$C189*DA188</f>
        <v/>
      </c>
      <c r="DB189">
        <f>$C189*DB188</f>
        <v/>
      </c>
      <c r="DC189">
        <f>$C189*DC188</f>
        <v/>
      </c>
    </row>
    <row r="190">
      <c r="B190" t="inlineStr">
        <is>
          <t>TSP-069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12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Name],$A175)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TSP-224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12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Name],$A175)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TSP-668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12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Name],$A175)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TSP-669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12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Name],$A175)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TSP-670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12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Name],$A175)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TSP-828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12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Name],$A175)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s="5" t="inlineStr">
        <is>
          <t>合計使用量(kg)/週</t>
        </is>
      </c>
      <c r="D202">
        <f>'Grid_Requirement'!B48</f>
        <v/>
      </c>
      <c r="E202">
        <f>'Grid_Requirement'!C48</f>
        <v/>
      </c>
      <c r="F202">
        <f>'Grid_Requirement'!D48</f>
        <v/>
      </c>
      <c r="G202">
        <f>'Grid_Requirement'!E48</f>
        <v/>
      </c>
      <c r="H202">
        <f>'Grid_Requirement'!F48</f>
        <v/>
      </c>
      <c r="I202">
        <f>'Grid_Requirement'!G48</f>
        <v/>
      </c>
      <c r="J202">
        <f>'Grid_Requirement'!H48</f>
        <v/>
      </c>
      <c r="K202">
        <f>'Grid_Requirement'!I48</f>
        <v/>
      </c>
      <c r="L202">
        <f>'Grid_Requirement'!J48</f>
        <v/>
      </c>
      <c r="M202">
        <f>'Grid_Requirement'!K48</f>
        <v/>
      </c>
      <c r="N202">
        <f>'Grid_Requirement'!L48</f>
        <v/>
      </c>
      <c r="O202">
        <f>'Grid_Requirement'!M48</f>
        <v/>
      </c>
      <c r="P202">
        <f>'Grid_Requirement'!N48</f>
        <v/>
      </c>
      <c r="Q202">
        <f>'Grid_Requirement'!O48</f>
        <v/>
      </c>
      <c r="R202">
        <f>'Grid_Requirement'!P48</f>
        <v/>
      </c>
      <c r="S202">
        <f>'Grid_Requirement'!Q48</f>
        <v/>
      </c>
      <c r="T202">
        <f>'Grid_Requirement'!R48</f>
        <v/>
      </c>
      <c r="U202">
        <f>'Grid_Requirement'!S48</f>
        <v/>
      </c>
      <c r="V202">
        <f>'Grid_Requirement'!T48</f>
        <v/>
      </c>
      <c r="W202">
        <f>'Grid_Requirement'!U48</f>
        <v/>
      </c>
      <c r="X202">
        <f>'Grid_Requirement'!V48</f>
        <v/>
      </c>
      <c r="Y202">
        <f>'Grid_Requirement'!W48</f>
        <v/>
      </c>
      <c r="Z202">
        <f>'Grid_Requirement'!X48</f>
        <v/>
      </c>
      <c r="AA202">
        <f>'Grid_Requirement'!Y48</f>
        <v/>
      </c>
      <c r="AB202">
        <f>'Grid_Requirement'!Z48</f>
        <v/>
      </c>
      <c r="AC202">
        <f>'Grid_Requirement'!AA48</f>
        <v/>
      </c>
      <c r="AD202">
        <f>'Grid_Requirement'!AB48</f>
        <v/>
      </c>
      <c r="AE202">
        <f>'Grid_Requirement'!AC48</f>
        <v/>
      </c>
      <c r="AF202">
        <f>'Grid_Requirement'!AD48</f>
        <v/>
      </c>
      <c r="AG202">
        <f>'Grid_Requirement'!AE48</f>
        <v/>
      </c>
      <c r="AH202">
        <f>'Grid_Requirement'!AF48</f>
        <v/>
      </c>
      <c r="AI202">
        <f>'Grid_Requirement'!AG48</f>
        <v/>
      </c>
      <c r="AJ202">
        <f>'Grid_Requirement'!AH48</f>
        <v/>
      </c>
      <c r="AK202">
        <f>'Grid_Requirement'!AI48</f>
        <v/>
      </c>
      <c r="AL202">
        <f>'Grid_Requirement'!AJ48</f>
        <v/>
      </c>
      <c r="AM202">
        <f>'Grid_Requirement'!AK48</f>
        <v/>
      </c>
      <c r="AN202">
        <f>'Grid_Requirement'!AL48</f>
        <v/>
      </c>
      <c r="AO202">
        <f>'Grid_Requirement'!AM48</f>
        <v/>
      </c>
      <c r="AP202">
        <f>'Grid_Requirement'!AN48</f>
        <v/>
      </c>
      <c r="AQ202">
        <f>'Grid_Requirement'!AO48</f>
        <v/>
      </c>
      <c r="AR202">
        <f>'Grid_Requirement'!AP48</f>
        <v/>
      </c>
      <c r="AS202">
        <f>'Grid_Requirement'!AQ48</f>
        <v/>
      </c>
      <c r="AT202">
        <f>'Grid_Requirement'!AR48</f>
        <v/>
      </c>
      <c r="AU202">
        <f>'Grid_Requirement'!AS48</f>
        <v/>
      </c>
      <c r="AV202">
        <f>'Grid_Requirement'!AT48</f>
        <v/>
      </c>
      <c r="AW202">
        <f>'Grid_Requirement'!AU48</f>
        <v/>
      </c>
      <c r="AX202">
        <f>'Grid_Requirement'!AV48</f>
        <v/>
      </c>
      <c r="AY202">
        <f>'Grid_Requirement'!AW48</f>
        <v/>
      </c>
      <c r="AZ202">
        <f>'Grid_Requirement'!AX48</f>
        <v/>
      </c>
      <c r="BA202">
        <f>'Grid_Requirement'!AY48</f>
        <v/>
      </c>
      <c r="BB202">
        <f>'Grid_Requirement'!AZ48</f>
        <v/>
      </c>
      <c r="BC202">
        <f>'Grid_Requirement'!BA48</f>
        <v/>
      </c>
      <c r="BD202">
        <f>'Grid_Requirement'!BB48</f>
        <v/>
      </c>
      <c r="BE202">
        <f>'Grid_Requirement'!BC48</f>
        <v/>
      </c>
      <c r="BF202">
        <f>'Grid_Requirement'!BD48</f>
        <v/>
      </c>
      <c r="BG202">
        <f>'Grid_Requirement'!BE48</f>
        <v/>
      </c>
      <c r="BH202">
        <f>'Grid_Requirement'!BF48</f>
        <v/>
      </c>
      <c r="BI202">
        <f>'Grid_Requirement'!BG48</f>
        <v/>
      </c>
      <c r="BJ202">
        <f>'Grid_Requirement'!BH48</f>
        <v/>
      </c>
      <c r="BK202">
        <f>'Grid_Requirement'!BI48</f>
        <v/>
      </c>
      <c r="BL202">
        <f>'Grid_Requirement'!BJ48</f>
        <v/>
      </c>
      <c r="BM202">
        <f>'Grid_Requirement'!BK48</f>
        <v/>
      </c>
      <c r="BN202">
        <f>'Grid_Requirement'!BL48</f>
        <v/>
      </c>
      <c r="BO202">
        <f>'Grid_Requirement'!BM48</f>
        <v/>
      </c>
      <c r="BP202">
        <f>'Grid_Requirement'!BN48</f>
        <v/>
      </c>
      <c r="BQ202">
        <f>'Grid_Requirement'!BO48</f>
        <v/>
      </c>
      <c r="BR202">
        <f>'Grid_Requirement'!BP48</f>
        <v/>
      </c>
      <c r="BS202">
        <f>'Grid_Requirement'!BQ48</f>
        <v/>
      </c>
      <c r="BT202">
        <f>'Grid_Requirement'!BR48</f>
        <v/>
      </c>
      <c r="BU202">
        <f>'Grid_Requirement'!BS48</f>
        <v/>
      </c>
      <c r="BV202">
        <f>'Grid_Requirement'!BT48</f>
        <v/>
      </c>
      <c r="BW202">
        <f>'Grid_Requirement'!BU48</f>
        <v/>
      </c>
      <c r="BX202">
        <f>'Grid_Requirement'!BV48</f>
        <v/>
      </c>
      <c r="BY202">
        <f>'Grid_Requirement'!BW48</f>
        <v/>
      </c>
      <c r="BZ202">
        <f>'Grid_Requirement'!BX48</f>
        <v/>
      </c>
      <c r="CA202">
        <f>'Grid_Requirement'!BY48</f>
        <v/>
      </c>
      <c r="CB202">
        <f>'Grid_Requirement'!BZ48</f>
        <v/>
      </c>
      <c r="CC202">
        <f>'Grid_Requirement'!CA48</f>
        <v/>
      </c>
      <c r="CD202">
        <f>'Grid_Requirement'!CB48</f>
        <v/>
      </c>
      <c r="CE202">
        <f>'Grid_Requirement'!CC48</f>
        <v/>
      </c>
      <c r="CF202">
        <f>'Grid_Requirement'!CD48</f>
        <v/>
      </c>
      <c r="CG202">
        <f>'Grid_Requirement'!CE48</f>
        <v/>
      </c>
      <c r="CH202">
        <f>'Grid_Requirement'!CF48</f>
        <v/>
      </c>
      <c r="CI202">
        <f>'Grid_Requirement'!CG48</f>
        <v/>
      </c>
      <c r="CJ202">
        <f>'Grid_Requirement'!CH48</f>
        <v/>
      </c>
      <c r="CK202">
        <f>'Grid_Requirement'!CI48</f>
        <v/>
      </c>
      <c r="CL202">
        <f>'Grid_Requirement'!CJ48</f>
        <v/>
      </c>
      <c r="CM202">
        <f>'Grid_Requirement'!CK48</f>
        <v/>
      </c>
      <c r="CN202">
        <f>'Grid_Requirement'!CL48</f>
        <v/>
      </c>
      <c r="CO202">
        <f>'Grid_Requirement'!CM48</f>
        <v/>
      </c>
      <c r="CP202">
        <f>'Grid_Requirement'!CN48</f>
        <v/>
      </c>
      <c r="CQ202">
        <f>'Grid_Requirement'!CO48</f>
        <v/>
      </c>
      <c r="CR202">
        <f>'Grid_Requirement'!CP48</f>
        <v/>
      </c>
      <c r="CS202">
        <f>'Grid_Requirement'!CQ48</f>
        <v/>
      </c>
      <c r="CT202">
        <f>'Grid_Requirement'!CR48</f>
        <v/>
      </c>
      <c r="CU202">
        <f>'Grid_Requirement'!CS48</f>
        <v/>
      </c>
      <c r="CV202">
        <f>'Grid_Requirement'!CT48</f>
        <v/>
      </c>
      <c r="CW202">
        <f>'Grid_Requirement'!CU48</f>
        <v/>
      </c>
      <c r="CX202">
        <f>'Grid_Requirement'!CV48</f>
        <v/>
      </c>
      <c r="CY202">
        <f>'Grid_Requirement'!CW48</f>
        <v/>
      </c>
      <c r="CZ202">
        <f>'Grid_Requirement'!CX48</f>
        <v/>
      </c>
      <c r="DA202">
        <f>'Grid_Requirement'!CY48</f>
        <v/>
      </c>
      <c r="DB202">
        <f>'Grid_Requirement'!CZ48</f>
        <v/>
      </c>
      <c r="DC202">
        <f>'Grid_Requirement'!DA48</f>
        <v/>
      </c>
    </row>
    <row r="203">
      <c r="B203" t="inlineStr">
        <is>
          <t>TTAF在庫(実績,kg)</t>
        </is>
      </c>
      <c r="D203">
        <f>'T_TTAFStock'!B52</f>
        <v/>
      </c>
      <c r="E203">
        <f>'T_TTAFStock'!C52</f>
        <v/>
      </c>
      <c r="F203">
        <f>'T_TTAFStock'!D52</f>
        <v/>
      </c>
      <c r="G203">
        <f>'T_TTAFStock'!E52</f>
        <v/>
      </c>
      <c r="H203">
        <f>'T_TTAFStock'!F52</f>
        <v/>
      </c>
      <c r="I203">
        <f>'T_TTAFStock'!G52</f>
        <v/>
      </c>
      <c r="J203">
        <f>'T_TTAFStock'!H52</f>
        <v/>
      </c>
      <c r="K203">
        <f>'T_TTAFStock'!I52</f>
        <v/>
      </c>
      <c r="L203">
        <f>'T_TTAFStock'!J52</f>
        <v/>
      </c>
      <c r="M203">
        <f>'T_TTAFStock'!K52</f>
        <v/>
      </c>
      <c r="N203">
        <f>'T_TTAFStock'!L52</f>
        <v/>
      </c>
      <c r="O203">
        <f>'T_TTAFStock'!M52</f>
        <v/>
      </c>
      <c r="P203">
        <f>'T_TTAFStock'!N52</f>
        <v/>
      </c>
      <c r="Q203">
        <f>'T_TTAFStock'!O52</f>
        <v/>
      </c>
      <c r="R203">
        <f>'T_TTAFStock'!P52</f>
        <v/>
      </c>
      <c r="S203">
        <f>'T_TTAFStock'!Q52</f>
        <v/>
      </c>
      <c r="T203">
        <f>'T_TTAFStock'!R52</f>
        <v/>
      </c>
      <c r="U203">
        <f>'T_TTAFStock'!S52</f>
        <v/>
      </c>
      <c r="V203">
        <f>'T_TTAFStock'!T52</f>
        <v/>
      </c>
      <c r="W203">
        <f>'T_TTAFStock'!U52</f>
        <v/>
      </c>
      <c r="X203">
        <f>'T_TTAFStock'!V52</f>
        <v/>
      </c>
      <c r="Y203">
        <f>'T_TTAFStock'!W52</f>
        <v/>
      </c>
      <c r="Z203">
        <f>'T_TTAFStock'!X52</f>
        <v/>
      </c>
      <c r="AA203">
        <f>'T_TTAFStock'!Y52</f>
        <v/>
      </c>
      <c r="AB203">
        <f>'T_TTAFStock'!Z52</f>
        <v/>
      </c>
      <c r="AC203">
        <f>'T_TTAFStock'!AA52</f>
        <v/>
      </c>
      <c r="AD203">
        <f>'T_TTAFStock'!AB52</f>
        <v/>
      </c>
      <c r="AE203">
        <f>'T_TTAFStock'!AC52</f>
        <v/>
      </c>
      <c r="AF203">
        <f>'T_TTAFStock'!AD52</f>
        <v/>
      </c>
      <c r="AG203">
        <f>'T_TTAFStock'!AE52</f>
        <v/>
      </c>
      <c r="AH203">
        <f>'T_TTAFStock'!AF52</f>
        <v/>
      </c>
      <c r="AI203">
        <f>'T_TTAFStock'!AG52</f>
        <v/>
      </c>
      <c r="AJ203">
        <f>'T_TTAFStock'!AH52</f>
        <v/>
      </c>
      <c r="AK203">
        <f>'T_TTAFStock'!AI52</f>
        <v/>
      </c>
      <c r="AL203">
        <f>'T_TTAFStock'!AJ52</f>
        <v/>
      </c>
      <c r="AM203">
        <f>'T_TTAFStock'!AK52</f>
        <v/>
      </c>
      <c r="AN203">
        <f>'T_TTAFStock'!AL52</f>
        <v/>
      </c>
      <c r="AO203">
        <f>'T_TTAFStock'!AM52</f>
        <v/>
      </c>
      <c r="AP203">
        <f>'T_TTAFStock'!AN52</f>
        <v/>
      </c>
      <c r="AQ203">
        <f>'T_TTAFStock'!AO52</f>
        <v/>
      </c>
      <c r="AR203">
        <f>'T_TTAFStock'!AP52</f>
        <v/>
      </c>
      <c r="AS203">
        <f>'T_TTAFStock'!AQ52</f>
        <v/>
      </c>
      <c r="AT203">
        <f>'T_TTAFStock'!AR52</f>
        <v/>
      </c>
      <c r="AU203">
        <f>'T_TTAFStock'!AS52</f>
        <v/>
      </c>
      <c r="AV203">
        <f>'T_TTAFStock'!AT52</f>
        <v/>
      </c>
      <c r="AW203">
        <f>'T_TTAFStock'!AU52</f>
        <v/>
      </c>
      <c r="AX203">
        <f>'T_TTAFStock'!AV52</f>
        <v/>
      </c>
      <c r="AY203">
        <f>'T_TTAFStock'!AW52</f>
        <v/>
      </c>
      <c r="AZ203">
        <f>'T_TTAFStock'!AX52</f>
        <v/>
      </c>
      <c r="BA203">
        <f>'T_TTAFStock'!AY52</f>
        <v/>
      </c>
      <c r="BB203">
        <f>'T_TTAFStock'!AZ52</f>
        <v/>
      </c>
      <c r="BC203">
        <f>'T_TTAFStock'!BA52</f>
        <v/>
      </c>
      <c r="BD203">
        <f>'T_TTAFStock'!BB52</f>
        <v/>
      </c>
      <c r="BE203">
        <f>'T_TTAFStock'!BC52</f>
        <v/>
      </c>
      <c r="BF203">
        <f>'T_TTAFStock'!BD52</f>
        <v/>
      </c>
      <c r="BG203">
        <f>'T_TTAFStock'!BE52</f>
        <v/>
      </c>
      <c r="BH203">
        <f>'T_TTAFStock'!BF52</f>
        <v/>
      </c>
      <c r="BI203">
        <f>'T_TTAFStock'!BG52</f>
        <v/>
      </c>
      <c r="BJ203">
        <f>'T_TTAFStock'!BH52</f>
        <v/>
      </c>
      <c r="BK203">
        <f>'T_TTAFStock'!BI52</f>
        <v/>
      </c>
      <c r="BL203">
        <f>'T_TTAFStock'!BJ52</f>
        <v/>
      </c>
      <c r="BM203">
        <f>'T_TTAFStock'!BK52</f>
        <v/>
      </c>
      <c r="BN203">
        <f>'T_TTAFStock'!BL52</f>
        <v/>
      </c>
      <c r="BO203">
        <f>'T_TTAFStock'!BM52</f>
        <v/>
      </c>
      <c r="BP203">
        <f>'T_TTAFStock'!BN52</f>
        <v/>
      </c>
      <c r="BQ203">
        <f>'T_TTAFStock'!BO52</f>
        <v/>
      </c>
      <c r="BR203">
        <f>'T_TTAFStock'!BP52</f>
        <v/>
      </c>
      <c r="BS203">
        <f>'T_TTAFStock'!BQ52</f>
        <v/>
      </c>
      <c r="BT203">
        <f>'T_TTAFStock'!BR52</f>
        <v/>
      </c>
      <c r="BU203">
        <f>'T_TTAFStock'!BS52</f>
        <v/>
      </c>
      <c r="BV203">
        <f>'T_TTAFStock'!BT52</f>
        <v/>
      </c>
      <c r="BW203">
        <f>'T_TTAFStock'!BU52</f>
        <v/>
      </c>
      <c r="BX203">
        <f>'T_TTAFStock'!BV52</f>
        <v/>
      </c>
      <c r="BY203">
        <f>'T_TTAFStock'!BW52</f>
        <v/>
      </c>
      <c r="BZ203">
        <f>'T_TTAFStock'!BX52</f>
        <v/>
      </c>
      <c r="CA203">
        <f>'T_TTAFStock'!BY52</f>
        <v/>
      </c>
      <c r="CB203">
        <f>'T_TTAFStock'!BZ52</f>
        <v/>
      </c>
      <c r="CC203">
        <f>'T_TTAFStock'!CA52</f>
        <v/>
      </c>
      <c r="CD203">
        <f>'T_TTAFStock'!CB52</f>
        <v/>
      </c>
      <c r="CE203">
        <f>'T_TTAFStock'!CC52</f>
        <v/>
      </c>
      <c r="CF203">
        <f>'T_TTAFStock'!CD52</f>
        <v/>
      </c>
      <c r="CG203">
        <f>'T_TTAFStock'!CE52</f>
        <v/>
      </c>
      <c r="CH203">
        <f>'T_TTAFStock'!CF52</f>
        <v/>
      </c>
      <c r="CI203">
        <f>'T_TTAFStock'!CG52</f>
        <v/>
      </c>
      <c r="CJ203">
        <f>'T_TTAFStock'!CH52</f>
        <v/>
      </c>
      <c r="CK203">
        <f>'T_TTAFStock'!CI52</f>
        <v/>
      </c>
      <c r="CL203">
        <f>'T_TTAFStock'!CJ52</f>
        <v/>
      </c>
      <c r="CM203">
        <f>'T_TTAFStock'!CK52</f>
        <v/>
      </c>
      <c r="CN203">
        <f>'T_TTAFStock'!CL52</f>
        <v/>
      </c>
      <c r="CO203">
        <f>'T_TTAFStock'!CM52</f>
        <v/>
      </c>
      <c r="CP203">
        <f>'T_TTAFStock'!CN52</f>
        <v/>
      </c>
      <c r="CQ203">
        <f>'T_TTAFStock'!CO52</f>
        <v/>
      </c>
      <c r="CR203">
        <f>'T_TTAFStock'!CP52</f>
        <v/>
      </c>
      <c r="CS203">
        <f>'T_TTAFStock'!CQ52</f>
        <v/>
      </c>
      <c r="CT203">
        <f>'T_TTAFStock'!CR52</f>
        <v/>
      </c>
      <c r="CU203">
        <f>'T_TTAFStock'!CS52</f>
        <v/>
      </c>
      <c r="CV203">
        <f>'T_TTAFStock'!CT52</f>
        <v/>
      </c>
      <c r="CW203">
        <f>'T_TTAFStock'!CU52</f>
        <v/>
      </c>
      <c r="CX203">
        <f>'T_TTAFStock'!CV52</f>
        <v/>
      </c>
      <c r="CY203">
        <f>'T_TTAFStock'!CW52</f>
        <v/>
      </c>
      <c r="CZ203">
        <f>'T_TTAFStock'!CX52</f>
        <v/>
      </c>
      <c r="DA203">
        <f>'T_TTAFStock'!CY52</f>
        <v/>
      </c>
      <c r="DB203">
        <f>'T_TTAFStock'!CZ52</f>
        <v/>
      </c>
      <c r="DC203">
        <f>'T_TTAFStock'!DA52</f>
        <v/>
      </c>
    </row>
    <row r="204">
      <c r="B204" t="inlineStr">
        <is>
          <t>自社在庫(実績,kg)</t>
        </is>
      </c>
      <c r="D204">
        <f>'T_SelfStock'!B52</f>
        <v/>
      </c>
      <c r="E204">
        <f>'T_SelfStock'!C52</f>
        <v/>
      </c>
      <c r="F204">
        <f>'T_SelfStock'!D52</f>
        <v/>
      </c>
      <c r="G204">
        <f>'T_SelfStock'!E52</f>
        <v/>
      </c>
      <c r="H204">
        <f>'T_SelfStock'!F52</f>
        <v/>
      </c>
      <c r="I204">
        <f>'T_SelfStock'!G52</f>
        <v/>
      </c>
      <c r="J204">
        <f>'T_SelfStock'!H52</f>
        <v/>
      </c>
      <c r="K204">
        <f>'T_SelfStock'!I52</f>
        <v/>
      </c>
      <c r="L204">
        <f>'T_SelfStock'!J52</f>
        <v/>
      </c>
      <c r="M204">
        <f>'T_SelfStock'!K52</f>
        <v/>
      </c>
      <c r="N204">
        <f>'T_SelfStock'!L52</f>
        <v/>
      </c>
      <c r="O204">
        <f>'T_SelfStock'!M52</f>
        <v/>
      </c>
      <c r="P204">
        <f>'T_SelfStock'!N52</f>
        <v/>
      </c>
      <c r="Q204">
        <f>'T_SelfStock'!O52</f>
        <v/>
      </c>
      <c r="R204">
        <f>'T_SelfStock'!P52</f>
        <v/>
      </c>
      <c r="S204">
        <f>'T_SelfStock'!Q52</f>
        <v/>
      </c>
      <c r="T204">
        <f>'T_SelfStock'!R52</f>
        <v/>
      </c>
      <c r="U204">
        <f>'T_SelfStock'!S52</f>
        <v/>
      </c>
      <c r="V204">
        <f>'T_SelfStock'!T52</f>
        <v/>
      </c>
      <c r="W204">
        <f>'T_SelfStock'!U52</f>
        <v/>
      </c>
      <c r="X204">
        <f>'T_SelfStock'!V52</f>
        <v/>
      </c>
      <c r="Y204">
        <f>'T_SelfStock'!W52</f>
        <v/>
      </c>
      <c r="Z204">
        <f>'T_SelfStock'!X52</f>
        <v/>
      </c>
      <c r="AA204">
        <f>'T_SelfStock'!Y52</f>
        <v/>
      </c>
      <c r="AB204">
        <f>'T_SelfStock'!Z52</f>
        <v/>
      </c>
      <c r="AC204">
        <f>'T_SelfStock'!AA52</f>
        <v/>
      </c>
      <c r="AD204">
        <f>'T_SelfStock'!AB52</f>
        <v/>
      </c>
      <c r="AE204">
        <f>'T_SelfStock'!AC52</f>
        <v/>
      </c>
      <c r="AF204">
        <f>'T_SelfStock'!AD52</f>
        <v/>
      </c>
      <c r="AG204">
        <f>'T_SelfStock'!AE52</f>
        <v/>
      </c>
      <c r="AH204">
        <f>'T_SelfStock'!AF52</f>
        <v/>
      </c>
      <c r="AI204">
        <f>'T_SelfStock'!AG52</f>
        <v/>
      </c>
      <c r="AJ204">
        <f>'T_SelfStock'!AH52</f>
        <v/>
      </c>
      <c r="AK204">
        <f>'T_SelfStock'!AI52</f>
        <v/>
      </c>
      <c r="AL204">
        <f>'T_SelfStock'!AJ52</f>
        <v/>
      </c>
      <c r="AM204">
        <f>'T_SelfStock'!AK52</f>
        <v/>
      </c>
      <c r="AN204">
        <f>'T_SelfStock'!AL52</f>
        <v/>
      </c>
      <c r="AO204">
        <f>'T_SelfStock'!AM52</f>
        <v/>
      </c>
      <c r="AP204">
        <f>'T_SelfStock'!AN52</f>
        <v/>
      </c>
      <c r="AQ204">
        <f>'T_SelfStock'!AO52</f>
        <v/>
      </c>
      <c r="AR204">
        <f>'T_SelfStock'!AP52</f>
        <v/>
      </c>
      <c r="AS204">
        <f>'T_SelfStock'!AQ52</f>
        <v/>
      </c>
      <c r="AT204">
        <f>'T_SelfStock'!AR52</f>
        <v/>
      </c>
      <c r="AU204">
        <f>'T_SelfStock'!AS52</f>
        <v/>
      </c>
      <c r="AV204">
        <f>'T_SelfStock'!AT52</f>
        <v/>
      </c>
      <c r="AW204">
        <f>'T_SelfStock'!AU52</f>
        <v/>
      </c>
      <c r="AX204">
        <f>'T_SelfStock'!AV52</f>
        <v/>
      </c>
      <c r="AY204">
        <f>'T_SelfStock'!AW52</f>
        <v/>
      </c>
      <c r="AZ204">
        <f>'T_SelfStock'!AX52</f>
        <v/>
      </c>
      <c r="BA204">
        <f>'T_SelfStock'!AY52</f>
        <v/>
      </c>
      <c r="BB204">
        <f>'T_SelfStock'!AZ52</f>
        <v/>
      </c>
      <c r="BC204">
        <f>'T_SelfStock'!BA52</f>
        <v/>
      </c>
      <c r="BD204">
        <f>'T_SelfStock'!BB52</f>
        <v/>
      </c>
      <c r="BE204">
        <f>'T_SelfStock'!BC52</f>
        <v/>
      </c>
      <c r="BF204">
        <f>'T_SelfStock'!BD52</f>
        <v/>
      </c>
      <c r="BG204">
        <f>'T_SelfStock'!BE52</f>
        <v/>
      </c>
      <c r="BH204">
        <f>'T_SelfStock'!BF52</f>
        <v/>
      </c>
      <c r="BI204">
        <f>'T_SelfStock'!BG52</f>
        <v/>
      </c>
      <c r="BJ204">
        <f>'T_SelfStock'!BH52</f>
        <v/>
      </c>
      <c r="BK204">
        <f>'T_SelfStock'!BI52</f>
        <v/>
      </c>
      <c r="BL204">
        <f>'T_SelfStock'!BJ52</f>
        <v/>
      </c>
      <c r="BM204">
        <f>'T_SelfStock'!BK52</f>
        <v/>
      </c>
      <c r="BN204">
        <f>'T_SelfStock'!BL52</f>
        <v/>
      </c>
      <c r="BO204">
        <f>'T_SelfStock'!BM52</f>
        <v/>
      </c>
      <c r="BP204">
        <f>'T_SelfStock'!BN52</f>
        <v/>
      </c>
      <c r="BQ204">
        <f>'T_SelfStock'!BO52</f>
        <v/>
      </c>
      <c r="BR204">
        <f>'T_SelfStock'!BP52</f>
        <v/>
      </c>
      <c r="BS204">
        <f>'T_SelfStock'!BQ52</f>
        <v/>
      </c>
      <c r="BT204">
        <f>'T_SelfStock'!BR52</f>
        <v/>
      </c>
      <c r="BU204">
        <f>'T_SelfStock'!BS52</f>
        <v/>
      </c>
      <c r="BV204">
        <f>'T_SelfStock'!BT52</f>
        <v/>
      </c>
      <c r="BW204">
        <f>'T_SelfStock'!BU52</f>
        <v/>
      </c>
      <c r="BX204">
        <f>'T_SelfStock'!BV52</f>
        <v/>
      </c>
      <c r="BY204">
        <f>'T_SelfStock'!BW52</f>
        <v/>
      </c>
      <c r="BZ204">
        <f>'T_SelfStock'!BX52</f>
        <v/>
      </c>
      <c r="CA204">
        <f>'T_SelfStock'!BY52</f>
        <v/>
      </c>
      <c r="CB204">
        <f>'T_SelfStock'!BZ52</f>
        <v/>
      </c>
      <c r="CC204">
        <f>'T_SelfStock'!CA52</f>
        <v/>
      </c>
      <c r="CD204">
        <f>'T_SelfStock'!CB52</f>
        <v/>
      </c>
      <c r="CE204">
        <f>'T_SelfStock'!CC52</f>
        <v/>
      </c>
      <c r="CF204">
        <f>'T_SelfStock'!CD52</f>
        <v/>
      </c>
      <c r="CG204">
        <f>'T_SelfStock'!CE52</f>
        <v/>
      </c>
      <c r="CH204">
        <f>'T_SelfStock'!CF52</f>
        <v/>
      </c>
      <c r="CI204">
        <f>'T_SelfStock'!CG52</f>
        <v/>
      </c>
      <c r="CJ204">
        <f>'T_SelfStock'!CH52</f>
        <v/>
      </c>
      <c r="CK204">
        <f>'T_SelfStock'!CI52</f>
        <v/>
      </c>
      <c r="CL204">
        <f>'T_SelfStock'!CJ52</f>
        <v/>
      </c>
      <c r="CM204">
        <f>'T_SelfStock'!CK52</f>
        <v/>
      </c>
      <c r="CN204">
        <f>'T_SelfStock'!CL52</f>
        <v/>
      </c>
      <c r="CO204">
        <f>'T_SelfStock'!CM52</f>
        <v/>
      </c>
      <c r="CP204">
        <f>'T_SelfStock'!CN52</f>
        <v/>
      </c>
      <c r="CQ204">
        <f>'T_SelfStock'!CO52</f>
        <v/>
      </c>
      <c r="CR204">
        <f>'T_SelfStock'!CP52</f>
        <v/>
      </c>
      <c r="CS204">
        <f>'T_SelfStock'!CQ52</f>
        <v/>
      </c>
      <c r="CT204">
        <f>'T_SelfStock'!CR52</f>
        <v/>
      </c>
      <c r="CU204">
        <f>'T_SelfStock'!CS52</f>
        <v/>
      </c>
      <c r="CV204">
        <f>'T_SelfStock'!CT52</f>
        <v/>
      </c>
      <c r="CW204">
        <f>'T_SelfStock'!CU52</f>
        <v/>
      </c>
      <c r="CX204">
        <f>'T_SelfStock'!CV52</f>
        <v/>
      </c>
      <c r="CY204">
        <f>'T_SelfStock'!CW52</f>
        <v/>
      </c>
      <c r="CZ204">
        <f>'T_SelfStock'!CX52</f>
        <v/>
      </c>
      <c r="DA204">
        <f>'T_SelfStock'!CY52</f>
        <v/>
      </c>
      <c r="DB204">
        <f>'T_SelfStock'!CZ52</f>
        <v/>
      </c>
      <c r="DC204">
        <f>'T_SelfStock'!DA52</f>
        <v/>
      </c>
    </row>
    <row r="205">
      <c r="B205" t="inlineStr">
        <is>
          <t>Order(発注予定,kg)</t>
        </is>
      </c>
      <c r="D205">
        <f>IF(SUMIFS(T_PlannedOrders[EffectiveQty],T_PlannedOrders[Part Name],$A175,T_PlannedOrders[WeekIndex],1)=0,"",SUMIFS(T_PlannedOrders[EffectiveQty],T_PlannedOrders[Part Name],$A175,T_PlannedOrders[WeekIndex],1)&amp;" ("&amp;TEXT(SUMPRODUCT(MAX((T_PlannedOrders[Part Name]=$A175)*(T_PlannedOrders[WeekIndex]=1)*(T_PlannedOrders[EffectiveQty]&gt;0)*T_PlannedOrders[Order_Month])),"m月")&amp;"発注)")</f>
        <v/>
      </c>
      <c r="E205">
        <f>IF(SUMIFS(T_PlannedOrders[EffectiveQty],T_PlannedOrders[Part Name],$A175,T_PlannedOrders[WeekIndex],2)=0,"",SUMIFS(T_PlannedOrders[EffectiveQty],T_PlannedOrders[Part Name],$A175,T_PlannedOrders[WeekIndex],2)&amp;" ("&amp;TEXT(SUMPRODUCT(MAX((T_PlannedOrders[Part Name]=$A175)*(T_PlannedOrders[WeekIndex]=2)*(T_PlannedOrders[EffectiveQty]&gt;0)*T_PlannedOrders[Order_Month])),"m月")&amp;"発注)")</f>
        <v/>
      </c>
      <c r="F205">
        <f>IF(SUMIFS(T_PlannedOrders[EffectiveQty],T_PlannedOrders[Part Name],$A175,T_PlannedOrders[WeekIndex],3)=0,"",SUMIFS(T_PlannedOrders[EffectiveQty],T_PlannedOrders[Part Name],$A175,T_PlannedOrders[WeekIndex],3)&amp;" ("&amp;TEXT(SUMPRODUCT(MAX((T_PlannedOrders[Part Name]=$A175)*(T_PlannedOrders[WeekIndex]=3)*(T_PlannedOrders[EffectiveQty]&gt;0)*T_PlannedOrders[Order_Month])),"m月")&amp;"発注)")</f>
        <v/>
      </c>
      <c r="G205">
        <f>IF(SUMIFS(T_PlannedOrders[EffectiveQty],T_PlannedOrders[Part Name],$A175,T_PlannedOrders[WeekIndex],4)=0,"",SUMIFS(T_PlannedOrders[EffectiveQty],T_PlannedOrders[Part Name],$A175,T_PlannedOrders[WeekIndex],4)&amp;" ("&amp;TEXT(SUMPRODUCT(MAX((T_PlannedOrders[Part Name]=$A175)*(T_PlannedOrders[WeekIndex]=4)*(T_PlannedOrders[EffectiveQty]&gt;0)*T_PlannedOrders[Order_Month])),"m月")&amp;"発注)")</f>
        <v/>
      </c>
      <c r="H205">
        <f>IF(SUMIFS(T_PlannedOrders[EffectiveQty],T_PlannedOrders[Part Name],$A175,T_PlannedOrders[WeekIndex],5)=0,"",SUMIFS(T_PlannedOrders[EffectiveQty],T_PlannedOrders[Part Name],$A175,T_PlannedOrders[WeekIndex],5)&amp;" ("&amp;TEXT(SUMPRODUCT(MAX((T_PlannedOrders[Part Name]=$A175)*(T_PlannedOrders[WeekIndex]=5)*(T_PlannedOrders[EffectiveQty]&gt;0)*T_PlannedOrders[Order_Month])),"m月")&amp;"発注)")</f>
        <v/>
      </c>
      <c r="I205">
        <f>IF(SUMIFS(T_PlannedOrders[EffectiveQty],T_PlannedOrders[Part Name],$A175,T_PlannedOrders[WeekIndex],6)=0,"",SUMIFS(T_PlannedOrders[EffectiveQty],T_PlannedOrders[Part Name],$A175,T_PlannedOrders[WeekIndex],6)&amp;" ("&amp;TEXT(SUMPRODUCT(MAX((T_PlannedOrders[Part Name]=$A175)*(T_PlannedOrders[WeekIndex]=6)*(T_PlannedOrders[EffectiveQty]&gt;0)*T_PlannedOrders[Order_Month])),"m月")&amp;"発注)")</f>
        <v/>
      </c>
      <c r="J205">
        <f>IF(SUMIFS(T_PlannedOrders[EffectiveQty],T_PlannedOrders[Part Name],$A175,T_PlannedOrders[WeekIndex],7)=0,"",SUMIFS(T_PlannedOrders[EffectiveQty],T_PlannedOrders[Part Name],$A175,T_PlannedOrders[WeekIndex],7)&amp;" ("&amp;TEXT(SUMPRODUCT(MAX((T_PlannedOrders[Part Name]=$A175)*(T_PlannedOrders[WeekIndex]=7)*(T_PlannedOrders[EffectiveQty]&gt;0)*T_PlannedOrders[Order_Month])),"m月")&amp;"発注)")</f>
        <v/>
      </c>
      <c r="K205">
        <f>IF(SUMIFS(T_PlannedOrders[EffectiveQty],T_PlannedOrders[Part Name],$A175,T_PlannedOrders[WeekIndex],8)=0,"",SUMIFS(T_PlannedOrders[EffectiveQty],T_PlannedOrders[Part Name],$A175,T_PlannedOrders[WeekIndex],8)&amp;" ("&amp;TEXT(SUMPRODUCT(MAX((T_PlannedOrders[Part Name]=$A175)*(T_PlannedOrders[WeekIndex]=8)*(T_PlannedOrders[EffectiveQty]&gt;0)*T_PlannedOrders[Order_Month])),"m月")&amp;"発注)")</f>
        <v/>
      </c>
      <c r="L205">
        <f>IF(SUMIFS(T_PlannedOrders[EffectiveQty],T_PlannedOrders[Part Name],$A175,T_PlannedOrders[WeekIndex],9)=0,"",SUMIFS(T_PlannedOrders[EffectiveQty],T_PlannedOrders[Part Name],$A175,T_PlannedOrders[WeekIndex],9)&amp;" ("&amp;TEXT(SUMPRODUCT(MAX((T_PlannedOrders[Part Name]=$A175)*(T_PlannedOrders[WeekIndex]=9)*(T_PlannedOrders[EffectiveQty]&gt;0)*T_PlannedOrders[Order_Month])),"m月")&amp;"発注)")</f>
        <v/>
      </c>
      <c r="M205">
        <f>IF(SUMIFS(T_PlannedOrders[EffectiveQty],T_PlannedOrders[Part Name],$A175,T_PlannedOrders[WeekIndex],10)=0,"",SUMIFS(T_PlannedOrders[EffectiveQty],T_PlannedOrders[Part Name],$A175,T_PlannedOrders[WeekIndex],10)&amp;" ("&amp;TEXT(SUMPRODUCT(MAX((T_PlannedOrders[Part Name]=$A175)*(T_PlannedOrders[WeekIndex]=10)*(T_PlannedOrders[EffectiveQty]&gt;0)*T_PlannedOrders[Order_Month])),"m月")&amp;"発注)")</f>
        <v/>
      </c>
      <c r="N205">
        <f>IF(SUMIFS(T_PlannedOrders[EffectiveQty],T_PlannedOrders[Part Name],$A175,T_PlannedOrders[WeekIndex],11)=0,"",SUMIFS(T_PlannedOrders[EffectiveQty],T_PlannedOrders[Part Name],$A175,T_PlannedOrders[WeekIndex],11)&amp;" ("&amp;TEXT(SUMPRODUCT(MAX((T_PlannedOrders[Part Name]=$A175)*(T_PlannedOrders[WeekIndex]=11)*(T_PlannedOrders[EffectiveQty]&gt;0)*T_PlannedOrders[Order_Month])),"m月")&amp;"発注)")</f>
        <v/>
      </c>
      <c r="O205">
        <f>IF(SUMIFS(T_PlannedOrders[EffectiveQty],T_PlannedOrders[Part Name],$A175,T_PlannedOrders[WeekIndex],12)=0,"",SUMIFS(T_PlannedOrders[EffectiveQty],T_PlannedOrders[Part Name],$A175,T_PlannedOrders[WeekIndex],12)&amp;" ("&amp;TEXT(SUMPRODUCT(MAX((T_PlannedOrders[Part Name]=$A175)*(T_PlannedOrders[WeekIndex]=12)*(T_PlannedOrders[EffectiveQty]&gt;0)*T_PlannedOrders[Order_Month])),"m月")&amp;"発注)")</f>
        <v/>
      </c>
      <c r="P205">
        <f>IF(SUMIFS(T_PlannedOrders[EffectiveQty],T_PlannedOrders[Part Name],$A175,T_PlannedOrders[WeekIndex],13)=0,"",SUMIFS(T_PlannedOrders[EffectiveQty],T_PlannedOrders[Part Name],$A175,T_PlannedOrders[WeekIndex],13)&amp;" ("&amp;TEXT(SUMPRODUCT(MAX((T_PlannedOrders[Part Name]=$A175)*(T_PlannedOrders[WeekIndex]=13)*(T_PlannedOrders[EffectiveQty]&gt;0)*T_PlannedOrders[Order_Month])),"m月")&amp;"発注)")</f>
        <v/>
      </c>
      <c r="Q205">
        <f>IF(SUMIFS(T_PlannedOrders[EffectiveQty],T_PlannedOrders[Part Name],$A175,T_PlannedOrders[WeekIndex],14)=0,"",SUMIFS(T_PlannedOrders[EffectiveQty],T_PlannedOrders[Part Name],$A175,T_PlannedOrders[WeekIndex],14)&amp;" ("&amp;TEXT(SUMPRODUCT(MAX((T_PlannedOrders[Part Name]=$A175)*(T_PlannedOrders[WeekIndex]=14)*(T_PlannedOrders[EffectiveQty]&gt;0)*T_PlannedOrders[Order_Month])),"m月")&amp;"発注)")</f>
        <v/>
      </c>
      <c r="R205">
        <f>IF(SUMIFS(T_PlannedOrders[EffectiveQty],T_PlannedOrders[Part Name],$A175,T_PlannedOrders[WeekIndex],15)=0,"",SUMIFS(T_PlannedOrders[EffectiveQty],T_PlannedOrders[Part Name],$A175,T_PlannedOrders[WeekIndex],15)&amp;" ("&amp;TEXT(SUMPRODUCT(MAX((T_PlannedOrders[Part Name]=$A175)*(T_PlannedOrders[WeekIndex]=15)*(T_PlannedOrders[EffectiveQty]&gt;0)*T_PlannedOrders[Order_Month])),"m月")&amp;"発注)")</f>
        <v/>
      </c>
      <c r="S205">
        <f>IF(SUMIFS(T_PlannedOrders[EffectiveQty],T_PlannedOrders[Part Name],$A175,T_PlannedOrders[WeekIndex],16)=0,"",SUMIFS(T_PlannedOrders[EffectiveQty],T_PlannedOrders[Part Name],$A175,T_PlannedOrders[WeekIndex],16)&amp;" ("&amp;TEXT(SUMPRODUCT(MAX((T_PlannedOrders[Part Name]=$A175)*(T_PlannedOrders[WeekIndex]=16)*(T_PlannedOrders[EffectiveQty]&gt;0)*T_PlannedOrders[Order_Month])),"m月")&amp;"発注)")</f>
        <v/>
      </c>
      <c r="T205">
        <f>IF(SUMIFS(T_PlannedOrders[EffectiveQty],T_PlannedOrders[Part Name],$A175,T_PlannedOrders[WeekIndex],17)=0,"",SUMIFS(T_PlannedOrders[EffectiveQty],T_PlannedOrders[Part Name],$A175,T_PlannedOrders[WeekIndex],17)&amp;" ("&amp;TEXT(SUMPRODUCT(MAX((T_PlannedOrders[Part Name]=$A175)*(T_PlannedOrders[WeekIndex]=17)*(T_PlannedOrders[EffectiveQty]&gt;0)*T_PlannedOrders[Order_Month])),"m月")&amp;"発注)")</f>
        <v/>
      </c>
      <c r="U205">
        <f>IF(SUMIFS(T_PlannedOrders[EffectiveQty],T_PlannedOrders[Part Name],$A175,T_PlannedOrders[WeekIndex],18)=0,"",SUMIFS(T_PlannedOrders[EffectiveQty],T_PlannedOrders[Part Name],$A175,T_PlannedOrders[WeekIndex],18)&amp;" ("&amp;TEXT(SUMPRODUCT(MAX((T_PlannedOrders[Part Name]=$A175)*(T_PlannedOrders[WeekIndex]=18)*(T_PlannedOrders[EffectiveQty]&gt;0)*T_PlannedOrders[Order_Month])),"m月")&amp;"発注)")</f>
        <v/>
      </c>
      <c r="V205">
        <f>IF(SUMIFS(T_PlannedOrders[EffectiveQty],T_PlannedOrders[Part Name],$A175,T_PlannedOrders[WeekIndex],19)=0,"",SUMIFS(T_PlannedOrders[EffectiveQty],T_PlannedOrders[Part Name],$A175,T_PlannedOrders[WeekIndex],19)&amp;" ("&amp;TEXT(SUMPRODUCT(MAX((T_PlannedOrders[Part Name]=$A175)*(T_PlannedOrders[WeekIndex]=19)*(T_PlannedOrders[EffectiveQty]&gt;0)*T_PlannedOrders[Order_Month])),"m月")&amp;"発注)")</f>
        <v/>
      </c>
      <c r="W205">
        <f>IF(SUMIFS(T_PlannedOrders[EffectiveQty],T_PlannedOrders[Part Name],$A175,T_PlannedOrders[WeekIndex],20)=0,"",SUMIFS(T_PlannedOrders[EffectiveQty],T_PlannedOrders[Part Name],$A175,T_PlannedOrders[WeekIndex],20)&amp;" ("&amp;TEXT(SUMPRODUCT(MAX((T_PlannedOrders[Part Name]=$A175)*(T_PlannedOrders[WeekIndex]=20)*(T_PlannedOrders[EffectiveQty]&gt;0)*T_PlannedOrders[Order_Month])),"m月")&amp;"発注)")</f>
        <v/>
      </c>
      <c r="X205">
        <f>IF(SUMIFS(T_PlannedOrders[EffectiveQty],T_PlannedOrders[Part Name],$A175,T_PlannedOrders[WeekIndex],21)=0,"",SUMIFS(T_PlannedOrders[EffectiveQty],T_PlannedOrders[Part Name],$A175,T_PlannedOrders[WeekIndex],21)&amp;" ("&amp;TEXT(SUMPRODUCT(MAX((T_PlannedOrders[Part Name]=$A175)*(T_PlannedOrders[WeekIndex]=21)*(T_PlannedOrders[EffectiveQty]&gt;0)*T_PlannedOrders[Order_Month])),"m月")&amp;"発注)")</f>
        <v/>
      </c>
      <c r="Y205">
        <f>IF(SUMIFS(T_PlannedOrders[EffectiveQty],T_PlannedOrders[Part Name],$A175,T_PlannedOrders[WeekIndex],22)=0,"",SUMIFS(T_PlannedOrders[EffectiveQty],T_PlannedOrders[Part Name],$A175,T_PlannedOrders[WeekIndex],22)&amp;" ("&amp;TEXT(SUMPRODUCT(MAX((T_PlannedOrders[Part Name]=$A175)*(T_PlannedOrders[WeekIndex]=22)*(T_PlannedOrders[EffectiveQty]&gt;0)*T_PlannedOrders[Order_Month])),"m月")&amp;"発注)")</f>
        <v/>
      </c>
      <c r="Z205">
        <f>IF(SUMIFS(T_PlannedOrders[EffectiveQty],T_PlannedOrders[Part Name],$A175,T_PlannedOrders[WeekIndex],23)=0,"",SUMIFS(T_PlannedOrders[EffectiveQty],T_PlannedOrders[Part Name],$A175,T_PlannedOrders[WeekIndex],23)&amp;" ("&amp;TEXT(SUMPRODUCT(MAX((T_PlannedOrders[Part Name]=$A175)*(T_PlannedOrders[WeekIndex]=23)*(T_PlannedOrders[EffectiveQty]&gt;0)*T_PlannedOrders[Order_Month])),"m月")&amp;"発注)")</f>
        <v/>
      </c>
      <c r="AA205">
        <f>IF(SUMIFS(T_PlannedOrders[EffectiveQty],T_PlannedOrders[Part Name],$A175,T_PlannedOrders[WeekIndex],24)=0,"",SUMIFS(T_PlannedOrders[EffectiveQty],T_PlannedOrders[Part Name],$A175,T_PlannedOrders[WeekIndex],24)&amp;" ("&amp;TEXT(SUMPRODUCT(MAX((T_PlannedOrders[Part Name]=$A175)*(T_PlannedOrders[WeekIndex]=24)*(T_PlannedOrders[EffectiveQty]&gt;0)*T_PlannedOrders[Order_Month])),"m月")&amp;"発注)")</f>
        <v/>
      </c>
      <c r="AB205">
        <f>IF(SUMIFS(T_PlannedOrders[EffectiveQty],T_PlannedOrders[Part Name],$A175,T_PlannedOrders[WeekIndex],25)=0,"",SUMIFS(T_PlannedOrders[EffectiveQty],T_PlannedOrders[Part Name],$A175,T_PlannedOrders[WeekIndex],25)&amp;" ("&amp;TEXT(SUMPRODUCT(MAX((T_PlannedOrders[Part Name]=$A175)*(T_PlannedOrders[WeekIndex]=25)*(T_PlannedOrders[EffectiveQty]&gt;0)*T_PlannedOrders[Order_Month])),"m月")&amp;"発注)")</f>
        <v/>
      </c>
      <c r="AC205">
        <f>IF(SUMIFS(T_PlannedOrders[EffectiveQty],T_PlannedOrders[Part Name],$A175,T_PlannedOrders[WeekIndex],26)=0,"",SUMIFS(T_PlannedOrders[EffectiveQty],T_PlannedOrders[Part Name],$A175,T_PlannedOrders[WeekIndex],26)&amp;" ("&amp;TEXT(SUMPRODUCT(MAX((T_PlannedOrders[Part Name]=$A175)*(T_PlannedOrders[WeekIndex]=26)*(T_PlannedOrders[EffectiveQty]&gt;0)*T_PlannedOrders[Order_Month])),"m月")&amp;"発注)")</f>
        <v/>
      </c>
      <c r="AD205">
        <f>IF(SUMIFS(T_PlannedOrders[EffectiveQty],T_PlannedOrders[Part Name],$A175,T_PlannedOrders[WeekIndex],27)=0,"",SUMIFS(T_PlannedOrders[EffectiveQty],T_PlannedOrders[Part Name],$A175,T_PlannedOrders[WeekIndex],27)&amp;" ("&amp;TEXT(SUMPRODUCT(MAX((T_PlannedOrders[Part Name]=$A175)*(T_PlannedOrders[WeekIndex]=27)*(T_PlannedOrders[EffectiveQty]&gt;0)*T_PlannedOrders[Order_Month])),"m月")&amp;"発注)")</f>
        <v/>
      </c>
      <c r="AE205">
        <f>IF(SUMIFS(T_PlannedOrders[EffectiveQty],T_PlannedOrders[Part Name],$A175,T_PlannedOrders[WeekIndex],28)=0,"",SUMIFS(T_PlannedOrders[EffectiveQty],T_PlannedOrders[Part Name],$A175,T_PlannedOrders[WeekIndex],28)&amp;" ("&amp;TEXT(SUMPRODUCT(MAX((T_PlannedOrders[Part Name]=$A175)*(T_PlannedOrders[WeekIndex]=28)*(T_PlannedOrders[EffectiveQty]&gt;0)*T_PlannedOrders[Order_Month])),"m月")&amp;"発注)")</f>
        <v/>
      </c>
      <c r="AF205">
        <f>IF(SUMIFS(T_PlannedOrders[EffectiveQty],T_PlannedOrders[Part Name],$A175,T_PlannedOrders[WeekIndex],29)=0,"",SUMIFS(T_PlannedOrders[EffectiveQty],T_PlannedOrders[Part Name],$A175,T_PlannedOrders[WeekIndex],29)&amp;" ("&amp;TEXT(SUMPRODUCT(MAX((T_PlannedOrders[Part Name]=$A175)*(T_PlannedOrders[WeekIndex]=29)*(T_PlannedOrders[EffectiveQty]&gt;0)*T_PlannedOrders[Order_Month])),"m月")&amp;"発注)")</f>
        <v/>
      </c>
      <c r="AG205">
        <f>IF(SUMIFS(T_PlannedOrders[EffectiveQty],T_PlannedOrders[Part Name],$A175,T_PlannedOrders[WeekIndex],30)=0,"",SUMIFS(T_PlannedOrders[EffectiveQty],T_PlannedOrders[Part Name],$A175,T_PlannedOrders[WeekIndex],30)&amp;" ("&amp;TEXT(SUMPRODUCT(MAX((T_PlannedOrders[Part Name]=$A175)*(T_PlannedOrders[WeekIndex]=30)*(T_PlannedOrders[EffectiveQty]&gt;0)*T_PlannedOrders[Order_Month])),"m月")&amp;"発注)")</f>
        <v/>
      </c>
      <c r="AH205">
        <f>IF(SUMIFS(T_PlannedOrders[EffectiveQty],T_PlannedOrders[Part Name],$A175,T_PlannedOrders[WeekIndex],31)=0,"",SUMIFS(T_PlannedOrders[EffectiveQty],T_PlannedOrders[Part Name],$A175,T_PlannedOrders[WeekIndex],31)&amp;" ("&amp;TEXT(SUMPRODUCT(MAX((T_PlannedOrders[Part Name]=$A175)*(T_PlannedOrders[WeekIndex]=31)*(T_PlannedOrders[EffectiveQty]&gt;0)*T_PlannedOrders[Order_Month])),"m月")&amp;"発注)")</f>
        <v/>
      </c>
      <c r="AI205">
        <f>IF(SUMIFS(T_PlannedOrders[EffectiveQty],T_PlannedOrders[Part Name],$A175,T_PlannedOrders[WeekIndex],32)=0,"",SUMIFS(T_PlannedOrders[EffectiveQty],T_PlannedOrders[Part Name],$A175,T_PlannedOrders[WeekIndex],32)&amp;" ("&amp;TEXT(SUMPRODUCT(MAX((T_PlannedOrders[Part Name]=$A175)*(T_PlannedOrders[WeekIndex]=32)*(T_PlannedOrders[EffectiveQty]&gt;0)*T_PlannedOrders[Order_Month])),"m月")&amp;"発注)")</f>
        <v/>
      </c>
      <c r="AJ205">
        <f>IF(SUMIFS(T_PlannedOrders[EffectiveQty],T_PlannedOrders[Part Name],$A175,T_PlannedOrders[WeekIndex],33)=0,"",SUMIFS(T_PlannedOrders[EffectiveQty],T_PlannedOrders[Part Name],$A175,T_PlannedOrders[WeekIndex],33)&amp;" ("&amp;TEXT(SUMPRODUCT(MAX((T_PlannedOrders[Part Name]=$A175)*(T_PlannedOrders[WeekIndex]=33)*(T_PlannedOrders[EffectiveQty]&gt;0)*T_PlannedOrders[Order_Month])),"m月")&amp;"発注)")</f>
        <v/>
      </c>
      <c r="AK205">
        <f>IF(SUMIFS(T_PlannedOrders[EffectiveQty],T_PlannedOrders[Part Name],$A175,T_PlannedOrders[WeekIndex],34)=0,"",SUMIFS(T_PlannedOrders[EffectiveQty],T_PlannedOrders[Part Name],$A175,T_PlannedOrders[WeekIndex],34)&amp;" ("&amp;TEXT(SUMPRODUCT(MAX((T_PlannedOrders[Part Name]=$A175)*(T_PlannedOrders[WeekIndex]=34)*(T_PlannedOrders[EffectiveQty]&gt;0)*T_PlannedOrders[Order_Month])),"m月")&amp;"発注)")</f>
        <v/>
      </c>
      <c r="AL205">
        <f>IF(SUMIFS(T_PlannedOrders[EffectiveQty],T_PlannedOrders[Part Name],$A175,T_PlannedOrders[WeekIndex],35)=0,"",SUMIFS(T_PlannedOrders[EffectiveQty],T_PlannedOrders[Part Name],$A175,T_PlannedOrders[WeekIndex],35)&amp;" ("&amp;TEXT(SUMPRODUCT(MAX((T_PlannedOrders[Part Name]=$A175)*(T_PlannedOrders[WeekIndex]=35)*(T_PlannedOrders[EffectiveQty]&gt;0)*T_PlannedOrders[Order_Month])),"m月")&amp;"発注)")</f>
        <v/>
      </c>
      <c r="AM205">
        <f>IF(SUMIFS(T_PlannedOrders[EffectiveQty],T_PlannedOrders[Part Name],$A175,T_PlannedOrders[WeekIndex],36)=0,"",SUMIFS(T_PlannedOrders[EffectiveQty],T_PlannedOrders[Part Name],$A175,T_PlannedOrders[WeekIndex],36)&amp;" ("&amp;TEXT(SUMPRODUCT(MAX((T_PlannedOrders[Part Name]=$A175)*(T_PlannedOrders[WeekIndex]=36)*(T_PlannedOrders[EffectiveQty]&gt;0)*T_PlannedOrders[Order_Month])),"m月")&amp;"発注)")</f>
        <v/>
      </c>
      <c r="AN205">
        <f>IF(SUMIFS(T_PlannedOrders[EffectiveQty],T_PlannedOrders[Part Name],$A175,T_PlannedOrders[WeekIndex],37)=0,"",SUMIFS(T_PlannedOrders[EffectiveQty],T_PlannedOrders[Part Name],$A175,T_PlannedOrders[WeekIndex],37)&amp;" ("&amp;TEXT(SUMPRODUCT(MAX((T_PlannedOrders[Part Name]=$A175)*(T_PlannedOrders[WeekIndex]=37)*(T_PlannedOrders[EffectiveQty]&gt;0)*T_PlannedOrders[Order_Month])),"m月")&amp;"発注)")</f>
        <v/>
      </c>
      <c r="AO205">
        <f>IF(SUMIFS(T_PlannedOrders[EffectiveQty],T_PlannedOrders[Part Name],$A175,T_PlannedOrders[WeekIndex],38)=0,"",SUMIFS(T_PlannedOrders[EffectiveQty],T_PlannedOrders[Part Name],$A175,T_PlannedOrders[WeekIndex],38)&amp;" ("&amp;TEXT(SUMPRODUCT(MAX((T_PlannedOrders[Part Name]=$A175)*(T_PlannedOrders[WeekIndex]=38)*(T_PlannedOrders[EffectiveQty]&gt;0)*T_PlannedOrders[Order_Month])),"m月")&amp;"発注)")</f>
        <v/>
      </c>
      <c r="AP205">
        <f>IF(SUMIFS(T_PlannedOrders[EffectiveQty],T_PlannedOrders[Part Name],$A175,T_PlannedOrders[WeekIndex],39)=0,"",SUMIFS(T_PlannedOrders[EffectiveQty],T_PlannedOrders[Part Name],$A175,T_PlannedOrders[WeekIndex],39)&amp;" ("&amp;TEXT(SUMPRODUCT(MAX((T_PlannedOrders[Part Name]=$A175)*(T_PlannedOrders[WeekIndex]=39)*(T_PlannedOrders[EffectiveQty]&gt;0)*T_PlannedOrders[Order_Month])),"m月")&amp;"発注)")</f>
        <v/>
      </c>
      <c r="AQ205">
        <f>IF(SUMIFS(T_PlannedOrders[EffectiveQty],T_PlannedOrders[Part Name],$A175,T_PlannedOrders[WeekIndex],40)=0,"",SUMIFS(T_PlannedOrders[EffectiveQty],T_PlannedOrders[Part Name],$A175,T_PlannedOrders[WeekIndex],40)&amp;" ("&amp;TEXT(SUMPRODUCT(MAX((T_PlannedOrders[Part Name]=$A175)*(T_PlannedOrders[WeekIndex]=40)*(T_PlannedOrders[EffectiveQty]&gt;0)*T_PlannedOrders[Order_Month])),"m月")&amp;"発注)")</f>
        <v/>
      </c>
      <c r="AR205">
        <f>IF(SUMIFS(T_PlannedOrders[EffectiveQty],T_PlannedOrders[Part Name],$A175,T_PlannedOrders[WeekIndex],41)=0,"",SUMIFS(T_PlannedOrders[EffectiveQty],T_PlannedOrders[Part Name],$A175,T_PlannedOrders[WeekIndex],41)&amp;" ("&amp;TEXT(SUMPRODUCT(MAX((T_PlannedOrders[Part Name]=$A175)*(T_PlannedOrders[WeekIndex]=41)*(T_PlannedOrders[EffectiveQty]&gt;0)*T_PlannedOrders[Order_Month])),"m月")&amp;"発注)")</f>
        <v/>
      </c>
      <c r="AS205">
        <f>IF(SUMIFS(T_PlannedOrders[EffectiveQty],T_PlannedOrders[Part Name],$A175,T_PlannedOrders[WeekIndex],42)=0,"",SUMIFS(T_PlannedOrders[EffectiveQty],T_PlannedOrders[Part Name],$A175,T_PlannedOrders[WeekIndex],42)&amp;" ("&amp;TEXT(SUMPRODUCT(MAX((T_PlannedOrders[Part Name]=$A175)*(T_PlannedOrders[WeekIndex]=42)*(T_PlannedOrders[EffectiveQty]&gt;0)*T_PlannedOrders[Order_Month])),"m月")&amp;"発注)")</f>
        <v/>
      </c>
      <c r="AT205">
        <f>IF(SUMIFS(T_PlannedOrders[EffectiveQty],T_PlannedOrders[Part Name],$A175,T_PlannedOrders[WeekIndex],43)=0,"",SUMIFS(T_PlannedOrders[EffectiveQty],T_PlannedOrders[Part Name],$A175,T_PlannedOrders[WeekIndex],43)&amp;" ("&amp;TEXT(SUMPRODUCT(MAX((T_PlannedOrders[Part Name]=$A175)*(T_PlannedOrders[WeekIndex]=43)*(T_PlannedOrders[EffectiveQty]&gt;0)*T_PlannedOrders[Order_Month])),"m月")&amp;"発注)")</f>
        <v/>
      </c>
      <c r="AU205">
        <f>IF(SUMIFS(T_PlannedOrders[EffectiveQty],T_PlannedOrders[Part Name],$A175,T_PlannedOrders[WeekIndex],44)=0,"",SUMIFS(T_PlannedOrders[EffectiveQty],T_PlannedOrders[Part Name],$A175,T_PlannedOrders[WeekIndex],44)&amp;" ("&amp;TEXT(SUMPRODUCT(MAX((T_PlannedOrders[Part Name]=$A175)*(T_PlannedOrders[WeekIndex]=44)*(T_PlannedOrders[EffectiveQty]&gt;0)*T_PlannedOrders[Order_Month])),"m月")&amp;"発注)")</f>
        <v/>
      </c>
      <c r="AV205">
        <f>IF(SUMIFS(T_PlannedOrders[EffectiveQty],T_PlannedOrders[Part Name],$A175,T_PlannedOrders[WeekIndex],45)=0,"",SUMIFS(T_PlannedOrders[EffectiveQty],T_PlannedOrders[Part Name],$A175,T_PlannedOrders[WeekIndex],45)&amp;" ("&amp;TEXT(SUMPRODUCT(MAX((T_PlannedOrders[Part Name]=$A175)*(T_PlannedOrders[WeekIndex]=45)*(T_PlannedOrders[EffectiveQty]&gt;0)*T_PlannedOrders[Order_Month])),"m月")&amp;"発注)")</f>
        <v/>
      </c>
      <c r="AW205">
        <f>IF(SUMIFS(T_PlannedOrders[EffectiveQty],T_PlannedOrders[Part Name],$A175,T_PlannedOrders[WeekIndex],46)=0,"",SUMIFS(T_PlannedOrders[EffectiveQty],T_PlannedOrders[Part Name],$A175,T_PlannedOrders[WeekIndex],46)&amp;" ("&amp;TEXT(SUMPRODUCT(MAX((T_PlannedOrders[Part Name]=$A175)*(T_PlannedOrders[WeekIndex]=46)*(T_PlannedOrders[EffectiveQty]&gt;0)*T_PlannedOrders[Order_Month])),"m月")&amp;"発注)")</f>
        <v/>
      </c>
      <c r="AX205">
        <f>IF(SUMIFS(T_PlannedOrders[EffectiveQty],T_PlannedOrders[Part Name],$A175,T_PlannedOrders[WeekIndex],47)=0,"",SUMIFS(T_PlannedOrders[EffectiveQty],T_PlannedOrders[Part Name],$A175,T_PlannedOrders[WeekIndex],47)&amp;" ("&amp;TEXT(SUMPRODUCT(MAX((T_PlannedOrders[Part Name]=$A175)*(T_PlannedOrders[WeekIndex]=47)*(T_PlannedOrders[EffectiveQty]&gt;0)*T_PlannedOrders[Order_Month])),"m月")&amp;"発注)")</f>
        <v/>
      </c>
      <c r="AY205">
        <f>IF(SUMIFS(T_PlannedOrders[EffectiveQty],T_PlannedOrders[Part Name],$A175,T_PlannedOrders[WeekIndex],48)=0,"",SUMIFS(T_PlannedOrders[EffectiveQty],T_PlannedOrders[Part Name],$A175,T_PlannedOrders[WeekIndex],48)&amp;" ("&amp;TEXT(SUMPRODUCT(MAX((T_PlannedOrders[Part Name]=$A175)*(T_PlannedOrders[WeekIndex]=48)*(T_PlannedOrders[EffectiveQty]&gt;0)*T_PlannedOrders[Order_Month])),"m月")&amp;"発注)")</f>
        <v/>
      </c>
      <c r="AZ205">
        <f>IF(SUMIFS(T_PlannedOrders[EffectiveQty],T_PlannedOrders[Part Name],$A175,T_PlannedOrders[WeekIndex],49)=0,"",SUMIFS(T_PlannedOrders[EffectiveQty],T_PlannedOrders[Part Name],$A175,T_PlannedOrders[WeekIndex],49)&amp;" ("&amp;TEXT(SUMPRODUCT(MAX((T_PlannedOrders[Part Name]=$A175)*(T_PlannedOrders[WeekIndex]=49)*(T_PlannedOrders[EffectiveQty]&gt;0)*T_PlannedOrders[Order_Month])),"m月")&amp;"発注)")</f>
        <v/>
      </c>
      <c r="BA205">
        <f>IF(SUMIFS(T_PlannedOrders[EffectiveQty],T_PlannedOrders[Part Name],$A175,T_PlannedOrders[WeekIndex],50)=0,"",SUMIFS(T_PlannedOrders[EffectiveQty],T_PlannedOrders[Part Name],$A175,T_PlannedOrders[WeekIndex],50)&amp;" ("&amp;TEXT(SUMPRODUCT(MAX((T_PlannedOrders[Part Name]=$A175)*(T_PlannedOrders[WeekIndex]=50)*(T_PlannedOrders[EffectiveQty]&gt;0)*T_PlannedOrders[Order_Month])),"m月")&amp;"発注)")</f>
        <v/>
      </c>
      <c r="BB205">
        <f>IF(SUMIFS(T_PlannedOrders[EffectiveQty],T_PlannedOrders[Part Name],$A175,T_PlannedOrders[WeekIndex],51)=0,"",SUMIFS(T_PlannedOrders[EffectiveQty],T_PlannedOrders[Part Name],$A175,T_PlannedOrders[WeekIndex],51)&amp;" ("&amp;TEXT(SUMPRODUCT(MAX((T_PlannedOrders[Part Name]=$A175)*(T_PlannedOrders[WeekIndex]=51)*(T_PlannedOrders[EffectiveQty]&gt;0)*T_PlannedOrders[Order_Month])),"m月")&amp;"発注)")</f>
        <v/>
      </c>
      <c r="BC205">
        <f>IF(SUMIFS(T_PlannedOrders[EffectiveQty],T_PlannedOrders[Part Name],$A175,T_PlannedOrders[WeekIndex],52)=0,"",SUMIFS(T_PlannedOrders[EffectiveQty],T_PlannedOrders[Part Name],$A175,T_PlannedOrders[WeekIndex],52)&amp;" ("&amp;TEXT(SUMPRODUCT(MAX((T_PlannedOrders[Part Name]=$A175)*(T_PlannedOrders[WeekIndex]=52)*(T_PlannedOrders[EffectiveQty]&gt;0)*T_PlannedOrders[Order_Month])),"m月")&amp;"発注)")</f>
        <v/>
      </c>
      <c r="BD205">
        <f>IF(SUMIFS(T_PlannedOrders[EffectiveQty],T_PlannedOrders[Part Name],$A175,T_PlannedOrders[WeekIndex],53)=0,"",SUMIFS(T_PlannedOrders[EffectiveQty],T_PlannedOrders[Part Name],$A175,T_PlannedOrders[WeekIndex],53)&amp;" ("&amp;TEXT(SUMPRODUCT(MAX((T_PlannedOrders[Part Name]=$A175)*(T_PlannedOrders[WeekIndex]=53)*(T_PlannedOrders[EffectiveQty]&gt;0)*T_PlannedOrders[Order_Month])),"m月")&amp;"発注)")</f>
        <v/>
      </c>
      <c r="BE205">
        <f>IF(SUMIFS(T_PlannedOrders[EffectiveQty],T_PlannedOrders[Part Name],$A175,T_PlannedOrders[WeekIndex],54)=0,"",SUMIFS(T_PlannedOrders[EffectiveQty],T_PlannedOrders[Part Name],$A175,T_PlannedOrders[WeekIndex],54)&amp;" ("&amp;TEXT(SUMPRODUCT(MAX((T_PlannedOrders[Part Name]=$A175)*(T_PlannedOrders[WeekIndex]=54)*(T_PlannedOrders[EffectiveQty]&gt;0)*T_PlannedOrders[Order_Month])),"m月")&amp;"発注)")</f>
        <v/>
      </c>
      <c r="BF205">
        <f>IF(SUMIFS(T_PlannedOrders[EffectiveQty],T_PlannedOrders[Part Name],$A175,T_PlannedOrders[WeekIndex],55)=0,"",SUMIFS(T_PlannedOrders[EffectiveQty],T_PlannedOrders[Part Name],$A175,T_PlannedOrders[WeekIndex],55)&amp;" ("&amp;TEXT(SUMPRODUCT(MAX((T_PlannedOrders[Part Name]=$A175)*(T_PlannedOrders[WeekIndex]=55)*(T_PlannedOrders[EffectiveQty]&gt;0)*T_PlannedOrders[Order_Month])),"m月")&amp;"発注)")</f>
        <v/>
      </c>
      <c r="BG205">
        <f>IF(SUMIFS(T_PlannedOrders[EffectiveQty],T_PlannedOrders[Part Name],$A175,T_PlannedOrders[WeekIndex],56)=0,"",SUMIFS(T_PlannedOrders[EffectiveQty],T_PlannedOrders[Part Name],$A175,T_PlannedOrders[WeekIndex],56)&amp;" ("&amp;TEXT(SUMPRODUCT(MAX((T_PlannedOrders[Part Name]=$A175)*(T_PlannedOrders[WeekIndex]=56)*(T_PlannedOrders[EffectiveQty]&gt;0)*T_PlannedOrders[Order_Month])),"m月")&amp;"発注)")</f>
        <v/>
      </c>
      <c r="BH205">
        <f>IF(SUMIFS(T_PlannedOrders[EffectiveQty],T_PlannedOrders[Part Name],$A175,T_PlannedOrders[WeekIndex],57)=0,"",SUMIFS(T_PlannedOrders[EffectiveQty],T_PlannedOrders[Part Name],$A175,T_PlannedOrders[WeekIndex],57)&amp;" ("&amp;TEXT(SUMPRODUCT(MAX((T_PlannedOrders[Part Name]=$A175)*(T_PlannedOrders[WeekIndex]=57)*(T_PlannedOrders[EffectiveQty]&gt;0)*T_PlannedOrders[Order_Month])),"m月")&amp;"発注)")</f>
        <v/>
      </c>
      <c r="BI205">
        <f>IF(SUMIFS(T_PlannedOrders[EffectiveQty],T_PlannedOrders[Part Name],$A175,T_PlannedOrders[WeekIndex],58)=0,"",SUMIFS(T_PlannedOrders[EffectiveQty],T_PlannedOrders[Part Name],$A175,T_PlannedOrders[WeekIndex],58)&amp;" ("&amp;TEXT(SUMPRODUCT(MAX((T_PlannedOrders[Part Name]=$A175)*(T_PlannedOrders[WeekIndex]=58)*(T_PlannedOrders[EffectiveQty]&gt;0)*T_PlannedOrders[Order_Month])),"m月")&amp;"発注)")</f>
        <v/>
      </c>
      <c r="BJ205">
        <f>IF(SUMIFS(T_PlannedOrders[EffectiveQty],T_PlannedOrders[Part Name],$A175,T_PlannedOrders[WeekIndex],59)=0,"",SUMIFS(T_PlannedOrders[EffectiveQty],T_PlannedOrders[Part Name],$A175,T_PlannedOrders[WeekIndex],59)&amp;" ("&amp;TEXT(SUMPRODUCT(MAX((T_PlannedOrders[Part Name]=$A175)*(T_PlannedOrders[WeekIndex]=59)*(T_PlannedOrders[EffectiveQty]&gt;0)*T_PlannedOrders[Order_Month])),"m月")&amp;"発注)")</f>
        <v/>
      </c>
      <c r="BK205">
        <f>IF(SUMIFS(T_PlannedOrders[EffectiveQty],T_PlannedOrders[Part Name],$A175,T_PlannedOrders[WeekIndex],60)=0,"",SUMIFS(T_PlannedOrders[EffectiveQty],T_PlannedOrders[Part Name],$A175,T_PlannedOrders[WeekIndex],60)&amp;" ("&amp;TEXT(SUMPRODUCT(MAX((T_PlannedOrders[Part Name]=$A175)*(T_PlannedOrders[WeekIndex]=60)*(T_PlannedOrders[EffectiveQty]&gt;0)*T_PlannedOrders[Order_Month])),"m月")&amp;"発注)")</f>
        <v/>
      </c>
      <c r="BL205">
        <f>IF(SUMIFS(T_PlannedOrders[EffectiveQty],T_PlannedOrders[Part Name],$A175,T_PlannedOrders[WeekIndex],61)=0,"",SUMIFS(T_PlannedOrders[EffectiveQty],T_PlannedOrders[Part Name],$A175,T_PlannedOrders[WeekIndex],61)&amp;" ("&amp;TEXT(SUMPRODUCT(MAX((T_PlannedOrders[Part Name]=$A175)*(T_PlannedOrders[WeekIndex]=61)*(T_PlannedOrders[EffectiveQty]&gt;0)*T_PlannedOrders[Order_Month])),"m月")&amp;"発注)")</f>
        <v/>
      </c>
      <c r="BM205">
        <f>IF(SUMIFS(T_PlannedOrders[EffectiveQty],T_PlannedOrders[Part Name],$A175,T_PlannedOrders[WeekIndex],62)=0,"",SUMIFS(T_PlannedOrders[EffectiveQty],T_PlannedOrders[Part Name],$A175,T_PlannedOrders[WeekIndex],62)&amp;" ("&amp;TEXT(SUMPRODUCT(MAX((T_PlannedOrders[Part Name]=$A175)*(T_PlannedOrders[WeekIndex]=62)*(T_PlannedOrders[EffectiveQty]&gt;0)*T_PlannedOrders[Order_Month])),"m月")&amp;"発注)")</f>
        <v/>
      </c>
      <c r="BN205">
        <f>IF(SUMIFS(T_PlannedOrders[EffectiveQty],T_PlannedOrders[Part Name],$A175,T_PlannedOrders[WeekIndex],63)=0,"",SUMIFS(T_PlannedOrders[EffectiveQty],T_PlannedOrders[Part Name],$A175,T_PlannedOrders[WeekIndex],63)&amp;" ("&amp;TEXT(SUMPRODUCT(MAX((T_PlannedOrders[Part Name]=$A175)*(T_PlannedOrders[WeekIndex]=63)*(T_PlannedOrders[EffectiveQty]&gt;0)*T_PlannedOrders[Order_Month])),"m月")&amp;"発注)")</f>
        <v/>
      </c>
      <c r="BO205">
        <f>IF(SUMIFS(T_PlannedOrders[EffectiveQty],T_PlannedOrders[Part Name],$A175,T_PlannedOrders[WeekIndex],64)=0,"",SUMIFS(T_PlannedOrders[EffectiveQty],T_PlannedOrders[Part Name],$A175,T_PlannedOrders[WeekIndex],64)&amp;" ("&amp;TEXT(SUMPRODUCT(MAX((T_PlannedOrders[Part Name]=$A175)*(T_PlannedOrders[WeekIndex]=64)*(T_PlannedOrders[EffectiveQty]&gt;0)*T_PlannedOrders[Order_Month])),"m月")&amp;"発注)")</f>
        <v/>
      </c>
      <c r="BP205">
        <f>IF(SUMIFS(T_PlannedOrders[EffectiveQty],T_PlannedOrders[Part Name],$A175,T_PlannedOrders[WeekIndex],65)=0,"",SUMIFS(T_PlannedOrders[EffectiveQty],T_PlannedOrders[Part Name],$A175,T_PlannedOrders[WeekIndex],65)&amp;" ("&amp;TEXT(SUMPRODUCT(MAX((T_PlannedOrders[Part Name]=$A175)*(T_PlannedOrders[WeekIndex]=65)*(T_PlannedOrders[EffectiveQty]&gt;0)*T_PlannedOrders[Order_Month])),"m月")&amp;"発注)")</f>
        <v/>
      </c>
      <c r="BQ205">
        <f>IF(SUMIFS(T_PlannedOrders[EffectiveQty],T_PlannedOrders[Part Name],$A175,T_PlannedOrders[WeekIndex],66)=0,"",SUMIFS(T_PlannedOrders[EffectiveQty],T_PlannedOrders[Part Name],$A175,T_PlannedOrders[WeekIndex],66)&amp;" ("&amp;TEXT(SUMPRODUCT(MAX((T_PlannedOrders[Part Name]=$A175)*(T_PlannedOrders[WeekIndex]=66)*(T_PlannedOrders[EffectiveQty]&gt;0)*T_PlannedOrders[Order_Month])),"m月")&amp;"発注)")</f>
        <v/>
      </c>
      <c r="BR205">
        <f>IF(SUMIFS(T_PlannedOrders[EffectiveQty],T_PlannedOrders[Part Name],$A175,T_PlannedOrders[WeekIndex],67)=0,"",SUMIFS(T_PlannedOrders[EffectiveQty],T_PlannedOrders[Part Name],$A175,T_PlannedOrders[WeekIndex],67)&amp;" ("&amp;TEXT(SUMPRODUCT(MAX((T_PlannedOrders[Part Name]=$A175)*(T_PlannedOrders[WeekIndex]=67)*(T_PlannedOrders[EffectiveQty]&gt;0)*T_PlannedOrders[Order_Month])),"m月")&amp;"発注)")</f>
        <v/>
      </c>
      <c r="BS205">
        <f>IF(SUMIFS(T_PlannedOrders[EffectiveQty],T_PlannedOrders[Part Name],$A175,T_PlannedOrders[WeekIndex],68)=0,"",SUMIFS(T_PlannedOrders[EffectiveQty],T_PlannedOrders[Part Name],$A175,T_PlannedOrders[WeekIndex],68)&amp;" ("&amp;TEXT(SUMPRODUCT(MAX((T_PlannedOrders[Part Name]=$A175)*(T_PlannedOrders[WeekIndex]=68)*(T_PlannedOrders[EffectiveQty]&gt;0)*T_PlannedOrders[Order_Month])),"m月")&amp;"発注)")</f>
        <v/>
      </c>
      <c r="BT205">
        <f>IF(SUMIFS(T_PlannedOrders[EffectiveQty],T_PlannedOrders[Part Name],$A175,T_PlannedOrders[WeekIndex],69)=0,"",SUMIFS(T_PlannedOrders[EffectiveQty],T_PlannedOrders[Part Name],$A175,T_PlannedOrders[WeekIndex],69)&amp;" ("&amp;TEXT(SUMPRODUCT(MAX((T_PlannedOrders[Part Name]=$A175)*(T_PlannedOrders[WeekIndex]=69)*(T_PlannedOrders[EffectiveQty]&gt;0)*T_PlannedOrders[Order_Month])),"m月")&amp;"発注)")</f>
        <v/>
      </c>
      <c r="BU205">
        <f>IF(SUMIFS(T_PlannedOrders[EffectiveQty],T_PlannedOrders[Part Name],$A175,T_PlannedOrders[WeekIndex],70)=0,"",SUMIFS(T_PlannedOrders[EffectiveQty],T_PlannedOrders[Part Name],$A175,T_PlannedOrders[WeekIndex],70)&amp;" ("&amp;TEXT(SUMPRODUCT(MAX((T_PlannedOrders[Part Name]=$A175)*(T_PlannedOrders[WeekIndex]=70)*(T_PlannedOrders[EffectiveQty]&gt;0)*T_PlannedOrders[Order_Month])),"m月")&amp;"発注)")</f>
        <v/>
      </c>
      <c r="BV205">
        <f>IF(SUMIFS(T_PlannedOrders[EffectiveQty],T_PlannedOrders[Part Name],$A175,T_PlannedOrders[WeekIndex],71)=0,"",SUMIFS(T_PlannedOrders[EffectiveQty],T_PlannedOrders[Part Name],$A175,T_PlannedOrders[WeekIndex],71)&amp;" ("&amp;TEXT(SUMPRODUCT(MAX((T_PlannedOrders[Part Name]=$A175)*(T_PlannedOrders[WeekIndex]=71)*(T_PlannedOrders[EffectiveQty]&gt;0)*T_PlannedOrders[Order_Month])),"m月")&amp;"発注)")</f>
        <v/>
      </c>
      <c r="BW205">
        <f>IF(SUMIFS(T_PlannedOrders[EffectiveQty],T_PlannedOrders[Part Name],$A175,T_PlannedOrders[WeekIndex],72)=0,"",SUMIFS(T_PlannedOrders[EffectiveQty],T_PlannedOrders[Part Name],$A175,T_PlannedOrders[WeekIndex],72)&amp;" ("&amp;TEXT(SUMPRODUCT(MAX((T_PlannedOrders[Part Name]=$A175)*(T_PlannedOrders[WeekIndex]=72)*(T_PlannedOrders[EffectiveQty]&gt;0)*T_PlannedOrders[Order_Month])),"m月")&amp;"発注)")</f>
        <v/>
      </c>
      <c r="BX205">
        <f>IF(SUMIFS(T_PlannedOrders[EffectiveQty],T_PlannedOrders[Part Name],$A175,T_PlannedOrders[WeekIndex],73)=0,"",SUMIFS(T_PlannedOrders[EffectiveQty],T_PlannedOrders[Part Name],$A175,T_PlannedOrders[WeekIndex],73)&amp;" ("&amp;TEXT(SUMPRODUCT(MAX((T_PlannedOrders[Part Name]=$A175)*(T_PlannedOrders[WeekIndex]=73)*(T_PlannedOrders[EffectiveQty]&gt;0)*T_PlannedOrders[Order_Month])),"m月")&amp;"発注)")</f>
        <v/>
      </c>
      <c r="BY205">
        <f>IF(SUMIFS(T_PlannedOrders[EffectiveQty],T_PlannedOrders[Part Name],$A175,T_PlannedOrders[WeekIndex],74)=0,"",SUMIFS(T_PlannedOrders[EffectiveQty],T_PlannedOrders[Part Name],$A175,T_PlannedOrders[WeekIndex],74)&amp;" ("&amp;TEXT(SUMPRODUCT(MAX((T_PlannedOrders[Part Name]=$A175)*(T_PlannedOrders[WeekIndex]=74)*(T_PlannedOrders[EffectiveQty]&gt;0)*T_PlannedOrders[Order_Month])),"m月")&amp;"発注)")</f>
        <v/>
      </c>
      <c r="BZ205">
        <f>IF(SUMIFS(T_PlannedOrders[EffectiveQty],T_PlannedOrders[Part Name],$A175,T_PlannedOrders[WeekIndex],75)=0,"",SUMIFS(T_PlannedOrders[EffectiveQty],T_PlannedOrders[Part Name],$A175,T_PlannedOrders[WeekIndex],75)&amp;" ("&amp;TEXT(SUMPRODUCT(MAX((T_PlannedOrders[Part Name]=$A175)*(T_PlannedOrders[WeekIndex]=75)*(T_PlannedOrders[EffectiveQty]&gt;0)*T_PlannedOrders[Order_Month])),"m月")&amp;"発注)")</f>
        <v/>
      </c>
      <c r="CA205">
        <f>IF(SUMIFS(T_PlannedOrders[EffectiveQty],T_PlannedOrders[Part Name],$A175,T_PlannedOrders[WeekIndex],76)=0,"",SUMIFS(T_PlannedOrders[EffectiveQty],T_PlannedOrders[Part Name],$A175,T_PlannedOrders[WeekIndex],76)&amp;" ("&amp;TEXT(SUMPRODUCT(MAX((T_PlannedOrders[Part Name]=$A175)*(T_PlannedOrders[WeekIndex]=76)*(T_PlannedOrders[EffectiveQty]&gt;0)*T_PlannedOrders[Order_Month])),"m月")&amp;"発注)")</f>
        <v/>
      </c>
      <c r="CB205">
        <f>IF(SUMIFS(T_PlannedOrders[EffectiveQty],T_PlannedOrders[Part Name],$A175,T_PlannedOrders[WeekIndex],77)=0,"",SUMIFS(T_PlannedOrders[EffectiveQty],T_PlannedOrders[Part Name],$A175,T_PlannedOrders[WeekIndex],77)&amp;" ("&amp;TEXT(SUMPRODUCT(MAX((T_PlannedOrders[Part Name]=$A175)*(T_PlannedOrders[WeekIndex]=77)*(T_PlannedOrders[EffectiveQty]&gt;0)*T_PlannedOrders[Order_Month])),"m月")&amp;"発注)")</f>
        <v/>
      </c>
      <c r="CC205">
        <f>IF(SUMIFS(T_PlannedOrders[EffectiveQty],T_PlannedOrders[Part Name],$A175,T_PlannedOrders[WeekIndex],78)=0,"",SUMIFS(T_PlannedOrders[EffectiveQty],T_PlannedOrders[Part Name],$A175,T_PlannedOrders[WeekIndex],78)&amp;" ("&amp;TEXT(SUMPRODUCT(MAX((T_PlannedOrders[Part Name]=$A175)*(T_PlannedOrders[WeekIndex]=78)*(T_PlannedOrders[EffectiveQty]&gt;0)*T_PlannedOrders[Order_Month])),"m月")&amp;"発注)")</f>
        <v/>
      </c>
      <c r="CD205">
        <f>IF(SUMIFS(T_PlannedOrders[EffectiveQty],T_PlannedOrders[Part Name],$A175,T_PlannedOrders[WeekIndex],79)=0,"",SUMIFS(T_PlannedOrders[EffectiveQty],T_PlannedOrders[Part Name],$A175,T_PlannedOrders[WeekIndex],79)&amp;" ("&amp;TEXT(SUMPRODUCT(MAX((T_PlannedOrders[Part Name]=$A175)*(T_PlannedOrders[WeekIndex]=79)*(T_PlannedOrders[EffectiveQty]&gt;0)*T_PlannedOrders[Order_Month])),"m月")&amp;"発注)")</f>
        <v/>
      </c>
      <c r="CE205">
        <f>IF(SUMIFS(T_PlannedOrders[EffectiveQty],T_PlannedOrders[Part Name],$A175,T_PlannedOrders[WeekIndex],80)=0,"",SUMIFS(T_PlannedOrders[EffectiveQty],T_PlannedOrders[Part Name],$A175,T_PlannedOrders[WeekIndex],80)&amp;" ("&amp;TEXT(SUMPRODUCT(MAX((T_PlannedOrders[Part Name]=$A175)*(T_PlannedOrders[WeekIndex]=80)*(T_PlannedOrders[EffectiveQty]&gt;0)*T_PlannedOrders[Order_Month])),"m月")&amp;"発注)")</f>
        <v/>
      </c>
      <c r="CF205">
        <f>IF(SUMIFS(T_PlannedOrders[EffectiveQty],T_PlannedOrders[Part Name],$A175,T_PlannedOrders[WeekIndex],81)=0,"",SUMIFS(T_PlannedOrders[EffectiveQty],T_PlannedOrders[Part Name],$A175,T_PlannedOrders[WeekIndex],81)&amp;" ("&amp;TEXT(SUMPRODUCT(MAX((T_PlannedOrders[Part Name]=$A175)*(T_PlannedOrders[WeekIndex]=81)*(T_PlannedOrders[EffectiveQty]&gt;0)*T_PlannedOrders[Order_Month])),"m月")&amp;"発注)")</f>
        <v/>
      </c>
      <c r="CG205">
        <f>IF(SUMIFS(T_PlannedOrders[EffectiveQty],T_PlannedOrders[Part Name],$A175,T_PlannedOrders[WeekIndex],82)=0,"",SUMIFS(T_PlannedOrders[EffectiveQty],T_PlannedOrders[Part Name],$A175,T_PlannedOrders[WeekIndex],82)&amp;" ("&amp;TEXT(SUMPRODUCT(MAX((T_PlannedOrders[Part Name]=$A175)*(T_PlannedOrders[WeekIndex]=82)*(T_PlannedOrders[EffectiveQty]&gt;0)*T_PlannedOrders[Order_Month])),"m月")&amp;"発注)")</f>
        <v/>
      </c>
      <c r="CH205">
        <f>IF(SUMIFS(T_PlannedOrders[EffectiveQty],T_PlannedOrders[Part Name],$A175,T_PlannedOrders[WeekIndex],83)=0,"",SUMIFS(T_PlannedOrders[EffectiveQty],T_PlannedOrders[Part Name],$A175,T_PlannedOrders[WeekIndex],83)&amp;" ("&amp;TEXT(SUMPRODUCT(MAX((T_PlannedOrders[Part Name]=$A175)*(T_PlannedOrders[WeekIndex]=83)*(T_PlannedOrders[EffectiveQty]&gt;0)*T_PlannedOrders[Order_Month])),"m月")&amp;"発注)")</f>
        <v/>
      </c>
      <c r="CI205">
        <f>IF(SUMIFS(T_PlannedOrders[EffectiveQty],T_PlannedOrders[Part Name],$A175,T_PlannedOrders[WeekIndex],84)=0,"",SUMIFS(T_PlannedOrders[EffectiveQty],T_PlannedOrders[Part Name],$A175,T_PlannedOrders[WeekIndex],84)&amp;" ("&amp;TEXT(SUMPRODUCT(MAX((T_PlannedOrders[Part Name]=$A175)*(T_PlannedOrders[WeekIndex]=84)*(T_PlannedOrders[EffectiveQty]&gt;0)*T_PlannedOrders[Order_Month])),"m月")&amp;"発注)")</f>
        <v/>
      </c>
      <c r="CJ205">
        <f>IF(SUMIFS(T_PlannedOrders[EffectiveQty],T_PlannedOrders[Part Name],$A175,T_PlannedOrders[WeekIndex],85)=0,"",SUMIFS(T_PlannedOrders[EffectiveQty],T_PlannedOrders[Part Name],$A175,T_PlannedOrders[WeekIndex],85)&amp;" ("&amp;TEXT(SUMPRODUCT(MAX((T_PlannedOrders[Part Name]=$A175)*(T_PlannedOrders[WeekIndex]=85)*(T_PlannedOrders[EffectiveQty]&gt;0)*T_PlannedOrders[Order_Month])),"m月")&amp;"発注)")</f>
        <v/>
      </c>
      <c r="CK205">
        <f>IF(SUMIFS(T_PlannedOrders[EffectiveQty],T_PlannedOrders[Part Name],$A175,T_PlannedOrders[WeekIndex],86)=0,"",SUMIFS(T_PlannedOrders[EffectiveQty],T_PlannedOrders[Part Name],$A175,T_PlannedOrders[WeekIndex],86)&amp;" ("&amp;TEXT(SUMPRODUCT(MAX((T_PlannedOrders[Part Name]=$A175)*(T_PlannedOrders[WeekIndex]=86)*(T_PlannedOrders[EffectiveQty]&gt;0)*T_PlannedOrders[Order_Month])),"m月")&amp;"発注)")</f>
        <v/>
      </c>
      <c r="CL205">
        <f>IF(SUMIFS(T_PlannedOrders[EffectiveQty],T_PlannedOrders[Part Name],$A175,T_PlannedOrders[WeekIndex],87)=0,"",SUMIFS(T_PlannedOrders[EffectiveQty],T_PlannedOrders[Part Name],$A175,T_PlannedOrders[WeekIndex],87)&amp;" ("&amp;TEXT(SUMPRODUCT(MAX((T_PlannedOrders[Part Name]=$A175)*(T_PlannedOrders[WeekIndex]=87)*(T_PlannedOrders[EffectiveQty]&gt;0)*T_PlannedOrders[Order_Month])),"m月")&amp;"発注)")</f>
        <v/>
      </c>
      <c r="CM205">
        <f>IF(SUMIFS(T_PlannedOrders[EffectiveQty],T_PlannedOrders[Part Name],$A175,T_PlannedOrders[WeekIndex],88)=0,"",SUMIFS(T_PlannedOrders[EffectiveQty],T_PlannedOrders[Part Name],$A175,T_PlannedOrders[WeekIndex],88)&amp;" ("&amp;TEXT(SUMPRODUCT(MAX((T_PlannedOrders[Part Name]=$A175)*(T_PlannedOrders[WeekIndex]=88)*(T_PlannedOrders[EffectiveQty]&gt;0)*T_PlannedOrders[Order_Month])),"m月")&amp;"発注)")</f>
        <v/>
      </c>
      <c r="CN205">
        <f>IF(SUMIFS(T_PlannedOrders[EffectiveQty],T_PlannedOrders[Part Name],$A175,T_PlannedOrders[WeekIndex],89)=0,"",SUMIFS(T_PlannedOrders[EffectiveQty],T_PlannedOrders[Part Name],$A175,T_PlannedOrders[WeekIndex],89)&amp;" ("&amp;TEXT(SUMPRODUCT(MAX((T_PlannedOrders[Part Name]=$A175)*(T_PlannedOrders[WeekIndex]=89)*(T_PlannedOrders[EffectiveQty]&gt;0)*T_PlannedOrders[Order_Month])),"m月")&amp;"発注)")</f>
        <v/>
      </c>
      <c r="CO205">
        <f>IF(SUMIFS(T_PlannedOrders[EffectiveQty],T_PlannedOrders[Part Name],$A175,T_PlannedOrders[WeekIndex],90)=0,"",SUMIFS(T_PlannedOrders[EffectiveQty],T_PlannedOrders[Part Name],$A175,T_PlannedOrders[WeekIndex],90)&amp;" ("&amp;TEXT(SUMPRODUCT(MAX((T_PlannedOrders[Part Name]=$A175)*(T_PlannedOrders[WeekIndex]=90)*(T_PlannedOrders[EffectiveQty]&gt;0)*T_PlannedOrders[Order_Month])),"m月")&amp;"発注)")</f>
        <v/>
      </c>
      <c r="CP205">
        <f>IF(SUMIFS(T_PlannedOrders[EffectiveQty],T_PlannedOrders[Part Name],$A175,T_PlannedOrders[WeekIndex],91)=0,"",SUMIFS(T_PlannedOrders[EffectiveQty],T_PlannedOrders[Part Name],$A175,T_PlannedOrders[WeekIndex],91)&amp;" ("&amp;TEXT(SUMPRODUCT(MAX((T_PlannedOrders[Part Name]=$A175)*(T_PlannedOrders[WeekIndex]=91)*(T_PlannedOrders[EffectiveQty]&gt;0)*T_PlannedOrders[Order_Month])),"m月")&amp;"発注)")</f>
        <v/>
      </c>
      <c r="CQ205">
        <f>IF(SUMIFS(T_PlannedOrders[EffectiveQty],T_PlannedOrders[Part Name],$A175,T_PlannedOrders[WeekIndex],92)=0,"",SUMIFS(T_PlannedOrders[EffectiveQty],T_PlannedOrders[Part Name],$A175,T_PlannedOrders[WeekIndex],92)&amp;" ("&amp;TEXT(SUMPRODUCT(MAX((T_PlannedOrders[Part Name]=$A175)*(T_PlannedOrders[WeekIndex]=92)*(T_PlannedOrders[EffectiveQty]&gt;0)*T_PlannedOrders[Order_Month])),"m月")&amp;"発注)")</f>
        <v/>
      </c>
      <c r="CR205">
        <f>IF(SUMIFS(T_PlannedOrders[EffectiveQty],T_PlannedOrders[Part Name],$A175,T_PlannedOrders[WeekIndex],93)=0,"",SUMIFS(T_PlannedOrders[EffectiveQty],T_PlannedOrders[Part Name],$A175,T_PlannedOrders[WeekIndex],93)&amp;" ("&amp;TEXT(SUMPRODUCT(MAX((T_PlannedOrders[Part Name]=$A175)*(T_PlannedOrders[WeekIndex]=93)*(T_PlannedOrders[EffectiveQty]&gt;0)*T_PlannedOrders[Order_Month])),"m月")&amp;"発注)")</f>
        <v/>
      </c>
      <c r="CS205">
        <f>IF(SUMIFS(T_PlannedOrders[EffectiveQty],T_PlannedOrders[Part Name],$A175,T_PlannedOrders[WeekIndex],94)=0,"",SUMIFS(T_PlannedOrders[EffectiveQty],T_PlannedOrders[Part Name],$A175,T_PlannedOrders[WeekIndex],94)&amp;" ("&amp;TEXT(SUMPRODUCT(MAX((T_PlannedOrders[Part Name]=$A175)*(T_PlannedOrders[WeekIndex]=94)*(T_PlannedOrders[EffectiveQty]&gt;0)*T_PlannedOrders[Order_Month])),"m月")&amp;"発注)")</f>
        <v/>
      </c>
      <c r="CT205">
        <f>IF(SUMIFS(T_PlannedOrders[EffectiveQty],T_PlannedOrders[Part Name],$A175,T_PlannedOrders[WeekIndex],95)=0,"",SUMIFS(T_PlannedOrders[EffectiveQty],T_PlannedOrders[Part Name],$A175,T_PlannedOrders[WeekIndex],95)&amp;" ("&amp;TEXT(SUMPRODUCT(MAX((T_PlannedOrders[Part Name]=$A175)*(T_PlannedOrders[WeekIndex]=95)*(T_PlannedOrders[EffectiveQty]&gt;0)*T_PlannedOrders[Order_Month])),"m月")&amp;"発注)")</f>
        <v/>
      </c>
      <c r="CU205">
        <f>IF(SUMIFS(T_PlannedOrders[EffectiveQty],T_PlannedOrders[Part Name],$A175,T_PlannedOrders[WeekIndex],96)=0,"",SUMIFS(T_PlannedOrders[EffectiveQty],T_PlannedOrders[Part Name],$A175,T_PlannedOrders[WeekIndex],96)&amp;" ("&amp;TEXT(SUMPRODUCT(MAX((T_PlannedOrders[Part Name]=$A175)*(T_PlannedOrders[WeekIndex]=96)*(T_PlannedOrders[EffectiveQty]&gt;0)*T_PlannedOrders[Order_Month])),"m月")&amp;"発注)")</f>
        <v/>
      </c>
      <c r="CV205">
        <f>IF(SUMIFS(T_PlannedOrders[EffectiveQty],T_PlannedOrders[Part Name],$A175,T_PlannedOrders[WeekIndex],97)=0,"",SUMIFS(T_PlannedOrders[EffectiveQty],T_PlannedOrders[Part Name],$A175,T_PlannedOrders[WeekIndex],97)&amp;" ("&amp;TEXT(SUMPRODUCT(MAX((T_PlannedOrders[Part Name]=$A175)*(T_PlannedOrders[WeekIndex]=97)*(T_PlannedOrders[EffectiveQty]&gt;0)*T_PlannedOrders[Order_Month])),"m月")&amp;"発注)")</f>
        <v/>
      </c>
      <c r="CW205">
        <f>IF(SUMIFS(T_PlannedOrders[EffectiveQty],T_PlannedOrders[Part Name],$A175,T_PlannedOrders[WeekIndex],98)=0,"",SUMIFS(T_PlannedOrders[EffectiveQty],T_PlannedOrders[Part Name],$A175,T_PlannedOrders[WeekIndex],98)&amp;" ("&amp;TEXT(SUMPRODUCT(MAX((T_PlannedOrders[Part Name]=$A175)*(T_PlannedOrders[WeekIndex]=98)*(T_PlannedOrders[EffectiveQty]&gt;0)*T_PlannedOrders[Order_Month])),"m月")&amp;"発注)")</f>
        <v/>
      </c>
      <c r="CX205">
        <f>IF(SUMIFS(T_PlannedOrders[EffectiveQty],T_PlannedOrders[Part Name],$A175,T_PlannedOrders[WeekIndex],99)=0,"",SUMIFS(T_PlannedOrders[EffectiveQty],T_PlannedOrders[Part Name],$A175,T_PlannedOrders[WeekIndex],99)&amp;" ("&amp;TEXT(SUMPRODUCT(MAX((T_PlannedOrders[Part Name]=$A175)*(T_PlannedOrders[WeekIndex]=99)*(T_PlannedOrders[EffectiveQty]&gt;0)*T_PlannedOrders[Order_Month])),"m月")&amp;"発注)")</f>
        <v/>
      </c>
      <c r="CY205">
        <f>IF(SUMIFS(T_PlannedOrders[EffectiveQty],T_PlannedOrders[Part Name],$A175,T_PlannedOrders[WeekIndex],100)=0,"",SUMIFS(T_PlannedOrders[EffectiveQty],T_PlannedOrders[Part Name],$A175,T_PlannedOrders[WeekIndex],100)&amp;" ("&amp;TEXT(SUMPRODUCT(MAX((T_PlannedOrders[Part Name]=$A175)*(T_PlannedOrders[WeekIndex]=100)*(T_PlannedOrders[EffectiveQty]&gt;0)*T_PlannedOrders[Order_Month])),"m月")&amp;"発注)")</f>
        <v/>
      </c>
      <c r="CZ205">
        <f>IF(SUMIFS(T_PlannedOrders[EffectiveQty],T_PlannedOrders[Part Name],$A175,T_PlannedOrders[WeekIndex],101)=0,"",SUMIFS(T_PlannedOrders[EffectiveQty],T_PlannedOrders[Part Name],$A175,T_PlannedOrders[WeekIndex],101)&amp;" ("&amp;TEXT(SUMPRODUCT(MAX((T_PlannedOrders[Part Name]=$A175)*(T_PlannedOrders[WeekIndex]=101)*(T_PlannedOrders[EffectiveQty]&gt;0)*T_PlannedOrders[Order_Month])),"m月")&amp;"発注)")</f>
        <v/>
      </c>
      <c r="DA205">
        <f>IF(SUMIFS(T_PlannedOrders[EffectiveQty],T_PlannedOrders[Part Name],$A175,T_PlannedOrders[WeekIndex],102)=0,"",SUMIFS(T_PlannedOrders[EffectiveQty],T_PlannedOrders[Part Name],$A175,T_PlannedOrders[WeekIndex],102)&amp;" ("&amp;TEXT(SUMPRODUCT(MAX((T_PlannedOrders[Part Name]=$A175)*(T_PlannedOrders[WeekIndex]=102)*(T_PlannedOrders[EffectiveQty]&gt;0)*T_PlannedOrders[Order_Month])),"m月")&amp;"発注)")</f>
        <v/>
      </c>
      <c r="DB205">
        <f>IF(SUMIFS(T_PlannedOrders[EffectiveQty],T_PlannedOrders[Part Name],$A175,T_PlannedOrders[WeekIndex],103)=0,"",SUMIFS(T_PlannedOrders[EffectiveQty],T_PlannedOrders[Part Name],$A175,T_PlannedOrders[WeekIndex],103)&amp;" ("&amp;TEXT(SUMPRODUCT(MAX((T_PlannedOrders[Part Name]=$A175)*(T_PlannedOrders[WeekIndex]=103)*(T_PlannedOrders[EffectiveQty]&gt;0)*T_PlannedOrders[Order_Month])),"m月")&amp;"発注)")</f>
        <v/>
      </c>
      <c r="DC205">
        <f>IF(SUMIFS(T_PlannedOrders[EffectiveQty],T_PlannedOrders[Part Name],$A175,T_PlannedOrders[WeekIndex],104)=0,"",SUMIFS(T_PlannedOrders[EffectiveQty],T_PlannedOrders[Part Name],$A175,T_PlannedOrders[WeekIndex],104)&amp;" ("&amp;TEXT(SUMPRODUCT(MAX((T_PlannedOrders[Part Name]=$A175)*(T_PlannedOrders[WeekIndex]=104)*(T_PlannedOrders[EffectiveQty]&gt;0)*T_PlannedOrders[Order_Month])),"m月")&amp;"発注)")</f>
        <v/>
      </c>
    </row>
    <row r="206">
      <c r="B206" s="5" t="inlineStr">
        <is>
          <t>合計在庫(週末時点,kg)</t>
        </is>
      </c>
      <c r="D206">
        <f>'Grid_Stock'!B48</f>
        <v/>
      </c>
      <c r="E206">
        <f>'Grid_Stock'!C48</f>
        <v/>
      </c>
      <c r="F206">
        <f>'Grid_Stock'!D48</f>
        <v/>
      </c>
      <c r="G206">
        <f>'Grid_Stock'!E48</f>
        <v/>
      </c>
      <c r="H206">
        <f>'Grid_Stock'!F48</f>
        <v/>
      </c>
      <c r="I206">
        <f>'Grid_Stock'!G48</f>
        <v/>
      </c>
      <c r="J206">
        <f>'Grid_Stock'!H48</f>
        <v/>
      </c>
      <c r="K206">
        <f>'Grid_Stock'!I48</f>
        <v/>
      </c>
      <c r="L206">
        <f>'Grid_Stock'!J48</f>
        <v/>
      </c>
      <c r="M206">
        <f>'Grid_Stock'!K48</f>
        <v/>
      </c>
      <c r="N206">
        <f>'Grid_Stock'!L48</f>
        <v/>
      </c>
      <c r="O206">
        <f>'Grid_Stock'!M48</f>
        <v/>
      </c>
      <c r="P206">
        <f>'Grid_Stock'!N48</f>
        <v/>
      </c>
      <c r="Q206">
        <f>'Grid_Stock'!O48</f>
        <v/>
      </c>
      <c r="R206">
        <f>'Grid_Stock'!P48</f>
        <v/>
      </c>
      <c r="S206">
        <f>'Grid_Stock'!Q48</f>
        <v/>
      </c>
      <c r="T206">
        <f>'Grid_Stock'!R48</f>
        <v/>
      </c>
      <c r="U206">
        <f>'Grid_Stock'!S48</f>
        <v/>
      </c>
      <c r="V206">
        <f>'Grid_Stock'!T48</f>
        <v/>
      </c>
      <c r="W206">
        <f>'Grid_Stock'!U48</f>
        <v/>
      </c>
      <c r="X206">
        <f>'Grid_Stock'!V48</f>
        <v/>
      </c>
      <c r="Y206">
        <f>'Grid_Stock'!W48</f>
        <v/>
      </c>
      <c r="Z206">
        <f>'Grid_Stock'!X48</f>
        <v/>
      </c>
      <c r="AA206">
        <f>'Grid_Stock'!Y48</f>
        <v/>
      </c>
      <c r="AB206">
        <f>'Grid_Stock'!Z48</f>
        <v/>
      </c>
      <c r="AC206">
        <f>'Grid_Stock'!AA48</f>
        <v/>
      </c>
      <c r="AD206">
        <f>'Grid_Stock'!AB48</f>
        <v/>
      </c>
      <c r="AE206">
        <f>'Grid_Stock'!AC48</f>
        <v/>
      </c>
      <c r="AF206">
        <f>'Grid_Stock'!AD48</f>
        <v/>
      </c>
      <c r="AG206">
        <f>'Grid_Stock'!AE48</f>
        <v/>
      </c>
      <c r="AH206">
        <f>'Grid_Stock'!AF48</f>
        <v/>
      </c>
      <c r="AI206">
        <f>'Grid_Stock'!AG48</f>
        <v/>
      </c>
      <c r="AJ206">
        <f>'Grid_Stock'!AH48</f>
        <v/>
      </c>
      <c r="AK206">
        <f>'Grid_Stock'!AI48</f>
        <v/>
      </c>
      <c r="AL206">
        <f>'Grid_Stock'!AJ48</f>
        <v/>
      </c>
      <c r="AM206">
        <f>'Grid_Stock'!AK48</f>
        <v/>
      </c>
      <c r="AN206">
        <f>'Grid_Stock'!AL48</f>
        <v/>
      </c>
      <c r="AO206">
        <f>'Grid_Stock'!AM48</f>
        <v/>
      </c>
      <c r="AP206">
        <f>'Grid_Stock'!AN48</f>
        <v/>
      </c>
      <c r="AQ206">
        <f>'Grid_Stock'!AO48</f>
        <v/>
      </c>
      <c r="AR206">
        <f>'Grid_Stock'!AP48</f>
        <v/>
      </c>
      <c r="AS206">
        <f>'Grid_Stock'!AQ48</f>
        <v/>
      </c>
      <c r="AT206">
        <f>'Grid_Stock'!AR48</f>
        <v/>
      </c>
      <c r="AU206">
        <f>'Grid_Stock'!AS48</f>
        <v/>
      </c>
      <c r="AV206">
        <f>'Grid_Stock'!AT48</f>
        <v/>
      </c>
      <c r="AW206">
        <f>'Grid_Stock'!AU48</f>
        <v/>
      </c>
      <c r="AX206">
        <f>'Grid_Stock'!AV48</f>
        <v/>
      </c>
      <c r="AY206">
        <f>'Grid_Stock'!AW48</f>
        <v/>
      </c>
      <c r="AZ206">
        <f>'Grid_Stock'!AX48</f>
        <v/>
      </c>
      <c r="BA206">
        <f>'Grid_Stock'!AY48</f>
        <v/>
      </c>
      <c r="BB206">
        <f>'Grid_Stock'!AZ48</f>
        <v/>
      </c>
      <c r="BC206">
        <f>'Grid_Stock'!BA48</f>
        <v/>
      </c>
      <c r="BD206">
        <f>'Grid_Stock'!BB48</f>
        <v/>
      </c>
      <c r="BE206">
        <f>'Grid_Stock'!BC48</f>
        <v/>
      </c>
      <c r="BF206">
        <f>'Grid_Stock'!BD48</f>
        <v/>
      </c>
      <c r="BG206">
        <f>'Grid_Stock'!BE48</f>
        <v/>
      </c>
      <c r="BH206">
        <f>'Grid_Stock'!BF48</f>
        <v/>
      </c>
      <c r="BI206">
        <f>'Grid_Stock'!BG48</f>
        <v/>
      </c>
      <c r="BJ206">
        <f>'Grid_Stock'!BH48</f>
        <v/>
      </c>
      <c r="BK206">
        <f>'Grid_Stock'!BI48</f>
        <v/>
      </c>
      <c r="BL206">
        <f>'Grid_Stock'!BJ48</f>
        <v/>
      </c>
      <c r="BM206">
        <f>'Grid_Stock'!BK48</f>
        <v/>
      </c>
      <c r="BN206">
        <f>'Grid_Stock'!BL48</f>
        <v/>
      </c>
      <c r="BO206">
        <f>'Grid_Stock'!BM48</f>
        <v/>
      </c>
      <c r="BP206">
        <f>'Grid_Stock'!BN48</f>
        <v/>
      </c>
      <c r="BQ206">
        <f>'Grid_Stock'!BO48</f>
        <v/>
      </c>
      <c r="BR206">
        <f>'Grid_Stock'!BP48</f>
        <v/>
      </c>
      <c r="BS206">
        <f>'Grid_Stock'!BQ48</f>
        <v/>
      </c>
      <c r="BT206">
        <f>'Grid_Stock'!BR48</f>
        <v/>
      </c>
      <c r="BU206">
        <f>'Grid_Stock'!BS48</f>
        <v/>
      </c>
      <c r="BV206">
        <f>'Grid_Stock'!BT48</f>
        <v/>
      </c>
      <c r="BW206">
        <f>'Grid_Stock'!BU48</f>
        <v/>
      </c>
      <c r="BX206">
        <f>'Grid_Stock'!BV48</f>
        <v/>
      </c>
      <c r="BY206">
        <f>'Grid_Stock'!BW48</f>
        <v/>
      </c>
      <c r="BZ206">
        <f>'Grid_Stock'!BX48</f>
        <v/>
      </c>
      <c r="CA206">
        <f>'Grid_Stock'!BY48</f>
        <v/>
      </c>
      <c r="CB206">
        <f>'Grid_Stock'!BZ48</f>
        <v/>
      </c>
      <c r="CC206">
        <f>'Grid_Stock'!CA48</f>
        <v/>
      </c>
      <c r="CD206">
        <f>'Grid_Stock'!CB48</f>
        <v/>
      </c>
      <c r="CE206">
        <f>'Grid_Stock'!CC48</f>
        <v/>
      </c>
      <c r="CF206">
        <f>'Grid_Stock'!CD48</f>
        <v/>
      </c>
      <c r="CG206">
        <f>'Grid_Stock'!CE48</f>
        <v/>
      </c>
      <c r="CH206">
        <f>'Grid_Stock'!CF48</f>
        <v/>
      </c>
      <c r="CI206">
        <f>'Grid_Stock'!CG48</f>
        <v/>
      </c>
      <c r="CJ206">
        <f>'Grid_Stock'!CH48</f>
        <v/>
      </c>
      <c r="CK206">
        <f>'Grid_Stock'!CI48</f>
        <v/>
      </c>
      <c r="CL206">
        <f>'Grid_Stock'!CJ48</f>
        <v/>
      </c>
      <c r="CM206">
        <f>'Grid_Stock'!CK48</f>
        <v/>
      </c>
      <c r="CN206">
        <f>'Grid_Stock'!CL48</f>
        <v/>
      </c>
      <c r="CO206">
        <f>'Grid_Stock'!CM48</f>
        <v/>
      </c>
      <c r="CP206">
        <f>'Grid_Stock'!CN48</f>
        <v/>
      </c>
      <c r="CQ206">
        <f>'Grid_Stock'!CO48</f>
        <v/>
      </c>
      <c r="CR206">
        <f>'Grid_Stock'!CP48</f>
        <v/>
      </c>
      <c r="CS206">
        <f>'Grid_Stock'!CQ48</f>
        <v/>
      </c>
      <c r="CT206">
        <f>'Grid_Stock'!CR48</f>
        <v/>
      </c>
      <c r="CU206">
        <f>'Grid_Stock'!CS48</f>
        <v/>
      </c>
      <c r="CV206">
        <f>'Grid_Stock'!CT48</f>
        <v/>
      </c>
      <c r="CW206">
        <f>'Grid_Stock'!CU48</f>
        <v/>
      </c>
      <c r="CX206">
        <f>'Grid_Stock'!CV48</f>
        <v/>
      </c>
      <c r="CY206">
        <f>'Grid_Stock'!CW48</f>
        <v/>
      </c>
      <c r="CZ206">
        <f>'Grid_Stock'!CX48</f>
        <v/>
      </c>
      <c r="DA206">
        <f>'Grid_Stock'!CY48</f>
        <v/>
      </c>
      <c r="DB206">
        <f>'Grid_Stock'!CZ48</f>
        <v/>
      </c>
      <c r="DC206">
        <f>'Grid_Stock'!DA48</f>
        <v/>
      </c>
    </row>
    <row r="207">
      <c r="B207" s="23" t="inlineStr">
        <is>
          <t>（発注の目安はDashboardの基準在庫[下限/上限]と色分けを参照）</t>
        </is>
      </c>
    </row>
    <row r="209">
      <c r="A209" s="21" t="inlineStr">
        <is>
          <t>CHEM-1280</t>
        </is>
      </c>
      <c r="B209" s="21" t="inlineStr">
        <is>
          <t>N-Dodeoyl Trimethyl Ammonium Chloride</t>
        </is>
      </c>
      <c r="C209" s="22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  <c r="AA209" s="21" t="n"/>
      <c r="AB209" s="21" t="n"/>
      <c r="AC209" s="21" t="n"/>
      <c r="AD209" s="21" t="n"/>
      <c r="AE209" s="21" t="n"/>
      <c r="AF209" s="21" t="n"/>
      <c r="AG209" s="21" t="n"/>
      <c r="AH209" s="21" t="n"/>
      <c r="AI209" s="21" t="n"/>
      <c r="AJ209" s="21" t="n"/>
      <c r="AK209" s="21" t="n"/>
      <c r="AL209" s="21" t="n"/>
      <c r="AM209" s="21" t="n"/>
      <c r="AN209" s="21" t="n"/>
      <c r="AO209" s="21" t="n"/>
      <c r="AP209" s="21" t="n"/>
      <c r="AQ209" s="21" t="n"/>
      <c r="AR209" s="21" t="n"/>
      <c r="AS209" s="21" t="n"/>
      <c r="AT209" s="21" t="n"/>
      <c r="AU209" s="21" t="n"/>
      <c r="AV209" s="21" t="n"/>
      <c r="AW209" s="21" t="n"/>
      <c r="AX209" s="21" t="n"/>
      <c r="AY209" s="21" t="n"/>
      <c r="AZ209" s="21" t="n"/>
      <c r="BA209" s="21" t="n"/>
      <c r="BB209" s="21" t="n"/>
      <c r="BC209" s="21" t="n"/>
      <c r="BD209" s="21" t="n"/>
      <c r="BE209" s="21" t="n"/>
      <c r="BF209" s="21" t="n"/>
      <c r="BG209" s="21" t="n"/>
      <c r="BH209" s="21" t="n"/>
      <c r="BI209" s="21" t="n"/>
      <c r="BJ209" s="21" t="n"/>
      <c r="BK209" s="21" t="n"/>
      <c r="BL209" s="21" t="n"/>
      <c r="BM209" s="21" t="n"/>
      <c r="BN209" s="21" t="n"/>
      <c r="BO209" s="21" t="n"/>
      <c r="BP209" s="21" t="n"/>
      <c r="BQ209" s="21" t="n"/>
      <c r="BR209" s="21" t="n"/>
      <c r="BS209" s="21" t="n"/>
      <c r="BT209" s="21" t="n"/>
      <c r="BU209" s="21" t="n"/>
      <c r="BV209" s="21" t="n"/>
      <c r="BW209" s="21" t="n"/>
      <c r="BX209" s="21" t="n"/>
      <c r="BY209" s="21" t="n"/>
      <c r="BZ209" s="21" t="n"/>
      <c r="CA209" s="21" t="n"/>
      <c r="CB209" s="21" t="n"/>
      <c r="CC209" s="21" t="n"/>
      <c r="CD209" s="21" t="n"/>
      <c r="CE209" s="21" t="n"/>
      <c r="CF209" s="21" t="n"/>
      <c r="CG209" s="21" t="n"/>
      <c r="CH209" s="21" t="n"/>
      <c r="CI209" s="21" t="n"/>
      <c r="CJ209" s="21" t="n"/>
      <c r="CK209" s="21" t="n"/>
      <c r="CL209" s="21" t="n"/>
      <c r="CM209" s="21" t="n"/>
      <c r="CN209" s="21" t="n"/>
      <c r="CO209" s="21" t="n"/>
      <c r="CP209" s="21" t="n"/>
      <c r="CQ209" s="21" t="n"/>
      <c r="CR209" s="21" t="n"/>
      <c r="CS209" s="21" t="n"/>
      <c r="CT209" s="21" t="n"/>
      <c r="CU209" s="21" t="n"/>
      <c r="CV209" s="21" t="n"/>
      <c r="CW209" s="21" t="n"/>
      <c r="CX209" s="21" t="n"/>
      <c r="CY209" s="21" t="n"/>
      <c r="CZ209" s="21" t="n"/>
      <c r="DA209" s="21" t="n"/>
      <c r="DB209" s="21" t="n"/>
      <c r="DC209" s="21" t="n"/>
    </row>
    <row r="210">
      <c r="B210" t="inlineStr">
        <is>
          <t>SOL-250D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12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SUMIFS(M_BOM[RM_Qty_Per_Batch],M_BOM[Intermediate],$B210,M_BOM[Part Name],$A209)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SOL-85D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Name],$A209)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s="5" t="inlineStr">
        <is>
          <t>合計使用量(kg)/週</t>
        </is>
      </c>
      <c r="D214">
        <f>'Grid_Requirement'!B42</f>
        <v/>
      </c>
      <c r="E214">
        <f>'Grid_Requirement'!C42</f>
        <v/>
      </c>
      <c r="F214">
        <f>'Grid_Requirement'!D42</f>
        <v/>
      </c>
      <c r="G214">
        <f>'Grid_Requirement'!E42</f>
        <v/>
      </c>
      <c r="H214">
        <f>'Grid_Requirement'!F42</f>
        <v/>
      </c>
      <c r="I214">
        <f>'Grid_Requirement'!G42</f>
        <v/>
      </c>
      <c r="J214">
        <f>'Grid_Requirement'!H42</f>
        <v/>
      </c>
      <c r="K214">
        <f>'Grid_Requirement'!I42</f>
        <v/>
      </c>
      <c r="L214">
        <f>'Grid_Requirement'!J42</f>
        <v/>
      </c>
      <c r="M214">
        <f>'Grid_Requirement'!K42</f>
        <v/>
      </c>
      <c r="N214">
        <f>'Grid_Requirement'!L42</f>
        <v/>
      </c>
      <c r="O214">
        <f>'Grid_Requirement'!M42</f>
        <v/>
      </c>
      <c r="P214">
        <f>'Grid_Requirement'!N42</f>
        <v/>
      </c>
      <c r="Q214">
        <f>'Grid_Requirement'!O42</f>
        <v/>
      </c>
      <c r="R214">
        <f>'Grid_Requirement'!P42</f>
        <v/>
      </c>
      <c r="S214">
        <f>'Grid_Requirement'!Q42</f>
        <v/>
      </c>
      <c r="T214">
        <f>'Grid_Requirement'!R42</f>
        <v/>
      </c>
      <c r="U214">
        <f>'Grid_Requirement'!S42</f>
        <v/>
      </c>
      <c r="V214">
        <f>'Grid_Requirement'!T42</f>
        <v/>
      </c>
      <c r="W214">
        <f>'Grid_Requirement'!U42</f>
        <v/>
      </c>
      <c r="X214">
        <f>'Grid_Requirement'!V42</f>
        <v/>
      </c>
      <c r="Y214">
        <f>'Grid_Requirement'!W42</f>
        <v/>
      </c>
      <c r="Z214">
        <f>'Grid_Requirement'!X42</f>
        <v/>
      </c>
      <c r="AA214">
        <f>'Grid_Requirement'!Y42</f>
        <v/>
      </c>
      <c r="AB214">
        <f>'Grid_Requirement'!Z42</f>
        <v/>
      </c>
      <c r="AC214">
        <f>'Grid_Requirement'!AA42</f>
        <v/>
      </c>
      <c r="AD214">
        <f>'Grid_Requirement'!AB42</f>
        <v/>
      </c>
      <c r="AE214">
        <f>'Grid_Requirement'!AC42</f>
        <v/>
      </c>
      <c r="AF214">
        <f>'Grid_Requirement'!AD42</f>
        <v/>
      </c>
      <c r="AG214">
        <f>'Grid_Requirement'!AE42</f>
        <v/>
      </c>
      <c r="AH214">
        <f>'Grid_Requirement'!AF42</f>
        <v/>
      </c>
      <c r="AI214">
        <f>'Grid_Requirement'!AG42</f>
        <v/>
      </c>
      <c r="AJ214">
        <f>'Grid_Requirement'!AH42</f>
        <v/>
      </c>
      <c r="AK214">
        <f>'Grid_Requirement'!AI42</f>
        <v/>
      </c>
      <c r="AL214">
        <f>'Grid_Requirement'!AJ42</f>
        <v/>
      </c>
      <c r="AM214">
        <f>'Grid_Requirement'!AK42</f>
        <v/>
      </c>
      <c r="AN214">
        <f>'Grid_Requirement'!AL42</f>
        <v/>
      </c>
      <c r="AO214">
        <f>'Grid_Requirement'!AM42</f>
        <v/>
      </c>
      <c r="AP214">
        <f>'Grid_Requirement'!AN42</f>
        <v/>
      </c>
      <c r="AQ214">
        <f>'Grid_Requirement'!AO42</f>
        <v/>
      </c>
      <c r="AR214">
        <f>'Grid_Requirement'!AP42</f>
        <v/>
      </c>
      <c r="AS214">
        <f>'Grid_Requirement'!AQ42</f>
        <v/>
      </c>
      <c r="AT214">
        <f>'Grid_Requirement'!AR42</f>
        <v/>
      </c>
      <c r="AU214">
        <f>'Grid_Requirement'!AS42</f>
        <v/>
      </c>
      <c r="AV214">
        <f>'Grid_Requirement'!AT42</f>
        <v/>
      </c>
      <c r="AW214">
        <f>'Grid_Requirement'!AU42</f>
        <v/>
      </c>
      <c r="AX214">
        <f>'Grid_Requirement'!AV42</f>
        <v/>
      </c>
      <c r="AY214">
        <f>'Grid_Requirement'!AW42</f>
        <v/>
      </c>
      <c r="AZ214">
        <f>'Grid_Requirement'!AX42</f>
        <v/>
      </c>
      <c r="BA214">
        <f>'Grid_Requirement'!AY42</f>
        <v/>
      </c>
      <c r="BB214">
        <f>'Grid_Requirement'!AZ42</f>
        <v/>
      </c>
      <c r="BC214">
        <f>'Grid_Requirement'!BA42</f>
        <v/>
      </c>
      <c r="BD214">
        <f>'Grid_Requirement'!BB42</f>
        <v/>
      </c>
      <c r="BE214">
        <f>'Grid_Requirement'!BC42</f>
        <v/>
      </c>
      <c r="BF214">
        <f>'Grid_Requirement'!BD42</f>
        <v/>
      </c>
      <c r="BG214">
        <f>'Grid_Requirement'!BE42</f>
        <v/>
      </c>
      <c r="BH214">
        <f>'Grid_Requirement'!BF42</f>
        <v/>
      </c>
      <c r="BI214">
        <f>'Grid_Requirement'!BG42</f>
        <v/>
      </c>
      <c r="BJ214">
        <f>'Grid_Requirement'!BH42</f>
        <v/>
      </c>
      <c r="BK214">
        <f>'Grid_Requirement'!BI42</f>
        <v/>
      </c>
      <c r="BL214">
        <f>'Grid_Requirement'!BJ42</f>
        <v/>
      </c>
      <c r="BM214">
        <f>'Grid_Requirement'!BK42</f>
        <v/>
      </c>
      <c r="BN214">
        <f>'Grid_Requirement'!BL42</f>
        <v/>
      </c>
      <c r="BO214">
        <f>'Grid_Requirement'!BM42</f>
        <v/>
      </c>
      <c r="BP214">
        <f>'Grid_Requirement'!BN42</f>
        <v/>
      </c>
      <c r="BQ214">
        <f>'Grid_Requirement'!BO42</f>
        <v/>
      </c>
      <c r="BR214">
        <f>'Grid_Requirement'!BP42</f>
        <v/>
      </c>
      <c r="BS214">
        <f>'Grid_Requirement'!BQ42</f>
        <v/>
      </c>
      <c r="BT214">
        <f>'Grid_Requirement'!BR42</f>
        <v/>
      </c>
      <c r="BU214">
        <f>'Grid_Requirement'!BS42</f>
        <v/>
      </c>
      <c r="BV214">
        <f>'Grid_Requirement'!BT42</f>
        <v/>
      </c>
      <c r="BW214">
        <f>'Grid_Requirement'!BU42</f>
        <v/>
      </c>
      <c r="BX214">
        <f>'Grid_Requirement'!BV42</f>
        <v/>
      </c>
      <c r="BY214">
        <f>'Grid_Requirement'!BW42</f>
        <v/>
      </c>
      <c r="BZ214">
        <f>'Grid_Requirement'!BX42</f>
        <v/>
      </c>
      <c r="CA214">
        <f>'Grid_Requirement'!BY42</f>
        <v/>
      </c>
      <c r="CB214">
        <f>'Grid_Requirement'!BZ42</f>
        <v/>
      </c>
      <c r="CC214">
        <f>'Grid_Requirement'!CA42</f>
        <v/>
      </c>
      <c r="CD214">
        <f>'Grid_Requirement'!CB42</f>
        <v/>
      </c>
      <c r="CE214">
        <f>'Grid_Requirement'!CC42</f>
        <v/>
      </c>
      <c r="CF214">
        <f>'Grid_Requirement'!CD42</f>
        <v/>
      </c>
      <c r="CG214">
        <f>'Grid_Requirement'!CE42</f>
        <v/>
      </c>
      <c r="CH214">
        <f>'Grid_Requirement'!CF42</f>
        <v/>
      </c>
      <c r="CI214">
        <f>'Grid_Requirement'!CG42</f>
        <v/>
      </c>
      <c r="CJ214">
        <f>'Grid_Requirement'!CH42</f>
        <v/>
      </c>
      <c r="CK214">
        <f>'Grid_Requirement'!CI42</f>
        <v/>
      </c>
      <c r="CL214">
        <f>'Grid_Requirement'!CJ42</f>
        <v/>
      </c>
      <c r="CM214">
        <f>'Grid_Requirement'!CK42</f>
        <v/>
      </c>
      <c r="CN214">
        <f>'Grid_Requirement'!CL42</f>
        <v/>
      </c>
      <c r="CO214">
        <f>'Grid_Requirement'!CM42</f>
        <v/>
      </c>
      <c r="CP214">
        <f>'Grid_Requirement'!CN42</f>
        <v/>
      </c>
      <c r="CQ214">
        <f>'Grid_Requirement'!CO42</f>
        <v/>
      </c>
      <c r="CR214">
        <f>'Grid_Requirement'!CP42</f>
        <v/>
      </c>
      <c r="CS214">
        <f>'Grid_Requirement'!CQ42</f>
        <v/>
      </c>
      <c r="CT214">
        <f>'Grid_Requirement'!CR42</f>
        <v/>
      </c>
      <c r="CU214">
        <f>'Grid_Requirement'!CS42</f>
        <v/>
      </c>
      <c r="CV214">
        <f>'Grid_Requirement'!CT42</f>
        <v/>
      </c>
      <c r="CW214">
        <f>'Grid_Requirement'!CU42</f>
        <v/>
      </c>
      <c r="CX214">
        <f>'Grid_Requirement'!CV42</f>
        <v/>
      </c>
      <c r="CY214">
        <f>'Grid_Requirement'!CW42</f>
        <v/>
      </c>
      <c r="CZ214">
        <f>'Grid_Requirement'!CX42</f>
        <v/>
      </c>
      <c r="DA214">
        <f>'Grid_Requirement'!CY42</f>
        <v/>
      </c>
      <c r="DB214">
        <f>'Grid_Requirement'!CZ42</f>
        <v/>
      </c>
      <c r="DC214">
        <f>'Grid_Requirement'!DA42</f>
        <v/>
      </c>
    </row>
    <row r="215">
      <c r="B215" t="inlineStr">
        <is>
          <t>TTAF在庫(実績,kg)</t>
        </is>
      </c>
      <c r="D215">
        <f>'T_TTAFStock'!B46</f>
        <v/>
      </c>
      <c r="E215">
        <f>'T_TTAFStock'!C46</f>
        <v/>
      </c>
      <c r="F215">
        <f>'T_TTAFStock'!D46</f>
        <v/>
      </c>
      <c r="G215">
        <f>'T_TTAFStock'!E46</f>
        <v/>
      </c>
      <c r="H215">
        <f>'T_TTAFStock'!F46</f>
        <v/>
      </c>
      <c r="I215">
        <f>'T_TTAFStock'!G46</f>
        <v/>
      </c>
      <c r="J215">
        <f>'T_TTAFStock'!H46</f>
        <v/>
      </c>
      <c r="K215">
        <f>'T_TTAFStock'!I46</f>
        <v/>
      </c>
      <c r="L215">
        <f>'T_TTAFStock'!J46</f>
        <v/>
      </c>
      <c r="M215">
        <f>'T_TTAFStock'!K46</f>
        <v/>
      </c>
      <c r="N215">
        <f>'T_TTAFStock'!L46</f>
        <v/>
      </c>
      <c r="O215">
        <f>'T_TTAFStock'!M46</f>
        <v/>
      </c>
      <c r="P215">
        <f>'T_TTAFStock'!N46</f>
        <v/>
      </c>
      <c r="Q215">
        <f>'T_TTAFStock'!O46</f>
        <v/>
      </c>
      <c r="R215">
        <f>'T_TTAFStock'!P46</f>
        <v/>
      </c>
      <c r="S215">
        <f>'T_TTAFStock'!Q46</f>
        <v/>
      </c>
      <c r="T215">
        <f>'T_TTAFStock'!R46</f>
        <v/>
      </c>
      <c r="U215">
        <f>'T_TTAFStock'!S46</f>
        <v/>
      </c>
      <c r="V215">
        <f>'T_TTAFStock'!T46</f>
        <v/>
      </c>
      <c r="W215">
        <f>'T_TTAFStock'!U46</f>
        <v/>
      </c>
      <c r="X215">
        <f>'T_TTAFStock'!V46</f>
        <v/>
      </c>
      <c r="Y215">
        <f>'T_TTAFStock'!W46</f>
        <v/>
      </c>
      <c r="Z215">
        <f>'T_TTAFStock'!X46</f>
        <v/>
      </c>
      <c r="AA215">
        <f>'T_TTAFStock'!Y46</f>
        <v/>
      </c>
      <c r="AB215">
        <f>'T_TTAFStock'!Z46</f>
        <v/>
      </c>
      <c r="AC215">
        <f>'T_TTAFStock'!AA46</f>
        <v/>
      </c>
      <c r="AD215">
        <f>'T_TTAFStock'!AB46</f>
        <v/>
      </c>
      <c r="AE215">
        <f>'T_TTAFStock'!AC46</f>
        <v/>
      </c>
      <c r="AF215">
        <f>'T_TTAFStock'!AD46</f>
        <v/>
      </c>
      <c r="AG215">
        <f>'T_TTAFStock'!AE46</f>
        <v/>
      </c>
      <c r="AH215">
        <f>'T_TTAFStock'!AF46</f>
        <v/>
      </c>
      <c r="AI215">
        <f>'T_TTAFStock'!AG46</f>
        <v/>
      </c>
      <c r="AJ215">
        <f>'T_TTAFStock'!AH46</f>
        <v/>
      </c>
      <c r="AK215">
        <f>'T_TTAFStock'!AI46</f>
        <v/>
      </c>
      <c r="AL215">
        <f>'T_TTAFStock'!AJ46</f>
        <v/>
      </c>
      <c r="AM215">
        <f>'T_TTAFStock'!AK46</f>
        <v/>
      </c>
      <c r="AN215">
        <f>'T_TTAFStock'!AL46</f>
        <v/>
      </c>
      <c r="AO215">
        <f>'T_TTAFStock'!AM46</f>
        <v/>
      </c>
      <c r="AP215">
        <f>'T_TTAFStock'!AN46</f>
        <v/>
      </c>
      <c r="AQ215">
        <f>'T_TTAFStock'!AO46</f>
        <v/>
      </c>
      <c r="AR215">
        <f>'T_TTAFStock'!AP46</f>
        <v/>
      </c>
      <c r="AS215">
        <f>'T_TTAFStock'!AQ46</f>
        <v/>
      </c>
      <c r="AT215">
        <f>'T_TTAFStock'!AR46</f>
        <v/>
      </c>
      <c r="AU215">
        <f>'T_TTAFStock'!AS46</f>
        <v/>
      </c>
      <c r="AV215">
        <f>'T_TTAFStock'!AT46</f>
        <v/>
      </c>
      <c r="AW215">
        <f>'T_TTAFStock'!AU46</f>
        <v/>
      </c>
      <c r="AX215">
        <f>'T_TTAFStock'!AV46</f>
        <v/>
      </c>
      <c r="AY215">
        <f>'T_TTAFStock'!AW46</f>
        <v/>
      </c>
      <c r="AZ215">
        <f>'T_TTAFStock'!AX46</f>
        <v/>
      </c>
      <c r="BA215">
        <f>'T_TTAFStock'!AY46</f>
        <v/>
      </c>
      <c r="BB215">
        <f>'T_TTAFStock'!AZ46</f>
        <v/>
      </c>
      <c r="BC215">
        <f>'T_TTAFStock'!BA46</f>
        <v/>
      </c>
      <c r="BD215">
        <f>'T_TTAFStock'!BB46</f>
        <v/>
      </c>
      <c r="BE215">
        <f>'T_TTAFStock'!BC46</f>
        <v/>
      </c>
      <c r="BF215">
        <f>'T_TTAFStock'!BD46</f>
        <v/>
      </c>
      <c r="BG215">
        <f>'T_TTAFStock'!BE46</f>
        <v/>
      </c>
      <c r="BH215">
        <f>'T_TTAFStock'!BF46</f>
        <v/>
      </c>
      <c r="BI215">
        <f>'T_TTAFStock'!BG46</f>
        <v/>
      </c>
      <c r="BJ215">
        <f>'T_TTAFStock'!BH46</f>
        <v/>
      </c>
      <c r="BK215">
        <f>'T_TTAFStock'!BI46</f>
        <v/>
      </c>
      <c r="BL215">
        <f>'T_TTAFStock'!BJ46</f>
        <v/>
      </c>
      <c r="BM215">
        <f>'T_TTAFStock'!BK46</f>
        <v/>
      </c>
      <c r="BN215">
        <f>'T_TTAFStock'!BL46</f>
        <v/>
      </c>
      <c r="BO215">
        <f>'T_TTAFStock'!BM46</f>
        <v/>
      </c>
      <c r="BP215">
        <f>'T_TTAFStock'!BN46</f>
        <v/>
      </c>
      <c r="BQ215">
        <f>'T_TTAFStock'!BO46</f>
        <v/>
      </c>
      <c r="BR215">
        <f>'T_TTAFStock'!BP46</f>
        <v/>
      </c>
      <c r="BS215">
        <f>'T_TTAFStock'!BQ46</f>
        <v/>
      </c>
      <c r="BT215">
        <f>'T_TTAFStock'!BR46</f>
        <v/>
      </c>
      <c r="BU215">
        <f>'T_TTAFStock'!BS46</f>
        <v/>
      </c>
      <c r="BV215">
        <f>'T_TTAFStock'!BT46</f>
        <v/>
      </c>
      <c r="BW215">
        <f>'T_TTAFStock'!BU46</f>
        <v/>
      </c>
      <c r="BX215">
        <f>'T_TTAFStock'!BV46</f>
        <v/>
      </c>
      <c r="BY215">
        <f>'T_TTAFStock'!BW46</f>
        <v/>
      </c>
      <c r="BZ215">
        <f>'T_TTAFStock'!BX46</f>
        <v/>
      </c>
      <c r="CA215">
        <f>'T_TTAFStock'!BY46</f>
        <v/>
      </c>
      <c r="CB215">
        <f>'T_TTAFStock'!BZ46</f>
        <v/>
      </c>
      <c r="CC215">
        <f>'T_TTAFStock'!CA46</f>
        <v/>
      </c>
      <c r="CD215">
        <f>'T_TTAFStock'!CB46</f>
        <v/>
      </c>
      <c r="CE215">
        <f>'T_TTAFStock'!CC46</f>
        <v/>
      </c>
      <c r="CF215">
        <f>'T_TTAFStock'!CD46</f>
        <v/>
      </c>
      <c r="CG215">
        <f>'T_TTAFStock'!CE46</f>
        <v/>
      </c>
      <c r="CH215">
        <f>'T_TTAFStock'!CF46</f>
        <v/>
      </c>
      <c r="CI215">
        <f>'T_TTAFStock'!CG46</f>
        <v/>
      </c>
      <c r="CJ215">
        <f>'T_TTAFStock'!CH46</f>
        <v/>
      </c>
      <c r="CK215">
        <f>'T_TTAFStock'!CI46</f>
        <v/>
      </c>
      <c r="CL215">
        <f>'T_TTAFStock'!CJ46</f>
        <v/>
      </c>
      <c r="CM215">
        <f>'T_TTAFStock'!CK46</f>
        <v/>
      </c>
      <c r="CN215">
        <f>'T_TTAFStock'!CL46</f>
        <v/>
      </c>
      <c r="CO215">
        <f>'T_TTAFStock'!CM46</f>
        <v/>
      </c>
      <c r="CP215">
        <f>'T_TTAFStock'!CN46</f>
        <v/>
      </c>
      <c r="CQ215">
        <f>'T_TTAFStock'!CO46</f>
        <v/>
      </c>
      <c r="CR215">
        <f>'T_TTAFStock'!CP46</f>
        <v/>
      </c>
      <c r="CS215">
        <f>'T_TTAFStock'!CQ46</f>
        <v/>
      </c>
      <c r="CT215">
        <f>'T_TTAFStock'!CR46</f>
        <v/>
      </c>
      <c r="CU215">
        <f>'T_TTAFStock'!CS46</f>
        <v/>
      </c>
      <c r="CV215">
        <f>'T_TTAFStock'!CT46</f>
        <v/>
      </c>
      <c r="CW215">
        <f>'T_TTAFStock'!CU46</f>
        <v/>
      </c>
      <c r="CX215">
        <f>'T_TTAFStock'!CV46</f>
        <v/>
      </c>
      <c r="CY215">
        <f>'T_TTAFStock'!CW46</f>
        <v/>
      </c>
      <c r="CZ215">
        <f>'T_TTAFStock'!CX46</f>
        <v/>
      </c>
      <c r="DA215">
        <f>'T_TTAFStock'!CY46</f>
        <v/>
      </c>
      <c r="DB215">
        <f>'T_TTAFStock'!CZ46</f>
        <v/>
      </c>
      <c r="DC215">
        <f>'T_TTAFStock'!DA46</f>
        <v/>
      </c>
    </row>
    <row r="216">
      <c r="B216" t="inlineStr">
        <is>
          <t>自社在庫(実績,kg)</t>
        </is>
      </c>
      <c r="D216">
        <f>'T_SelfStock'!B46</f>
        <v/>
      </c>
      <c r="E216">
        <f>'T_SelfStock'!C46</f>
        <v/>
      </c>
      <c r="F216">
        <f>'T_SelfStock'!D46</f>
        <v/>
      </c>
      <c r="G216">
        <f>'T_SelfStock'!E46</f>
        <v/>
      </c>
      <c r="H216">
        <f>'T_SelfStock'!F46</f>
        <v/>
      </c>
      <c r="I216">
        <f>'T_SelfStock'!G46</f>
        <v/>
      </c>
      <c r="J216">
        <f>'T_SelfStock'!H46</f>
        <v/>
      </c>
      <c r="K216">
        <f>'T_SelfStock'!I46</f>
        <v/>
      </c>
      <c r="L216">
        <f>'T_SelfStock'!J46</f>
        <v/>
      </c>
      <c r="M216">
        <f>'T_SelfStock'!K46</f>
        <v/>
      </c>
      <c r="N216">
        <f>'T_SelfStock'!L46</f>
        <v/>
      </c>
      <c r="O216">
        <f>'T_SelfStock'!M46</f>
        <v/>
      </c>
      <c r="P216">
        <f>'T_SelfStock'!N46</f>
        <v/>
      </c>
      <c r="Q216">
        <f>'T_SelfStock'!O46</f>
        <v/>
      </c>
      <c r="R216">
        <f>'T_SelfStock'!P46</f>
        <v/>
      </c>
      <c r="S216">
        <f>'T_SelfStock'!Q46</f>
        <v/>
      </c>
      <c r="T216">
        <f>'T_SelfStock'!R46</f>
        <v/>
      </c>
      <c r="U216">
        <f>'T_SelfStock'!S46</f>
        <v/>
      </c>
      <c r="V216">
        <f>'T_SelfStock'!T46</f>
        <v/>
      </c>
      <c r="W216">
        <f>'T_SelfStock'!U46</f>
        <v/>
      </c>
      <c r="X216">
        <f>'T_SelfStock'!V46</f>
        <v/>
      </c>
      <c r="Y216">
        <f>'T_SelfStock'!W46</f>
        <v/>
      </c>
      <c r="Z216">
        <f>'T_SelfStock'!X46</f>
        <v/>
      </c>
      <c r="AA216">
        <f>'T_SelfStock'!Y46</f>
        <v/>
      </c>
      <c r="AB216">
        <f>'T_SelfStock'!Z46</f>
        <v/>
      </c>
      <c r="AC216">
        <f>'T_SelfStock'!AA46</f>
        <v/>
      </c>
      <c r="AD216">
        <f>'T_SelfStock'!AB46</f>
        <v/>
      </c>
      <c r="AE216">
        <f>'T_SelfStock'!AC46</f>
        <v/>
      </c>
      <c r="AF216">
        <f>'T_SelfStock'!AD46</f>
        <v/>
      </c>
      <c r="AG216">
        <f>'T_SelfStock'!AE46</f>
        <v/>
      </c>
      <c r="AH216">
        <f>'T_SelfStock'!AF46</f>
        <v/>
      </c>
      <c r="AI216">
        <f>'T_SelfStock'!AG46</f>
        <v/>
      </c>
      <c r="AJ216">
        <f>'T_SelfStock'!AH46</f>
        <v/>
      </c>
      <c r="AK216">
        <f>'T_SelfStock'!AI46</f>
        <v/>
      </c>
      <c r="AL216">
        <f>'T_SelfStock'!AJ46</f>
        <v/>
      </c>
      <c r="AM216">
        <f>'T_SelfStock'!AK46</f>
        <v/>
      </c>
      <c r="AN216">
        <f>'T_SelfStock'!AL46</f>
        <v/>
      </c>
      <c r="AO216">
        <f>'T_SelfStock'!AM46</f>
        <v/>
      </c>
      <c r="AP216">
        <f>'T_SelfStock'!AN46</f>
        <v/>
      </c>
      <c r="AQ216">
        <f>'T_SelfStock'!AO46</f>
        <v/>
      </c>
      <c r="AR216">
        <f>'T_SelfStock'!AP46</f>
        <v/>
      </c>
      <c r="AS216">
        <f>'T_SelfStock'!AQ46</f>
        <v/>
      </c>
      <c r="AT216">
        <f>'T_SelfStock'!AR46</f>
        <v/>
      </c>
      <c r="AU216">
        <f>'T_SelfStock'!AS46</f>
        <v/>
      </c>
      <c r="AV216">
        <f>'T_SelfStock'!AT46</f>
        <v/>
      </c>
      <c r="AW216">
        <f>'T_SelfStock'!AU46</f>
        <v/>
      </c>
      <c r="AX216">
        <f>'T_SelfStock'!AV46</f>
        <v/>
      </c>
      <c r="AY216">
        <f>'T_SelfStock'!AW46</f>
        <v/>
      </c>
      <c r="AZ216">
        <f>'T_SelfStock'!AX46</f>
        <v/>
      </c>
      <c r="BA216">
        <f>'T_SelfStock'!AY46</f>
        <v/>
      </c>
      <c r="BB216">
        <f>'T_SelfStock'!AZ46</f>
        <v/>
      </c>
      <c r="BC216">
        <f>'T_SelfStock'!BA46</f>
        <v/>
      </c>
      <c r="BD216">
        <f>'T_SelfStock'!BB46</f>
        <v/>
      </c>
      <c r="BE216">
        <f>'T_SelfStock'!BC46</f>
        <v/>
      </c>
      <c r="BF216">
        <f>'T_SelfStock'!BD46</f>
        <v/>
      </c>
      <c r="BG216">
        <f>'T_SelfStock'!BE46</f>
        <v/>
      </c>
      <c r="BH216">
        <f>'T_SelfStock'!BF46</f>
        <v/>
      </c>
      <c r="BI216">
        <f>'T_SelfStock'!BG46</f>
        <v/>
      </c>
      <c r="BJ216">
        <f>'T_SelfStock'!BH46</f>
        <v/>
      </c>
      <c r="BK216">
        <f>'T_SelfStock'!BI46</f>
        <v/>
      </c>
      <c r="BL216">
        <f>'T_SelfStock'!BJ46</f>
        <v/>
      </c>
      <c r="BM216">
        <f>'T_SelfStock'!BK46</f>
        <v/>
      </c>
      <c r="BN216">
        <f>'T_SelfStock'!BL46</f>
        <v/>
      </c>
      <c r="BO216">
        <f>'T_SelfStock'!BM46</f>
        <v/>
      </c>
      <c r="BP216">
        <f>'T_SelfStock'!BN46</f>
        <v/>
      </c>
      <c r="BQ216">
        <f>'T_SelfStock'!BO46</f>
        <v/>
      </c>
      <c r="BR216">
        <f>'T_SelfStock'!BP46</f>
        <v/>
      </c>
      <c r="BS216">
        <f>'T_SelfStock'!BQ46</f>
        <v/>
      </c>
      <c r="BT216">
        <f>'T_SelfStock'!BR46</f>
        <v/>
      </c>
      <c r="BU216">
        <f>'T_SelfStock'!BS46</f>
        <v/>
      </c>
      <c r="BV216">
        <f>'T_SelfStock'!BT46</f>
        <v/>
      </c>
      <c r="BW216">
        <f>'T_SelfStock'!BU46</f>
        <v/>
      </c>
      <c r="BX216">
        <f>'T_SelfStock'!BV46</f>
        <v/>
      </c>
      <c r="BY216">
        <f>'T_SelfStock'!BW46</f>
        <v/>
      </c>
      <c r="BZ216">
        <f>'T_SelfStock'!BX46</f>
        <v/>
      </c>
      <c r="CA216">
        <f>'T_SelfStock'!BY46</f>
        <v/>
      </c>
      <c r="CB216">
        <f>'T_SelfStock'!BZ46</f>
        <v/>
      </c>
      <c r="CC216">
        <f>'T_SelfStock'!CA46</f>
        <v/>
      </c>
      <c r="CD216">
        <f>'T_SelfStock'!CB46</f>
        <v/>
      </c>
      <c r="CE216">
        <f>'T_SelfStock'!CC46</f>
        <v/>
      </c>
      <c r="CF216">
        <f>'T_SelfStock'!CD46</f>
        <v/>
      </c>
      <c r="CG216">
        <f>'T_SelfStock'!CE46</f>
        <v/>
      </c>
      <c r="CH216">
        <f>'T_SelfStock'!CF46</f>
        <v/>
      </c>
      <c r="CI216">
        <f>'T_SelfStock'!CG46</f>
        <v/>
      </c>
      <c r="CJ216">
        <f>'T_SelfStock'!CH46</f>
        <v/>
      </c>
      <c r="CK216">
        <f>'T_SelfStock'!CI46</f>
        <v/>
      </c>
      <c r="CL216">
        <f>'T_SelfStock'!CJ46</f>
        <v/>
      </c>
      <c r="CM216">
        <f>'T_SelfStock'!CK46</f>
        <v/>
      </c>
      <c r="CN216">
        <f>'T_SelfStock'!CL46</f>
        <v/>
      </c>
      <c r="CO216">
        <f>'T_SelfStock'!CM46</f>
        <v/>
      </c>
      <c r="CP216">
        <f>'T_SelfStock'!CN46</f>
        <v/>
      </c>
      <c r="CQ216">
        <f>'T_SelfStock'!CO46</f>
        <v/>
      </c>
      <c r="CR216">
        <f>'T_SelfStock'!CP46</f>
        <v/>
      </c>
      <c r="CS216">
        <f>'T_SelfStock'!CQ46</f>
        <v/>
      </c>
      <c r="CT216">
        <f>'T_SelfStock'!CR46</f>
        <v/>
      </c>
      <c r="CU216">
        <f>'T_SelfStock'!CS46</f>
        <v/>
      </c>
      <c r="CV216">
        <f>'T_SelfStock'!CT46</f>
        <v/>
      </c>
      <c r="CW216">
        <f>'T_SelfStock'!CU46</f>
        <v/>
      </c>
      <c r="CX216">
        <f>'T_SelfStock'!CV46</f>
        <v/>
      </c>
      <c r="CY216">
        <f>'T_SelfStock'!CW46</f>
        <v/>
      </c>
      <c r="CZ216">
        <f>'T_SelfStock'!CX46</f>
        <v/>
      </c>
      <c r="DA216">
        <f>'T_SelfStock'!CY46</f>
        <v/>
      </c>
      <c r="DB216">
        <f>'T_SelfStock'!CZ46</f>
        <v/>
      </c>
      <c r="DC216">
        <f>'T_SelfStock'!DA46</f>
        <v/>
      </c>
    </row>
    <row r="217">
      <c r="B217" t="inlineStr">
        <is>
          <t>Order(発注予定,kg)</t>
        </is>
      </c>
      <c r="D217">
        <f>IF(SUMIFS(T_PlannedOrders[EffectiveQty],T_PlannedOrders[Part Name],$A209,T_PlannedOrders[WeekIndex],1)=0,"",SUMIFS(T_PlannedOrders[EffectiveQty],T_PlannedOrders[Part Name],$A209,T_PlannedOrders[WeekIndex],1)&amp;" ("&amp;TEXT(SUMPRODUCT(MAX((T_PlannedOrders[Part Name]=$A209)*(T_PlannedOrders[WeekIndex]=1)*(T_PlannedOrders[EffectiveQty]&gt;0)*T_PlannedOrders[Order_Month])),"m月")&amp;"発注)")</f>
        <v/>
      </c>
      <c r="E217">
        <f>IF(SUMIFS(T_PlannedOrders[EffectiveQty],T_PlannedOrders[Part Name],$A209,T_PlannedOrders[WeekIndex],2)=0,"",SUMIFS(T_PlannedOrders[EffectiveQty],T_PlannedOrders[Part Name],$A209,T_PlannedOrders[WeekIndex],2)&amp;" ("&amp;TEXT(SUMPRODUCT(MAX((T_PlannedOrders[Part Name]=$A209)*(T_PlannedOrders[WeekIndex]=2)*(T_PlannedOrders[EffectiveQty]&gt;0)*T_PlannedOrders[Order_Month])),"m月")&amp;"発注)")</f>
        <v/>
      </c>
      <c r="F217">
        <f>IF(SUMIFS(T_PlannedOrders[EffectiveQty],T_PlannedOrders[Part Name],$A209,T_PlannedOrders[WeekIndex],3)=0,"",SUMIFS(T_PlannedOrders[EffectiveQty],T_PlannedOrders[Part Name],$A209,T_PlannedOrders[WeekIndex],3)&amp;" ("&amp;TEXT(SUMPRODUCT(MAX((T_PlannedOrders[Part Name]=$A209)*(T_PlannedOrders[WeekIndex]=3)*(T_PlannedOrders[EffectiveQty]&gt;0)*T_PlannedOrders[Order_Month])),"m月")&amp;"発注)")</f>
        <v/>
      </c>
      <c r="G217">
        <f>IF(SUMIFS(T_PlannedOrders[EffectiveQty],T_PlannedOrders[Part Name],$A209,T_PlannedOrders[WeekIndex],4)=0,"",SUMIFS(T_PlannedOrders[EffectiveQty],T_PlannedOrders[Part Name],$A209,T_PlannedOrders[WeekIndex],4)&amp;" ("&amp;TEXT(SUMPRODUCT(MAX((T_PlannedOrders[Part Name]=$A209)*(T_PlannedOrders[WeekIndex]=4)*(T_PlannedOrders[EffectiveQty]&gt;0)*T_PlannedOrders[Order_Month])),"m月")&amp;"発注)")</f>
        <v/>
      </c>
      <c r="H217">
        <f>IF(SUMIFS(T_PlannedOrders[EffectiveQty],T_PlannedOrders[Part Name],$A209,T_PlannedOrders[WeekIndex],5)=0,"",SUMIFS(T_PlannedOrders[EffectiveQty],T_PlannedOrders[Part Name],$A209,T_PlannedOrders[WeekIndex],5)&amp;" ("&amp;TEXT(SUMPRODUCT(MAX((T_PlannedOrders[Part Name]=$A209)*(T_PlannedOrders[WeekIndex]=5)*(T_PlannedOrders[EffectiveQty]&gt;0)*T_PlannedOrders[Order_Month])),"m月")&amp;"発注)")</f>
        <v/>
      </c>
      <c r="I217">
        <f>IF(SUMIFS(T_PlannedOrders[EffectiveQty],T_PlannedOrders[Part Name],$A209,T_PlannedOrders[WeekIndex],6)=0,"",SUMIFS(T_PlannedOrders[EffectiveQty],T_PlannedOrders[Part Name],$A209,T_PlannedOrders[WeekIndex],6)&amp;" ("&amp;TEXT(SUMPRODUCT(MAX((T_PlannedOrders[Part Name]=$A209)*(T_PlannedOrders[WeekIndex]=6)*(T_PlannedOrders[EffectiveQty]&gt;0)*T_PlannedOrders[Order_Month])),"m月")&amp;"発注)")</f>
        <v/>
      </c>
      <c r="J217">
        <f>IF(SUMIFS(T_PlannedOrders[EffectiveQty],T_PlannedOrders[Part Name],$A209,T_PlannedOrders[WeekIndex],7)=0,"",SUMIFS(T_PlannedOrders[EffectiveQty],T_PlannedOrders[Part Name],$A209,T_PlannedOrders[WeekIndex],7)&amp;" ("&amp;TEXT(SUMPRODUCT(MAX((T_PlannedOrders[Part Name]=$A209)*(T_PlannedOrders[WeekIndex]=7)*(T_PlannedOrders[EffectiveQty]&gt;0)*T_PlannedOrders[Order_Month])),"m月")&amp;"発注)")</f>
        <v/>
      </c>
      <c r="K217">
        <f>IF(SUMIFS(T_PlannedOrders[EffectiveQty],T_PlannedOrders[Part Name],$A209,T_PlannedOrders[WeekIndex],8)=0,"",SUMIFS(T_PlannedOrders[EffectiveQty],T_PlannedOrders[Part Name],$A209,T_PlannedOrders[WeekIndex],8)&amp;" ("&amp;TEXT(SUMPRODUCT(MAX((T_PlannedOrders[Part Name]=$A209)*(T_PlannedOrders[WeekIndex]=8)*(T_PlannedOrders[EffectiveQty]&gt;0)*T_PlannedOrders[Order_Month])),"m月")&amp;"発注)")</f>
        <v/>
      </c>
      <c r="L217">
        <f>IF(SUMIFS(T_PlannedOrders[EffectiveQty],T_PlannedOrders[Part Name],$A209,T_PlannedOrders[WeekIndex],9)=0,"",SUMIFS(T_PlannedOrders[EffectiveQty],T_PlannedOrders[Part Name],$A209,T_PlannedOrders[WeekIndex],9)&amp;" ("&amp;TEXT(SUMPRODUCT(MAX((T_PlannedOrders[Part Name]=$A209)*(T_PlannedOrders[WeekIndex]=9)*(T_PlannedOrders[EffectiveQty]&gt;0)*T_PlannedOrders[Order_Month])),"m月")&amp;"発注)")</f>
        <v/>
      </c>
      <c r="M217">
        <f>IF(SUMIFS(T_PlannedOrders[EffectiveQty],T_PlannedOrders[Part Name],$A209,T_PlannedOrders[WeekIndex],10)=0,"",SUMIFS(T_PlannedOrders[EffectiveQty],T_PlannedOrders[Part Name],$A209,T_PlannedOrders[WeekIndex],10)&amp;" ("&amp;TEXT(SUMPRODUCT(MAX((T_PlannedOrders[Part Name]=$A209)*(T_PlannedOrders[WeekIndex]=10)*(T_PlannedOrders[EffectiveQty]&gt;0)*T_PlannedOrders[Order_Month])),"m月")&amp;"発注)")</f>
        <v/>
      </c>
      <c r="N217">
        <f>IF(SUMIFS(T_PlannedOrders[EffectiveQty],T_PlannedOrders[Part Name],$A209,T_PlannedOrders[WeekIndex],11)=0,"",SUMIFS(T_PlannedOrders[EffectiveQty],T_PlannedOrders[Part Name],$A209,T_PlannedOrders[WeekIndex],11)&amp;" ("&amp;TEXT(SUMPRODUCT(MAX((T_PlannedOrders[Part Name]=$A209)*(T_PlannedOrders[WeekIndex]=11)*(T_PlannedOrders[EffectiveQty]&gt;0)*T_PlannedOrders[Order_Month])),"m月")&amp;"発注)")</f>
        <v/>
      </c>
      <c r="O217">
        <f>IF(SUMIFS(T_PlannedOrders[EffectiveQty],T_PlannedOrders[Part Name],$A209,T_PlannedOrders[WeekIndex],12)=0,"",SUMIFS(T_PlannedOrders[EffectiveQty],T_PlannedOrders[Part Name],$A209,T_PlannedOrders[WeekIndex],12)&amp;" ("&amp;TEXT(SUMPRODUCT(MAX((T_PlannedOrders[Part Name]=$A209)*(T_PlannedOrders[WeekIndex]=12)*(T_PlannedOrders[EffectiveQty]&gt;0)*T_PlannedOrders[Order_Month])),"m月")&amp;"発注)")</f>
        <v/>
      </c>
      <c r="P217">
        <f>IF(SUMIFS(T_PlannedOrders[EffectiveQty],T_PlannedOrders[Part Name],$A209,T_PlannedOrders[WeekIndex],13)=0,"",SUMIFS(T_PlannedOrders[EffectiveQty],T_PlannedOrders[Part Name],$A209,T_PlannedOrders[WeekIndex],13)&amp;" ("&amp;TEXT(SUMPRODUCT(MAX((T_PlannedOrders[Part Name]=$A209)*(T_PlannedOrders[WeekIndex]=13)*(T_PlannedOrders[EffectiveQty]&gt;0)*T_PlannedOrders[Order_Month])),"m月")&amp;"発注)")</f>
        <v/>
      </c>
      <c r="Q217">
        <f>IF(SUMIFS(T_PlannedOrders[EffectiveQty],T_PlannedOrders[Part Name],$A209,T_PlannedOrders[WeekIndex],14)=0,"",SUMIFS(T_PlannedOrders[EffectiveQty],T_PlannedOrders[Part Name],$A209,T_PlannedOrders[WeekIndex],14)&amp;" ("&amp;TEXT(SUMPRODUCT(MAX((T_PlannedOrders[Part Name]=$A209)*(T_PlannedOrders[WeekIndex]=14)*(T_PlannedOrders[EffectiveQty]&gt;0)*T_PlannedOrders[Order_Month])),"m月")&amp;"発注)")</f>
        <v/>
      </c>
      <c r="R217">
        <f>IF(SUMIFS(T_PlannedOrders[EffectiveQty],T_PlannedOrders[Part Name],$A209,T_PlannedOrders[WeekIndex],15)=0,"",SUMIFS(T_PlannedOrders[EffectiveQty],T_PlannedOrders[Part Name],$A209,T_PlannedOrders[WeekIndex],15)&amp;" ("&amp;TEXT(SUMPRODUCT(MAX((T_PlannedOrders[Part Name]=$A209)*(T_PlannedOrders[WeekIndex]=15)*(T_PlannedOrders[EffectiveQty]&gt;0)*T_PlannedOrders[Order_Month])),"m月")&amp;"発注)")</f>
        <v/>
      </c>
      <c r="S217">
        <f>IF(SUMIFS(T_PlannedOrders[EffectiveQty],T_PlannedOrders[Part Name],$A209,T_PlannedOrders[WeekIndex],16)=0,"",SUMIFS(T_PlannedOrders[EffectiveQty],T_PlannedOrders[Part Name],$A209,T_PlannedOrders[WeekIndex],16)&amp;" ("&amp;TEXT(SUMPRODUCT(MAX((T_PlannedOrders[Part Name]=$A209)*(T_PlannedOrders[WeekIndex]=16)*(T_PlannedOrders[EffectiveQty]&gt;0)*T_PlannedOrders[Order_Month])),"m月")&amp;"発注)")</f>
        <v/>
      </c>
      <c r="T217">
        <f>IF(SUMIFS(T_PlannedOrders[EffectiveQty],T_PlannedOrders[Part Name],$A209,T_PlannedOrders[WeekIndex],17)=0,"",SUMIFS(T_PlannedOrders[EffectiveQty],T_PlannedOrders[Part Name],$A209,T_PlannedOrders[WeekIndex],17)&amp;" ("&amp;TEXT(SUMPRODUCT(MAX((T_PlannedOrders[Part Name]=$A209)*(T_PlannedOrders[WeekIndex]=17)*(T_PlannedOrders[EffectiveQty]&gt;0)*T_PlannedOrders[Order_Month])),"m月")&amp;"発注)")</f>
        <v/>
      </c>
      <c r="U217">
        <f>IF(SUMIFS(T_PlannedOrders[EffectiveQty],T_PlannedOrders[Part Name],$A209,T_PlannedOrders[WeekIndex],18)=0,"",SUMIFS(T_PlannedOrders[EffectiveQty],T_PlannedOrders[Part Name],$A209,T_PlannedOrders[WeekIndex],18)&amp;" ("&amp;TEXT(SUMPRODUCT(MAX((T_PlannedOrders[Part Name]=$A209)*(T_PlannedOrders[WeekIndex]=18)*(T_PlannedOrders[EffectiveQty]&gt;0)*T_PlannedOrders[Order_Month])),"m月")&amp;"発注)")</f>
        <v/>
      </c>
      <c r="V217">
        <f>IF(SUMIFS(T_PlannedOrders[EffectiveQty],T_PlannedOrders[Part Name],$A209,T_PlannedOrders[WeekIndex],19)=0,"",SUMIFS(T_PlannedOrders[EffectiveQty],T_PlannedOrders[Part Name],$A209,T_PlannedOrders[WeekIndex],19)&amp;" ("&amp;TEXT(SUMPRODUCT(MAX((T_PlannedOrders[Part Name]=$A209)*(T_PlannedOrders[WeekIndex]=19)*(T_PlannedOrders[EffectiveQty]&gt;0)*T_PlannedOrders[Order_Month])),"m月")&amp;"発注)")</f>
        <v/>
      </c>
      <c r="W217">
        <f>IF(SUMIFS(T_PlannedOrders[EffectiveQty],T_PlannedOrders[Part Name],$A209,T_PlannedOrders[WeekIndex],20)=0,"",SUMIFS(T_PlannedOrders[EffectiveQty],T_PlannedOrders[Part Name],$A209,T_PlannedOrders[WeekIndex],20)&amp;" ("&amp;TEXT(SUMPRODUCT(MAX((T_PlannedOrders[Part Name]=$A209)*(T_PlannedOrders[WeekIndex]=20)*(T_PlannedOrders[EffectiveQty]&gt;0)*T_PlannedOrders[Order_Month])),"m月")&amp;"発注)")</f>
        <v/>
      </c>
      <c r="X217">
        <f>IF(SUMIFS(T_PlannedOrders[EffectiveQty],T_PlannedOrders[Part Name],$A209,T_PlannedOrders[WeekIndex],21)=0,"",SUMIFS(T_PlannedOrders[EffectiveQty],T_PlannedOrders[Part Name],$A209,T_PlannedOrders[WeekIndex],21)&amp;" ("&amp;TEXT(SUMPRODUCT(MAX((T_PlannedOrders[Part Name]=$A209)*(T_PlannedOrders[WeekIndex]=21)*(T_PlannedOrders[EffectiveQty]&gt;0)*T_PlannedOrders[Order_Month])),"m月")&amp;"発注)")</f>
        <v/>
      </c>
      <c r="Y217">
        <f>IF(SUMIFS(T_PlannedOrders[EffectiveQty],T_PlannedOrders[Part Name],$A209,T_PlannedOrders[WeekIndex],22)=0,"",SUMIFS(T_PlannedOrders[EffectiveQty],T_PlannedOrders[Part Name],$A209,T_PlannedOrders[WeekIndex],22)&amp;" ("&amp;TEXT(SUMPRODUCT(MAX((T_PlannedOrders[Part Name]=$A209)*(T_PlannedOrders[WeekIndex]=22)*(T_PlannedOrders[EffectiveQty]&gt;0)*T_PlannedOrders[Order_Month])),"m月")&amp;"発注)")</f>
        <v/>
      </c>
      <c r="Z217">
        <f>IF(SUMIFS(T_PlannedOrders[EffectiveQty],T_PlannedOrders[Part Name],$A209,T_PlannedOrders[WeekIndex],23)=0,"",SUMIFS(T_PlannedOrders[EffectiveQty],T_PlannedOrders[Part Name],$A209,T_PlannedOrders[WeekIndex],23)&amp;" ("&amp;TEXT(SUMPRODUCT(MAX((T_PlannedOrders[Part Name]=$A209)*(T_PlannedOrders[WeekIndex]=23)*(T_PlannedOrders[EffectiveQty]&gt;0)*T_PlannedOrders[Order_Month])),"m月")&amp;"発注)")</f>
        <v/>
      </c>
      <c r="AA217">
        <f>IF(SUMIFS(T_PlannedOrders[EffectiveQty],T_PlannedOrders[Part Name],$A209,T_PlannedOrders[WeekIndex],24)=0,"",SUMIFS(T_PlannedOrders[EffectiveQty],T_PlannedOrders[Part Name],$A209,T_PlannedOrders[WeekIndex],24)&amp;" ("&amp;TEXT(SUMPRODUCT(MAX((T_PlannedOrders[Part Name]=$A209)*(T_PlannedOrders[WeekIndex]=24)*(T_PlannedOrders[EffectiveQty]&gt;0)*T_PlannedOrders[Order_Month])),"m月")&amp;"発注)")</f>
        <v/>
      </c>
      <c r="AB217">
        <f>IF(SUMIFS(T_PlannedOrders[EffectiveQty],T_PlannedOrders[Part Name],$A209,T_PlannedOrders[WeekIndex],25)=0,"",SUMIFS(T_PlannedOrders[EffectiveQty],T_PlannedOrders[Part Name],$A209,T_PlannedOrders[WeekIndex],25)&amp;" ("&amp;TEXT(SUMPRODUCT(MAX((T_PlannedOrders[Part Name]=$A209)*(T_PlannedOrders[WeekIndex]=25)*(T_PlannedOrders[EffectiveQty]&gt;0)*T_PlannedOrders[Order_Month])),"m月")&amp;"発注)")</f>
        <v/>
      </c>
      <c r="AC217">
        <f>IF(SUMIFS(T_PlannedOrders[EffectiveQty],T_PlannedOrders[Part Name],$A209,T_PlannedOrders[WeekIndex],26)=0,"",SUMIFS(T_PlannedOrders[EffectiveQty],T_PlannedOrders[Part Name],$A209,T_PlannedOrders[WeekIndex],26)&amp;" ("&amp;TEXT(SUMPRODUCT(MAX((T_PlannedOrders[Part Name]=$A209)*(T_PlannedOrders[WeekIndex]=26)*(T_PlannedOrders[EffectiveQty]&gt;0)*T_PlannedOrders[Order_Month])),"m月")&amp;"発注)")</f>
        <v/>
      </c>
      <c r="AD217">
        <f>IF(SUMIFS(T_PlannedOrders[EffectiveQty],T_PlannedOrders[Part Name],$A209,T_PlannedOrders[WeekIndex],27)=0,"",SUMIFS(T_PlannedOrders[EffectiveQty],T_PlannedOrders[Part Name],$A209,T_PlannedOrders[WeekIndex],27)&amp;" ("&amp;TEXT(SUMPRODUCT(MAX((T_PlannedOrders[Part Name]=$A209)*(T_PlannedOrders[WeekIndex]=27)*(T_PlannedOrders[EffectiveQty]&gt;0)*T_PlannedOrders[Order_Month])),"m月")&amp;"発注)")</f>
        <v/>
      </c>
      <c r="AE217">
        <f>IF(SUMIFS(T_PlannedOrders[EffectiveQty],T_PlannedOrders[Part Name],$A209,T_PlannedOrders[WeekIndex],28)=0,"",SUMIFS(T_PlannedOrders[EffectiveQty],T_PlannedOrders[Part Name],$A209,T_PlannedOrders[WeekIndex],28)&amp;" ("&amp;TEXT(SUMPRODUCT(MAX((T_PlannedOrders[Part Name]=$A209)*(T_PlannedOrders[WeekIndex]=28)*(T_PlannedOrders[EffectiveQty]&gt;0)*T_PlannedOrders[Order_Month])),"m月")&amp;"発注)")</f>
        <v/>
      </c>
      <c r="AF217">
        <f>IF(SUMIFS(T_PlannedOrders[EffectiveQty],T_PlannedOrders[Part Name],$A209,T_PlannedOrders[WeekIndex],29)=0,"",SUMIFS(T_PlannedOrders[EffectiveQty],T_PlannedOrders[Part Name],$A209,T_PlannedOrders[WeekIndex],29)&amp;" ("&amp;TEXT(SUMPRODUCT(MAX((T_PlannedOrders[Part Name]=$A209)*(T_PlannedOrders[WeekIndex]=29)*(T_PlannedOrders[EffectiveQty]&gt;0)*T_PlannedOrders[Order_Month])),"m月")&amp;"発注)")</f>
        <v/>
      </c>
      <c r="AG217">
        <f>IF(SUMIFS(T_PlannedOrders[EffectiveQty],T_PlannedOrders[Part Name],$A209,T_PlannedOrders[WeekIndex],30)=0,"",SUMIFS(T_PlannedOrders[EffectiveQty],T_PlannedOrders[Part Name],$A209,T_PlannedOrders[WeekIndex],30)&amp;" ("&amp;TEXT(SUMPRODUCT(MAX((T_PlannedOrders[Part Name]=$A209)*(T_PlannedOrders[WeekIndex]=30)*(T_PlannedOrders[EffectiveQty]&gt;0)*T_PlannedOrders[Order_Month])),"m月")&amp;"発注)")</f>
        <v/>
      </c>
      <c r="AH217">
        <f>IF(SUMIFS(T_PlannedOrders[EffectiveQty],T_PlannedOrders[Part Name],$A209,T_PlannedOrders[WeekIndex],31)=0,"",SUMIFS(T_PlannedOrders[EffectiveQty],T_PlannedOrders[Part Name],$A209,T_PlannedOrders[WeekIndex],31)&amp;" ("&amp;TEXT(SUMPRODUCT(MAX((T_PlannedOrders[Part Name]=$A209)*(T_PlannedOrders[WeekIndex]=31)*(T_PlannedOrders[EffectiveQty]&gt;0)*T_PlannedOrders[Order_Month])),"m月")&amp;"発注)")</f>
        <v/>
      </c>
      <c r="AI217">
        <f>IF(SUMIFS(T_PlannedOrders[EffectiveQty],T_PlannedOrders[Part Name],$A209,T_PlannedOrders[WeekIndex],32)=0,"",SUMIFS(T_PlannedOrders[EffectiveQty],T_PlannedOrders[Part Name],$A209,T_PlannedOrders[WeekIndex],32)&amp;" ("&amp;TEXT(SUMPRODUCT(MAX((T_PlannedOrders[Part Name]=$A209)*(T_PlannedOrders[WeekIndex]=32)*(T_PlannedOrders[EffectiveQty]&gt;0)*T_PlannedOrders[Order_Month])),"m月")&amp;"発注)")</f>
        <v/>
      </c>
      <c r="AJ217">
        <f>IF(SUMIFS(T_PlannedOrders[EffectiveQty],T_PlannedOrders[Part Name],$A209,T_PlannedOrders[WeekIndex],33)=0,"",SUMIFS(T_PlannedOrders[EffectiveQty],T_PlannedOrders[Part Name],$A209,T_PlannedOrders[WeekIndex],33)&amp;" ("&amp;TEXT(SUMPRODUCT(MAX((T_PlannedOrders[Part Name]=$A209)*(T_PlannedOrders[WeekIndex]=33)*(T_PlannedOrders[EffectiveQty]&gt;0)*T_PlannedOrders[Order_Month])),"m月")&amp;"発注)")</f>
        <v/>
      </c>
      <c r="AK217">
        <f>IF(SUMIFS(T_PlannedOrders[EffectiveQty],T_PlannedOrders[Part Name],$A209,T_PlannedOrders[WeekIndex],34)=0,"",SUMIFS(T_PlannedOrders[EffectiveQty],T_PlannedOrders[Part Name],$A209,T_PlannedOrders[WeekIndex],34)&amp;" ("&amp;TEXT(SUMPRODUCT(MAX((T_PlannedOrders[Part Name]=$A209)*(T_PlannedOrders[WeekIndex]=34)*(T_PlannedOrders[EffectiveQty]&gt;0)*T_PlannedOrders[Order_Month])),"m月")&amp;"発注)")</f>
        <v/>
      </c>
      <c r="AL217">
        <f>IF(SUMIFS(T_PlannedOrders[EffectiveQty],T_PlannedOrders[Part Name],$A209,T_PlannedOrders[WeekIndex],35)=0,"",SUMIFS(T_PlannedOrders[EffectiveQty],T_PlannedOrders[Part Name],$A209,T_PlannedOrders[WeekIndex],35)&amp;" ("&amp;TEXT(SUMPRODUCT(MAX((T_PlannedOrders[Part Name]=$A209)*(T_PlannedOrders[WeekIndex]=35)*(T_PlannedOrders[EffectiveQty]&gt;0)*T_PlannedOrders[Order_Month])),"m月")&amp;"発注)")</f>
        <v/>
      </c>
      <c r="AM217">
        <f>IF(SUMIFS(T_PlannedOrders[EffectiveQty],T_PlannedOrders[Part Name],$A209,T_PlannedOrders[WeekIndex],36)=0,"",SUMIFS(T_PlannedOrders[EffectiveQty],T_PlannedOrders[Part Name],$A209,T_PlannedOrders[WeekIndex],36)&amp;" ("&amp;TEXT(SUMPRODUCT(MAX((T_PlannedOrders[Part Name]=$A209)*(T_PlannedOrders[WeekIndex]=36)*(T_PlannedOrders[EffectiveQty]&gt;0)*T_PlannedOrders[Order_Month])),"m月")&amp;"発注)")</f>
        <v/>
      </c>
      <c r="AN217">
        <f>IF(SUMIFS(T_PlannedOrders[EffectiveQty],T_PlannedOrders[Part Name],$A209,T_PlannedOrders[WeekIndex],37)=0,"",SUMIFS(T_PlannedOrders[EffectiveQty],T_PlannedOrders[Part Name],$A209,T_PlannedOrders[WeekIndex],37)&amp;" ("&amp;TEXT(SUMPRODUCT(MAX((T_PlannedOrders[Part Name]=$A209)*(T_PlannedOrders[WeekIndex]=37)*(T_PlannedOrders[EffectiveQty]&gt;0)*T_PlannedOrders[Order_Month])),"m月")&amp;"発注)")</f>
        <v/>
      </c>
      <c r="AO217">
        <f>IF(SUMIFS(T_PlannedOrders[EffectiveQty],T_PlannedOrders[Part Name],$A209,T_PlannedOrders[WeekIndex],38)=0,"",SUMIFS(T_PlannedOrders[EffectiveQty],T_PlannedOrders[Part Name],$A209,T_PlannedOrders[WeekIndex],38)&amp;" ("&amp;TEXT(SUMPRODUCT(MAX((T_PlannedOrders[Part Name]=$A209)*(T_PlannedOrders[WeekIndex]=38)*(T_PlannedOrders[EffectiveQty]&gt;0)*T_PlannedOrders[Order_Month])),"m月")&amp;"発注)")</f>
        <v/>
      </c>
      <c r="AP217">
        <f>IF(SUMIFS(T_PlannedOrders[EffectiveQty],T_PlannedOrders[Part Name],$A209,T_PlannedOrders[WeekIndex],39)=0,"",SUMIFS(T_PlannedOrders[EffectiveQty],T_PlannedOrders[Part Name],$A209,T_PlannedOrders[WeekIndex],39)&amp;" ("&amp;TEXT(SUMPRODUCT(MAX((T_PlannedOrders[Part Name]=$A209)*(T_PlannedOrders[WeekIndex]=39)*(T_PlannedOrders[EffectiveQty]&gt;0)*T_PlannedOrders[Order_Month])),"m月")&amp;"発注)")</f>
        <v/>
      </c>
      <c r="AQ217">
        <f>IF(SUMIFS(T_PlannedOrders[EffectiveQty],T_PlannedOrders[Part Name],$A209,T_PlannedOrders[WeekIndex],40)=0,"",SUMIFS(T_PlannedOrders[EffectiveQty],T_PlannedOrders[Part Name],$A209,T_PlannedOrders[WeekIndex],40)&amp;" ("&amp;TEXT(SUMPRODUCT(MAX((T_PlannedOrders[Part Name]=$A209)*(T_PlannedOrders[WeekIndex]=40)*(T_PlannedOrders[EffectiveQty]&gt;0)*T_PlannedOrders[Order_Month])),"m月")&amp;"発注)")</f>
        <v/>
      </c>
      <c r="AR217">
        <f>IF(SUMIFS(T_PlannedOrders[EffectiveQty],T_PlannedOrders[Part Name],$A209,T_PlannedOrders[WeekIndex],41)=0,"",SUMIFS(T_PlannedOrders[EffectiveQty],T_PlannedOrders[Part Name],$A209,T_PlannedOrders[WeekIndex],41)&amp;" ("&amp;TEXT(SUMPRODUCT(MAX((T_PlannedOrders[Part Name]=$A209)*(T_PlannedOrders[WeekIndex]=41)*(T_PlannedOrders[EffectiveQty]&gt;0)*T_PlannedOrders[Order_Month])),"m月")&amp;"発注)")</f>
        <v/>
      </c>
      <c r="AS217">
        <f>IF(SUMIFS(T_PlannedOrders[EffectiveQty],T_PlannedOrders[Part Name],$A209,T_PlannedOrders[WeekIndex],42)=0,"",SUMIFS(T_PlannedOrders[EffectiveQty],T_PlannedOrders[Part Name],$A209,T_PlannedOrders[WeekIndex],42)&amp;" ("&amp;TEXT(SUMPRODUCT(MAX((T_PlannedOrders[Part Name]=$A209)*(T_PlannedOrders[WeekIndex]=42)*(T_PlannedOrders[EffectiveQty]&gt;0)*T_PlannedOrders[Order_Month])),"m月")&amp;"発注)")</f>
        <v/>
      </c>
      <c r="AT217">
        <f>IF(SUMIFS(T_PlannedOrders[EffectiveQty],T_PlannedOrders[Part Name],$A209,T_PlannedOrders[WeekIndex],43)=0,"",SUMIFS(T_PlannedOrders[EffectiveQty],T_PlannedOrders[Part Name],$A209,T_PlannedOrders[WeekIndex],43)&amp;" ("&amp;TEXT(SUMPRODUCT(MAX((T_PlannedOrders[Part Name]=$A209)*(T_PlannedOrders[WeekIndex]=43)*(T_PlannedOrders[EffectiveQty]&gt;0)*T_PlannedOrders[Order_Month])),"m月")&amp;"発注)")</f>
        <v/>
      </c>
      <c r="AU217">
        <f>IF(SUMIFS(T_PlannedOrders[EffectiveQty],T_PlannedOrders[Part Name],$A209,T_PlannedOrders[WeekIndex],44)=0,"",SUMIFS(T_PlannedOrders[EffectiveQty],T_PlannedOrders[Part Name],$A209,T_PlannedOrders[WeekIndex],44)&amp;" ("&amp;TEXT(SUMPRODUCT(MAX((T_PlannedOrders[Part Name]=$A209)*(T_PlannedOrders[WeekIndex]=44)*(T_PlannedOrders[EffectiveQty]&gt;0)*T_PlannedOrders[Order_Month])),"m月")&amp;"発注)")</f>
        <v/>
      </c>
      <c r="AV217">
        <f>IF(SUMIFS(T_PlannedOrders[EffectiveQty],T_PlannedOrders[Part Name],$A209,T_PlannedOrders[WeekIndex],45)=0,"",SUMIFS(T_PlannedOrders[EffectiveQty],T_PlannedOrders[Part Name],$A209,T_PlannedOrders[WeekIndex],45)&amp;" ("&amp;TEXT(SUMPRODUCT(MAX((T_PlannedOrders[Part Name]=$A209)*(T_PlannedOrders[WeekIndex]=45)*(T_PlannedOrders[EffectiveQty]&gt;0)*T_PlannedOrders[Order_Month])),"m月")&amp;"発注)")</f>
        <v/>
      </c>
      <c r="AW217">
        <f>IF(SUMIFS(T_PlannedOrders[EffectiveQty],T_PlannedOrders[Part Name],$A209,T_PlannedOrders[WeekIndex],46)=0,"",SUMIFS(T_PlannedOrders[EffectiveQty],T_PlannedOrders[Part Name],$A209,T_PlannedOrders[WeekIndex],46)&amp;" ("&amp;TEXT(SUMPRODUCT(MAX((T_PlannedOrders[Part Name]=$A209)*(T_PlannedOrders[WeekIndex]=46)*(T_PlannedOrders[EffectiveQty]&gt;0)*T_PlannedOrders[Order_Month])),"m月")&amp;"発注)")</f>
        <v/>
      </c>
      <c r="AX217">
        <f>IF(SUMIFS(T_PlannedOrders[EffectiveQty],T_PlannedOrders[Part Name],$A209,T_PlannedOrders[WeekIndex],47)=0,"",SUMIFS(T_PlannedOrders[EffectiveQty],T_PlannedOrders[Part Name],$A209,T_PlannedOrders[WeekIndex],47)&amp;" ("&amp;TEXT(SUMPRODUCT(MAX((T_PlannedOrders[Part Name]=$A209)*(T_PlannedOrders[WeekIndex]=47)*(T_PlannedOrders[EffectiveQty]&gt;0)*T_PlannedOrders[Order_Month])),"m月")&amp;"発注)")</f>
        <v/>
      </c>
      <c r="AY217">
        <f>IF(SUMIFS(T_PlannedOrders[EffectiveQty],T_PlannedOrders[Part Name],$A209,T_PlannedOrders[WeekIndex],48)=0,"",SUMIFS(T_PlannedOrders[EffectiveQty],T_PlannedOrders[Part Name],$A209,T_PlannedOrders[WeekIndex],48)&amp;" ("&amp;TEXT(SUMPRODUCT(MAX((T_PlannedOrders[Part Name]=$A209)*(T_PlannedOrders[WeekIndex]=48)*(T_PlannedOrders[EffectiveQty]&gt;0)*T_PlannedOrders[Order_Month])),"m月")&amp;"発注)")</f>
        <v/>
      </c>
      <c r="AZ217">
        <f>IF(SUMIFS(T_PlannedOrders[EffectiveQty],T_PlannedOrders[Part Name],$A209,T_PlannedOrders[WeekIndex],49)=0,"",SUMIFS(T_PlannedOrders[EffectiveQty],T_PlannedOrders[Part Name],$A209,T_PlannedOrders[WeekIndex],49)&amp;" ("&amp;TEXT(SUMPRODUCT(MAX((T_PlannedOrders[Part Name]=$A209)*(T_PlannedOrders[WeekIndex]=49)*(T_PlannedOrders[EffectiveQty]&gt;0)*T_PlannedOrders[Order_Month])),"m月")&amp;"発注)")</f>
        <v/>
      </c>
      <c r="BA217">
        <f>IF(SUMIFS(T_PlannedOrders[EffectiveQty],T_PlannedOrders[Part Name],$A209,T_PlannedOrders[WeekIndex],50)=0,"",SUMIFS(T_PlannedOrders[EffectiveQty],T_PlannedOrders[Part Name],$A209,T_PlannedOrders[WeekIndex],50)&amp;" ("&amp;TEXT(SUMPRODUCT(MAX((T_PlannedOrders[Part Name]=$A209)*(T_PlannedOrders[WeekIndex]=50)*(T_PlannedOrders[EffectiveQty]&gt;0)*T_PlannedOrders[Order_Month])),"m月")&amp;"発注)")</f>
        <v/>
      </c>
      <c r="BB217">
        <f>IF(SUMIFS(T_PlannedOrders[EffectiveQty],T_PlannedOrders[Part Name],$A209,T_PlannedOrders[WeekIndex],51)=0,"",SUMIFS(T_PlannedOrders[EffectiveQty],T_PlannedOrders[Part Name],$A209,T_PlannedOrders[WeekIndex],51)&amp;" ("&amp;TEXT(SUMPRODUCT(MAX((T_PlannedOrders[Part Name]=$A209)*(T_PlannedOrders[WeekIndex]=51)*(T_PlannedOrders[EffectiveQty]&gt;0)*T_PlannedOrders[Order_Month])),"m月")&amp;"発注)")</f>
        <v/>
      </c>
      <c r="BC217">
        <f>IF(SUMIFS(T_PlannedOrders[EffectiveQty],T_PlannedOrders[Part Name],$A209,T_PlannedOrders[WeekIndex],52)=0,"",SUMIFS(T_PlannedOrders[EffectiveQty],T_PlannedOrders[Part Name],$A209,T_PlannedOrders[WeekIndex],52)&amp;" ("&amp;TEXT(SUMPRODUCT(MAX((T_PlannedOrders[Part Name]=$A209)*(T_PlannedOrders[WeekIndex]=52)*(T_PlannedOrders[EffectiveQty]&gt;0)*T_PlannedOrders[Order_Month])),"m月")&amp;"発注)")</f>
        <v/>
      </c>
      <c r="BD217">
        <f>IF(SUMIFS(T_PlannedOrders[EffectiveQty],T_PlannedOrders[Part Name],$A209,T_PlannedOrders[WeekIndex],53)=0,"",SUMIFS(T_PlannedOrders[EffectiveQty],T_PlannedOrders[Part Name],$A209,T_PlannedOrders[WeekIndex],53)&amp;" ("&amp;TEXT(SUMPRODUCT(MAX((T_PlannedOrders[Part Name]=$A209)*(T_PlannedOrders[WeekIndex]=53)*(T_PlannedOrders[EffectiveQty]&gt;0)*T_PlannedOrders[Order_Month])),"m月")&amp;"発注)")</f>
        <v/>
      </c>
      <c r="BE217">
        <f>IF(SUMIFS(T_PlannedOrders[EffectiveQty],T_PlannedOrders[Part Name],$A209,T_PlannedOrders[WeekIndex],54)=0,"",SUMIFS(T_PlannedOrders[EffectiveQty],T_PlannedOrders[Part Name],$A209,T_PlannedOrders[WeekIndex],54)&amp;" ("&amp;TEXT(SUMPRODUCT(MAX((T_PlannedOrders[Part Name]=$A209)*(T_PlannedOrders[WeekIndex]=54)*(T_PlannedOrders[EffectiveQty]&gt;0)*T_PlannedOrders[Order_Month])),"m月")&amp;"発注)")</f>
        <v/>
      </c>
      <c r="BF217">
        <f>IF(SUMIFS(T_PlannedOrders[EffectiveQty],T_PlannedOrders[Part Name],$A209,T_PlannedOrders[WeekIndex],55)=0,"",SUMIFS(T_PlannedOrders[EffectiveQty],T_PlannedOrders[Part Name],$A209,T_PlannedOrders[WeekIndex],55)&amp;" ("&amp;TEXT(SUMPRODUCT(MAX((T_PlannedOrders[Part Name]=$A209)*(T_PlannedOrders[WeekIndex]=55)*(T_PlannedOrders[EffectiveQty]&gt;0)*T_PlannedOrders[Order_Month])),"m月")&amp;"発注)")</f>
        <v/>
      </c>
      <c r="BG217">
        <f>IF(SUMIFS(T_PlannedOrders[EffectiveQty],T_PlannedOrders[Part Name],$A209,T_PlannedOrders[WeekIndex],56)=0,"",SUMIFS(T_PlannedOrders[EffectiveQty],T_PlannedOrders[Part Name],$A209,T_PlannedOrders[WeekIndex],56)&amp;" ("&amp;TEXT(SUMPRODUCT(MAX((T_PlannedOrders[Part Name]=$A209)*(T_PlannedOrders[WeekIndex]=56)*(T_PlannedOrders[EffectiveQty]&gt;0)*T_PlannedOrders[Order_Month])),"m月")&amp;"発注)")</f>
        <v/>
      </c>
      <c r="BH217">
        <f>IF(SUMIFS(T_PlannedOrders[EffectiveQty],T_PlannedOrders[Part Name],$A209,T_PlannedOrders[WeekIndex],57)=0,"",SUMIFS(T_PlannedOrders[EffectiveQty],T_PlannedOrders[Part Name],$A209,T_PlannedOrders[WeekIndex],57)&amp;" ("&amp;TEXT(SUMPRODUCT(MAX((T_PlannedOrders[Part Name]=$A209)*(T_PlannedOrders[WeekIndex]=57)*(T_PlannedOrders[EffectiveQty]&gt;0)*T_PlannedOrders[Order_Month])),"m月")&amp;"発注)")</f>
        <v/>
      </c>
      <c r="BI217">
        <f>IF(SUMIFS(T_PlannedOrders[EffectiveQty],T_PlannedOrders[Part Name],$A209,T_PlannedOrders[WeekIndex],58)=0,"",SUMIFS(T_PlannedOrders[EffectiveQty],T_PlannedOrders[Part Name],$A209,T_PlannedOrders[WeekIndex],58)&amp;" ("&amp;TEXT(SUMPRODUCT(MAX((T_PlannedOrders[Part Name]=$A209)*(T_PlannedOrders[WeekIndex]=58)*(T_PlannedOrders[EffectiveQty]&gt;0)*T_PlannedOrders[Order_Month])),"m月")&amp;"発注)")</f>
        <v/>
      </c>
      <c r="BJ217">
        <f>IF(SUMIFS(T_PlannedOrders[EffectiveQty],T_PlannedOrders[Part Name],$A209,T_PlannedOrders[WeekIndex],59)=0,"",SUMIFS(T_PlannedOrders[EffectiveQty],T_PlannedOrders[Part Name],$A209,T_PlannedOrders[WeekIndex],59)&amp;" ("&amp;TEXT(SUMPRODUCT(MAX((T_PlannedOrders[Part Name]=$A209)*(T_PlannedOrders[WeekIndex]=59)*(T_PlannedOrders[EffectiveQty]&gt;0)*T_PlannedOrders[Order_Month])),"m月")&amp;"発注)")</f>
        <v/>
      </c>
      <c r="BK217">
        <f>IF(SUMIFS(T_PlannedOrders[EffectiveQty],T_PlannedOrders[Part Name],$A209,T_PlannedOrders[WeekIndex],60)=0,"",SUMIFS(T_PlannedOrders[EffectiveQty],T_PlannedOrders[Part Name],$A209,T_PlannedOrders[WeekIndex],60)&amp;" ("&amp;TEXT(SUMPRODUCT(MAX((T_PlannedOrders[Part Name]=$A209)*(T_PlannedOrders[WeekIndex]=60)*(T_PlannedOrders[EffectiveQty]&gt;0)*T_PlannedOrders[Order_Month])),"m月")&amp;"発注)")</f>
        <v/>
      </c>
      <c r="BL217">
        <f>IF(SUMIFS(T_PlannedOrders[EffectiveQty],T_PlannedOrders[Part Name],$A209,T_PlannedOrders[WeekIndex],61)=0,"",SUMIFS(T_PlannedOrders[EffectiveQty],T_PlannedOrders[Part Name],$A209,T_PlannedOrders[WeekIndex],61)&amp;" ("&amp;TEXT(SUMPRODUCT(MAX((T_PlannedOrders[Part Name]=$A209)*(T_PlannedOrders[WeekIndex]=61)*(T_PlannedOrders[EffectiveQty]&gt;0)*T_PlannedOrders[Order_Month])),"m月")&amp;"発注)")</f>
        <v/>
      </c>
      <c r="BM217">
        <f>IF(SUMIFS(T_PlannedOrders[EffectiveQty],T_PlannedOrders[Part Name],$A209,T_PlannedOrders[WeekIndex],62)=0,"",SUMIFS(T_PlannedOrders[EffectiveQty],T_PlannedOrders[Part Name],$A209,T_PlannedOrders[WeekIndex],62)&amp;" ("&amp;TEXT(SUMPRODUCT(MAX((T_PlannedOrders[Part Name]=$A209)*(T_PlannedOrders[WeekIndex]=62)*(T_PlannedOrders[EffectiveQty]&gt;0)*T_PlannedOrders[Order_Month])),"m月")&amp;"発注)")</f>
        <v/>
      </c>
      <c r="BN217">
        <f>IF(SUMIFS(T_PlannedOrders[EffectiveQty],T_PlannedOrders[Part Name],$A209,T_PlannedOrders[WeekIndex],63)=0,"",SUMIFS(T_PlannedOrders[EffectiveQty],T_PlannedOrders[Part Name],$A209,T_PlannedOrders[WeekIndex],63)&amp;" ("&amp;TEXT(SUMPRODUCT(MAX((T_PlannedOrders[Part Name]=$A209)*(T_PlannedOrders[WeekIndex]=63)*(T_PlannedOrders[EffectiveQty]&gt;0)*T_PlannedOrders[Order_Month])),"m月")&amp;"発注)")</f>
        <v/>
      </c>
      <c r="BO217">
        <f>IF(SUMIFS(T_PlannedOrders[EffectiveQty],T_PlannedOrders[Part Name],$A209,T_PlannedOrders[WeekIndex],64)=0,"",SUMIFS(T_PlannedOrders[EffectiveQty],T_PlannedOrders[Part Name],$A209,T_PlannedOrders[WeekIndex],64)&amp;" ("&amp;TEXT(SUMPRODUCT(MAX((T_PlannedOrders[Part Name]=$A209)*(T_PlannedOrders[WeekIndex]=64)*(T_PlannedOrders[EffectiveQty]&gt;0)*T_PlannedOrders[Order_Month])),"m月")&amp;"発注)")</f>
        <v/>
      </c>
      <c r="BP217">
        <f>IF(SUMIFS(T_PlannedOrders[EffectiveQty],T_PlannedOrders[Part Name],$A209,T_PlannedOrders[WeekIndex],65)=0,"",SUMIFS(T_PlannedOrders[EffectiveQty],T_PlannedOrders[Part Name],$A209,T_PlannedOrders[WeekIndex],65)&amp;" ("&amp;TEXT(SUMPRODUCT(MAX((T_PlannedOrders[Part Name]=$A209)*(T_PlannedOrders[WeekIndex]=65)*(T_PlannedOrders[EffectiveQty]&gt;0)*T_PlannedOrders[Order_Month])),"m月")&amp;"発注)")</f>
        <v/>
      </c>
      <c r="BQ217">
        <f>IF(SUMIFS(T_PlannedOrders[EffectiveQty],T_PlannedOrders[Part Name],$A209,T_PlannedOrders[WeekIndex],66)=0,"",SUMIFS(T_PlannedOrders[EffectiveQty],T_PlannedOrders[Part Name],$A209,T_PlannedOrders[WeekIndex],66)&amp;" ("&amp;TEXT(SUMPRODUCT(MAX((T_PlannedOrders[Part Name]=$A209)*(T_PlannedOrders[WeekIndex]=66)*(T_PlannedOrders[EffectiveQty]&gt;0)*T_PlannedOrders[Order_Month])),"m月")&amp;"発注)")</f>
        <v/>
      </c>
      <c r="BR217">
        <f>IF(SUMIFS(T_PlannedOrders[EffectiveQty],T_PlannedOrders[Part Name],$A209,T_PlannedOrders[WeekIndex],67)=0,"",SUMIFS(T_PlannedOrders[EffectiveQty],T_PlannedOrders[Part Name],$A209,T_PlannedOrders[WeekIndex],67)&amp;" ("&amp;TEXT(SUMPRODUCT(MAX((T_PlannedOrders[Part Name]=$A209)*(T_PlannedOrders[WeekIndex]=67)*(T_PlannedOrders[EffectiveQty]&gt;0)*T_PlannedOrders[Order_Month])),"m月")&amp;"発注)")</f>
        <v/>
      </c>
      <c r="BS217">
        <f>IF(SUMIFS(T_PlannedOrders[EffectiveQty],T_PlannedOrders[Part Name],$A209,T_PlannedOrders[WeekIndex],68)=0,"",SUMIFS(T_PlannedOrders[EffectiveQty],T_PlannedOrders[Part Name],$A209,T_PlannedOrders[WeekIndex],68)&amp;" ("&amp;TEXT(SUMPRODUCT(MAX((T_PlannedOrders[Part Name]=$A209)*(T_PlannedOrders[WeekIndex]=68)*(T_PlannedOrders[EffectiveQty]&gt;0)*T_PlannedOrders[Order_Month])),"m月")&amp;"発注)")</f>
        <v/>
      </c>
      <c r="BT217">
        <f>IF(SUMIFS(T_PlannedOrders[EffectiveQty],T_PlannedOrders[Part Name],$A209,T_PlannedOrders[WeekIndex],69)=0,"",SUMIFS(T_PlannedOrders[EffectiveQty],T_PlannedOrders[Part Name],$A209,T_PlannedOrders[WeekIndex],69)&amp;" ("&amp;TEXT(SUMPRODUCT(MAX((T_PlannedOrders[Part Name]=$A209)*(T_PlannedOrders[WeekIndex]=69)*(T_PlannedOrders[EffectiveQty]&gt;0)*T_PlannedOrders[Order_Month])),"m月")&amp;"発注)")</f>
        <v/>
      </c>
      <c r="BU217">
        <f>IF(SUMIFS(T_PlannedOrders[EffectiveQty],T_PlannedOrders[Part Name],$A209,T_PlannedOrders[WeekIndex],70)=0,"",SUMIFS(T_PlannedOrders[EffectiveQty],T_PlannedOrders[Part Name],$A209,T_PlannedOrders[WeekIndex],70)&amp;" ("&amp;TEXT(SUMPRODUCT(MAX((T_PlannedOrders[Part Name]=$A209)*(T_PlannedOrders[WeekIndex]=70)*(T_PlannedOrders[EffectiveQty]&gt;0)*T_PlannedOrders[Order_Month])),"m月")&amp;"発注)")</f>
        <v/>
      </c>
      <c r="BV217">
        <f>IF(SUMIFS(T_PlannedOrders[EffectiveQty],T_PlannedOrders[Part Name],$A209,T_PlannedOrders[WeekIndex],71)=0,"",SUMIFS(T_PlannedOrders[EffectiveQty],T_PlannedOrders[Part Name],$A209,T_PlannedOrders[WeekIndex],71)&amp;" ("&amp;TEXT(SUMPRODUCT(MAX((T_PlannedOrders[Part Name]=$A209)*(T_PlannedOrders[WeekIndex]=71)*(T_PlannedOrders[EffectiveQty]&gt;0)*T_PlannedOrders[Order_Month])),"m月")&amp;"発注)")</f>
        <v/>
      </c>
      <c r="BW217">
        <f>IF(SUMIFS(T_PlannedOrders[EffectiveQty],T_PlannedOrders[Part Name],$A209,T_PlannedOrders[WeekIndex],72)=0,"",SUMIFS(T_PlannedOrders[EffectiveQty],T_PlannedOrders[Part Name],$A209,T_PlannedOrders[WeekIndex],72)&amp;" ("&amp;TEXT(SUMPRODUCT(MAX((T_PlannedOrders[Part Name]=$A209)*(T_PlannedOrders[WeekIndex]=72)*(T_PlannedOrders[EffectiveQty]&gt;0)*T_PlannedOrders[Order_Month])),"m月")&amp;"発注)")</f>
        <v/>
      </c>
      <c r="BX217">
        <f>IF(SUMIFS(T_PlannedOrders[EffectiveQty],T_PlannedOrders[Part Name],$A209,T_PlannedOrders[WeekIndex],73)=0,"",SUMIFS(T_PlannedOrders[EffectiveQty],T_PlannedOrders[Part Name],$A209,T_PlannedOrders[WeekIndex],73)&amp;" ("&amp;TEXT(SUMPRODUCT(MAX((T_PlannedOrders[Part Name]=$A209)*(T_PlannedOrders[WeekIndex]=73)*(T_PlannedOrders[EffectiveQty]&gt;0)*T_PlannedOrders[Order_Month])),"m月")&amp;"発注)")</f>
        <v/>
      </c>
      <c r="BY217">
        <f>IF(SUMIFS(T_PlannedOrders[EffectiveQty],T_PlannedOrders[Part Name],$A209,T_PlannedOrders[WeekIndex],74)=0,"",SUMIFS(T_PlannedOrders[EffectiveQty],T_PlannedOrders[Part Name],$A209,T_PlannedOrders[WeekIndex],74)&amp;" ("&amp;TEXT(SUMPRODUCT(MAX((T_PlannedOrders[Part Name]=$A209)*(T_PlannedOrders[WeekIndex]=74)*(T_PlannedOrders[EffectiveQty]&gt;0)*T_PlannedOrders[Order_Month])),"m月")&amp;"発注)")</f>
        <v/>
      </c>
      <c r="BZ217">
        <f>IF(SUMIFS(T_PlannedOrders[EffectiveQty],T_PlannedOrders[Part Name],$A209,T_PlannedOrders[WeekIndex],75)=0,"",SUMIFS(T_PlannedOrders[EffectiveQty],T_PlannedOrders[Part Name],$A209,T_PlannedOrders[WeekIndex],75)&amp;" ("&amp;TEXT(SUMPRODUCT(MAX((T_PlannedOrders[Part Name]=$A209)*(T_PlannedOrders[WeekIndex]=75)*(T_PlannedOrders[EffectiveQty]&gt;0)*T_PlannedOrders[Order_Month])),"m月")&amp;"発注)")</f>
        <v/>
      </c>
      <c r="CA217">
        <f>IF(SUMIFS(T_PlannedOrders[EffectiveQty],T_PlannedOrders[Part Name],$A209,T_PlannedOrders[WeekIndex],76)=0,"",SUMIFS(T_PlannedOrders[EffectiveQty],T_PlannedOrders[Part Name],$A209,T_PlannedOrders[WeekIndex],76)&amp;" ("&amp;TEXT(SUMPRODUCT(MAX((T_PlannedOrders[Part Name]=$A209)*(T_PlannedOrders[WeekIndex]=76)*(T_PlannedOrders[EffectiveQty]&gt;0)*T_PlannedOrders[Order_Month])),"m月")&amp;"発注)")</f>
        <v/>
      </c>
      <c r="CB217">
        <f>IF(SUMIFS(T_PlannedOrders[EffectiveQty],T_PlannedOrders[Part Name],$A209,T_PlannedOrders[WeekIndex],77)=0,"",SUMIFS(T_PlannedOrders[EffectiveQty],T_PlannedOrders[Part Name],$A209,T_PlannedOrders[WeekIndex],77)&amp;" ("&amp;TEXT(SUMPRODUCT(MAX((T_PlannedOrders[Part Name]=$A209)*(T_PlannedOrders[WeekIndex]=77)*(T_PlannedOrders[EffectiveQty]&gt;0)*T_PlannedOrders[Order_Month])),"m月")&amp;"発注)")</f>
        <v/>
      </c>
      <c r="CC217">
        <f>IF(SUMIFS(T_PlannedOrders[EffectiveQty],T_PlannedOrders[Part Name],$A209,T_PlannedOrders[WeekIndex],78)=0,"",SUMIFS(T_PlannedOrders[EffectiveQty],T_PlannedOrders[Part Name],$A209,T_PlannedOrders[WeekIndex],78)&amp;" ("&amp;TEXT(SUMPRODUCT(MAX((T_PlannedOrders[Part Name]=$A209)*(T_PlannedOrders[WeekIndex]=78)*(T_PlannedOrders[EffectiveQty]&gt;0)*T_PlannedOrders[Order_Month])),"m月")&amp;"発注)")</f>
        <v/>
      </c>
      <c r="CD217">
        <f>IF(SUMIFS(T_PlannedOrders[EffectiveQty],T_PlannedOrders[Part Name],$A209,T_PlannedOrders[WeekIndex],79)=0,"",SUMIFS(T_PlannedOrders[EffectiveQty],T_PlannedOrders[Part Name],$A209,T_PlannedOrders[WeekIndex],79)&amp;" ("&amp;TEXT(SUMPRODUCT(MAX((T_PlannedOrders[Part Name]=$A209)*(T_PlannedOrders[WeekIndex]=79)*(T_PlannedOrders[EffectiveQty]&gt;0)*T_PlannedOrders[Order_Month])),"m月")&amp;"発注)")</f>
        <v/>
      </c>
      <c r="CE217">
        <f>IF(SUMIFS(T_PlannedOrders[EffectiveQty],T_PlannedOrders[Part Name],$A209,T_PlannedOrders[WeekIndex],80)=0,"",SUMIFS(T_PlannedOrders[EffectiveQty],T_PlannedOrders[Part Name],$A209,T_PlannedOrders[WeekIndex],80)&amp;" ("&amp;TEXT(SUMPRODUCT(MAX((T_PlannedOrders[Part Name]=$A209)*(T_PlannedOrders[WeekIndex]=80)*(T_PlannedOrders[EffectiveQty]&gt;0)*T_PlannedOrders[Order_Month])),"m月")&amp;"発注)")</f>
        <v/>
      </c>
      <c r="CF217">
        <f>IF(SUMIFS(T_PlannedOrders[EffectiveQty],T_PlannedOrders[Part Name],$A209,T_PlannedOrders[WeekIndex],81)=0,"",SUMIFS(T_PlannedOrders[EffectiveQty],T_PlannedOrders[Part Name],$A209,T_PlannedOrders[WeekIndex],81)&amp;" ("&amp;TEXT(SUMPRODUCT(MAX((T_PlannedOrders[Part Name]=$A209)*(T_PlannedOrders[WeekIndex]=81)*(T_PlannedOrders[EffectiveQty]&gt;0)*T_PlannedOrders[Order_Month])),"m月")&amp;"発注)")</f>
        <v/>
      </c>
      <c r="CG217">
        <f>IF(SUMIFS(T_PlannedOrders[EffectiveQty],T_PlannedOrders[Part Name],$A209,T_PlannedOrders[WeekIndex],82)=0,"",SUMIFS(T_PlannedOrders[EffectiveQty],T_PlannedOrders[Part Name],$A209,T_PlannedOrders[WeekIndex],82)&amp;" ("&amp;TEXT(SUMPRODUCT(MAX((T_PlannedOrders[Part Name]=$A209)*(T_PlannedOrders[WeekIndex]=82)*(T_PlannedOrders[EffectiveQty]&gt;0)*T_PlannedOrders[Order_Month])),"m月")&amp;"発注)")</f>
        <v/>
      </c>
      <c r="CH217">
        <f>IF(SUMIFS(T_PlannedOrders[EffectiveQty],T_PlannedOrders[Part Name],$A209,T_PlannedOrders[WeekIndex],83)=0,"",SUMIFS(T_PlannedOrders[EffectiveQty],T_PlannedOrders[Part Name],$A209,T_PlannedOrders[WeekIndex],83)&amp;" ("&amp;TEXT(SUMPRODUCT(MAX((T_PlannedOrders[Part Name]=$A209)*(T_PlannedOrders[WeekIndex]=83)*(T_PlannedOrders[EffectiveQty]&gt;0)*T_PlannedOrders[Order_Month])),"m月")&amp;"発注)")</f>
        <v/>
      </c>
      <c r="CI217">
        <f>IF(SUMIFS(T_PlannedOrders[EffectiveQty],T_PlannedOrders[Part Name],$A209,T_PlannedOrders[WeekIndex],84)=0,"",SUMIFS(T_PlannedOrders[EffectiveQty],T_PlannedOrders[Part Name],$A209,T_PlannedOrders[WeekIndex],84)&amp;" ("&amp;TEXT(SUMPRODUCT(MAX((T_PlannedOrders[Part Name]=$A209)*(T_PlannedOrders[WeekIndex]=84)*(T_PlannedOrders[EffectiveQty]&gt;0)*T_PlannedOrders[Order_Month])),"m月")&amp;"発注)")</f>
        <v/>
      </c>
      <c r="CJ217">
        <f>IF(SUMIFS(T_PlannedOrders[EffectiveQty],T_PlannedOrders[Part Name],$A209,T_PlannedOrders[WeekIndex],85)=0,"",SUMIFS(T_PlannedOrders[EffectiveQty],T_PlannedOrders[Part Name],$A209,T_PlannedOrders[WeekIndex],85)&amp;" ("&amp;TEXT(SUMPRODUCT(MAX((T_PlannedOrders[Part Name]=$A209)*(T_PlannedOrders[WeekIndex]=85)*(T_PlannedOrders[EffectiveQty]&gt;0)*T_PlannedOrders[Order_Month])),"m月")&amp;"発注)")</f>
        <v/>
      </c>
      <c r="CK217">
        <f>IF(SUMIFS(T_PlannedOrders[EffectiveQty],T_PlannedOrders[Part Name],$A209,T_PlannedOrders[WeekIndex],86)=0,"",SUMIFS(T_PlannedOrders[EffectiveQty],T_PlannedOrders[Part Name],$A209,T_PlannedOrders[WeekIndex],86)&amp;" ("&amp;TEXT(SUMPRODUCT(MAX((T_PlannedOrders[Part Name]=$A209)*(T_PlannedOrders[WeekIndex]=86)*(T_PlannedOrders[EffectiveQty]&gt;0)*T_PlannedOrders[Order_Month])),"m月")&amp;"発注)")</f>
        <v/>
      </c>
      <c r="CL217">
        <f>IF(SUMIFS(T_PlannedOrders[EffectiveQty],T_PlannedOrders[Part Name],$A209,T_PlannedOrders[WeekIndex],87)=0,"",SUMIFS(T_PlannedOrders[EffectiveQty],T_PlannedOrders[Part Name],$A209,T_PlannedOrders[WeekIndex],87)&amp;" ("&amp;TEXT(SUMPRODUCT(MAX((T_PlannedOrders[Part Name]=$A209)*(T_PlannedOrders[WeekIndex]=87)*(T_PlannedOrders[EffectiveQty]&gt;0)*T_PlannedOrders[Order_Month])),"m月")&amp;"発注)")</f>
        <v/>
      </c>
      <c r="CM217">
        <f>IF(SUMIFS(T_PlannedOrders[EffectiveQty],T_PlannedOrders[Part Name],$A209,T_PlannedOrders[WeekIndex],88)=0,"",SUMIFS(T_PlannedOrders[EffectiveQty],T_PlannedOrders[Part Name],$A209,T_PlannedOrders[WeekIndex],88)&amp;" ("&amp;TEXT(SUMPRODUCT(MAX((T_PlannedOrders[Part Name]=$A209)*(T_PlannedOrders[WeekIndex]=88)*(T_PlannedOrders[EffectiveQty]&gt;0)*T_PlannedOrders[Order_Month])),"m月")&amp;"発注)")</f>
        <v/>
      </c>
      <c r="CN217">
        <f>IF(SUMIFS(T_PlannedOrders[EffectiveQty],T_PlannedOrders[Part Name],$A209,T_PlannedOrders[WeekIndex],89)=0,"",SUMIFS(T_PlannedOrders[EffectiveQty],T_PlannedOrders[Part Name],$A209,T_PlannedOrders[WeekIndex],89)&amp;" ("&amp;TEXT(SUMPRODUCT(MAX((T_PlannedOrders[Part Name]=$A209)*(T_PlannedOrders[WeekIndex]=89)*(T_PlannedOrders[EffectiveQty]&gt;0)*T_PlannedOrders[Order_Month])),"m月")&amp;"発注)")</f>
        <v/>
      </c>
      <c r="CO217">
        <f>IF(SUMIFS(T_PlannedOrders[EffectiveQty],T_PlannedOrders[Part Name],$A209,T_PlannedOrders[WeekIndex],90)=0,"",SUMIFS(T_PlannedOrders[EffectiveQty],T_PlannedOrders[Part Name],$A209,T_PlannedOrders[WeekIndex],90)&amp;" ("&amp;TEXT(SUMPRODUCT(MAX((T_PlannedOrders[Part Name]=$A209)*(T_PlannedOrders[WeekIndex]=90)*(T_PlannedOrders[EffectiveQty]&gt;0)*T_PlannedOrders[Order_Month])),"m月")&amp;"発注)")</f>
        <v/>
      </c>
      <c r="CP217">
        <f>IF(SUMIFS(T_PlannedOrders[EffectiveQty],T_PlannedOrders[Part Name],$A209,T_PlannedOrders[WeekIndex],91)=0,"",SUMIFS(T_PlannedOrders[EffectiveQty],T_PlannedOrders[Part Name],$A209,T_PlannedOrders[WeekIndex],91)&amp;" ("&amp;TEXT(SUMPRODUCT(MAX((T_PlannedOrders[Part Name]=$A209)*(T_PlannedOrders[WeekIndex]=91)*(T_PlannedOrders[EffectiveQty]&gt;0)*T_PlannedOrders[Order_Month])),"m月")&amp;"発注)")</f>
        <v/>
      </c>
      <c r="CQ217">
        <f>IF(SUMIFS(T_PlannedOrders[EffectiveQty],T_PlannedOrders[Part Name],$A209,T_PlannedOrders[WeekIndex],92)=0,"",SUMIFS(T_PlannedOrders[EffectiveQty],T_PlannedOrders[Part Name],$A209,T_PlannedOrders[WeekIndex],92)&amp;" ("&amp;TEXT(SUMPRODUCT(MAX((T_PlannedOrders[Part Name]=$A209)*(T_PlannedOrders[WeekIndex]=92)*(T_PlannedOrders[EffectiveQty]&gt;0)*T_PlannedOrders[Order_Month])),"m月")&amp;"発注)")</f>
        <v/>
      </c>
      <c r="CR217">
        <f>IF(SUMIFS(T_PlannedOrders[EffectiveQty],T_PlannedOrders[Part Name],$A209,T_PlannedOrders[WeekIndex],93)=0,"",SUMIFS(T_PlannedOrders[EffectiveQty],T_PlannedOrders[Part Name],$A209,T_PlannedOrders[WeekIndex],93)&amp;" ("&amp;TEXT(SUMPRODUCT(MAX((T_PlannedOrders[Part Name]=$A209)*(T_PlannedOrders[WeekIndex]=93)*(T_PlannedOrders[EffectiveQty]&gt;0)*T_PlannedOrders[Order_Month])),"m月")&amp;"発注)")</f>
        <v/>
      </c>
      <c r="CS217">
        <f>IF(SUMIFS(T_PlannedOrders[EffectiveQty],T_PlannedOrders[Part Name],$A209,T_PlannedOrders[WeekIndex],94)=0,"",SUMIFS(T_PlannedOrders[EffectiveQty],T_PlannedOrders[Part Name],$A209,T_PlannedOrders[WeekIndex],94)&amp;" ("&amp;TEXT(SUMPRODUCT(MAX((T_PlannedOrders[Part Name]=$A209)*(T_PlannedOrders[WeekIndex]=94)*(T_PlannedOrders[EffectiveQty]&gt;0)*T_PlannedOrders[Order_Month])),"m月")&amp;"発注)")</f>
        <v/>
      </c>
      <c r="CT217">
        <f>IF(SUMIFS(T_PlannedOrders[EffectiveQty],T_PlannedOrders[Part Name],$A209,T_PlannedOrders[WeekIndex],95)=0,"",SUMIFS(T_PlannedOrders[EffectiveQty],T_PlannedOrders[Part Name],$A209,T_PlannedOrders[WeekIndex],95)&amp;" ("&amp;TEXT(SUMPRODUCT(MAX((T_PlannedOrders[Part Name]=$A209)*(T_PlannedOrders[WeekIndex]=95)*(T_PlannedOrders[EffectiveQty]&gt;0)*T_PlannedOrders[Order_Month])),"m月")&amp;"発注)")</f>
        <v/>
      </c>
      <c r="CU217">
        <f>IF(SUMIFS(T_PlannedOrders[EffectiveQty],T_PlannedOrders[Part Name],$A209,T_PlannedOrders[WeekIndex],96)=0,"",SUMIFS(T_PlannedOrders[EffectiveQty],T_PlannedOrders[Part Name],$A209,T_PlannedOrders[WeekIndex],96)&amp;" ("&amp;TEXT(SUMPRODUCT(MAX((T_PlannedOrders[Part Name]=$A209)*(T_PlannedOrders[WeekIndex]=96)*(T_PlannedOrders[EffectiveQty]&gt;0)*T_PlannedOrders[Order_Month])),"m月")&amp;"発注)")</f>
        <v/>
      </c>
      <c r="CV217">
        <f>IF(SUMIFS(T_PlannedOrders[EffectiveQty],T_PlannedOrders[Part Name],$A209,T_PlannedOrders[WeekIndex],97)=0,"",SUMIFS(T_PlannedOrders[EffectiveQty],T_PlannedOrders[Part Name],$A209,T_PlannedOrders[WeekIndex],97)&amp;" ("&amp;TEXT(SUMPRODUCT(MAX((T_PlannedOrders[Part Name]=$A209)*(T_PlannedOrders[WeekIndex]=97)*(T_PlannedOrders[EffectiveQty]&gt;0)*T_PlannedOrders[Order_Month])),"m月")&amp;"発注)")</f>
        <v/>
      </c>
      <c r="CW217">
        <f>IF(SUMIFS(T_PlannedOrders[EffectiveQty],T_PlannedOrders[Part Name],$A209,T_PlannedOrders[WeekIndex],98)=0,"",SUMIFS(T_PlannedOrders[EffectiveQty],T_PlannedOrders[Part Name],$A209,T_PlannedOrders[WeekIndex],98)&amp;" ("&amp;TEXT(SUMPRODUCT(MAX((T_PlannedOrders[Part Name]=$A209)*(T_PlannedOrders[WeekIndex]=98)*(T_PlannedOrders[EffectiveQty]&gt;0)*T_PlannedOrders[Order_Month])),"m月")&amp;"発注)")</f>
        <v/>
      </c>
      <c r="CX217">
        <f>IF(SUMIFS(T_PlannedOrders[EffectiveQty],T_PlannedOrders[Part Name],$A209,T_PlannedOrders[WeekIndex],99)=0,"",SUMIFS(T_PlannedOrders[EffectiveQty],T_PlannedOrders[Part Name],$A209,T_PlannedOrders[WeekIndex],99)&amp;" ("&amp;TEXT(SUMPRODUCT(MAX((T_PlannedOrders[Part Name]=$A209)*(T_PlannedOrders[WeekIndex]=99)*(T_PlannedOrders[EffectiveQty]&gt;0)*T_PlannedOrders[Order_Month])),"m月")&amp;"発注)")</f>
        <v/>
      </c>
      <c r="CY217">
        <f>IF(SUMIFS(T_PlannedOrders[EffectiveQty],T_PlannedOrders[Part Name],$A209,T_PlannedOrders[WeekIndex],100)=0,"",SUMIFS(T_PlannedOrders[EffectiveQty],T_PlannedOrders[Part Name],$A209,T_PlannedOrders[WeekIndex],100)&amp;" ("&amp;TEXT(SUMPRODUCT(MAX((T_PlannedOrders[Part Name]=$A209)*(T_PlannedOrders[WeekIndex]=100)*(T_PlannedOrders[EffectiveQty]&gt;0)*T_PlannedOrders[Order_Month])),"m月")&amp;"発注)")</f>
        <v/>
      </c>
      <c r="CZ217">
        <f>IF(SUMIFS(T_PlannedOrders[EffectiveQty],T_PlannedOrders[Part Name],$A209,T_PlannedOrders[WeekIndex],101)=0,"",SUMIFS(T_PlannedOrders[EffectiveQty],T_PlannedOrders[Part Name],$A209,T_PlannedOrders[WeekIndex],101)&amp;" ("&amp;TEXT(SUMPRODUCT(MAX((T_PlannedOrders[Part Name]=$A209)*(T_PlannedOrders[WeekIndex]=101)*(T_PlannedOrders[EffectiveQty]&gt;0)*T_PlannedOrders[Order_Month])),"m月")&amp;"発注)")</f>
        <v/>
      </c>
      <c r="DA217">
        <f>IF(SUMIFS(T_PlannedOrders[EffectiveQty],T_PlannedOrders[Part Name],$A209,T_PlannedOrders[WeekIndex],102)=0,"",SUMIFS(T_PlannedOrders[EffectiveQty],T_PlannedOrders[Part Name],$A209,T_PlannedOrders[WeekIndex],102)&amp;" ("&amp;TEXT(SUMPRODUCT(MAX((T_PlannedOrders[Part Name]=$A209)*(T_PlannedOrders[WeekIndex]=102)*(T_PlannedOrders[EffectiveQty]&gt;0)*T_PlannedOrders[Order_Month])),"m月")&amp;"発注)")</f>
        <v/>
      </c>
      <c r="DB217">
        <f>IF(SUMIFS(T_PlannedOrders[EffectiveQty],T_PlannedOrders[Part Name],$A209,T_PlannedOrders[WeekIndex],103)=0,"",SUMIFS(T_PlannedOrders[EffectiveQty],T_PlannedOrders[Part Name],$A209,T_PlannedOrders[WeekIndex],103)&amp;" ("&amp;TEXT(SUMPRODUCT(MAX((T_PlannedOrders[Part Name]=$A209)*(T_PlannedOrders[WeekIndex]=103)*(T_PlannedOrders[EffectiveQty]&gt;0)*T_PlannedOrders[Order_Month])),"m月")&amp;"発注)")</f>
        <v/>
      </c>
      <c r="DC217">
        <f>IF(SUMIFS(T_PlannedOrders[EffectiveQty],T_PlannedOrders[Part Name],$A209,T_PlannedOrders[WeekIndex],104)=0,"",SUMIFS(T_PlannedOrders[EffectiveQty],T_PlannedOrders[Part Name],$A209,T_PlannedOrders[WeekIndex],104)&amp;" ("&amp;TEXT(SUMPRODUCT(MAX((T_PlannedOrders[Part Name]=$A209)*(T_PlannedOrders[WeekIndex]=104)*(T_PlannedOrders[EffectiveQty]&gt;0)*T_PlannedOrders[Order_Month])),"m月")&amp;"発注)")</f>
        <v/>
      </c>
    </row>
    <row r="218">
      <c r="B218" s="5" t="inlineStr">
        <is>
          <t>合計在庫(週末時点,kg)</t>
        </is>
      </c>
      <c r="D218">
        <f>'Grid_Stock'!B42</f>
        <v/>
      </c>
      <c r="E218">
        <f>'Grid_Stock'!C42</f>
        <v/>
      </c>
      <c r="F218">
        <f>'Grid_Stock'!D42</f>
        <v/>
      </c>
      <c r="G218">
        <f>'Grid_Stock'!E42</f>
        <v/>
      </c>
      <c r="H218">
        <f>'Grid_Stock'!F42</f>
        <v/>
      </c>
      <c r="I218">
        <f>'Grid_Stock'!G42</f>
        <v/>
      </c>
      <c r="J218">
        <f>'Grid_Stock'!H42</f>
        <v/>
      </c>
      <c r="K218">
        <f>'Grid_Stock'!I42</f>
        <v/>
      </c>
      <c r="L218">
        <f>'Grid_Stock'!J42</f>
        <v/>
      </c>
      <c r="M218">
        <f>'Grid_Stock'!K42</f>
        <v/>
      </c>
      <c r="N218">
        <f>'Grid_Stock'!L42</f>
        <v/>
      </c>
      <c r="O218">
        <f>'Grid_Stock'!M42</f>
        <v/>
      </c>
      <c r="P218">
        <f>'Grid_Stock'!N42</f>
        <v/>
      </c>
      <c r="Q218">
        <f>'Grid_Stock'!O42</f>
        <v/>
      </c>
      <c r="R218">
        <f>'Grid_Stock'!P42</f>
        <v/>
      </c>
      <c r="S218">
        <f>'Grid_Stock'!Q42</f>
        <v/>
      </c>
      <c r="T218">
        <f>'Grid_Stock'!R42</f>
        <v/>
      </c>
      <c r="U218">
        <f>'Grid_Stock'!S42</f>
        <v/>
      </c>
      <c r="V218">
        <f>'Grid_Stock'!T42</f>
        <v/>
      </c>
      <c r="W218">
        <f>'Grid_Stock'!U42</f>
        <v/>
      </c>
      <c r="X218">
        <f>'Grid_Stock'!V42</f>
        <v/>
      </c>
      <c r="Y218">
        <f>'Grid_Stock'!W42</f>
        <v/>
      </c>
      <c r="Z218">
        <f>'Grid_Stock'!X42</f>
        <v/>
      </c>
      <c r="AA218">
        <f>'Grid_Stock'!Y42</f>
        <v/>
      </c>
      <c r="AB218">
        <f>'Grid_Stock'!Z42</f>
        <v/>
      </c>
      <c r="AC218">
        <f>'Grid_Stock'!AA42</f>
        <v/>
      </c>
      <c r="AD218">
        <f>'Grid_Stock'!AB42</f>
        <v/>
      </c>
      <c r="AE218">
        <f>'Grid_Stock'!AC42</f>
        <v/>
      </c>
      <c r="AF218">
        <f>'Grid_Stock'!AD42</f>
        <v/>
      </c>
      <c r="AG218">
        <f>'Grid_Stock'!AE42</f>
        <v/>
      </c>
      <c r="AH218">
        <f>'Grid_Stock'!AF42</f>
        <v/>
      </c>
      <c r="AI218">
        <f>'Grid_Stock'!AG42</f>
        <v/>
      </c>
      <c r="AJ218">
        <f>'Grid_Stock'!AH42</f>
        <v/>
      </c>
      <c r="AK218">
        <f>'Grid_Stock'!AI42</f>
        <v/>
      </c>
      <c r="AL218">
        <f>'Grid_Stock'!AJ42</f>
        <v/>
      </c>
      <c r="AM218">
        <f>'Grid_Stock'!AK42</f>
        <v/>
      </c>
      <c r="AN218">
        <f>'Grid_Stock'!AL42</f>
        <v/>
      </c>
      <c r="AO218">
        <f>'Grid_Stock'!AM42</f>
        <v/>
      </c>
      <c r="AP218">
        <f>'Grid_Stock'!AN42</f>
        <v/>
      </c>
      <c r="AQ218">
        <f>'Grid_Stock'!AO42</f>
        <v/>
      </c>
      <c r="AR218">
        <f>'Grid_Stock'!AP42</f>
        <v/>
      </c>
      <c r="AS218">
        <f>'Grid_Stock'!AQ42</f>
        <v/>
      </c>
      <c r="AT218">
        <f>'Grid_Stock'!AR42</f>
        <v/>
      </c>
      <c r="AU218">
        <f>'Grid_Stock'!AS42</f>
        <v/>
      </c>
      <c r="AV218">
        <f>'Grid_Stock'!AT42</f>
        <v/>
      </c>
      <c r="AW218">
        <f>'Grid_Stock'!AU42</f>
        <v/>
      </c>
      <c r="AX218">
        <f>'Grid_Stock'!AV42</f>
        <v/>
      </c>
      <c r="AY218">
        <f>'Grid_Stock'!AW42</f>
        <v/>
      </c>
      <c r="AZ218">
        <f>'Grid_Stock'!AX42</f>
        <v/>
      </c>
      <c r="BA218">
        <f>'Grid_Stock'!AY42</f>
        <v/>
      </c>
      <c r="BB218">
        <f>'Grid_Stock'!AZ42</f>
        <v/>
      </c>
      <c r="BC218">
        <f>'Grid_Stock'!BA42</f>
        <v/>
      </c>
      <c r="BD218">
        <f>'Grid_Stock'!BB42</f>
        <v/>
      </c>
      <c r="BE218">
        <f>'Grid_Stock'!BC42</f>
        <v/>
      </c>
      <c r="BF218">
        <f>'Grid_Stock'!BD42</f>
        <v/>
      </c>
      <c r="BG218">
        <f>'Grid_Stock'!BE42</f>
        <v/>
      </c>
      <c r="BH218">
        <f>'Grid_Stock'!BF42</f>
        <v/>
      </c>
      <c r="BI218">
        <f>'Grid_Stock'!BG42</f>
        <v/>
      </c>
      <c r="BJ218">
        <f>'Grid_Stock'!BH42</f>
        <v/>
      </c>
      <c r="BK218">
        <f>'Grid_Stock'!BI42</f>
        <v/>
      </c>
      <c r="BL218">
        <f>'Grid_Stock'!BJ42</f>
        <v/>
      </c>
      <c r="BM218">
        <f>'Grid_Stock'!BK42</f>
        <v/>
      </c>
      <c r="BN218">
        <f>'Grid_Stock'!BL42</f>
        <v/>
      </c>
      <c r="BO218">
        <f>'Grid_Stock'!BM42</f>
        <v/>
      </c>
      <c r="BP218">
        <f>'Grid_Stock'!BN42</f>
        <v/>
      </c>
      <c r="BQ218">
        <f>'Grid_Stock'!BO42</f>
        <v/>
      </c>
      <c r="BR218">
        <f>'Grid_Stock'!BP42</f>
        <v/>
      </c>
      <c r="BS218">
        <f>'Grid_Stock'!BQ42</f>
        <v/>
      </c>
      <c r="BT218">
        <f>'Grid_Stock'!BR42</f>
        <v/>
      </c>
      <c r="BU218">
        <f>'Grid_Stock'!BS42</f>
        <v/>
      </c>
      <c r="BV218">
        <f>'Grid_Stock'!BT42</f>
        <v/>
      </c>
      <c r="BW218">
        <f>'Grid_Stock'!BU42</f>
        <v/>
      </c>
      <c r="BX218">
        <f>'Grid_Stock'!BV42</f>
        <v/>
      </c>
      <c r="BY218">
        <f>'Grid_Stock'!BW42</f>
        <v/>
      </c>
      <c r="BZ218">
        <f>'Grid_Stock'!BX42</f>
        <v/>
      </c>
      <c r="CA218">
        <f>'Grid_Stock'!BY42</f>
        <v/>
      </c>
      <c r="CB218">
        <f>'Grid_Stock'!BZ42</f>
        <v/>
      </c>
      <c r="CC218">
        <f>'Grid_Stock'!CA42</f>
        <v/>
      </c>
      <c r="CD218">
        <f>'Grid_Stock'!CB42</f>
        <v/>
      </c>
      <c r="CE218">
        <f>'Grid_Stock'!CC42</f>
        <v/>
      </c>
      <c r="CF218">
        <f>'Grid_Stock'!CD42</f>
        <v/>
      </c>
      <c r="CG218">
        <f>'Grid_Stock'!CE42</f>
        <v/>
      </c>
      <c r="CH218">
        <f>'Grid_Stock'!CF42</f>
        <v/>
      </c>
      <c r="CI218">
        <f>'Grid_Stock'!CG42</f>
        <v/>
      </c>
      <c r="CJ218">
        <f>'Grid_Stock'!CH42</f>
        <v/>
      </c>
      <c r="CK218">
        <f>'Grid_Stock'!CI42</f>
        <v/>
      </c>
      <c r="CL218">
        <f>'Grid_Stock'!CJ42</f>
        <v/>
      </c>
      <c r="CM218">
        <f>'Grid_Stock'!CK42</f>
        <v/>
      </c>
      <c r="CN218">
        <f>'Grid_Stock'!CL42</f>
        <v/>
      </c>
      <c r="CO218">
        <f>'Grid_Stock'!CM42</f>
        <v/>
      </c>
      <c r="CP218">
        <f>'Grid_Stock'!CN42</f>
        <v/>
      </c>
      <c r="CQ218">
        <f>'Grid_Stock'!CO42</f>
        <v/>
      </c>
      <c r="CR218">
        <f>'Grid_Stock'!CP42</f>
        <v/>
      </c>
      <c r="CS218">
        <f>'Grid_Stock'!CQ42</f>
        <v/>
      </c>
      <c r="CT218">
        <f>'Grid_Stock'!CR42</f>
        <v/>
      </c>
      <c r="CU218">
        <f>'Grid_Stock'!CS42</f>
        <v/>
      </c>
      <c r="CV218">
        <f>'Grid_Stock'!CT42</f>
        <v/>
      </c>
      <c r="CW218">
        <f>'Grid_Stock'!CU42</f>
        <v/>
      </c>
      <c r="CX218">
        <f>'Grid_Stock'!CV42</f>
        <v/>
      </c>
      <c r="CY218">
        <f>'Grid_Stock'!CW42</f>
        <v/>
      </c>
      <c r="CZ218">
        <f>'Grid_Stock'!CX42</f>
        <v/>
      </c>
      <c r="DA218">
        <f>'Grid_Stock'!CY42</f>
        <v/>
      </c>
      <c r="DB218">
        <f>'Grid_Stock'!CZ42</f>
        <v/>
      </c>
      <c r="DC218">
        <f>'Grid_Stock'!DA42</f>
        <v/>
      </c>
    </row>
    <row r="219">
      <c r="B219" s="23" t="inlineStr">
        <is>
          <t>（発注の目安はDashboardの基準在庫[下限/上限]と色分けを参照）</t>
        </is>
      </c>
    </row>
    <row r="221">
      <c r="A221" s="21" t="inlineStr">
        <is>
          <t>CHEM-1110</t>
        </is>
      </c>
      <c r="B221" s="21" t="inlineStr">
        <is>
          <t>Alumina Powder</t>
        </is>
      </c>
      <c r="C221" s="22" t="n"/>
      <c r="D221" s="21" t="n"/>
      <c r="E221" s="21" t="n"/>
      <c r="F221" s="21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  <c r="AA221" s="21" t="n"/>
      <c r="AB221" s="21" t="n"/>
      <c r="AC221" s="21" t="n"/>
      <c r="AD221" s="21" t="n"/>
      <c r="AE221" s="21" t="n"/>
      <c r="AF221" s="21" t="n"/>
      <c r="AG221" s="21" t="n"/>
      <c r="AH221" s="21" t="n"/>
      <c r="AI221" s="21" t="n"/>
      <c r="AJ221" s="21" t="n"/>
      <c r="AK221" s="21" t="n"/>
      <c r="AL221" s="21" t="n"/>
      <c r="AM221" s="21" t="n"/>
      <c r="AN221" s="21" t="n"/>
      <c r="AO221" s="21" t="n"/>
      <c r="AP221" s="21" t="n"/>
      <c r="AQ221" s="21" t="n"/>
      <c r="AR221" s="21" t="n"/>
      <c r="AS221" s="21" t="n"/>
      <c r="AT221" s="21" t="n"/>
      <c r="AU221" s="21" t="n"/>
      <c r="AV221" s="21" t="n"/>
      <c r="AW221" s="21" t="n"/>
      <c r="AX221" s="21" t="n"/>
      <c r="AY221" s="21" t="n"/>
      <c r="AZ221" s="21" t="n"/>
      <c r="BA221" s="21" t="n"/>
      <c r="BB221" s="21" t="n"/>
      <c r="BC221" s="21" t="n"/>
      <c r="BD221" s="21" t="n"/>
      <c r="BE221" s="21" t="n"/>
      <c r="BF221" s="21" t="n"/>
      <c r="BG221" s="21" t="n"/>
      <c r="BH221" s="21" t="n"/>
      <c r="BI221" s="21" t="n"/>
      <c r="BJ221" s="21" t="n"/>
      <c r="BK221" s="21" t="n"/>
      <c r="BL221" s="21" t="n"/>
      <c r="BM221" s="21" t="n"/>
      <c r="BN221" s="21" t="n"/>
      <c r="BO221" s="21" t="n"/>
      <c r="BP221" s="21" t="n"/>
      <c r="BQ221" s="21" t="n"/>
      <c r="BR221" s="21" t="n"/>
      <c r="BS221" s="21" t="n"/>
      <c r="BT221" s="21" t="n"/>
      <c r="BU221" s="21" t="n"/>
      <c r="BV221" s="21" t="n"/>
      <c r="BW221" s="21" t="n"/>
      <c r="BX221" s="21" t="n"/>
      <c r="BY221" s="21" t="n"/>
      <c r="BZ221" s="21" t="n"/>
      <c r="CA221" s="21" t="n"/>
      <c r="CB221" s="21" t="n"/>
      <c r="CC221" s="21" t="n"/>
      <c r="CD221" s="21" t="n"/>
      <c r="CE221" s="21" t="n"/>
      <c r="CF221" s="21" t="n"/>
      <c r="CG221" s="21" t="n"/>
      <c r="CH221" s="21" t="n"/>
      <c r="CI221" s="21" t="n"/>
      <c r="CJ221" s="21" t="n"/>
      <c r="CK221" s="21" t="n"/>
      <c r="CL221" s="21" t="n"/>
      <c r="CM221" s="21" t="n"/>
      <c r="CN221" s="21" t="n"/>
      <c r="CO221" s="21" t="n"/>
      <c r="CP221" s="21" t="n"/>
      <c r="CQ221" s="21" t="n"/>
      <c r="CR221" s="21" t="n"/>
      <c r="CS221" s="21" t="n"/>
      <c r="CT221" s="21" t="n"/>
      <c r="CU221" s="21" t="n"/>
      <c r="CV221" s="21" t="n"/>
      <c r="CW221" s="21" t="n"/>
      <c r="CX221" s="21" t="n"/>
      <c r="CY221" s="21" t="n"/>
      <c r="CZ221" s="21" t="n"/>
      <c r="DA221" s="21" t="n"/>
      <c r="DB221" s="21" t="n"/>
      <c r="DC221" s="21" t="n"/>
    </row>
    <row r="222">
      <c r="B222" t="inlineStr">
        <is>
          <t>TPP-103</t>
        </is>
      </c>
      <c r="C222" t="inlineStr">
        <is>
          <t>No. of batches</t>
        </is>
      </c>
      <c r="D222">
        <f>IFERROR(INDEX(PP_Grid[#Data],$DD222,2),0)</f>
        <v/>
      </c>
      <c r="E222">
        <f>IFERROR(INDEX(PP_Grid[#Data],$DD222,3),0)</f>
        <v/>
      </c>
      <c r="F222">
        <f>IFERROR(INDEX(PP_Grid[#Data],$DD222,4),0)</f>
        <v/>
      </c>
      <c r="G222">
        <f>IFERROR(INDEX(PP_Grid[#Data],$DD222,5),0)</f>
        <v/>
      </c>
      <c r="H222">
        <f>IFERROR(INDEX(PP_Grid[#Data],$DD222,6),0)</f>
        <v/>
      </c>
      <c r="I222">
        <f>IFERROR(INDEX(PP_Grid[#Data],$DD222,7),0)</f>
        <v/>
      </c>
      <c r="J222">
        <f>IFERROR(INDEX(PP_Grid[#Data],$DD222,8),0)</f>
        <v/>
      </c>
      <c r="K222">
        <f>IFERROR(INDEX(PP_Grid[#Data],$DD222,9),0)</f>
        <v/>
      </c>
      <c r="L222">
        <f>IFERROR(INDEX(PP_Grid[#Data],$DD222,10),0)</f>
        <v/>
      </c>
      <c r="M222">
        <f>IFERROR(INDEX(PP_Grid[#Data],$DD222,11),0)</f>
        <v/>
      </c>
      <c r="N222">
        <f>IFERROR(INDEX(PP_Grid[#Data],$DD222,12),0)</f>
        <v/>
      </c>
      <c r="O222">
        <f>IFERROR(INDEX(PP_Grid[#Data],$DD222,13),0)</f>
        <v/>
      </c>
      <c r="P222">
        <f>IFERROR(INDEX(PP_Grid[#Data],$DD222,14),0)</f>
        <v/>
      </c>
      <c r="Q222">
        <f>IFERROR(INDEX(PP_Grid[#Data],$DD222,15),0)</f>
        <v/>
      </c>
      <c r="R222">
        <f>IFERROR(INDEX(PP_Grid[#Data],$DD222,16),0)</f>
        <v/>
      </c>
      <c r="S222">
        <f>IFERROR(INDEX(PP_Grid[#Data],$DD222,17),0)</f>
        <v/>
      </c>
      <c r="T222">
        <f>IFERROR(INDEX(PP_Grid[#Data],$DD222,18),0)</f>
        <v/>
      </c>
      <c r="U222">
        <f>IFERROR(INDEX(PP_Grid[#Data],$DD222,19),0)</f>
        <v/>
      </c>
      <c r="V222">
        <f>IFERROR(INDEX(PP_Grid[#Data],$DD222,20),0)</f>
        <v/>
      </c>
      <c r="W222">
        <f>IFERROR(INDEX(PP_Grid[#Data],$DD222,21),0)</f>
        <v/>
      </c>
      <c r="X222">
        <f>IFERROR(INDEX(PP_Grid[#Data],$DD222,22),0)</f>
        <v/>
      </c>
      <c r="Y222">
        <f>IFERROR(INDEX(PP_Grid[#Data],$DD222,23),0)</f>
        <v/>
      </c>
      <c r="Z222">
        <f>IFERROR(INDEX(PP_Grid[#Data],$DD222,24),0)</f>
        <v/>
      </c>
      <c r="AA222">
        <f>IFERROR(INDEX(PP_Grid[#Data],$DD222,25),0)</f>
        <v/>
      </c>
      <c r="AB222">
        <f>IFERROR(INDEX(PP_Grid[#Data],$DD222,26),0)</f>
        <v/>
      </c>
      <c r="AC222">
        <f>IFERROR(INDEX(PP_Grid[#Data],$DD222,27),0)</f>
        <v/>
      </c>
      <c r="AD222">
        <f>IFERROR(INDEX(PP_Grid[#Data],$DD222,28),0)</f>
        <v/>
      </c>
      <c r="AE222">
        <f>IFERROR(INDEX(PP_Grid[#Data],$DD222,29),0)</f>
        <v/>
      </c>
      <c r="AF222">
        <f>IFERROR(INDEX(PP_Grid[#Data],$DD222,30),0)</f>
        <v/>
      </c>
      <c r="AG222">
        <f>IFERROR(INDEX(PP_Grid[#Data],$DD222,31),0)</f>
        <v/>
      </c>
      <c r="AH222">
        <f>IFERROR(INDEX(PP_Grid[#Data],$DD222,32),0)</f>
        <v/>
      </c>
      <c r="AI222">
        <f>IFERROR(INDEX(PP_Grid[#Data],$DD222,33),0)</f>
        <v/>
      </c>
      <c r="AJ222">
        <f>IFERROR(INDEX(PP_Grid[#Data],$DD222,34),0)</f>
        <v/>
      </c>
      <c r="AK222">
        <f>IFERROR(INDEX(PP_Grid[#Data],$DD222,35),0)</f>
        <v/>
      </c>
      <c r="AL222">
        <f>IFERROR(INDEX(PP_Grid[#Data],$DD222,36),0)</f>
        <v/>
      </c>
      <c r="AM222">
        <f>IFERROR(INDEX(PP_Grid[#Data],$DD222,37),0)</f>
        <v/>
      </c>
      <c r="AN222">
        <f>IFERROR(INDEX(PP_Grid[#Data],$DD222,38),0)</f>
        <v/>
      </c>
      <c r="AO222">
        <f>IFERROR(INDEX(PP_Grid[#Data],$DD222,39),0)</f>
        <v/>
      </c>
      <c r="AP222">
        <f>IFERROR(INDEX(PP_Grid[#Data],$DD222,40),0)</f>
        <v/>
      </c>
      <c r="AQ222">
        <f>IFERROR(INDEX(PP_Grid[#Data],$DD222,41),0)</f>
        <v/>
      </c>
      <c r="AR222">
        <f>IFERROR(INDEX(PP_Grid[#Data],$DD222,42),0)</f>
        <v/>
      </c>
      <c r="AS222">
        <f>IFERROR(INDEX(PP_Grid[#Data],$DD222,43),0)</f>
        <v/>
      </c>
      <c r="AT222">
        <f>IFERROR(INDEX(PP_Grid[#Data],$DD222,44),0)</f>
        <v/>
      </c>
      <c r="AU222">
        <f>IFERROR(INDEX(PP_Grid[#Data],$DD222,45),0)</f>
        <v/>
      </c>
      <c r="AV222">
        <f>IFERROR(INDEX(PP_Grid[#Data],$DD222,46),0)</f>
        <v/>
      </c>
      <c r="AW222">
        <f>IFERROR(INDEX(PP_Grid[#Data],$DD222,47),0)</f>
        <v/>
      </c>
      <c r="AX222">
        <f>IFERROR(INDEX(PP_Grid[#Data],$DD222,48),0)</f>
        <v/>
      </c>
      <c r="AY222">
        <f>IFERROR(INDEX(PP_Grid[#Data],$DD222,49),0)</f>
        <v/>
      </c>
      <c r="AZ222">
        <f>IFERROR(INDEX(PP_Grid[#Data],$DD222,50),0)</f>
        <v/>
      </c>
      <c r="BA222">
        <f>IFERROR(INDEX(PP_Grid[#Data],$DD222,51),0)</f>
        <v/>
      </c>
      <c r="BB222">
        <f>IFERROR(INDEX(PP_Grid[#Data],$DD222,52),0)</f>
        <v/>
      </c>
      <c r="BC222">
        <f>IFERROR(INDEX(PP_Grid[#Data],$DD222,53),0)</f>
        <v/>
      </c>
      <c r="BD222">
        <f>IFERROR(INDEX(PP_Grid[#Data],$DD222,54),0)</f>
        <v/>
      </c>
      <c r="BE222">
        <f>IFERROR(INDEX(PP_Grid[#Data],$DD222,55),0)</f>
        <v/>
      </c>
      <c r="BF222">
        <f>IFERROR(INDEX(PP_Grid[#Data],$DD222,56),0)</f>
        <v/>
      </c>
      <c r="BG222">
        <f>IFERROR(INDEX(PP_Grid[#Data],$DD222,57),0)</f>
        <v/>
      </c>
      <c r="BH222">
        <f>IFERROR(INDEX(PP_Grid[#Data],$DD222,58),0)</f>
        <v/>
      </c>
      <c r="BI222">
        <f>IFERROR(INDEX(PP_Grid[#Data],$DD222,59),0)</f>
        <v/>
      </c>
      <c r="BJ222">
        <f>IFERROR(INDEX(PP_Grid[#Data],$DD222,60),0)</f>
        <v/>
      </c>
      <c r="BK222">
        <f>IFERROR(INDEX(PP_Grid[#Data],$DD222,61),0)</f>
        <v/>
      </c>
      <c r="BL222">
        <f>IFERROR(INDEX(PP_Grid[#Data],$DD222,62),0)</f>
        <v/>
      </c>
      <c r="BM222">
        <f>IFERROR(INDEX(PP_Grid[#Data],$DD222,63),0)</f>
        <v/>
      </c>
      <c r="BN222">
        <f>IFERROR(INDEX(PP_Grid[#Data],$DD222,64),0)</f>
        <v/>
      </c>
      <c r="BO222">
        <f>IFERROR(INDEX(PP_Grid[#Data],$DD222,65),0)</f>
        <v/>
      </c>
      <c r="BP222">
        <f>IFERROR(INDEX(PP_Grid[#Data],$DD222,66),0)</f>
        <v/>
      </c>
      <c r="BQ222">
        <f>IFERROR(INDEX(PP_Grid[#Data],$DD222,67),0)</f>
        <v/>
      </c>
      <c r="BR222">
        <f>IFERROR(INDEX(PP_Grid[#Data],$DD222,68),0)</f>
        <v/>
      </c>
      <c r="BS222">
        <f>IFERROR(INDEX(PP_Grid[#Data],$DD222,69),0)</f>
        <v/>
      </c>
      <c r="BT222">
        <f>IFERROR(INDEX(PP_Grid[#Data],$DD222,70),0)</f>
        <v/>
      </c>
      <c r="BU222">
        <f>IFERROR(INDEX(PP_Grid[#Data],$DD222,71),0)</f>
        <v/>
      </c>
      <c r="BV222">
        <f>IFERROR(INDEX(PP_Grid[#Data],$DD222,72),0)</f>
        <v/>
      </c>
      <c r="BW222">
        <f>IFERROR(INDEX(PP_Grid[#Data],$DD222,73),0)</f>
        <v/>
      </c>
      <c r="BX222">
        <f>IFERROR(INDEX(PP_Grid[#Data],$DD222,74),0)</f>
        <v/>
      </c>
      <c r="BY222">
        <f>IFERROR(INDEX(PP_Grid[#Data],$DD222,75),0)</f>
        <v/>
      </c>
      <c r="BZ222">
        <f>IFERROR(INDEX(PP_Grid[#Data],$DD222,76),0)</f>
        <v/>
      </c>
      <c r="CA222">
        <f>IFERROR(INDEX(PP_Grid[#Data],$DD222,77),0)</f>
        <v/>
      </c>
      <c r="CB222">
        <f>IFERROR(INDEX(PP_Grid[#Data],$DD222,78),0)</f>
        <v/>
      </c>
      <c r="CC222">
        <f>IFERROR(INDEX(PP_Grid[#Data],$DD222,79),0)</f>
        <v/>
      </c>
      <c r="CD222">
        <f>IFERROR(INDEX(PP_Grid[#Data],$DD222,80),0)</f>
        <v/>
      </c>
      <c r="CE222">
        <f>IFERROR(INDEX(PP_Grid[#Data],$DD222,81),0)</f>
        <v/>
      </c>
      <c r="CF222">
        <f>IFERROR(INDEX(PP_Grid[#Data],$DD222,82),0)</f>
        <v/>
      </c>
      <c r="CG222">
        <f>IFERROR(INDEX(PP_Grid[#Data],$DD222,83),0)</f>
        <v/>
      </c>
      <c r="CH222">
        <f>IFERROR(INDEX(PP_Grid[#Data],$DD222,84),0)</f>
        <v/>
      </c>
      <c r="CI222">
        <f>IFERROR(INDEX(PP_Grid[#Data],$DD222,85),0)</f>
        <v/>
      </c>
      <c r="CJ222">
        <f>IFERROR(INDEX(PP_Grid[#Data],$DD222,86),0)</f>
        <v/>
      </c>
      <c r="CK222">
        <f>IFERROR(INDEX(PP_Grid[#Data],$DD222,87),0)</f>
        <v/>
      </c>
      <c r="CL222">
        <f>IFERROR(INDEX(PP_Grid[#Data],$DD222,88),0)</f>
        <v/>
      </c>
      <c r="CM222">
        <f>IFERROR(INDEX(PP_Grid[#Data],$DD222,89),0)</f>
        <v/>
      </c>
      <c r="CN222">
        <f>IFERROR(INDEX(PP_Grid[#Data],$DD222,90),0)</f>
        <v/>
      </c>
      <c r="CO222">
        <f>IFERROR(INDEX(PP_Grid[#Data],$DD222,91),0)</f>
        <v/>
      </c>
      <c r="CP222">
        <f>IFERROR(INDEX(PP_Grid[#Data],$DD222,92),0)</f>
        <v/>
      </c>
      <c r="CQ222">
        <f>IFERROR(INDEX(PP_Grid[#Data],$DD222,93),0)</f>
        <v/>
      </c>
      <c r="CR222">
        <f>IFERROR(INDEX(PP_Grid[#Data],$DD222,94),0)</f>
        <v/>
      </c>
      <c r="CS222">
        <f>IFERROR(INDEX(PP_Grid[#Data],$DD222,95),0)</f>
        <v/>
      </c>
      <c r="CT222">
        <f>IFERROR(INDEX(PP_Grid[#Data],$DD222,96),0)</f>
        <v/>
      </c>
      <c r="CU222">
        <f>IFERROR(INDEX(PP_Grid[#Data],$DD222,97),0)</f>
        <v/>
      </c>
      <c r="CV222">
        <f>IFERROR(INDEX(PP_Grid[#Data],$DD222,98),0)</f>
        <v/>
      </c>
      <c r="CW222">
        <f>IFERROR(INDEX(PP_Grid[#Data],$DD222,99),0)</f>
        <v/>
      </c>
      <c r="CX222">
        <f>IFERROR(INDEX(PP_Grid[#Data],$DD222,100),0)</f>
        <v/>
      </c>
      <c r="CY222">
        <f>IFERROR(INDEX(PP_Grid[#Data],$DD222,101),0)</f>
        <v/>
      </c>
      <c r="CZ222">
        <f>IFERROR(INDEX(PP_Grid[#Data],$DD222,102),0)</f>
        <v/>
      </c>
      <c r="DA222">
        <f>IFERROR(INDEX(PP_Grid[#Data],$DD222,103),0)</f>
        <v/>
      </c>
      <c r="DB222">
        <f>IFERROR(INDEX(PP_Grid[#Data],$DD222,104),0)</f>
        <v/>
      </c>
      <c r="DC222">
        <f>IFERROR(INDEX(PP_Grid[#Data],$DD222,105),0)</f>
        <v/>
      </c>
      <c r="DD222" s="12">
        <f>IFERROR(MATCH($B222,PP_Grid[Intermediate],0),99999)</f>
        <v/>
      </c>
    </row>
    <row r="223">
      <c r="B223" t="inlineStr">
        <is>
          <t>使用量(kg)</t>
        </is>
      </c>
      <c r="C223">
        <f>SUMIFS(M_BOM[RM_Qty_Per_Batch],M_BOM[Intermediate],$B222,M_BOM[Part Name],$A221)</f>
        <v/>
      </c>
      <c r="D223">
        <f>$C223*D222</f>
        <v/>
      </c>
      <c r="E223">
        <f>$C223*E222</f>
        <v/>
      </c>
      <c r="F223">
        <f>$C223*F222</f>
        <v/>
      </c>
      <c r="G223">
        <f>$C223*G222</f>
        <v/>
      </c>
      <c r="H223">
        <f>$C223*H222</f>
        <v/>
      </c>
      <c r="I223">
        <f>$C223*I222</f>
        <v/>
      </c>
      <c r="J223">
        <f>$C223*J222</f>
        <v/>
      </c>
      <c r="K223">
        <f>$C223*K222</f>
        <v/>
      </c>
      <c r="L223">
        <f>$C223*L222</f>
        <v/>
      </c>
      <c r="M223">
        <f>$C223*M222</f>
        <v/>
      </c>
      <c r="N223">
        <f>$C223*N222</f>
        <v/>
      </c>
      <c r="O223">
        <f>$C223*O222</f>
        <v/>
      </c>
      <c r="P223">
        <f>$C223*P222</f>
        <v/>
      </c>
      <c r="Q223">
        <f>$C223*Q222</f>
        <v/>
      </c>
      <c r="R223">
        <f>$C223*R222</f>
        <v/>
      </c>
      <c r="S223">
        <f>$C223*S222</f>
        <v/>
      </c>
      <c r="T223">
        <f>$C223*T222</f>
        <v/>
      </c>
      <c r="U223">
        <f>$C223*U222</f>
        <v/>
      </c>
      <c r="V223">
        <f>$C223*V222</f>
        <v/>
      </c>
      <c r="W223">
        <f>$C223*W222</f>
        <v/>
      </c>
      <c r="X223">
        <f>$C223*X222</f>
        <v/>
      </c>
      <c r="Y223">
        <f>$C223*Y222</f>
        <v/>
      </c>
      <c r="Z223">
        <f>$C223*Z222</f>
        <v/>
      </c>
      <c r="AA223">
        <f>$C223*AA222</f>
        <v/>
      </c>
      <c r="AB223">
        <f>$C223*AB222</f>
        <v/>
      </c>
      <c r="AC223">
        <f>$C223*AC222</f>
        <v/>
      </c>
      <c r="AD223">
        <f>$C223*AD222</f>
        <v/>
      </c>
      <c r="AE223">
        <f>$C223*AE222</f>
        <v/>
      </c>
      <c r="AF223">
        <f>$C223*AF222</f>
        <v/>
      </c>
      <c r="AG223">
        <f>$C223*AG222</f>
        <v/>
      </c>
      <c r="AH223">
        <f>$C223*AH222</f>
        <v/>
      </c>
      <c r="AI223">
        <f>$C223*AI222</f>
        <v/>
      </c>
      <c r="AJ223">
        <f>$C223*AJ222</f>
        <v/>
      </c>
      <c r="AK223">
        <f>$C223*AK222</f>
        <v/>
      </c>
      <c r="AL223">
        <f>$C223*AL222</f>
        <v/>
      </c>
      <c r="AM223">
        <f>$C223*AM222</f>
        <v/>
      </c>
      <c r="AN223">
        <f>$C223*AN222</f>
        <v/>
      </c>
      <c r="AO223">
        <f>$C223*AO222</f>
        <v/>
      </c>
      <c r="AP223">
        <f>$C223*AP222</f>
        <v/>
      </c>
      <c r="AQ223">
        <f>$C223*AQ222</f>
        <v/>
      </c>
      <c r="AR223">
        <f>$C223*AR222</f>
        <v/>
      </c>
      <c r="AS223">
        <f>$C223*AS222</f>
        <v/>
      </c>
      <c r="AT223">
        <f>$C223*AT222</f>
        <v/>
      </c>
      <c r="AU223">
        <f>$C223*AU222</f>
        <v/>
      </c>
      <c r="AV223">
        <f>$C223*AV222</f>
        <v/>
      </c>
      <c r="AW223">
        <f>$C223*AW222</f>
        <v/>
      </c>
      <c r="AX223">
        <f>$C223*AX222</f>
        <v/>
      </c>
      <c r="AY223">
        <f>$C223*AY222</f>
        <v/>
      </c>
      <c r="AZ223">
        <f>$C223*AZ222</f>
        <v/>
      </c>
      <c r="BA223">
        <f>$C223*BA222</f>
        <v/>
      </c>
      <c r="BB223">
        <f>$C223*BB222</f>
        <v/>
      </c>
      <c r="BC223">
        <f>$C223*BC222</f>
        <v/>
      </c>
      <c r="BD223">
        <f>$C223*BD222</f>
        <v/>
      </c>
      <c r="BE223">
        <f>$C223*BE222</f>
        <v/>
      </c>
      <c r="BF223">
        <f>$C223*BF222</f>
        <v/>
      </c>
      <c r="BG223">
        <f>$C223*BG222</f>
        <v/>
      </c>
      <c r="BH223">
        <f>$C223*BH222</f>
        <v/>
      </c>
      <c r="BI223">
        <f>$C223*BI222</f>
        <v/>
      </c>
      <c r="BJ223">
        <f>$C223*BJ222</f>
        <v/>
      </c>
      <c r="BK223">
        <f>$C223*BK222</f>
        <v/>
      </c>
      <c r="BL223">
        <f>$C223*BL222</f>
        <v/>
      </c>
      <c r="BM223">
        <f>$C223*BM222</f>
        <v/>
      </c>
      <c r="BN223">
        <f>$C223*BN222</f>
        <v/>
      </c>
      <c r="BO223">
        <f>$C223*BO222</f>
        <v/>
      </c>
      <c r="BP223">
        <f>$C223*BP222</f>
        <v/>
      </c>
      <c r="BQ223">
        <f>$C223*BQ222</f>
        <v/>
      </c>
      <c r="BR223">
        <f>$C223*BR222</f>
        <v/>
      </c>
      <c r="BS223">
        <f>$C223*BS222</f>
        <v/>
      </c>
      <c r="BT223">
        <f>$C223*BT222</f>
        <v/>
      </c>
      <c r="BU223">
        <f>$C223*BU222</f>
        <v/>
      </c>
      <c r="BV223">
        <f>$C223*BV222</f>
        <v/>
      </c>
      <c r="BW223">
        <f>$C223*BW222</f>
        <v/>
      </c>
      <c r="BX223">
        <f>$C223*BX222</f>
        <v/>
      </c>
      <c r="BY223">
        <f>$C223*BY222</f>
        <v/>
      </c>
      <c r="BZ223">
        <f>$C223*BZ222</f>
        <v/>
      </c>
      <c r="CA223">
        <f>$C223*CA222</f>
        <v/>
      </c>
      <c r="CB223">
        <f>$C223*CB222</f>
        <v/>
      </c>
      <c r="CC223">
        <f>$C223*CC222</f>
        <v/>
      </c>
      <c r="CD223">
        <f>$C223*CD222</f>
        <v/>
      </c>
      <c r="CE223">
        <f>$C223*CE222</f>
        <v/>
      </c>
      <c r="CF223">
        <f>$C223*CF222</f>
        <v/>
      </c>
      <c r="CG223">
        <f>$C223*CG222</f>
        <v/>
      </c>
      <c r="CH223">
        <f>$C223*CH222</f>
        <v/>
      </c>
      <c r="CI223">
        <f>$C223*CI222</f>
        <v/>
      </c>
      <c r="CJ223">
        <f>$C223*CJ222</f>
        <v/>
      </c>
      <c r="CK223">
        <f>$C223*CK222</f>
        <v/>
      </c>
      <c r="CL223">
        <f>$C223*CL222</f>
        <v/>
      </c>
      <c r="CM223">
        <f>$C223*CM222</f>
        <v/>
      </c>
      <c r="CN223">
        <f>$C223*CN222</f>
        <v/>
      </c>
      <c r="CO223">
        <f>$C223*CO222</f>
        <v/>
      </c>
      <c r="CP223">
        <f>$C223*CP222</f>
        <v/>
      </c>
      <c r="CQ223">
        <f>$C223*CQ222</f>
        <v/>
      </c>
      <c r="CR223">
        <f>$C223*CR222</f>
        <v/>
      </c>
      <c r="CS223">
        <f>$C223*CS222</f>
        <v/>
      </c>
      <c r="CT223">
        <f>$C223*CT222</f>
        <v/>
      </c>
      <c r="CU223">
        <f>$C223*CU222</f>
        <v/>
      </c>
      <c r="CV223">
        <f>$C223*CV222</f>
        <v/>
      </c>
      <c r="CW223">
        <f>$C223*CW222</f>
        <v/>
      </c>
      <c r="CX223">
        <f>$C223*CX222</f>
        <v/>
      </c>
      <c r="CY223">
        <f>$C223*CY222</f>
        <v/>
      </c>
      <c r="CZ223">
        <f>$C223*CZ222</f>
        <v/>
      </c>
      <c r="DA223">
        <f>$C223*DA222</f>
        <v/>
      </c>
      <c r="DB223">
        <f>$C223*DB222</f>
        <v/>
      </c>
      <c r="DC223">
        <f>$C223*DC222</f>
        <v/>
      </c>
    </row>
    <row r="224">
      <c r="B224" t="inlineStr">
        <is>
          <t>TSP-104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12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Name],$A221)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s="5" t="inlineStr">
        <is>
          <t>合計使用量(kg)/週</t>
        </is>
      </c>
      <c r="D226">
        <f>'Grid_Requirement'!B23</f>
        <v/>
      </c>
      <c r="E226">
        <f>'Grid_Requirement'!C23</f>
        <v/>
      </c>
      <c r="F226">
        <f>'Grid_Requirement'!D23</f>
        <v/>
      </c>
      <c r="G226">
        <f>'Grid_Requirement'!E23</f>
        <v/>
      </c>
      <c r="H226">
        <f>'Grid_Requirement'!F23</f>
        <v/>
      </c>
      <c r="I226">
        <f>'Grid_Requirement'!G23</f>
        <v/>
      </c>
      <c r="J226">
        <f>'Grid_Requirement'!H23</f>
        <v/>
      </c>
      <c r="K226">
        <f>'Grid_Requirement'!I23</f>
        <v/>
      </c>
      <c r="L226">
        <f>'Grid_Requirement'!J23</f>
        <v/>
      </c>
      <c r="M226">
        <f>'Grid_Requirement'!K23</f>
        <v/>
      </c>
      <c r="N226">
        <f>'Grid_Requirement'!L23</f>
        <v/>
      </c>
      <c r="O226">
        <f>'Grid_Requirement'!M23</f>
        <v/>
      </c>
      <c r="P226">
        <f>'Grid_Requirement'!N23</f>
        <v/>
      </c>
      <c r="Q226">
        <f>'Grid_Requirement'!O23</f>
        <v/>
      </c>
      <c r="R226">
        <f>'Grid_Requirement'!P23</f>
        <v/>
      </c>
      <c r="S226">
        <f>'Grid_Requirement'!Q23</f>
        <v/>
      </c>
      <c r="T226">
        <f>'Grid_Requirement'!R23</f>
        <v/>
      </c>
      <c r="U226">
        <f>'Grid_Requirement'!S23</f>
        <v/>
      </c>
      <c r="V226">
        <f>'Grid_Requirement'!T23</f>
        <v/>
      </c>
      <c r="W226">
        <f>'Grid_Requirement'!U23</f>
        <v/>
      </c>
      <c r="X226">
        <f>'Grid_Requirement'!V23</f>
        <v/>
      </c>
      <c r="Y226">
        <f>'Grid_Requirement'!W23</f>
        <v/>
      </c>
      <c r="Z226">
        <f>'Grid_Requirement'!X23</f>
        <v/>
      </c>
      <c r="AA226">
        <f>'Grid_Requirement'!Y23</f>
        <v/>
      </c>
      <c r="AB226">
        <f>'Grid_Requirement'!Z23</f>
        <v/>
      </c>
      <c r="AC226">
        <f>'Grid_Requirement'!AA23</f>
        <v/>
      </c>
      <c r="AD226">
        <f>'Grid_Requirement'!AB23</f>
        <v/>
      </c>
      <c r="AE226">
        <f>'Grid_Requirement'!AC23</f>
        <v/>
      </c>
      <c r="AF226">
        <f>'Grid_Requirement'!AD23</f>
        <v/>
      </c>
      <c r="AG226">
        <f>'Grid_Requirement'!AE23</f>
        <v/>
      </c>
      <c r="AH226">
        <f>'Grid_Requirement'!AF23</f>
        <v/>
      </c>
      <c r="AI226">
        <f>'Grid_Requirement'!AG23</f>
        <v/>
      </c>
      <c r="AJ226">
        <f>'Grid_Requirement'!AH23</f>
        <v/>
      </c>
      <c r="AK226">
        <f>'Grid_Requirement'!AI23</f>
        <v/>
      </c>
      <c r="AL226">
        <f>'Grid_Requirement'!AJ23</f>
        <v/>
      </c>
      <c r="AM226">
        <f>'Grid_Requirement'!AK23</f>
        <v/>
      </c>
      <c r="AN226">
        <f>'Grid_Requirement'!AL23</f>
        <v/>
      </c>
      <c r="AO226">
        <f>'Grid_Requirement'!AM23</f>
        <v/>
      </c>
      <c r="AP226">
        <f>'Grid_Requirement'!AN23</f>
        <v/>
      </c>
      <c r="AQ226">
        <f>'Grid_Requirement'!AO23</f>
        <v/>
      </c>
      <c r="AR226">
        <f>'Grid_Requirement'!AP23</f>
        <v/>
      </c>
      <c r="AS226">
        <f>'Grid_Requirement'!AQ23</f>
        <v/>
      </c>
      <c r="AT226">
        <f>'Grid_Requirement'!AR23</f>
        <v/>
      </c>
      <c r="AU226">
        <f>'Grid_Requirement'!AS23</f>
        <v/>
      </c>
      <c r="AV226">
        <f>'Grid_Requirement'!AT23</f>
        <v/>
      </c>
      <c r="AW226">
        <f>'Grid_Requirement'!AU23</f>
        <v/>
      </c>
      <c r="AX226">
        <f>'Grid_Requirement'!AV23</f>
        <v/>
      </c>
      <c r="AY226">
        <f>'Grid_Requirement'!AW23</f>
        <v/>
      </c>
      <c r="AZ226">
        <f>'Grid_Requirement'!AX23</f>
        <v/>
      </c>
      <c r="BA226">
        <f>'Grid_Requirement'!AY23</f>
        <v/>
      </c>
      <c r="BB226">
        <f>'Grid_Requirement'!AZ23</f>
        <v/>
      </c>
      <c r="BC226">
        <f>'Grid_Requirement'!BA23</f>
        <v/>
      </c>
      <c r="BD226">
        <f>'Grid_Requirement'!BB23</f>
        <v/>
      </c>
      <c r="BE226">
        <f>'Grid_Requirement'!BC23</f>
        <v/>
      </c>
      <c r="BF226">
        <f>'Grid_Requirement'!BD23</f>
        <v/>
      </c>
      <c r="BG226">
        <f>'Grid_Requirement'!BE23</f>
        <v/>
      </c>
      <c r="BH226">
        <f>'Grid_Requirement'!BF23</f>
        <v/>
      </c>
      <c r="BI226">
        <f>'Grid_Requirement'!BG23</f>
        <v/>
      </c>
      <c r="BJ226">
        <f>'Grid_Requirement'!BH23</f>
        <v/>
      </c>
      <c r="BK226">
        <f>'Grid_Requirement'!BI23</f>
        <v/>
      </c>
      <c r="BL226">
        <f>'Grid_Requirement'!BJ23</f>
        <v/>
      </c>
      <c r="BM226">
        <f>'Grid_Requirement'!BK23</f>
        <v/>
      </c>
      <c r="BN226">
        <f>'Grid_Requirement'!BL23</f>
        <v/>
      </c>
      <c r="BO226">
        <f>'Grid_Requirement'!BM23</f>
        <v/>
      </c>
      <c r="BP226">
        <f>'Grid_Requirement'!BN23</f>
        <v/>
      </c>
      <c r="BQ226">
        <f>'Grid_Requirement'!BO23</f>
        <v/>
      </c>
      <c r="BR226">
        <f>'Grid_Requirement'!BP23</f>
        <v/>
      </c>
      <c r="BS226">
        <f>'Grid_Requirement'!BQ23</f>
        <v/>
      </c>
      <c r="BT226">
        <f>'Grid_Requirement'!BR23</f>
        <v/>
      </c>
      <c r="BU226">
        <f>'Grid_Requirement'!BS23</f>
        <v/>
      </c>
      <c r="BV226">
        <f>'Grid_Requirement'!BT23</f>
        <v/>
      </c>
      <c r="BW226">
        <f>'Grid_Requirement'!BU23</f>
        <v/>
      </c>
      <c r="BX226">
        <f>'Grid_Requirement'!BV23</f>
        <v/>
      </c>
      <c r="BY226">
        <f>'Grid_Requirement'!BW23</f>
        <v/>
      </c>
      <c r="BZ226">
        <f>'Grid_Requirement'!BX23</f>
        <v/>
      </c>
      <c r="CA226">
        <f>'Grid_Requirement'!BY23</f>
        <v/>
      </c>
      <c r="CB226">
        <f>'Grid_Requirement'!BZ23</f>
        <v/>
      </c>
      <c r="CC226">
        <f>'Grid_Requirement'!CA23</f>
        <v/>
      </c>
      <c r="CD226">
        <f>'Grid_Requirement'!CB23</f>
        <v/>
      </c>
      <c r="CE226">
        <f>'Grid_Requirement'!CC23</f>
        <v/>
      </c>
      <c r="CF226">
        <f>'Grid_Requirement'!CD23</f>
        <v/>
      </c>
      <c r="CG226">
        <f>'Grid_Requirement'!CE23</f>
        <v/>
      </c>
      <c r="CH226">
        <f>'Grid_Requirement'!CF23</f>
        <v/>
      </c>
      <c r="CI226">
        <f>'Grid_Requirement'!CG23</f>
        <v/>
      </c>
      <c r="CJ226">
        <f>'Grid_Requirement'!CH23</f>
        <v/>
      </c>
      <c r="CK226">
        <f>'Grid_Requirement'!CI23</f>
        <v/>
      </c>
      <c r="CL226">
        <f>'Grid_Requirement'!CJ23</f>
        <v/>
      </c>
      <c r="CM226">
        <f>'Grid_Requirement'!CK23</f>
        <v/>
      </c>
      <c r="CN226">
        <f>'Grid_Requirement'!CL23</f>
        <v/>
      </c>
      <c r="CO226">
        <f>'Grid_Requirement'!CM23</f>
        <v/>
      </c>
      <c r="CP226">
        <f>'Grid_Requirement'!CN23</f>
        <v/>
      </c>
      <c r="CQ226">
        <f>'Grid_Requirement'!CO23</f>
        <v/>
      </c>
      <c r="CR226">
        <f>'Grid_Requirement'!CP23</f>
        <v/>
      </c>
      <c r="CS226">
        <f>'Grid_Requirement'!CQ23</f>
        <v/>
      </c>
      <c r="CT226">
        <f>'Grid_Requirement'!CR23</f>
        <v/>
      </c>
      <c r="CU226">
        <f>'Grid_Requirement'!CS23</f>
        <v/>
      </c>
      <c r="CV226">
        <f>'Grid_Requirement'!CT23</f>
        <v/>
      </c>
      <c r="CW226">
        <f>'Grid_Requirement'!CU23</f>
        <v/>
      </c>
      <c r="CX226">
        <f>'Grid_Requirement'!CV23</f>
        <v/>
      </c>
      <c r="CY226">
        <f>'Grid_Requirement'!CW23</f>
        <v/>
      </c>
      <c r="CZ226">
        <f>'Grid_Requirement'!CX23</f>
        <v/>
      </c>
      <c r="DA226">
        <f>'Grid_Requirement'!CY23</f>
        <v/>
      </c>
      <c r="DB226">
        <f>'Grid_Requirement'!CZ23</f>
        <v/>
      </c>
      <c r="DC226">
        <f>'Grid_Requirement'!DA23</f>
        <v/>
      </c>
    </row>
    <row r="227">
      <c r="B227" t="inlineStr">
        <is>
          <t>TTAF在庫(実績,kg)</t>
        </is>
      </c>
      <c r="D227">
        <f>'T_TTAFStock'!B27</f>
        <v/>
      </c>
      <c r="E227">
        <f>'T_TTAFStock'!C27</f>
        <v/>
      </c>
      <c r="F227">
        <f>'T_TTAFStock'!D27</f>
        <v/>
      </c>
      <c r="G227">
        <f>'T_TTAFStock'!E27</f>
        <v/>
      </c>
      <c r="H227">
        <f>'T_TTAFStock'!F27</f>
        <v/>
      </c>
      <c r="I227">
        <f>'T_TTAFStock'!G27</f>
        <v/>
      </c>
      <c r="J227">
        <f>'T_TTAFStock'!H27</f>
        <v/>
      </c>
      <c r="K227">
        <f>'T_TTAFStock'!I27</f>
        <v/>
      </c>
      <c r="L227">
        <f>'T_TTAFStock'!J27</f>
        <v/>
      </c>
      <c r="M227">
        <f>'T_TTAFStock'!K27</f>
        <v/>
      </c>
      <c r="N227">
        <f>'T_TTAFStock'!L27</f>
        <v/>
      </c>
      <c r="O227">
        <f>'T_TTAFStock'!M27</f>
        <v/>
      </c>
      <c r="P227">
        <f>'T_TTAFStock'!N27</f>
        <v/>
      </c>
      <c r="Q227">
        <f>'T_TTAFStock'!O27</f>
        <v/>
      </c>
      <c r="R227">
        <f>'T_TTAFStock'!P27</f>
        <v/>
      </c>
      <c r="S227">
        <f>'T_TTAFStock'!Q27</f>
        <v/>
      </c>
      <c r="T227">
        <f>'T_TTAFStock'!R27</f>
        <v/>
      </c>
      <c r="U227">
        <f>'T_TTAFStock'!S27</f>
        <v/>
      </c>
      <c r="V227">
        <f>'T_TTAFStock'!T27</f>
        <v/>
      </c>
      <c r="W227">
        <f>'T_TTAFStock'!U27</f>
        <v/>
      </c>
      <c r="X227">
        <f>'T_TTAFStock'!V27</f>
        <v/>
      </c>
      <c r="Y227">
        <f>'T_TTAFStock'!W27</f>
        <v/>
      </c>
      <c r="Z227">
        <f>'T_TTAFStock'!X27</f>
        <v/>
      </c>
      <c r="AA227">
        <f>'T_TTAFStock'!Y27</f>
        <v/>
      </c>
      <c r="AB227">
        <f>'T_TTAFStock'!Z27</f>
        <v/>
      </c>
      <c r="AC227">
        <f>'T_TTAFStock'!AA27</f>
        <v/>
      </c>
      <c r="AD227">
        <f>'T_TTAFStock'!AB27</f>
        <v/>
      </c>
      <c r="AE227">
        <f>'T_TTAFStock'!AC27</f>
        <v/>
      </c>
      <c r="AF227">
        <f>'T_TTAFStock'!AD27</f>
        <v/>
      </c>
      <c r="AG227">
        <f>'T_TTAFStock'!AE27</f>
        <v/>
      </c>
      <c r="AH227">
        <f>'T_TTAFStock'!AF27</f>
        <v/>
      </c>
      <c r="AI227">
        <f>'T_TTAFStock'!AG27</f>
        <v/>
      </c>
      <c r="AJ227">
        <f>'T_TTAFStock'!AH27</f>
        <v/>
      </c>
      <c r="AK227">
        <f>'T_TTAFStock'!AI27</f>
        <v/>
      </c>
      <c r="AL227">
        <f>'T_TTAFStock'!AJ27</f>
        <v/>
      </c>
      <c r="AM227">
        <f>'T_TTAFStock'!AK27</f>
        <v/>
      </c>
      <c r="AN227">
        <f>'T_TTAFStock'!AL27</f>
        <v/>
      </c>
      <c r="AO227">
        <f>'T_TTAFStock'!AM27</f>
        <v/>
      </c>
      <c r="AP227">
        <f>'T_TTAFStock'!AN27</f>
        <v/>
      </c>
      <c r="AQ227">
        <f>'T_TTAFStock'!AO27</f>
        <v/>
      </c>
      <c r="AR227">
        <f>'T_TTAFStock'!AP27</f>
        <v/>
      </c>
      <c r="AS227">
        <f>'T_TTAFStock'!AQ27</f>
        <v/>
      </c>
      <c r="AT227">
        <f>'T_TTAFStock'!AR27</f>
        <v/>
      </c>
      <c r="AU227">
        <f>'T_TTAFStock'!AS27</f>
        <v/>
      </c>
      <c r="AV227">
        <f>'T_TTAFStock'!AT27</f>
        <v/>
      </c>
      <c r="AW227">
        <f>'T_TTAFStock'!AU27</f>
        <v/>
      </c>
      <c r="AX227">
        <f>'T_TTAFStock'!AV27</f>
        <v/>
      </c>
      <c r="AY227">
        <f>'T_TTAFStock'!AW27</f>
        <v/>
      </c>
      <c r="AZ227">
        <f>'T_TTAFStock'!AX27</f>
        <v/>
      </c>
      <c r="BA227">
        <f>'T_TTAFStock'!AY27</f>
        <v/>
      </c>
      <c r="BB227">
        <f>'T_TTAFStock'!AZ27</f>
        <v/>
      </c>
      <c r="BC227">
        <f>'T_TTAFStock'!BA27</f>
        <v/>
      </c>
      <c r="BD227">
        <f>'T_TTAFStock'!BB27</f>
        <v/>
      </c>
      <c r="BE227">
        <f>'T_TTAFStock'!BC27</f>
        <v/>
      </c>
      <c r="BF227">
        <f>'T_TTAFStock'!BD27</f>
        <v/>
      </c>
      <c r="BG227">
        <f>'T_TTAFStock'!BE27</f>
        <v/>
      </c>
      <c r="BH227">
        <f>'T_TTAFStock'!BF27</f>
        <v/>
      </c>
      <c r="BI227">
        <f>'T_TTAFStock'!BG27</f>
        <v/>
      </c>
      <c r="BJ227">
        <f>'T_TTAFStock'!BH27</f>
        <v/>
      </c>
      <c r="BK227">
        <f>'T_TTAFStock'!BI27</f>
        <v/>
      </c>
      <c r="BL227">
        <f>'T_TTAFStock'!BJ27</f>
        <v/>
      </c>
      <c r="BM227">
        <f>'T_TTAFStock'!BK27</f>
        <v/>
      </c>
      <c r="BN227">
        <f>'T_TTAFStock'!BL27</f>
        <v/>
      </c>
      <c r="BO227">
        <f>'T_TTAFStock'!BM27</f>
        <v/>
      </c>
      <c r="BP227">
        <f>'T_TTAFStock'!BN27</f>
        <v/>
      </c>
      <c r="BQ227">
        <f>'T_TTAFStock'!BO27</f>
        <v/>
      </c>
      <c r="BR227">
        <f>'T_TTAFStock'!BP27</f>
        <v/>
      </c>
      <c r="BS227">
        <f>'T_TTAFStock'!BQ27</f>
        <v/>
      </c>
      <c r="BT227">
        <f>'T_TTAFStock'!BR27</f>
        <v/>
      </c>
      <c r="BU227">
        <f>'T_TTAFStock'!BS27</f>
        <v/>
      </c>
      <c r="BV227">
        <f>'T_TTAFStock'!BT27</f>
        <v/>
      </c>
      <c r="BW227">
        <f>'T_TTAFStock'!BU27</f>
        <v/>
      </c>
      <c r="BX227">
        <f>'T_TTAFStock'!BV27</f>
        <v/>
      </c>
      <c r="BY227">
        <f>'T_TTAFStock'!BW27</f>
        <v/>
      </c>
      <c r="BZ227">
        <f>'T_TTAFStock'!BX27</f>
        <v/>
      </c>
      <c r="CA227">
        <f>'T_TTAFStock'!BY27</f>
        <v/>
      </c>
      <c r="CB227">
        <f>'T_TTAFStock'!BZ27</f>
        <v/>
      </c>
      <c r="CC227">
        <f>'T_TTAFStock'!CA27</f>
        <v/>
      </c>
      <c r="CD227">
        <f>'T_TTAFStock'!CB27</f>
        <v/>
      </c>
      <c r="CE227">
        <f>'T_TTAFStock'!CC27</f>
        <v/>
      </c>
      <c r="CF227">
        <f>'T_TTAFStock'!CD27</f>
        <v/>
      </c>
      <c r="CG227">
        <f>'T_TTAFStock'!CE27</f>
        <v/>
      </c>
      <c r="CH227">
        <f>'T_TTAFStock'!CF27</f>
        <v/>
      </c>
      <c r="CI227">
        <f>'T_TTAFStock'!CG27</f>
        <v/>
      </c>
      <c r="CJ227">
        <f>'T_TTAFStock'!CH27</f>
        <v/>
      </c>
      <c r="CK227">
        <f>'T_TTAFStock'!CI27</f>
        <v/>
      </c>
      <c r="CL227">
        <f>'T_TTAFStock'!CJ27</f>
        <v/>
      </c>
      <c r="CM227">
        <f>'T_TTAFStock'!CK27</f>
        <v/>
      </c>
      <c r="CN227">
        <f>'T_TTAFStock'!CL27</f>
        <v/>
      </c>
      <c r="CO227">
        <f>'T_TTAFStock'!CM27</f>
        <v/>
      </c>
      <c r="CP227">
        <f>'T_TTAFStock'!CN27</f>
        <v/>
      </c>
      <c r="CQ227">
        <f>'T_TTAFStock'!CO27</f>
        <v/>
      </c>
      <c r="CR227">
        <f>'T_TTAFStock'!CP27</f>
        <v/>
      </c>
      <c r="CS227">
        <f>'T_TTAFStock'!CQ27</f>
        <v/>
      </c>
      <c r="CT227">
        <f>'T_TTAFStock'!CR27</f>
        <v/>
      </c>
      <c r="CU227">
        <f>'T_TTAFStock'!CS27</f>
        <v/>
      </c>
      <c r="CV227">
        <f>'T_TTAFStock'!CT27</f>
        <v/>
      </c>
      <c r="CW227">
        <f>'T_TTAFStock'!CU27</f>
        <v/>
      </c>
      <c r="CX227">
        <f>'T_TTAFStock'!CV27</f>
        <v/>
      </c>
      <c r="CY227">
        <f>'T_TTAFStock'!CW27</f>
        <v/>
      </c>
      <c r="CZ227">
        <f>'T_TTAFStock'!CX27</f>
        <v/>
      </c>
      <c r="DA227">
        <f>'T_TTAFStock'!CY27</f>
        <v/>
      </c>
      <c r="DB227">
        <f>'T_TTAFStock'!CZ27</f>
        <v/>
      </c>
      <c r="DC227">
        <f>'T_TTAFStock'!DA27</f>
        <v/>
      </c>
    </row>
    <row r="228">
      <c r="B228" t="inlineStr">
        <is>
          <t>自社在庫(実績,kg)</t>
        </is>
      </c>
      <c r="D228">
        <f>'T_SelfStock'!B27</f>
        <v/>
      </c>
      <c r="E228">
        <f>'T_SelfStock'!C27</f>
        <v/>
      </c>
      <c r="F228">
        <f>'T_SelfStock'!D27</f>
        <v/>
      </c>
      <c r="G228">
        <f>'T_SelfStock'!E27</f>
        <v/>
      </c>
      <c r="H228">
        <f>'T_SelfStock'!F27</f>
        <v/>
      </c>
      <c r="I228">
        <f>'T_SelfStock'!G27</f>
        <v/>
      </c>
      <c r="J228">
        <f>'T_SelfStock'!H27</f>
        <v/>
      </c>
      <c r="K228">
        <f>'T_SelfStock'!I27</f>
        <v/>
      </c>
      <c r="L228">
        <f>'T_SelfStock'!J27</f>
        <v/>
      </c>
      <c r="M228">
        <f>'T_SelfStock'!K27</f>
        <v/>
      </c>
      <c r="N228">
        <f>'T_SelfStock'!L27</f>
        <v/>
      </c>
      <c r="O228">
        <f>'T_SelfStock'!M27</f>
        <v/>
      </c>
      <c r="P228">
        <f>'T_SelfStock'!N27</f>
        <v/>
      </c>
      <c r="Q228">
        <f>'T_SelfStock'!O27</f>
        <v/>
      </c>
      <c r="R228">
        <f>'T_SelfStock'!P27</f>
        <v/>
      </c>
      <c r="S228">
        <f>'T_SelfStock'!Q27</f>
        <v/>
      </c>
      <c r="T228">
        <f>'T_SelfStock'!R27</f>
        <v/>
      </c>
      <c r="U228">
        <f>'T_SelfStock'!S27</f>
        <v/>
      </c>
      <c r="V228">
        <f>'T_SelfStock'!T27</f>
        <v/>
      </c>
      <c r="W228">
        <f>'T_SelfStock'!U27</f>
        <v/>
      </c>
      <c r="X228">
        <f>'T_SelfStock'!V27</f>
        <v/>
      </c>
      <c r="Y228">
        <f>'T_SelfStock'!W27</f>
        <v/>
      </c>
      <c r="Z228">
        <f>'T_SelfStock'!X27</f>
        <v/>
      </c>
      <c r="AA228">
        <f>'T_SelfStock'!Y27</f>
        <v/>
      </c>
      <c r="AB228">
        <f>'T_SelfStock'!Z27</f>
        <v/>
      </c>
      <c r="AC228">
        <f>'T_SelfStock'!AA27</f>
        <v/>
      </c>
      <c r="AD228">
        <f>'T_SelfStock'!AB27</f>
        <v/>
      </c>
      <c r="AE228">
        <f>'T_SelfStock'!AC27</f>
        <v/>
      </c>
      <c r="AF228">
        <f>'T_SelfStock'!AD27</f>
        <v/>
      </c>
      <c r="AG228">
        <f>'T_SelfStock'!AE27</f>
        <v/>
      </c>
      <c r="AH228">
        <f>'T_SelfStock'!AF27</f>
        <v/>
      </c>
      <c r="AI228">
        <f>'T_SelfStock'!AG27</f>
        <v/>
      </c>
      <c r="AJ228">
        <f>'T_SelfStock'!AH27</f>
        <v/>
      </c>
      <c r="AK228">
        <f>'T_SelfStock'!AI27</f>
        <v/>
      </c>
      <c r="AL228">
        <f>'T_SelfStock'!AJ27</f>
        <v/>
      </c>
      <c r="AM228">
        <f>'T_SelfStock'!AK27</f>
        <v/>
      </c>
      <c r="AN228">
        <f>'T_SelfStock'!AL27</f>
        <v/>
      </c>
      <c r="AO228">
        <f>'T_SelfStock'!AM27</f>
        <v/>
      </c>
      <c r="AP228">
        <f>'T_SelfStock'!AN27</f>
        <v/>
      </c>
      <c r="AQ228">
        <f>'T_SelfStock'!AO27</f>
        <v/>
      </c>
      <c r="AR228">
        <f>'T_SelfStock'!AP27</f>
        <v/>
      </c>
      <c r="AS228">
        <f>'T_SelfStock'!AQ27</f>
        <v/>
      </c>
      <c r="AT228">
        <f>'T_SelfStock'!AR27</f>
        <v/>
      </c>
      <c r="AU228">
        <f>'T_SelfStock'!AS27</f>
        <v/>
      </c>
      <c r="AV228">
        <f>'T_SelfStock'!AT27</f>
        <v/>
      </c>
      <c r="AW228">
        <f>'T_SelfStock'!AU27</f>
        <v/>
      </c>
      <c r="AX228">
        <f>'T_SelfStock'!AV27</f>
        <v/>
      </c>
      <c r="AY228">
        <f>'T_SelfStock'!AW27</f>
        <v/>
      </c>
      <c r="AZ228">
        <f>'T_SelfStock'!AX27</f>
        <v/>
      </c>
      <c r="BA228">
        <f>'T_SelfStock'!AY27</f>
        <v/>
      </c>
      <c r="BB228">
        <f>'T_SelfStock'!AZ27</f>
        <v/>
      </c>
      <c r="BC228">
        <f>'T_SelfStock'!BA27</f>
        <v/>
      </c>
      <c r="BD228">
        <f>'T_SelfStock'!BB27</f>
        <v/>
      </c>
      <c r="BE228">
        <f>'T_SelfStock'!BC27</f>
        <v/>
      </c>
      <c r="BF228">
        <f>'T_SelfStock'!BD27</f>
        <v/>
      </c>
      <c r="BG228">
        <f>'T_SelfStock'!BE27</f>
        <v/>
      </c>
      <c r="BH228">
        <f>'T_SelfStock'!BF27</f>
        <v/>
      </c>
      <c r="BI228">
        <f>'T_SelfStock'!BG27</f>
        <v/>
      </c>
      <c r="BJ228">
        <f>'T_SelfStock'!BH27</f>
        <v/>
      </c>
      <c r="BK228">
        <f>'T_SelfStock'!BI27</f>
        <v/>
      </c>
      <c r="BL228">
        <f>'T_SelfStock'!BJ27</f>
        <v/>
      </c>
      <c r="BM228">
        <f>'T_SelfStock'!BK27</f>
        <v/>
      </c>
      <c r="BN228">
        <f>'T_SelfStock'!BL27</f>
        <v/>
      </c>
      <c r="BO228">
        <f>'T_SelfStock'!BM27</f>
        <v/>
      </c>
      <c r="BP228">
        <f>'T_SelfStock'!BN27</f>
        <v/>
      </c>
      <c r="BQ228">
        <f>'T_SelfStock'!BO27</f>
        <v/>
      </c>
      <c r="BR228">
        <f>'T_SelfStock'!BP27</f>
        <v/>
      </c>
      <c r="BS228">
        <f>'T_SelfStock'!BQ27</f>
        <v/>
      </c>
      <c r="BT228">
        <f>'T_SelfStock'!BR27</f>
        <v/>
      </c>
      <c r="BU228">
        <f>'T_SelfStock'!BS27</f>
        <v/>
      </c>
      <c r="BV228">
        <f>'T_SelfStock'!BT27</f>
        <v/>
      </c>
      <c r="BW228">
        <f>'T_SelfStock'!BU27</f>
        <v/>
      </c>
      <c r="BX228">
        <f>'T_SelfStock'!BV27</f>
        <v/>
      </c>
      <c r="BY228">
        <f>'T_SelfStock'!BW27</f>
        <v/>
      </c>
      <c r="BZ228">
        <f>'T_SelfStock'!BX27</f>
        <v/>
      </c>
      <c r="CA228">
        <f>'T_SelfStock'!BY27</f>
        <v/>
      </c>
      <c r="CB228">
        <f>'T_SelfStock'!BZ27</f>
        <v/>
      </c>
      <c r="CC228">
        <f>'T_SelfStock'!CA27</f>
        <v/>
      </c>
      <c r="CD228">
        <f>'T_SelfStock'!CB27</f>
        <v/>
      </c>
      <c r="CE228">
        <f>'T_SelfStock'!CC27</f>
        <v/>
      </c>
      <c r="CF228">
        <f>'T_SelfStock'!CD27</f>
        <v/>
      </c>
      <c r="CG228">
        <f>'T_SelfStock'!CE27</f>
        <v/>
      </c>
      <c r="CH228">
        <f>'T_SelfStock'!CF27</f>
        <v/>
      </c>
      <c r="CI228">
        <f>'T_SelfStock'!CG27</f>
        <v/>
      </c>
      <c r="CJ228">
        <f>'T_SelfStock'!CH27</f>
        <v/>
      </c>
      <c r="CK228">
        <f>'T_SelfStock'!CI27</f>
        <v/>
      </c>
      <c r="CL228">
        <f>'T_SelfStock'!CJ27</f>
        <v/>
      </c>
      <c r="CM228">
        <f>'T_SelfStock'!CK27</f>
        <v/>
      </c>
      <c r="CN228">
        <f>'T_SelfStock'!CL27</f>
        <v/>
      </c>
      <c r="CO228">
        <f>'T_SelfStock'!CM27</f>
        <v/>
      </c>
      <c r="CP228">
        <f>'T_SelfStock'!CN27</f>
        <v/>
      </c>
      <c r="CQ228">
        <f>'T_SelfStock'!CO27</f>
        <v/>
      </c>
      <c r="CR228">
        <f>'T_SelfStock'!CP27</f>
        <v/>
      </c>
      <c r="CS228">
        <f>'T_SelfStock'!CQ27</f>
        <v/>
      </c>
      <c r="CT228">
        <f>'T_SelfStock'!CR27</f>
        <v/>
      </c>
      <c r="CU228">
        <f>'T_SelfStock'!CS27</f>
        <v/>
      </c>
      <c r="CV228">
        <f>'T_SelfStock'!CT27</f>
        <v/>
      </c>
      <c r="CW228">
        <f>'T_SelfStock'!CU27</f>
        <v/>
      </c>
      <c r="CX228">
        <f>'T_SelfStock'!CV27</f>
        <v/>
      </c>
      <c r="CY228">
        <f>'T_SelfStock'!CW27</f>
        <v/>
      </c>
      <c r="CZ228">
        <f>'T_SelfStock'!CX27</f>
        <v/>
      </c>
      <c r="DA228">
        <f>'T_SelfStock'!CY27</f>
        <v/>
      </c>
      <c r="DB228">
        <f>'T_SelfStock'!CZ27</f>
        <v/>
      </c>
      <c r="DC228">
        <f>'T_SelfStock'!DA27</f>
        <v/>
      </c>
    </row>
    <row r="229">
      <c r="B229" t="inlineStr">
        <is>
          <t>Order(発注予定,kg)</t>
        </is>
      </c>
      <c r="D229">
        <f>IF(SUMIFS(T_PlannedOrders[EffectiveQty],T_PlannedOrders[Part Name],$A221,T_PlannedOrders[WeekIndex],1)=0,"",SUMIFS(T_PlannedOrders[EffectiveQty],T_PlannedOrders[Part Name],$A221,T_PlannedOrders[WeekIndex],1)&amp;" ("&amp;TEXT(SUMPRODUCT(MAX((T_PlannedOrders[Part Name]=$A221)*(T_PlannedOrders[WeekIndex]=1)*(T_PlannedOrders[EffectiveQty]&gt;0)*T_PlannedOrders[Order_Month])),"m月")&amp;"発注)")</f>
        <v/>
      </c>
      <c r="E229">
        <f>IF(SUMIFS(T_PlannedOrders[EffectiveQty],T_PlannedOrders[Part Name],$A221,T_PlannedOrders[WeekIndex],2)=0,"",SUMIFS(T_PlannedOrders[EffectiveQty],T_PlannedOrders[Part Name],$A221,T_PlannedOrders[WeekIndex],2)&amp;" ("&amp;TEXT(SUMPRODUCT(MAX((T_PlannedOrders[Part Name]=$A221)*(T_PlannedOrders[WeekIndex]=2)*(T_PlannedOrders[EffectiveQty]&gt;0)*T_PlannedOrders[Order_Month])),"m月")&amp;"発注)")</f>
        <v/>
      </c>
      <c r="F229">
        <f>IF(SUMIFS(T_PlannedOrders[EffectiveQty],T_PlannedOrders[Part Name],$A221,T_PlannedOrders[WeekIndex],3)=0,"",SUMIFS(T_PlannedOrders[EffectiveQty],T_PlannedOrders[Part Name],$A221,T_PlannedOrders[WeekIndex],3)&amp;" ("&amp;TEXT(SUMPRODUCT(MAX((T_PlannedOrders[Part Name]=$A221)*(T_PlannedOrders[WeekIndex]=3)*(T_PlannedOrders[EffectiveQty]&gt;0)*T_PlannedOrders[Order_Month])),"m月")&amp;"発注)")</f>
        <v/>
      </c>
      <c r="G229">
        <f>IF(SUMIFS(T_PlannedOrders[EffectiveQty],T_PlannedOrders[Part Name],$A221,T_PlannedOrders[WeekIndex],4)=0,"",SUMIFS(T_PlannedOrders[EffectiveQty],T_PlannedOrders[Part Name],$A221,T_PlannedOrders[WeekIndex],4)&amp;" ("&amp;TEXT(SUMPRODUCT(MAX((T_PlannedOrders[Part Name]=$A221)*(T_PlannedOrders[WeekIndex]=4)*(T_PlannedOrders[EffectiveQty]&gt;0)*T_PlannedOrders[Order_Month])),"m月")&amp;"発注)")</f>
        <v/>
      </c>
      <c r="H229">
        <f>IF(SUMIFS(T_PlannedOrders[EffectiveQty],T_PlannedOrders[Part Name],$A221,T_PlannedOrders[WeekIndex],5)=0,"",SUMIFS(T_PlannedOrders[EffectiveQty],T_PlannedOrders[Part Name],$A221,T_PlannedOrders[WeekIndex],5)&amp;" ("&amp;TEXT(SUMPRODUCT(MAX((T_PlannedOrders[Part Name]=$A221)*(T_PlannedOrders[WeekIndex]=5)*(T_PlannedOrders[EffectiveQty]&gt;0)*T_PlannedOrders[Order_Month])),"m月")&amp;"発注)")</f>
        <v/>
      </c>
      <c r="I229">
        <f>IF(SUMIFS(T_PlannedOrders[EffectiveQty],T_PlannedOrders[Part Name],$A221,T_PlannedOrders[WeekIndex],6)=0,"",SUMIFS(T_PlannedOrders[EffectiveQty],T_PlannedOrders[Part Name],$A221,T_PlannedOrders[WeekIndex],6)&amp;" ("&amp;TEXT(SUMPRODUCT(MAX((T_PlannedOrders[Part Name]=$A221)*(T_PlannedOrders[WeekIndex]=6)*(T_PlannedOrders[EffectiveQty]&gt;0)*T_PlannedOrders[Order_Month])),"m月")&amp;"発注)")</f>
        <v/>
      </c>
      <c r="J229">
        <f>IF(SUMIFS(T_PlannedOrders[EffectiveQty],T_PlannedOrders[Part Name],$A221,T_PlannedOrders[WeekIndex],7)=0,"",SUMIFS(T_PlannedOrders[EffectiveQty],T_PlannedOrders[Part Name],$A221,T_PlannedOrders[WeekIndex],7)&amp;" ("&amp;TEXT(SUMPRODUCT(MAX((T_PlannedOrders[Part Name]=$A221)*(T_PlannedOrders[WeekIndex]=7)*(T_PlannedOrders[EffectiveQty]&gt;0)*T_PlannedOrders[Order_Month])),"m月")&amp;"発注)")</f>
        <v/>
      </c>
      <c r="K229">
        <f>IF(SUMIFS(T_PlannedOrders[EffectiveQty],T_PlannedOrders[Part Name],$A221,T_PlannedOrders[WeekIndex],8)=0,"",SUMIFS(T_PlannedOrders[EffectiveQty],T_PlannedOrders[Part Name],$A221,T_PlannedOrders[WeekIndex],8)&amp;" ("&amp;TEXT(SUMPRODUCT(MAX((T_PlannedOrders[Part Name]=$A221)*(T_PlannedOrders[WeekIndex]=8)*(T_PlannedOrders[EffectiveQty]&gt;0)*T_PlannedOrders[Order_Month])),"m月")&amp;"発注)")</f>
        <v/>
      </c>
      <c r="L229">
        <f>IF(SUMIFS(T_PlannedOrders[EffectiveQty],T_PlannedOrders[Part Name],$A221,T_PlannedOrders[WeekIndex],9)=0,"",SUMIFS(T_PlannedOrders[EffectiveQty],T_PlannedOrders[Part Name],$A221,T_PlannedOrders[WeekIndex],9)&amp;" ("&amp;TEXT(SUMPRODUCT(MAX((T_PlannedOrders[Part Name]=$A221)*(T_PlannedOrders[WeekIndex]=9)*(T_PlannedOrders[EffectiveQty]&gt;0)*T_PlannedOrders[Order_Month])),"m月")&amp;"発注)")</f>
        <v/>
      </c>
      <c r="M229">
        <f>IF(SUMIFS(T_PlannedOrders[EffectiveQty],T_PlannedOrders[Part Name],$A221,T_PlannedOrders[WeekIndex],10)=0,"",SUMIFS(T_PlannedOrders[EffectiveQty],T_PlannedOrders[Part Name],$A221,T_PlannedOrders[WeekIndex],10)&amp;" ("&amp;TEXT(SUMPRODUCT(MAX((T_PlannedOrders[Part Name]=$A221)*(T_PlannedOrders[WeekIndex]=10)*(T_PlannedOrders[EffectiveQty]&gt;0)*T_PlannedOrders[Order_Month])),"m月")&amp;"発注)")</f>
        <v/>
      </c>
      <c r="N229">
        <f>IF(SUMIFS(T_PlannedOrders[EffectiveQty],T_PlannedOrders[Part Name],$A221,T_PlannedOrders[WeekIndex],11)=0,"",SUMIFS(T_PlannedOrders[EffectiveQty],T_PlannedOrders[Part Name],$A221,T_PlannedOrders[WeekIndex],11)&amp;" ("&amp;TEXT(SUMPRODUCT(MAX((T_PlannedOrders[Part Name]=$A221)*(T_PlannedOrders[WeekIndex]=11)*(T_PlannedOrders[EffectiveQty]&gt;0)*T_PlannedOrders[Order_Month])),"m月")&amp;"発注)")</f>
        <v/>
      </c>
      <c r="O229">
        <f>IF(SUMIFS(T_PlannedOrders[EffectiveQty],T_PlannedOrders[Part Name],$A221,T_PlannedOrders[WeekIndex],12)=0,"",SUMIFS(T_PlannedOrders[EffectiveQty],T_PlannedOrders[Part Name],$A221,T_PlannedOrders[WeekIndex],12)&amp;" ("&amp;TEXT(SUMPRODUCT(MAX((T_PlannedOrders[Part Name]=$A221)*(T_PlannedOrders[WeekIndex]=12)*(T_PlannedOrders[EffectiveQty]&gt;0)*T_PlannedOrders[Order_Month])),"m月")&amp;"発注)")</f>
        <v/>
      </c>
      <c r="P229">
        <f>IF(SUMIFS(T_PlannedOrders[EffectiveQty],T_PlannedOrders[Part Name],$A221,T_PlannedOrders[WeekIndex],13)=0,"",SUMIFS(T_PlannedOrders[EffectiveQty],T_PlannedOrders[Part Name],$A221,T_PlannedOrders[WeekIndex],13)&amp;" ("&amp;TEXT(SUMPRODUCT(MAX((T_PlannedOrders[Part Name]=$A221)*(T_PlannedOrders[WeekIndex]=13)*(T_PlannedOrders[EffectiveQty]&gt;0)*T_PlannedOrders[Order_Month])),"m月")&amp;"発注)")</f>
        <v/>
      </c>
      <c r="Q229">
        <f>IF(SUMIFS(T_PlannedOrders[EffectiveQty],T_PlannedOrders[Part Name],$A221,T_PlannedOrders[WeekIndex],14)=0,"",SUMIFS(T_PlannedOrders[EffectiveQty],T_PlannedOrders[Part Name],$A221,T_PlannedOrders[WeekIndex],14)&amp;" ("&amp;TEXT(SUMPRODUCT(MAX((T_PlannedOrders[Part Name]=$A221)*(T_PlannedOrders[WeekIndex]=14)*(T_PlannedOrders[EffectiveQty]&gt;0)*T_PlannedOrders[Order_Month])),"m月")&amp;"発注)")</f>
        <v/>
      </c>
      <c r="R229">
        <f>IF(SUMIFS(T_PlannedOrders[EffectiveQty],T_PlannedOrders[Part Name],$A221,T_PlannedOrders[WeekIndex],15)=0,"",SUMIFS(T_PlannedOrders[EffectiveQty],T_PlannedOrders[Part Name],$A221,T_PlannedOrders[WeekIndex],15)&amp;" ("&amp;TEXT(SUMPRODUCT(MAX((T_PlannedOrders[Part Name]=$A221)*(T_PlannedOrders[WeekIndex]=15)*(T_PlannedOrders[EffectiveQty]&gt;0)*T_PlannedOrders[Order_Month])),"m月")&amp;"発注)")</f>
        <v/>
      </c>
      <c r="S229">
        <f>IF(SUMIFS(T_PlannedOrders[EffectiveQty],T_PlannedOrders[Part Name],$A221,T_PlannedOrders[WeekIndex],16)=0,"",SUMIFS(T_PlannedOrders[EffectiveQty],T_PlannedOrders[Part Name],$A221,T_PlannedOrders[WeekIndex],16)&amp;" ("&amp;TEXT(SUMPRODUCT(MAX((T_PlannedOrders[Part Name]=$A221)*(T_PlannedOrders[WeekIndex]=16)*(T_PlannedOrders[EffectiveQty]&gt;0)*T_PlannedOrders[Order_Month])),"m月")&amp;"発注)")</f>
        <v/>
      </c>
      <c r="T229">
        <f>IF(SUMIFS(T_PlannedOrders[EffectiveQty],T_PlannedOrders[Part Name],$A221,T_PlannedOrders[WeekIndex],17)=0,"",SUMIFS(T_PlannedOrders[EffectiveQty],T_PlannedOrders[Part Name],$A221,T_PlannedOrders[WeekIndex],17)&amp;" ("&amp;TEXT(SUMPRODUCT(MAX((T_PlannedOrders[Part Name]=$A221)*(T_PlannedOrders[WeekIndex]=17)*(T_PlannedOrders[EffectiveQty]&gt;0)*T_PlannedOrders[Order_Month])),"m月")&amp;"発注)")</f>
        <v/>
      </c>
      <c r="U229">
        <f>IF(SUMIFS(T_PlannedOrders[EffectiveQty],T_PlannedOrders[Part Name],$A221,T_PlannedOrders[WeekIndex],18)=0,"",SUMIFS(T_PlannedOrders[EffectiveQty],T_PlannedOrders[Part Name],$A221,T_PlannedOrders[WeekIndex],18)&amp;" ("&amp;TEXT(SUMPRODUCT(MAX((T_PlannedOrders[Part Name]=$A221)*(T_PlannedOrders[WeekIndex]=18)*(T_PlannedOrders[EffectiveQty]&gt;0)*T_PlannedOrders[Order_Month])),"m月")&amp;"発注)")</f>
        <v/>
      </c>
      <c r="V229">
        <f>IF(SUMIFS(T_PlannedOrders[EffectiveQty],T_PlannedOrders[Part Name],$A221,T_PlannedOrders[WeekIndex],19)=0,"",SUMIFS(T_PlannedOrders[EffectiveQty],T_PlannedOrders[Part Name],$A221,T_PlannedOrders[WeekIndex],19)&amp;" ("&amp;TEXT(SUMPRODUCT(MAX((T_PlannedOrders[Part Name]=$A221)*(T_PlannedOrders[WeekIndex]=19)*(T_PlannedOrders[EffectiveQty]&gt;0)*T_PlannedOrders[Order_Month])),"m月")&amp;"発注)")</f>
        <v/>
      </c>
      <c r="W229">
        <f>IF(SUMIFS(T_PlannedOrders[EffectiveQty],T_PlannedOrders[Part Name],$A221,T_PlannedOrders[WeekIndex],20)=0,"",SUMIFS(T_PlannedOrders[EffectiveQty],T_PlannedOrders[Part Name],$A221,T_PlannedOrders[WeekIndex],20)&amp;" ("&amp;TEXT(SUMPRODUCT(MAX((T_PlannedOrders[Part Name]=$A221)*(T_PlannedOrders[WeekIndex]=20)*(T_PlannedOrders[EffectiveQty]&gt;0)*T_PlannedOrders[Order_Month])),"m月")&amp;"発注)")</f>
        <v/>
      </c>
      <c r="X229">
        <f>IF(SUMIFS(T_PlannedOrders[EffectiveQty],T_PlannedOrders[Part Name],$A221,T_PlannedOrders[WeekIndex],21)=0,"",SUMIFS(T_PlannedOrders[EffectiveQty],T_PlannedOrders[Part Name],$A221,T_PlannedOrders[WeekIndex],21)&amp;" ("&amp;TEXT(SUMPRODUCT(MAX((T_PlannedOrders[Part Name]=$A221)*(T_PlannedOrders[WeekIndex]=21)*(T_PlannedOrders[EffectiveQty]&gt;0)*T_PlannedOrders[Order_Month])),"m月")&amp;"発注)")</f>
        <v/>
      </c>
      <c r="Y229">
        <f>IF(SUMIFS(T_PlannedOrders[EffectiveQty],T_PlannedOrders[Part Name],$A221,T_PlannedOrders[WeekIndex],22)=0,"",SUMIFS(T_PlannedOrders[EffectiveQty],T_PlannedOrders[Part Name],$A221,T_PlannedOrders[WeekIndex],22)&amp;" ("&amp;TEXT(SUMPRODUCT(MAX((T_PlannedOrders[Part Name]=$A221)*(T_PlannedOrders[WeekIndex]=22)*(T_PlannedOrders[EffectiveQty]&gt;0)*T_PlannedOrders[Order_Month])),"m月")&amp;"発注)")</f>
        <v/>
      </c>
      <c r="Z229">
        <f>IF(SUMIFS(T_PlannedOrders[EffectiveQty],T_PlannedOrders[Part Name],$A221,T_PlannedOrders[WeekIndex],23)=0,"",SUMIFS(T_PlannedOrders[EffectiveQty],T_PlannedOrders[Part Name],$A221,T_PlannedOrders[WeekIndex],23)&amp;" ("&amp;TEXT(SUMPRODUCT(MAX((T_PlannedOrders[Part Name]=$A221)*(T_PlannedOrders[WeekIndex]=23)*(T_PlannedOrders[EffectiveQty]&gt;0)*T_PlannedOrders[Order_Month])),"m月")&amp;"発注)")</f>
        <v/>
      </c>
      <c r="AA229">
        <f>IF(SUMIFS(T_PlannedOrders[EffectiveQty],T_PlannedOrders[Part Name],$A221,T_PlannedOrders[WeekIndex],24)=0,"",SUMIFS(T_PlannedOrders[EffectiveQty],T_PlannedOrders[Part Name],$A221,T_PlannedOrders[WeekIndex],24)&amp;" ("&amp;TEXT(SUMPRODUCT(MAX((T_PlannedOrders[Part Name]=$A221)*(T_PlannedOrders[WeekIndex]=24)*(T_PlannedOrders[EffectiveQty]&gt;0)*T_PlannedOrders[Order_Month])),"m月")&amp;"発注)")</f>
        <v/>
      </c>
      <c r="AB229">
        <f>IF(SUMIFS(T_PlannedOrders[EffectiveQty],T_PlannedOrders[Part Name],$A221,T_PlannedOrders[WeekIndex],25)=0,"",SUMIFS(T_PlannedOrders[EffectiveQty],T_PlannedOrders[Part Name],$A221,T_PlannedOrders[WeekIndex],25)&amp;" ("&amp;TEXT(SUMPRODUCT(MAX((T_PlannedOrders[Part Name]=$A221)*(T_PlannedOrders[WeekIndex]=25)*(T_PlannedOrders[EffectiveQty]&gt;0)*T_PlannedOrders[Order_Month])),"m月")&amp;"発注)")</f>
        <v/>
      </c>
      <c r="AC229">
        <f>IF(SUMIFS(T_PlannedOrders[EffectiveQty],T_PlannedOrders[Part Name],$A221,T_PlannedOrders[WeekIndex],26)=0,"",SUMIFS(T_PlannedOrders[EffectiveQty],T_PlannedOrders[Part Name],$A221,T_PlannedOrders[WeekIndex],26)&amp;" ("&amp;TEXT(SUMPRODUCT(MAX((T_PlannedOrders[Part Name]=$A221)*(T_PlannedOrders[WeekIndex]=26)*(T_PlannedOrders[EffectiveQty]&gt;0)*T_PlannedOrders[Order_Month])),"m月")&amp;"発注)")</f>
        <v/>
      </c>
      <c r="AD229">
        <f>IF(SUMIFS(T_PlannedOrders[EffectiveQty],T_PlannedOrders[Part Name],$A221,T_PlannedOrders[WeekIndex],27)=0,"",SUMIFS(T_PlannedOrders[EffectiveQty],T_PlannedOrders[Part Name],$A221,T_PlannedOrders[WeekIndex],27)&amp;" ("&amp;TEXT(SUMPRODUCT(MAX((T_PlannedOrders[Part Name]=$A221)*(T_PlannedOrders[WeekIndex]=27)*(T_PlannedOrders[EffectiveQty]&gt;0)*T_PlannedOrders[Order_Month])),"m月")&amp;"発注)")</f>
        <v/>
      </c>
      <c r="AE229">
        <f>IF(SUMIFS(T_PlannedOrders[EffectiveQty],T_PlannedOrders[Part Name],$A221,T_PlannedOrders[WeekIndex],28)=0,"",SUMIFS(T_PlannedOrders[EffectiveQty],T_PlannedOrders[Part Name],$A221,T_PlannedOrders[WeekIndex],28)&amp;" ("&amp;TEXT(SUMPRODUCT(MAX((T_PlannedOrders[Part Name]=$A221)*(T_PlannedOrders[WeekIndex]=28)*(T_PlannedOrders[EffectiveQty]&gt;0)*T_PlannedOrders[Order_Month])),"m月")&amp;"発注)")</f>
        <v/>
      </c>
      <c r="AF229">
        <f>IF(SUMIFS(T_PlannedOrders[EffectiveQty],T_PlannedOrders[Part Name],$A221,T_PlannedOrders[WeekIndex],29)=0,"",SUMIFS(T_PlannedOrders[EffectiveQty],T_PlannedOrders[Part Name],$A221,T_PlannedOrders[WeekIndex],29)&amp;" ("&amp;TEXT(SUMPRODUCT(MAX((T_PlannedOrders[Part Name]=$A221)*(T_PlannedOrders[WeekIndex]=29)*(T_PlannedOrders[EffectiveQty]&gt;0)*T_PlannedOrders[Order_Month])),"m月")&amp;"発注)")</f>
        <v/>
      </c>
      <c r="AG229">
        <f>IF(SUMIFS(T_PlannedOrders[EffectiveQty],T_PlannedOrders[Part Name],$A221,T_PlannedOrders[WeekIndex],30)=0,"",SUMIFS(T_PlannedOrders[EffectiveQty],T_PlannedOrders[Part Name],$A221,T_PlannedOrders[WeekIndex],30)&amp;" ("&amp;TEXT(SUMPRODUCT(MAX((T_PlannedOrders[Part Name]=$A221)*(T_PlannedOrders[WeekIndex]=30)*(T_PlannedOrders[EffectiveQty]&gt;0)*T_PlannedOrders[Order_Month])),"m月")&amp;"発注)")</f>
        <v/>
      </c>
      <c r="AH229">
        <f>IF(SUMIFS(T_PlannedOrders[EffectiveQty],T_PlannedOrders[Part Name],$A221,T_PlannedOrders[WeekIndex],31)=0,"",SUMIFS(T_PlannedOrders[EffectiveQty],T_PlannedOrders[Part Name],$A221,T_PlannedOrders[WeekIndex],31)&amp;" ("&amp;TEXT(SUMPRODUCT(MAX((T_PlannedOrders[Part Name]=$A221)*(T_PlannedOrders[WeekIndex]=31)*(T_PlannedOrders[EffectiveQty]&gt;0)*T_PlannedOrders[Order_Month])),"m月")&amp;"発注)")</f>
        <v/>
      </c>
      <c r="AI229">
        <f>IF(SUMIFS(T_PlannedOrders[EffectiveQty],T_PlannedOrders[Part Name],$A221,T_PlannedOrders[WeekIndex],32)=0,"",SUMIFS(T_PlannedOrders[EffectiveQty],T_PlannedOrders[Part Name],$A221,T_PlannedOrders[WeekIndex],32)&amp;" ("&amp;TEXT(SUMPRODUCT(MAX((T_PlannedOrders[Part Name]=$A221)*(T_PlannedOrders[WeekIndex]=32)*(T_PlannedOrders[EffectiveQty]&gt;0)*T_PlannedOrders[Order_Month])),"m月")&amp;"発注)")</f>
        <v/>
      </c>
      <c r="AJ229">
        <f>IF(SUMIFS(T_PlannedOrders[EffectiveQty],T_PlannedOrders[Part Name],$A221,T_PlannedOrders[WeekIndex],33)=0,"",SUMIFS(T_PlannedOrders[EffectiveQty],T_PlannedOrders[Part Name],$A221,T_PlannedOrders[WeekIndex],33)&amp;" ("&amp;TEXT(SUMPRODUCT(MAX((T_PlannedOrders[Part Name]=$A221)*(T_PlannedOrders[WeekIndex]=33)*(T_PlannedOrders[EffectiveQty]&gt;0)*T_PlannedOrders[Order_Month])),"m月")&amp;"発注)")</f>
        <v/>
      </c>
      <c r="AK229">
        <f>IF(SUMIFS(T_PlannedOrders[EffectiveQty],T_PlannedOrders[Part Name],$A221,T_PlannedOrders[WeekIndex],34)=0,"",SUMIFS(T_PlannedOrders[EffectiveQty],T_PlannedOrders[Part Name],$A221,T_PlannedOrders[WeekIndex],34)&amp;" ("&amp;TEXT(SUMPRODUCT(MAX((T_PlannedOrders[Part Name]=$A221)*(T_PlannedOrders[WeekIndex]=34)*(T_PlannedOrders[EffectiveQty]&gt;0)*T_PlannedOrders[Order_Month])),"m月")&amp;"発注)")</f>
        <v/>
      </c>
      <c r="AL229">
        <f>IF(SUMIFS(T_PlannedOrders[EffectiveQty],T_PlannedOrders[Part Name],$A221,T_PlannedOrders[WeekIndex],35)=0,"",SUMIFS(T_PlannedOrders[EffectiveQty],T_PlannedOrders[Part Name],$A221,T_PlannedOrders[WeekIndex],35)&amp;" ("&amp;TEXT(SUMPRODUCT(MAX((T_PlannedOrders[Part Name]=$A221)*(T_PlannedOrders[WeekIndex]=35)*(T_PlannedOrders[EffectiveQty]&gt;0)*T_PlannedOrders[Order_Month])),"m月")&amp;"発注)")</f>
        <v/>
      </c>
      <c r="AM229">
        <f>IF(SUMIFS(T_PlannedOrders[EffectiveQty],T_PlannedOrders[Part Name],$A221,T_PlannedOrders[WeekIndex],36)=0,"",SUMIFS(T_PlannedOrders[EffectiveQty],T_PlannedOrders[Part Name],$A221,T_PlannedOrders[WeekIndex],36)&amp;" ("&amp;TEXT(SUMPRODUCT(MAX((T_PlannedOrders[Part Name]=$A221)*(T_PlannedOrders[WeekIndex]=36)*(T_PlannedOrders[EffectiveQty]&gt;0)*T_PlannedOrders[Order_Month])),"m月")&amp;"発注)")</f>
        <v/>
      </c>
      <c r="AN229">
        <f>IF(SUMIFS(T_PlannedOrders[EffectiveQty],T_PlannedOrders[Part Name],$A221,T_PlannedOrders[WeekIndex],37)=0,"",SUMIFS(T_PlannedOrders[EffectiveQty],T_PlannedOrders[Part Name],$A221,T_PlannedOrders[WeekIndex],37)&amp;" ("&amp;TEXT(SUMPRODUCT(MAX((T_PlannedOrders[Part Name]=$A221)*(T_PlannedOrders[WeekIndex]=37)*(T_PlannedOrders[EffectiveQty]&gt;0)*T_PlannedOrders[Order_Month])),"m月")&amp;"発注)")</f>
        <v/>
      </c>
      <c r="AO229">
        <f>IF(SUMIFS(T_PlannedOrders[EffectiveQty],T_PlannedOrders[Part Name],$A221,T_PlannedOrders[WeekIndex],38)=0,"",SUMIFS(T_PlannedOrders[EffectiveQty],T_PlannedOrders[Part Name],$A221,T_PlannedOrders[WeekIndex],38)&amp;" ("&amp;TEXT(SUMPRODUCT(MAX((T_PlannedOrders[Part Name]=$A221)*(T_PlannedOrders[WeekIndex]=38)*(T_PlannedOrders[EffectiveQty]&gt;0)*T_PlannedOrders[Order_Month])),"m月")&amp;"発注)")</f>
        <v/>
      </c>
      <c r="AP229">
        <f>IF(SUMIFS(T_PlannedOrders[EffectiveQty],T_PlannedOrders[Part Name],$A221,T_PlannedOrders[WeekIndex],39)=0,"",SUMIFS(T_PlannedOrders[EffectiveQty],T_PlannedOrders[Part Name],$A221,T_PlannedOrders[WeekIndex],39)&amp;" ("&amp;TEXT(SUMPRODUCT(MAX((T_PlannedOrders[Part Name]=$A221)*(T_PlannedOrders[WeekIndex]=39)*(T_PlannedOrders[EffectiveQty]&gt;0)*T_PlannedOrders[Order_Month])),"m月")&amp;"発注)")</f>
        <v/>
      </c>
      <c r="AQ229">
        <f>IF(SUMIFS(T_PlannedOrders[EffectiveQty],T_PlannedOrders[Part Name],$A221,T_PlannedOrders[WeekIndex],40)=0,"",SUMIFS(T_PlannedOrders[EffectiveQty],T_PlannedOrders[Part Name],$A221,T_PlannedOrders[WeekIndex],40)&amp;" ("&amp;TEXT(SUMPRODUCT(MAX((T_PlannedOrders[Part Name]=$A221)*(T_PlannedOrders[WeekIndex]=40)*(T_PlannedOrders[EffectiveQty]&gt;0)*T_PlannedOrders[Order_Month])),"m月")&amp;"発注)")</f>
        <v/>
      </c>
      <c r="AR229">
        <f>IF(SUMIFS(T_PlannedOrders[EffectiveQty],T_PlannedOrders[Part Name],$A221,T_PlannedOrders[WeekIndex],41)=0,"",SUMIFS(T_PlannedOrders[EffectiveQty],T_PlannedOrders[Part Name],$A221,T_PlannedOrders[WeekIndex],41)&amp;" ("&amp;TEXT(SUMPRODUCT(MAX((T_PlannedOrders[Part Name]=$A221)*(T_PlannedOrders[WeekIndex]=41)*(T_PlannedOrders[EffectiveQty]&gt;0)*T_PlannedOrders[Order_Month])),"m月")&amp;"発注)")</f>
        <v/>
      </c>
      <c r="AS229">
        <f>IF(SUMIFS(T_PlannedOrders[EffectiveQty],T_PlannedOrders[Part Name],$A221,T_PlannedOrders[WeekIndex],42)=0,"",SUMIFS(T_PlannedOrders[EffectiveQty],T_PlannedOrders[Part Name],$A221,T_PlannedOrders[WeekIndex],42)&amp;" ("&amp;TEXT(SUMPRODUCT(MAX((T_PlannedOrders[Part Name]=$A221)*(T_PlannedOrders[WeekIndex]=42)*(T_PlannedOrders[EffectiveQty]&gt;0)*T_PlannedOrders[Order_Month])),"m月")&amp;"発注)")</f>
        <v/>
      </c>
      <c r="AT229">
        <f>IF(SUMIFS(T_PlannedOrders[EffectiveQty],T_PlannedOrders[Part Name],$A221,T_PlannedOrders[WeekIndex],43)=0,"",SUMIFS(T_PlannedOrders[EffectiveQty],T_PlannedOrders[Part Name],$A221,T_PlannedOrders[WeekIndex],43)&amp;" ("&amp;TEXT(SUMPRODUCT(MAX((T_PlannedOrders[Part Name]=$A221)*(T_PlannedOrders[WeekIndex]=43)*(T_PlannedOrders[EffectiveQty]&gt;0)*T_PlannedOrders[Order_Month])),"m月")&amp;"発注)")</f>
        <v/>
      </c>
      <c r="AU229">
        <f>IF(SUMIFS(T_PlannedOrders[EffectiveQty],T_PlannedOrders[Part Name],$A221,T_PlannedOrders[WeekIndex],44)=0,"",SUMIFS(T_PlannedOrders[EffectiveQty],T_PlannedOrders[Part Name],$A221,T_PlannedOrders[WeekIndex],44)&amp;" ("&amp;TEXT(SUMPRODUCT(MAX((T_PlannedOrders[Part Name]=$A221)*(T_PlannedOrders[WeekIndex]=44)*(T_PlannedOrders[EffectiveQty]&gt;0)*T_PlannedOrders[Order_Month])),"m月")&amp;"発注)")</f>
        <v/>
      </c>
      <c r="AV229">
        <f>IF(SUMIFS(T_PlannedOrders[EffectiveQty],T_PlannedOrders[Part Name],$A221,T_PlannedOrders[WeekIndex],45)=0,"",SUMIFS(T_PlannedOrders[EffectiveQty],T_PlannedOrders[Part Name],$A221,T_PlannedOrders[WeekIndex],45)&amp;" ("&amp;TEXT(SUMPRODUCT(MAX((T_PlannedOrders[Part Name]=$A221)*(T_PlannedOrders[WeekIndex]=45)*(T_PlannedOrders[EffectiveQty]&gt;0)*T_PlannedOrders[Order_Month])),"m月")&amp;"発注)")</f>
        <v/>
      </c>
      <c r="AW229">
        <f>IF(SUMIFS(T_PlannedOrders[EffectiveQty],T_PlannedOrders[Part Name],$A221,T_PlannedOrders[WeekIndex],46)=0,"",SUMIFS(T_PlannedOrders[EffectiveQty],T_PlannedOrders[Part Name],$A221,T_PlannedOrders[WeekIndex],46)&amp;" ("&amp;TEXT(SUMPRODUCT(MAX((T_PlannedOrders[Part Name]=$A221)*(T_PlannedOrders[WeekIndex]=46)*(T_PlannedOrders[EffectiveQty]&gt;0)*T_PlannedOrders[Order_Month])),"m月")&amp;"発注)")</f>
        <v/>
      </c>
      <c r="AX229">
        <f>IF(SUMIFS(T_PlannedOrders[EffectiveQty],T_PlannedOrders[Part Name],$A221,T_PlannedOrders[WeekIndex],47)=0,"",SUMIFS(T_PlannedOrders[EffectiveQty],T_PlannedOrders[Part Name],$A221,T_PlannedOrders[WeekIndex],47)&amp;" ("&amp;TEXT(SUMPRODUCT(MAX((T_PlannedOrders[Part Name]=$A221)*(T_PlannedOrders[WeekIndex]=47)*(T_PlannedOrders[EffectiveQty]&gt;0)*T_PlannedOrders[Order_Month])),"m月")&amp;"発注)")</f>
        <v/>
      </c>
      <c r="AY229">
        <f>IF(SUMIFS(T_PlannedOrders[EffectiveQty],T_PlannedOrders[Part Name],$A221,T_PlannedOrders[WeekIndex],48)=0,"",SUMIFS(T_PlannedOrders[EffectiveQty],T_PlannedOrders[Part Name],$A221,T_PlannedOrders[WeekIndex],48)&amp;" ("&amp;TEXT(SUMPRODUCT(MAX((T_PlannedOrders[Part Name]=$A221)*(T_PlannedOrders[WeekIndex]=48)*(T_PlannedOrders[EffectiveQty]&gt;0)*T_PlannedOrders[Order_Month])),"m月")&amp;"発注)")</f>
        <v/>
      </c>
      <c r="AZ229">
        <f>IF(SUMIFS(T_PlannedOrders[EffectiveQty],T_PlannedOrders[Part Name],$A221,T_PlannedOrders[WeekIndex],49)=0,"",SUMIFS(T_PlannedOrders[EffectiveQty],T_PlannedOrders[Part Name],$A221,T_PlannedOrders[WeekIndex],49)&amp;" ("&amp;TEXT(SUMPRODUCT(MAX((T_PlannedOrders[Part Name]=$A221)*(T_PlannedOrders[WeekIndex]=49)*(T_PlannedOrders[EffectiveQty]&gt;0)*T_PlannedOrders[Order_Month])),"m月")&amp;"発注)")</f>
        <v/>
      </c>
      <c r="BA229">
        <f>IF(SUMIFS(T_PlannedOrders[EffectiveQty],T_PlannedOrders[Part Name],$A221,T_PlannedOrders[WeekIndex],50)=0,"",SUMIFS(T_PlannedOrders[EffectiveQty],T_PlannedOrders[Part Name],$A221,T_PlannedOrders[WeekIndex],50)&amp;" ("&amp;TEXT(SUMPRODUCT(MAX((T_PlannedOrders[Part Name]=$A221)*(T_PlannedOrders[WeekIndex]=50)*(T_PlannedOrders[EffectiveQty]&gt;0)*T_PlannedOrders[Order_Month])),"m月")&amp;"発注)")</f>
        <v/>
      </c>
      <c r="BB229">
        <f>IF(SUMIFS(T_PlannedOrders[EffectiveQty],T_PlannedOrders[Part Name],$A221,T_PlannedOrders[WeekIndex],51)=0,"",SUMIFS(T_PlannedOrders[EffectiveQty],T_PlannedOrders[Part Name],$A221,T_PlannedOrders[WeekIndex],51)&amp;" ("&amp;TEXT(SUMPRODUCT(MAX((T_PlannedOrders[Part Name]=$A221)*(T_PlannedOrders[WeekIndex]=51)*(T_PlannedOrders[EffectiveQty]&gt;0)*T_PlannedOrders[Order_Month])),"m月")&amp;"発注)")</f>
        <v/>
      </c>
      <c r="BC229">
        <f>IF(SUMIFS(T_PlannedOrders[EffectiveQty],T_PlannedOrders[Part Name],$A221,T_PlannedOrders[WeekIndex],52)=0,"",SUMIFS(T_PlannedOrders[EffectiveQty],T_PlannedOrders[Part Name],$A221,T_PlannedOrders[WeekIndex],52)&amp;" ("&amp;TEXT(SUMPRODUCT(MAX((T_PlannedOrders[Part Name]=$A221)*(T_PlannedOrders[WeekIndex]=52)*(T_PlannedOrders[EffectiveQty]&gt;0)*T_PlannedOrders[Order_Month])),"m月")&amp;"発注)")</f>
        <v/>
      </c>
      <c r="BD229">
        <f>IF(SUMIFS(T_PlannedOrders[EffectiveQty],T_PlannedOrders[Part Name],$A221,T_PlannedOrders[WeekIndex],53)=0,"",SUMIFS(T_PlannedOrders[EffectiveQty],T_PlannedOrders[Part Name],$A221,T_PlannedOrders[WeekIndex],53)&amp;" ("&amp;TEXT(SUMPRODUCT(MAX((T_PlannedOrders[Part Name]=$A221)*(T_PlannedOrders[WeekIndex]=53)*(T_PlannedOrders[EffectiveQty]&gt;0)*T_PlannedOrders[Order_Month])),"m月")&amp;"発注)")</f>
        <v/>
      </c>
      <c r="BE229">
        <f>IF(SUMIFS(T_PlannedOrders[EffectiveQty],T_PlannedOrders[Part Name],$A221,T_PlannedOrders[WeekIndex],54)=0,"",SUMIFS(T_PlannedOrders[EffectiveQty],T_PlannedOrders[Part Name],$A221,T_PlannedOrders[WeekIndex],54)&amp;" ("&amp;TEXT(SUMPRODUCT(MAX((T_PlannedOrders[Part Name]=$A221)*(T_PlannedOrders[WeekIndex]=54)*(T_PlannedOrders[EffectiveQty]&gt;0)*T_PlannedOrders[Order_Month])),"m月")&amp;"発注)")</f>
        <v/>
      </c>
      <c r="BF229">
        <f>IF(SUMIFS(T_PlannedOrders[EffectiveQty],T_PlannedOrders[Part Name],$A221,T_PlannedOrders[WeekIndex],55)=0,"",SUMIFS(T_PlannedOrders[EffectiveQty],T_PlannedOrders[Part Name],$A221,T_PlannedOrders[WeekIndex],55)&amp;" ("&amp;TEXT(SUMPRODUCT(MAX((T_PlannedOrders[Part Name]=$A221)*(T_PlannedOrders[WeekIndex]=55)*(T_PlannedOrders[EffectiveQty]&gt;0)*T_PlannedOrders[Order_Month])),"m月")&amp;"発注)")</f>
        <v/>
      </c>
      <c r="BG229">
        <f>IF(SUMIFS(T_PlannedOrders[EffectiveQty],T_PlannedOrders[Part Name],$A221,T_PlannedOrders[WeekIndex],56)=0,"",SUMIFS(T_PlannedOrders[EffectiveQty],T_PlannedOrders[Part Name],$A221,T_PlannedOrders[WeekIndex],56)&amp;" ("&amp;TEXT(SUMPRODUCT(MAX((T_PlannedOrders[Part Name]=$A221)*(T_PlannedOrders[WeekIndex]=56)*(T_PlannedOrders[EffectiveQty]&gt;0)*T_PlannedOrders[Order_Month])),"m月")&amp;"発注)")</f>
        <v/>
      </c>
      <c r="BH229">
        <f>IF(SUMIFS(T_PlannedOrders[EffectiveQty],T_PlannedOrders[Part Name],$A221,T_PlannedOrders[WeekIndex],57)=0,"",SUMIFS(T_PlannedOrders[EffectiveQty],T_PlannedOrders[Part Name],$A221,T_PlannedOrders[WeekIndex],57)&amp;" ("&amp;TEXT(SUMPRODUCT(MAX((T_PlannedOrders[Part Name]=$A221)*(T_PlannedOrders[WeekIndex]=57)*(T_PlannedOrders[EffectiveQty]&gt;0)*T_PlannedOrders[Order_Month])),"m月")&amp;"発注)")</f>
        <v/>
      </c>
      <c r="BI229">
        <f>IF(SUMIFS(T_PlannedOrders[EffectiveQty],T_PlannedOrders[Part Name],$A221,T_PlannedOrders[WeekIndex],58)=0,"",SUMIFS(T_PlannedOrders[EffectiveQty],T_PlannedOrders[Part Name],$A221,T_PlannedOrders[WeekIndex],58)&amp;" ("&amp;TEXT(SUMPRODUCT(MAX((T_PlannedOrders[Part Name]=$A221)*(T_PlannedOrders[WeekIndex]=58)*(T_PlannedOrders[EffectiveQty]&gt;0)*T_PlannedOrders[Order_Month])),"m月")&amp;"発注)")</f>
        <v/>
      </c>
      <c r="BJ229">
        <f>IF(SUMIFS(T_PlannedOrders[EffectiveQty],T_PlannedOrders[Part Name],$A221,T_PlannedOrders[WeekIndex],59)=0,"",SUMIFS(T_PlannedOrders[EffectiveQty],T_PlannedOrders[Part Name],$A221,T_PlannedOrders[WeekIndex],59)&amp;" ("&amp;TEXT(SUMPRODUCT(MAX((T_PlannedOrders[Part Name]=$A221)*(T_PlannedOrders[WeekIndex]=59)*(T_PlannedOrders[EffectiveQty]&gt;0)*T_PlannedOrders[Order_Month])),"m月")&amp;"発注)")</f>
        <v/>
      </c>
      <c r="BK229">
        <f>IF(SUMIFS(T_PlannedOrders[EffectiveQty],T_PlannedOrders[Part Name],$A221,T_PlannedOrders[WeekIndex],60)=0,"",SUMIFS(T_PlannedOrders[EffectiveQty],T_PlannedOrders[Part Name],$A221,T_PlannedOrders[WeekIndex],60)&amp;" ("&amp;TEXT(SUMPRODUCT(MAX((T_PlannedOrders[Part Name]=$A221)*(T_PlannedOrders[WeekIndex]=60)*(T_PlannedOrders[EffectiveQty]&gt;0)*T_PlannedOrders[Order_Month])),"m月")&amp;"発注)")</f>
        <v/>
      </c>
      <c r="BL229">
        <f>IF(SUMIFS(T_PlannedOrders[EffectiveQty],T_PlannedOrders[Part Name],$A221,T_PlannedOrders[WeekIndex],61)=0,"",SUMIFS(T_PlannedOrders[EffectiveQty],T_PlannedOrders[Part Name],$A221,T_PlannedOrders[WeekIndex],61)&amp;" ("&amp;TEXT(SUMPRODUCT(MAX((T_PlannedOrders[Part Name]=$A221)*(T_PlannedOrders[WeekIndex]=61)*(T_PlannedOrders[EffectiveQty]&gt;0)*T_PlannedOrders[Order_Month])),"m月")&amp;"発注)")</f>
        <v/>
      </c>
      <c r="BM229">
        <f>IF(SUMIFS(T_PlannedOrders[EffectiveQty],T_PlannedOrders[Part Name],$A221,T_PlannedOrders[WeekIndex],62)=0,"",SUMIFS(T_PlannedOrders[EffectiveQty],T_PlannedOrders[Part Name],$A221,T_PlannedOrders[WeekIndex],62)&amp;" ("&amp;TEXT(SUMPRODUCT(MAX((T_PlannedOrders[Part Name]=$A221)*(T_PlannedOrders[WeekIndex]=62)*(T_PlannedOrders[EffectiveQty]&gt;0)*T_PlannedOrders[Order_Month])),"m月")&amp;"発注)")</f>
        <v/>
      </c>
      <c r="BN229">
        <f>IF(SUMIFS(T_PlannedOrders[EffectiveQty],T_PlannedOrders[Part Name],$A221,T_PlannedOrders[WeekIndex],63)=0,"",SUMIFS(T_PlannedOrders[EffectiveQty],T_PlannedOrders[Part Name],$A221,T_PlannedOrders[WeekIndex],63)&amp;" ("&amp;TEXT(SUMPRODUCT(MAX((T_PlannedOrders[Part Name]=$A221)*(T_PlannedOrders[WeekIndex]=63)*(T_PlannedOrders[EffectiveQty]&gt;0)*T_PlannedOrders[Order_Month])),"m月")&amp;"発注)")</f>
        <v/>
      </c>
      <c r="BO229">
        <f>IF(SUMIFS(T_PlannedOrders[EffectiveQty],T_PlannedOrders[Part Name],$A221,T_PlannedOrders[WeekIndex],64)=0,"",SUMIFS(T_PlannedOrders[EffectiveQty],T_PlannedOrders[Part Name],$A221,T_PlannedOrders[WeekIndex],64)&amp;" ("&amp;TEXT(SUMPRODUCT(MAX((T_PlannedOrders[Part Name]=$A221)*(T_PlannedOrders[WeekIndex]=64)*(T_PlannedOrders[EffectiveQty]&gt;0)*T_PlannedOrders[Order_Month])),"m月")&amp;"発注)")</f>
        <v/>
      </c>
      <c r="BP229">
        <f>IF(SUMIFS(T_PlannedOrders[EffectiveQty],T_PlannedOrders[Part Name],$A221,T_PlannedOrders[WeekIndex],65)=0,"",SUMIFS(T_PlannedOrders[EffectiveQty],T_PlannedOrders[Part Name],$A221,T_PlannedOrders[WeekIndex],65)&amp;" ("&amp;TEXT(SUMPRODUCT(MAX((T_PlannedOrders[Part Name]=$A221)*(T_PlannedOrders[WeekIndex]=65)*(T_PlannedOrders[EffectiveQty]&gt;0)*T_PlannedOrders[Order_Month])),"m月")&amp;"発注)")</f>
        <v/>
      </c>
      <c r="BQ229">
        <f>IF(SUMIFS(T_PlannedOrders[EffectiveQty],T_PlannedOrders[Part Name],$A221,T_PlannedOrders[WeekIndex],66)=0,"",SUMIFS(T_PlannedOrders[EffectiveQty],T_PlannedOrders[Part Name],$A221,T_PlannedOrders[WeekIndex],66)&amp;" ("&amp;TEXT(SUMPRODUCT(MAX((T_PlannedOrders[Part Name]=$A221)*(T_PlannedOrders[WeekIndex]=66)*(T_PlannedOrders[EffectiveQty]&gt;0)*T_PlannedOrders[Order_Month])),"m月")&amp;"発注)")</f>
        <v/>
      </c>
      <c r="BR229">
        <f>IF(SUMIFS(T_PlannedOrders[EffectiveQty],T_PlannedOrders[Part Name],$A221,T_PlannedOrders[WeekIndex],67)=0,"",SUMIFS(T_PlannedOrders[EffectiveQty],T_PlannedOrders[Part Name],$A221,T_PlannedOrders[WeekIndex],67)&amp;" ("&amp;TEXT(SUMPRODUCT(MAX((T_PlannedOrders[Part Name]=$A221)*(T_PlannedOrders[WeekIndex]=67)*(T_PlannedOrders[EffectiveQty]&gt;0)*T_PlannedOrders[Order_Month])),"m月")&amp;"発注)")</f>
        <v/>
      </c>
      <c r="BS229">
        <f>IF(SUMIFS(T_PlannedOrders[EffectiveQty],T_PlannedOrders[Part Name],$A221,T_PlannedOrders[WeekIndex],68)=0,"",SUMIFS(T_PlannedOrders[EffectiveQty],T_PlannedOrders[Part Name],$A221,T_PlannedOrders[WeekIndex],68)&amp;" ("&amp;TEXT(SUMPRODUCT(MAX((T_PlannedOrders[Part Name]=$A221)*(T_PlannedOrders[WeekIndex]=68)*(T_PlannedOrders[EffectiveQty]&gt;0)*T_PlannedOrders[Order_Month])),"m月")&amp;"発注)")</f>
        <v/>
      </c>
      <c r="BT229">
        <f>IF(SUMIFS(T_PlannedOrders[EffectiveQty],T_PlannedOrders[Part Name],$A221,T_PlannedOrders[WeekIndex],69)=0,"",SUMIFS(T_PlannedOrders[EffectiveQty],T_PlannedOrders[Part Name],$A221,T_PlannedOrders[WeekIndex],69)&amp;" ("&amp;TEXT(SUMPRODUCT(MAX((T_PlannedOrders[Part Name]=$A221)*(T_PlannedOrders[WeekIndex]=69)*(T_PlannedOrders[EffectiveQty]&gt;0)*T_PlannedOrders[Order_Month])),"m月")&amp;"発注)")</f>
        <v/>
      </c>
      <c r="BU229">
        <f>IF(SUMIFS(T_PlannedOrders[EffectiveQty],T_PlannedOrders[Part Name],$A221,T_PlannedOrders[WeekIndex],70)=0,"",SUMIFS(T_PlannedOrders[EffectiveQty],T_PlannedOrders[Part Name],$A221,T_PlannedOrders[WeekIndex],70)&amp;" ("&amp;TEXT(SUMPRODUCT(MAX((T_PlannedOrders[Part Name]=$A221)*(T_PlannedOrders[WeekIndex]=70)*(T_PlannedOrders[EffectiveQty]&gt;0)*T_PlannedOrders[Order_Month])),"m月")&amp;"発注)")</f>
        <v/>
      </c>
      <c r="BV229">
        <f>IF(SUMIFS(T_PlannedOrders[EffectiveQty],T_PlannedOrders[Part Name],$A221,T_PlannedOrders[WeekIndex],71)=0,"",SUMIFS(T_PlannedOrders[EffectiveQty],T_PlannedOrders[Part Name],$A221,T_PlannedOrders[WeekIndex],71)&amp;" ("&amp;TEXT(SUMPRODUCT(MAX((T_PlannedOrders[Part Name]=$A221)*(T_PlannedOrders[WeekIndex]=71)*(T_PlannedOrders[EffectiveQty]&gt;0)*T_PlannedOrders[Order_Month])),"m月")&amp;"発注)")</f>
        <v/>
      </c>
      <c r="BW229">
        <f>IF(SUMIFS(T_PlannedOrders[EffectiveQty],T_PlannedOrders[Part Name],$A221,T_PlannedOrders[WeekIndex],72)=0,"",SUMIFS(T_PlannedOrders[EffectiveQty],T_PlannedOrders[Part Name],$A221,T_PlannedOrders[WeekIndex],72)&amp;" ("&amp;TEXT(SUMPRODUCT(MAX((T_PlannedOrders[Part Name]=$A221)*(T_PlannedOrders[WeekIndex]=72)*(T_PlannedOrders[EffectiveQty]&gt;0)*T_PlannedOrders[Order_Month])),"m月")&amp;"発注)")</f>
        <v/>
      </c>
      <c r="BX229">
        <f>IF(SUMIFS(T_PlannedOrders[EffectiveQty],T_PlannedOrders[Part Name],$A221,T_PlannedOrders[WeekIndex],73)=0,"",SUMIFS(T_PlannedOrders[EffectiveQty],T_PlannedOrders[Part Name],$A221,T_PlannedOrders[WeekIndex],73)&amp;" ("&amp;TEXT(SUMPRODUCT(MAX((T_PlannedOrders[Part Name]=$A221)*(T_PlannedOrders[WeekIndex]=73)*(T_PlannedOrders[EffectiveQty]&gt;0)*T_PlannedOrders[Order_Month])),"m月")&amp;"発注)")</f>
        <v/>
      </c>
      <c r="BY229">
        <f>IF(SUMIFS(T_PlannedOrders[EffectiveQty],T_PlannedOrders[Part Name],$A221,T_PlannedOrders[WeekIndex],74)=0,"",SUMIFS(T_PlannedOrders[EffectiveQty],T_PlannedOrders[Part Name],$A221,T_PlannedOrders[WeekIndex],74)&amp;" ("&amp;TEXT(SUMPRODUCT(MAX((T_PlannedOrders[Part Name]=$A221)*(T_PlannedOrders[WeekIndex]=74)*(T_PlannedOrders[EffectiveQty]&gt;0)*T_PlannedOrders[Order_Month])),"m月")&amp;"発注)")</f>
        <v/>
      </c>
      <c r="BZ229">
        <f>IF(SUMIFS(T_PlannedOrders[EffectiveQty],T_PlannedOrders[Part Name],$A221,T_PlannedOrders[WeekIndex],75)=0,"",SUMIFS(T_PlannedOrders[EffectiveQty],T_PlannedOrders[Part Name],$A221,T_PlannedOrders[WeekIndex],75)&amp;" ("&amp;TEXT(SUMPRODUCT(MAX((T_PlannedOrders[Part Name]=$A221)*(T_PlannedOrders[WeekIndex]=75)*(T_PlannedOrders[EffectiveQty]&gt;0)*T_PlannedOrders[Order_Month])),"m月")&amp;"発注)")</f>
        <v/>
      </c>
      <c r="CA229">
        <f>IF(SUMIFS(T_PlannedOrders[EffectiveQty],T_PlannedOrders[Part Name],$A221,T_PlannedOrders[WeekIndex],76)=0,"",SUMIFS(T_PlannedOrders[EffectiveQty],T_PlannedOrders[Part Name],$A221,T_PlannedOrders[WeekIndex],76)&amp;" ("&amp;TEXT(SUMPRODUCT(MAX((T_PlannedOrders[Part Name]=$A221)*(T_PlannedOrders[WeekIndex]=76)*(T_PlannedOrders[EffectiveQty]&gt;0)*T_PlannedOrders[Order_Month])),"m月")&amp;"発注)")</f>
        <v/>
      </c>
      <c r="CB229">
        <f>IF(SUMIFS(T_PlannedOrders[EffectiveQty],T_PlannedOrders[Part Name],$A221,T_PlannedOrders[WeekIndex],77)=0,"",SUMIFS(T_PlannedOrders[EffectiveQty],T_PlannedOrders[Part Name],$A221,T_PlannedOrders[WeekIndex],77)&amp;" ("&amp;TEXT(SUMPRODUCT(MAX((T_PlannedOrders[Part Name]=$A221)*(T_PlannedOrders[WeekIndex]=77)*(T_PlannedOrders[EffectiveQty]&gt;0)*T_PlannedOrders[Order_Month])),"m月")&amp;"発注)")</f>
        <v/>
      </c>
      <c r="CC229">
        <f>IF(SUMIFS(T_PlannedOrders[EffectiveQty],T_PlannedOrders[Part Name],$A221,T_PlannedOrders[WeekIndex],78)=0,"",SUMIFS(T_PlannedOrders[EffectiveQty],T_PlannedOrders[Part Name],$A221,T_PlannedOrders[WeekIndex],78)&amp;" ("&amp;TEXT(SUMPRODUCT(MAX((T_PlannedOrders[Part Name]=$A221)*(T_PlannedOrders[WeekIndex]=78)*(T_PlannedOrders[EffectiveQty]&gt;0)*T_PlannedOrders[Order_Month])),"m月")&amp;"発注)")</f>
        <v/>
      </c>
      <c r="CD229">
        <f>IF(SUMIFS(T_PlannedOrders[EffectiveQty],T_PlannedOrders[Part Name],$A221,T_PlannedOrders[WeekIndex],79)=0,"",SUMIFS(T_PlannedOrders[EffectiveQty],T_PlannedOrders[Part Name],$A221,T_PlannedOrders[WeekIndex],79)&amp;" ("&amp;TEXT(SUMPRODUCT(MAX((T_PlannedOrders[Part Name]=$A221)*(T_PlannedOrders[WeekIndex]=79)*(T_PlannedOrders[EffectiveQty]&gt;0)*T_PlannedOrders[Order_Month])),"m月")&amp;"発注)")</f>
        <v/>
      </c>
      <c r="CE229">
        <f>IF(SUMIFS(T_PlannedOrders[EffectiveQty],T_PlannedOrders[Part Name],$A221,T_PlannedOrders[WeekIndex],80)=0,"",SUMIFS(T_PlannedOrders[EffectiveQty],T_PlannedOrders[Part Name],$A221,T_PlannedOrders[WeekIndex],80)&amp;" ("&amp;TEXT(SUMPRODUCT(MAX((T_PlannedOrders[Part Name]=$A221)*(T_PlannedOrders[WeekIndex]=80)*(T_PlannedOrders[EffectiveQty]&gt;0)*T_PlannedOrders[Order_Month])),"m月")&amp;"発注)")</f>
        <v/>
      </c>
      <c r="CF229">
        <f>IF(SUMIFS(T_PlannedOrders[EffectiveQty],T_PlannedOrders[Part Name],$A221,T_PlannedOrders[WeekIndex],81)=0,"",SUMIFS(T_PlannedOrders[EffectiveQty],T_PlannedOrders[Part Name],$A221,T_PlannedOrders[WeekIndex],81)&amp;" ("&amp;TEXT(SUMPRODUCT(MAX((T_PlannedOrders[Part Name]=$A221)*(T_PlannedOrders[WeekIndex]=81)*(T_PlannedOrders[EffectiveQty]&gt;0)*T_PlannedOrders[Order_Month])),"m月")&amp;"発注)")</f>
        <v/>
      </c>
      <c r="CG229">
        <f>IF(SUMIFS(T_PlannedOrders[EffectiveQty],T_PlannedOrders[Part Name],$A221,T_PlannedOrders[WeekIndex],82)=0,"",SUMIFS(T_PlannedOrders[EffectiveQty],T_PlannedOrders[Part Name],$A221,T_PlannedOrders[WeekIndex],82)&amp;" ("&amp;TEXT(SUMPRODUCT(MAX((T_PlannedOrders[Part Name]=$A221)*(T_PlannedOrders[WeekIndex]=82)*(T_PlannedOrders[EffectiveQty]&gt;0)*T_PlannedOrders[Order_Month])),"m月")&amp;"発注)")</f>
        <v/>
      </c>
      <c r="CH229">
        <f>IF(SUMIFS(T_PlannedOrders[EffectiveQty],T_PlannedOrders[Part Name],$A221,T_PlannedOrders[WeekIndex],83)=0,"",SUMIFS(T_PlannedOrders[EffectiveQty],T_PlannedOrders[Part Name],$A221,T_PlannedOrders[WeekIndex],83)&amp;" ("&amp;TEXT(SUMPRODUCT(MAX((T_PlannedOrders[Part Name]=$A221)*(T_PlannedOrders[WeekIndex]=83)*(T_PlannedOrders[EffectiveQty]&gt;0)*T_PlannedOrders[Order_Month])),"m月")&amp;"発注)")</f>
        <v/>
      </c>
      <c r="CI229">
        <f>IF(SUMIFS(T_PlannedOrders[EffectiveQty],T_PlannedOrders[Part Name],$A221,T_PlannedOrders[WeekIndex],84)=0,"",SUMIFS(T_PlannedOrders[EffectiveQty],T_PlannedOrders[Part Name],$A221,T_PlannedOrders[WeekIndex],84)&amp;" ("&amp;TEXT(SUMPRODUCT(MAX((T_PlannedOrders[Part Name]=$A221)*(T_PlannedOrders[WeekIndex]=84)*(T_PlannedOrders[EffectiveQty]&gt;0)*T_PlannedOrders[Order_Month])),"m月")&amp;"発注)")</f>
        <v/>
      </c>
      <c r="CJ229">
        <f>IF(SUMIFS(T_PlannedOrders[EffectiveQty],T_PlannedOrders[Part Name],$A221,T_PlannedOrders[WeekIndex],85)=0,"",SUMIFS(T_PlannedOrders[EffectiveQty],T_PlannedOrders[Part Name],$A221,T_PlannedOrders[WeekIndex],85)&amp;" ("&amp;TEXT(SUMPRODUCT(MAX((T_PlannedOrders[Part Name]=$A221)*(T_PlannedOrders[WeekIndex]=85)*(T_PlannedOrders[EffectiveQty]&gt;0)*T_PlannedOrders[Order_Month])),"m月")&amp;"発注)")</f>
        <v/>
      </c>
      <c r="CK229">
        <f>IF(SUMIFS(T_PlannedOrders[EffectiveQty],T_PlannedOrders[Part Name],$A221,T_PlannedOrders[WeekIndex],86)=0,"",SUMIFS(T_PlannedOrders[EffectiveQty],T_PlannedOrders[Part Name],$A221,T_PlannedOrders[WeekIndex],86)&amp;" ("&amp;TEXT(SUMPRODUCT(MAX((T_PlannedOrders[Part Name]=$A221)*(T_PlannedOrders[WeekIndex]=86)*(T_PlannedOrders[EffectiveQty]&gt;0)*T_PlannedOrders[Order_Month])),"m月")&amp;"発注)")</f>
        <v/>
      </c>
      <c r="CL229">
        <f>IF(SUMIFS(T_PlannedOrders[EffectiveQty],T_PlannedOrders[Part Name],$A221,T_PlannedOrders[WeekIndex],87)=0,"",SUMIFS(T_PlannedOrders[EffectiveQty],T_PlannedOrders[Part Name],$A221,T_PlannedOrders[WeekIndex],87)&amp;" ("&amp;TEXT(SUMPRODUCT(MAX((T_PlannedOrders[Part Name]=$A221)*(T_PlannedOrders[WeekIndex]=87)*(T_PlannedOrders[EffectiveQty]&gt;0)*T_PlannedOrders[Order_Month])),"m月")&amp;"発注)")</f>
        <v/>
      </c>
      <c r="CM229">
        <f>IF(SUMIFS(T_PlannedOrders[EffectiveQty],T_PlannedOrders[Part Name],$A221,T_PlannedOrders[WeekIndex],88)=0,"",SUMIFS(T_PlannedOrders[EffectiveQty],T_PlannedOrders[Part Name],$A221,T_PlannedOrders[WeekIndex],88)&amp;" ("&amp;TEXT(SUMPRODUCT(MAX((T_PlannedOrders[Part Name]=$A221)*(T_PlannedOrders[WeekIndex]=88)*(T_PlannedOrders[EffectiveQty]&gt;0)*T_PlannedOrders[Order_Month])),"m月")&amp;"発注)")</f>
        <v/>
      </c>
      <c r="CN229">
        <f>IF(SUMIFS(T_PlannedOrders[EffectiveQty],T_PlannedOrders[Part Name],$A221,T_PlannedOrders[WeekIndex],89)=0,"",SUMIFS(T_PlannedOrders[EffectiveQty],T_PlannedOrders[Part Name],$A221,T_PlannedOrders[WeekIndex],89)&amp;" ("&amp;TEXT(SUMPRODUCT(MAX((T_PlannedOrders[Part Name]=$A221)*(T_PlannedOrders[WeekIndex]=89)*(T_PlannedOrders[EffectiveQty]&gt;0)*T_PlannedOrders[Order_Month])),"m月")&amp;"発注)")</f>
        <v/>
      </c>
      <c r="CO229">
        <f>IF(SUMIFS(T_PlannedOrders[EffectiveQty],T_PlannedOrders[Part Name],$A221,T_PlannedOrders[WeekIndex],90)=0,"",SUMIFS(T_PlannedOrders[EffectiveQty],T_PlannedOrders[Part Name],$A221,T_PlannedOrders[WeekIndex],90)&amp;" ("&amp;TEXT(SUMPRODUCT(MAX((T_PlannedOrders[Part Name]=$A221)*(T_PlannedOrders[WeekIndex]=90)*(T_PlannedOrders[EffectiveQty]&gt;0)*T_PlannedOrders[Order_Month])),"m月")&amp;"発注)")</f>
        <v/>
      </c>
      <c r="CP229">
        <f>IF(SUMIFS(T_PlannedOrders[EffectiveQty],T_PlannedOrders[Part Name],$A221,T_PlannedOrders[WeekIndex],91)=0,"",SUMIFS(T_PlannedOrders[EffectiveQty],T_PlannedOrders[Part Name],$A221,T_PlannedOrders[WeekIndex],91)&amp;" ("&amp;TEXT(SUMPRODUCT(MAX((T_PlannedOrders[Part Name]=$A221)*(T_PlannedOrders[WeekIndex]=91)*(T_PlannedOrders[EffectiveQty]&gt;0)*T_PlannedOrders[Order_Month])),"m月")&amp;"発注)")</f>
        <v/>
      </c>
      <c r="CQ229">
        <f>IF(SUMIFS(T_PlannedOrders[EffectiveQty],T_PlannedOrders[Part Name],$A221,T_PlannedOrders[WeekIndex],92)=0,"",SUMIFS(T_PlannedOrders[EffectiveQty],T_PlannedOrders[Part Name],$A221,T_PlannedOrders[WeekIndex],92)&amp;" ("&amp;TEXT(SUMPRODUCT(MAX((T_PlannedOrders[Part Name]=$A221)*(T_PlannedOrders[WeekIndex]=92)*(T_PlannedOrders[EffectiveQty]&gt;0)*T_PlannedOrders[Order_Month])),"m月")&amp;"発注)")</f>
        <v/>
      </c>
      <c r="CR229">
        <f>IF(SUMIFS(T_PlannedOrders[EffectiveQty],T_PlannedOrders[Part Name],$A221,T_PlannedOrders[WeekIndex],93)=0,"",SUMIFS(T_PlannedOrders[EffectiveQty],T_PlannedOrders[Part Name],$A221,T_PlannedOrders[WeekIndex],93)&amp;" ("&amp;TEXT(SUMPRODUCT(MAX((T_PlannedOrders[Part Name]=$A221)*(T_PlannedOrders[WeekIndex]=93)*(T_PlannedOrders[EffectiveQty]&gt;0)*T_PlannedOrders[Order_Month])),"m月")&amp;"発注)")</f>
        <v/>
      </c>
      <c r="CS229">
        <f>IF(SUMIFS(T_PlannedOrders[EffectiveQty],T_PlannedOrders[Part Name],$A221,T_PlannedOrders[WeekIndex],94)=0,"",SUMIFS(T_PlannedOrders[EffectiveQty],T_PlannedOrders[Part Name],$A221,T_PlannedOrders[WeekIndex],94)&amp;" ("&amp;TEXT(SUMPRODUCT(MAX((T_PlannedOrders[Part Name]=$A221)*(T_PlannedOrders[WeekIndex]=94)*(T_PlannedOrders[EffectiveQty]&gt;0)*T_PlannedOrders[Order_Month])),"m月")&amp;"発注)")</f>
        <v/>
      </c>
      <c r="CT229">
        <f>IF(SUMIFS(T_PlannedOrders[EffectiveQty],T_PlannedOrders[Part Name],$A221,T_PlannedOrders[WeekIndex],95)=0,"",SUMIFS(T_PlannedOrders[EffectiveQty],T_PlannedOrders[Part Name],$A221,T_PlannedOrders[WeekIndex],95)&amp;" ("&amp;TEXT(SUMPRODUCT(MAX((T_PlannedOrders[Part Name]=$A221)*(T_PlannedOrders[WeekIndex]=95)*(T_PlannedOrders[EffectiveQty]&gt;0)*T_PlannedOrders[Order_Month])),"m月")&amp;"発注)")</f>
        <v/>
      </c>
      <c r="CU229">
        <f>IF(SUMIFS(T_PlannedOrders[EffectiveQty],T_PlannedOrders[Part Name],$A221,T_PlannedOrders[WeekIndex],96)=0,"",SUMIFS(T_PlannedOrders[EffectiveQty],T_PlannedOrders[Part Name],$A221,T_PlannedOrders[WeekIndex],96)&amp;" ("&amp;TEXT(SUMPRODUCT(MAX((T_PlannedOrders[Part Name]=$A221)*(T_PlannedOrders[WeekIndex]=96)*(T_PlannedOrders[EffectiveQty]&gt;0)*T_PlannedOrders[Order_Month])),"m月")&amp;"発注)")</f>
        <v/>
      </c>
      <c r="CV229">
        <f>IF(SUMIFS(T_PlannedOrders[EffectiveQty],T_PlannedOrders[Part Name],$A221,T_PlannedOrders[WeekIndex],97)=0,"",SUMIFS(T_PlannedOrders[EffectiveQty],T_PlannedOrders[Part Name],$A221,T_PlannedOrders[WeekIndex],97)&amp;" ("&amp;TEXT(SUMPRODUCT(MAX((T_PlannedOrders[Part Name]=$A221)*(T_PlannedOrders[WeekIndex]=97)*(T_PlannedOrders[EffectiveQty]&gt;0)*T_PlannedOrders[Order_Month])),"m月")&amp;"発注)")</f>
        <v/>
      </c>
      <c r="CW229">
        <f>IF(SUMIFS(T_PlannedOrders[EffectiveQty],T_PlannedOrders[Part Name],$A221,T_PlannedOrders[WeekIndex],98)=0,"",SUMIFS(T_PlannedOrders[EffectiveQty],T_PlannedOrders[Part Name],$A221,T_PlannedOrders[WeekIndex],98)&amp;" ("&amp;TEXT(SUMPRODUCT(MAX((T_PlannedOrders[Part Name]=$A221)*(T_PlannedOrders[WeekIndex]=98)*(T_PlannedOrders[EffectiveQty]&gt;0)*T_PlannedOrders[Order_Month])),"m月")&amp;"発注)")</f>
        <v/>
      </c>
      <c r="CX229">
        <f>IF(SUMIFS(T_PlannedOrders[EffectiveQty],T_PlannedOrders[Part Name],$A221,T_PlannedOrders[WeekIndex],99)=0,"",SUMIFS(T_PlannedOrders[EffectiveQty],T_PlannedOrders[Part Name],$A221,T_PlannedOrders[WeekIndex],99)&amp;" ("&amp;TEXT(SUMPRODUCT(MAX((T_PlannedOrders[Part Name]=$A221)*(T_PlannedOrders[WeekIndex]=99)*(T_PlannedOrders[EffectiveQty]&gt;0)*T_PlannedOrders[Order_Month])),"m月")&amp;"発注)")</f>
        <v/>
      </c>
      <c r="CY229">
        <f>IF(SUMIFS(T_PlannedOrders[EffectiveQty],T_PlannedOrders[Part Name],$A221,T_PlannedOrders[WeekIndex],100)=0,"",SUMIFS(T_PlannedOrders[EffectiveQty],T_PlannedOrders[Part Name],$A221,T_PlannedOrders[WeekIndex],100)&amp;" ("&amp;TEXT(SUMPRODUCT(MAX((T_PlannedOrders[Part Name]=$A221)*(T_PlannedOrders[WeekIndex]=100)*(T_PlannedOrders[EffectiveQty]&gt;0)*T_PlannedOrders[Order_Month])),"m月")&amp;"発注)")</f>
        <v/>
      </c>
      <c r="CZ229">
        <f>IF(SUMIFS(T_PlannedOrders[EffectiveQty],T_PlannedOrders[Part Name],$A221,T_PlannedOrders[WeekIndex],101)=0,"",SUMIFS(T_PlannedOrders[EffectiveQty],T_PlannedOrders[Part Name],$A221,T_PlannedOrders[WeekIndex],101)&amp;" ("&amp;TEXT(SUMPRODUCT(MAX((T_PlannedOrders[Part Name]=$A221)*(T_PlannedOrders[WeekIndex]=101)*(T_PlannedOrders[EffectiveQty]&gt;0)*T_PlannedOrders[Order_Month])),"m月")&amp;"発注)")</f>
        <v/>
      </c>
      <c r="DA229">
        <f>IF(SUMIFS(T_PlannedOrders[EffectiveQty],T_PlannedOrders[Part Name],$A221,T_PlannedOrders[WeekIndex],102)=0,"",SUMIFS(T_PlannedOrders[EffectiveQty],T_PlannedOrders[Part Name],$A221,T_PlannedOrders[WeekIndex],102)&amp;" ("&amp;TEXT(SUMPRODUCT(MAX((T_PlannedOrders[Part Name]=$A221)*(T_PlannedOrders[WeekIndex]=102)*(T_PlannedOrders[EffectiveQty]&gt;0)*T_PlannedOrders[Order_Month])),"m月")&amp;"発注)")</f>
        <v/>
      </c>
      <c r="DB229">
        <f>IF(SUMIFS(T_PlannedOrders[EffectiveQty],T_PlannedOrders[Part Name],$A221,T_PlannedOrders[WeekIndex],103)=0,"",SUMIFS(T_PlannedOrders[EffectiveQty],T_PlannedOrders[Part Name],$A221,T_PlannedOrders[WeekIndex],103)&amp;" ("&amp;TEXT(SUMPRODUCT(MAX((T_PlannedOrders[Part Name]=$A221)*(T_PlannedOrders[WeekIndex]=103)*(T_PlannedOrders[EffectiveQty]&gt;0)*T_PlannedOrders[Order_Month])),"m月")&amp;"発注)")</f>
        <v/>
      </c>
      <c r="DC229">
        <f>IF(SUMIFS(T_PlannedOrders[EffectiveQty],T_PlannedOrders[Part Name],$A221,T_PlannedOrders[WeekIndex],104)=0,"",SUMIFS(T_PlannedOrders[EffectiveQty],T_PlannedOrders[Part Name],$A221,T_PlannedOrders[WeekIndex],104)&amp;" ("&amp;TEXT(SUMPRODUCT(MAX((T_PlannedOrders[Part Name]=$A221)*(T_PlannedOrders[WeekIndex]=104)*(T_PlannedOrders[EffectiveQty]&gt;0)*T_PlannedOrders[Order_Month])),"m月")&amp;"発注)")</f>
        <v/>
      </c>
    </row>
    <row r="230">
      <c r="B230" s="5" t="inlineStr">
        <is>
          <t>合計在庫(週末時点,kg)</t>
        </is>
      </c>
      <c r="D230">
        <f>'Grid_Stock'!B23</f>
        <v/>
      </c>
      <c r="E230">
        <f>'Grid_Stock'!C23</f>
        <v/>
      </c>
      <c r="F230">
        <f>'Grid_Stock'!D23</f>
        <v/>
      </c>
      <c r="G230">
        <f>'Grid_Stock'!E23</f>
        <v/>
      </c>
      <c r="H230">
        <f>'Grid_Stock'!F23</f>
        <v/>
      </c>
      <c r="I230">
        <f>'Grid_Stock'!G23</f>
        <v/>
      </c>
      <c r="J230">
        <f>'Grid_Stock'!H23</f>
        <v/>
      </c>
      <c r="K230">
        <f>'Grid_Stock'!I23</f>
        <v/>
      </c>
      <c r="L230">
        <f>'Grid_Stock'!J23</f>
        <v/>
      </c>
      <c r="M230">
        <f>'Grid_Stock'!K23</f>
        <v/>
      </c>
      <c r="N230">
        <f>'Grid_Stock'!L23</f>
        <v/>
      </c>
      <c r="O230">
        <f>'Grid_Stock'!M23</f>
        <v/>
      </c>
      <c r="P230">
        <f>'Grid_Stock'!N23</f>
        <v/>
      </c>
      <c r="Q230">
        <f>'Grid_Stock'!O23</f>
        <v/>
      </c>
      <c r="R230">
        <f>'Grid_Stock'!P23</f>
        <v/>
      </c>
      <c r="S230">
        <f>'Grid_Stock'!Q23</f>
        <v/>
      </c>
      <c r="T230">
        <f>'Grid_Stock'!R23</f>
        <v/>
      </c>
      <c r="U230">
        <f>'Grid_Stock'!S23</f>
        <v/>
      </c>
      <c r="V230">
        <f>'Grid_Stock'!T23</f>
        <v/>
      </c>
      <c r="W230">
        <f>'Grid_Stock'!U23</f>
        <v/>
      </c>
      <c r="X230">
        <f>'Grid_Stock'!V23</f>
        <v/>
      </c>
      <c r="Y230">
        <f>'Grid_Stock'!W23</f>
        <v/>
      </c>
      <c r="Z230">
        <f>'Grid_Stock'!X23</f>
        <v/>
      </c>
      <c r="AA230">
        <f>'Grid_Stock'!Y23</f>
        <v/>
      </c>
      <c r="AB230">
        <f>'Grid_Stock'!Z23</f>
        <v/>
      </c>
      <c r="AC230">
        <f>'Grid_Stock'!AA23</f>
        <v/>
      </c>
      <c r="AD230">
        <f>'Grid_Stock'!AB23</f>
        <v/>
      </c>
      <c r="AE230">
        <f>'Grid_Stock'!AC23</f>
        <v/>
      </c>
      <c r="AF230">
        <f>'Grid_Stock'!AD23</f>
        <v/>
      </c>
      <c r="AG230">
        <f>'Grid_Stock'!AE23</f>
        <v/>
      </c>
      <c r="AH230">
        <f>'Grid_Stock'!AF23</f>
        <v/>
      </c>
      <c r="AI230">
        <f>'Grid_Stock'!AG23</f>
        <v/>
      </c>
      <c r="AJ230">
        <f>'Grid_Stock'!AH23</f>
        <v/>
      </c>
      <c r="AK230">
        <f>'Grid_Stock'!AI23</f>
        <v/>
      </c>
      <c r="AL230">
        <f>'Grid_Stock'!AJ23</f>
        <v/>
      </c>
      <c r="AM230">
        <f>'Grid_Stock'!AK23</f>
        <v/>
      </c>
      <c r="AN230">
        <f>'Grid_Stock'!AL23</f>
        <v/>
      </c>
      <c r="AO230">
        <f>'Grid_Stock'!AM23</f>
        <v/>
      </c>
      <c r="AP230">
        <f>'Grid_Stock'!AN23</f>
        <v/>
      </c>
      <c r="AQ230">
        <f>'Grid_Stock'!AO23</f>
        <v/>
      </c>
      <c r="AR230">
        <f>'Grid_Stock'!AP23</f>
        <v/>
      </c>
      <c r="AS230">
        <f>'Grid_Stock'!AQ23</f>
        <v/>
      </c>
      <c r="AT230">
        <f>'Grid_Stock'!AR23</f>
        <v/>
      </c>
      <c r="AU230">
        <f>'Grid_Stock'!AS23</f>
        <v/>
      </c>
      <c r="AV230">
        <f>'Grid_Stock'!AT23</f>
        <v/>
      </c>
      <c r="AW230">
        <f>'Grid_Stock'!AU23</f>
        <v/>
      </c>
      <c r="AX230">
        <f>'Grid_Stock'!AV23</f>
        <v/>
      </c>
      <c r="AY230">
        <f>'Grid_Stock'!AW23</f>
        <v/>
      </c>
      <c r="AZ230">
        <f>'Grid_Stock'!AX23</f>
        <v/>
      </c>
      <c r="BA230">
        <f>'Grid_Stock'!AY23</f>
        <v/>
      </c>
      <c r="BB230">
        <f>'Grid_Stock'!AZ23</f>
        <v/>
      </c>
      <c r="BC230">
        <f>'Grid_Stock'!BA23</f>
        <v/>
      </c>
      <c r="BD230">
        <f>'Grid_Stock'!BB23</f>
        <v/>
      </c>
      <c r="BE230">
        <f>'Grid_Stock'!BC23</f>
        <v/>
      </c>
      <c r="BF230">
        <f>'Grid_Stock'!BD23</f>
        <v/>
      </c>
      <c r="BG230">
        <f>'Grid_Stock'!BE23</f>
        <v/>
      </c>
      <c r="BH230">
        <f>'Grid_Stock'!BF23</f>
        <v/>
      </c>
      <c r="BI230">
        <f>'Grid_Stock'!BG23</f>
        <v/>
      </c>
      <c r="BJ230">
        <f>'Grid_Stock'!BH23</f>
        <v/>
      </c>
      <c r="BK230">
        <f>'Grid_Stock'!BI23</f>
        <v/>
      </c>
      <c r="BL230">
        <f>'Grid_Stock'!BJ23</f>
        <v/>
      </c>
      <c r="BM230">
        <f>'Grid_Stock'!BK23</f>
        <v/>
      </c>
      <c r="BN230">
        <f>'Grid_Stock'!BL23</f>
        <v/>
      </c>
      <c r="BO230">
        <f>'Grid_Stock'!BM23</f>
        <v/>
      </c>
      <c r="BP230">
        <f>'Grid_Stock'!BN23</f>
        <v/>
      </c>
      <c r="BQ230">
        <f>'Grid_Stock'!BO23</f>
        <v/>
      </c>
      <c r="BR230">
        <f>'Grid_Stock'!BP23</f>
        <v/>
      </c>
      <c r="BS230">
        <f>'Grid_Stock'!BQ23</f>
        <v/>
      </c>
      <c r="BT230">
        <f>'Grid_Stock'!BR23</f>
        <v/>
      </c>
      <c r="BU230">
        <f>'Grid_Stock'!BS23</f>
        <v/>
      </c>
      <c r="BV230">
        <f>'Grid_Stock'!BT23</f>
        <v/>
      </c>
      <c r="BW230">
        <f>'Grid_Stock'!BU23</f>
        <v/>
      </c>
      <c r="BX230">
        <f>'Grid_Stock'!BV23</f>
        <v/>
      </c>
      <c r="BY230">
        <f>'Grid_Stock'!BW23</f>
        <v/>
      </c>
      <c r="BZ230">
        <f>'Grid_Stock'!BX23</f>
        <v/>
      </c>
      <c r="CA230">
        <f>'Grid_Stock'!BY23</f>
        <v/>
      </c>
      <c r="CB230">
        <f>'Grid_Stock'!BZ23</f>
        <v/>
      </c>
      <c r="CC230">
        <f>'Grid_Stock'!CA23</f>
        <v/>
      </c>
      <c r="CD230">
        <f>'Grid_Stock'!CB23</f>
        <v/>
      </c>
      <c r="CE230">
        <f>'Grid_Stock'!CC23</f>
        <v/>
      </c>
      <c r="CF230">
        <f>'Grid_Stock'!CD23</f>
        <v/>
      </c>
      <c r="CG230">
        <f>'Grid_Stock'!CE23</f>
        <v/>
      </c>
      <c r="CH230">
        <f>'Grid_Stock'!CF23</f>
        <v/>
      </c>
      <c r="CI230">
        <f>'Grid_Stock'!CG23</f>
        <v/>
      </c>
      <c r="CJ230">
        <f>'Grid_Stock'!CH23</f>
        <v/>
      </c>
      <c r="CK230">
        <f>'Grid_Stock'!CI23</f>
        <v/>
      </c>
      <c r="CL230">
        <f>'Grid_Stock'!CJ23</f>
        <v/>
      </c>
      <c r="CM230">
        <f>'Grid_Stock'!CK23</f>
        <v/>
      </c>
      <c r="CN230">
        <f>'Grid_Stock'!CL23</f>
        <v/>
      </c>
      <c r="CO230">
        <f>'Grid_Stock'!CM23</f>
        <v/>
      </c>
      <c r="CP230">
        <f>'Grid_Stock'!CN23</f>
        <v/>
      </c>
      <c r="CQ230">
        <f>'Grid_Stock'!CO23</f>
        <v/>
      </c>
      <c r="CR230">
        <f>'Grid_Stock'!CP23</f>
        <v/>
      </c>
      <c r="CS230">
        <f>'Grid_Stock'!CQ23</f>
        <v/>
      </c>
      <c r="CT230">
        <f>'Grid_Stock'!CR23</f>
        <v/>
      </c>
      <c r="CU230">
        <f>'Grid_Stock'!CS23</f>
        <v/>
      </c>
      <c r="CV230">
        <f>'Grid_Stock'!CT23</f>
        <v/>
      </c>
      <c r="CW230">
        <f>'Grid_Stock'!CU23</f>
        <v/>
      </c>
      <c r="CX230">
        <f>'Grid_Stock'!CV23</f>
        <v/>
      </c>
      <c r="CY230">
        <f>'Grid_Stock'!CW23</f>
        <v/>
      </c>
      <c r="CZ230">
        <f>'Grid_Stock'!CX23</f>
        <v/>
      </c>
      <c r="DA230">
        <f>'Grid_Stock'!CY23</f>
        <v/>
      </c>
      <c r="DB230">
        <f>'Grid_Stock'!CZ23</f>
        <v/>
      </c>
      <c r="DC230">
        <f>'Grid_Stock'!DA23</f>
        <v/>
      </c>
    </row>
    <row r="231">
      <c r="B231" s="23" t="inlineStr">
        <is>
          <t>（発注の目安はDashboardの基準在庫[下限/上限]と色分けを参照）</t>
        </is>
      </c>
    </row>
    <row r="233">
      <c r="A233" s="21" t="inlineStr">
        <is>
          <t>CHEM-1540</t>
        </is>
      </c>
      <c r="B233" s="21" t="inlineStr">
        <is>
          <t>NAT 35</t>
        </is>
      </c>
      <c r="C233" s="22" t="n"/>
      <c r="D233" s="21" t="n"/>
      <c r="E233" s="21" t="n"/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  <c r="AA233" s="21" t="n"/>
      <c r="AB233" s="21" t="n"/>
      <c r="AC233" s="21" t="n"/>
      <c r="AD233" s="21" t="n"/>
      <c r="AE233" s="21" t="n"/>
      <c r="AF233" s="21" t="n"/>
      <c r="AG233" s="21" t="n"/>
      <c r="AH233" s="21" t="n"/>
      <c r="AI233" s="21" t="n"/>
      <c r="AJ233" s="21" t="n"/>
      <c r="AK233" s="21" t="n"/>
      <c r="AL233" s="21" t="n"/>
      <c r="AM233" s="21" t="n"/>
      <c r="AN233" s="21" t="n"/>
      <c r="AO233" s="21" t="n"/>
      <c r="AP233" s="21" t="n"/>
      <c r="AQ233" s="21" t="n"/>
      <c r="AR233" s="21" t="n"/>
      <c r="AS233" s="21" t="n"/>
      <c r="AT233" s="21" t="n"/>
      <c r="AU233" s="21" t="n"/>
      <c r="AV233" s="21" t="n"/>
      <c r="AW233" s="21" t="n"/>
      <c r="AX233" s="21" t="n"/>
      <c r="AY233" s="21" t="n"/>
      <c r="AZ233" s="21" t="n"/>
      <c r="BA233" s="21" t="n"/>
      <c r="BB233" s="21" t="n"/>
      <c r="BC233" s="21" t="n"/>
      <c r="BD233" s="21" t="n"/>
      <c r="BE233" s="21" t="n"/>
      <c r="BF233" s="21" t="n"/>
      <c r="BG233" s="21" t="n"/>
      <c r="BH233" s="21" t="n"/>
      <c r="BI233" s="21" t="n"/>
      <c r="BJ233" s="21" t="n"/>
      <c r="BK233" s="21" t="n"/>
      <c r="BL233" s="21" t="n"/>
      <c r="BM233" s="21" t="n"/>
      <c r="BN233" s="21" t="n"/>
      <c r="BO233" s="21" t="n"/>
      <c r="BP233" s="21" t="n"/>
      <c r="BQ233" s="21" t="n"/>
      <c r="BR233" s="21" t="n"/>
      <c r="BS233" s="21" t="n"/>
      <c r="BT233" s="21" t="n"/>
      <c r="BU233" s="21" t="n"/>
      <c r="BV233" s="21" t="n"/>
      <c r="BW233" s="21" t="n"/>
      <c r="BX233" s="21" t="n"/>
      <c r="BY233" s="21" t="n"/>
      <c r="BZ233" s="21" t="n"/>
      <c r="CA233" s="21" t="n"/>
      <c r="CB233" s="21" t="n"/>
      <c r="CC233" s="21" t="n"/>
      <c r="CD233" s="21" t="n"/>
      <c r="CE233" s="21" t="n"/>
      <c r="CF233" s="21" t="n"/>
      <c r="CG233" s="21" t="n"/>
      <c r="CH233" s="21" t="n"/>
      <c r="CI233" s="21" t="n"/>
      <c r="CJ233" s="21" t="n"/>
      <c r="CK233" s="21" t="n"/>
      <c r="CL233" s="21" t="n"/>
      <c r="CM233" s="21" t="n"/>
      <c r="CN233" s="21" t="n"/>
      <c r="CO233" s="21" t="n"/>
      <c r="CP233" s="21" t="n"/>
      <c r="CQ233" s="21" t="n"/>
      <c r="CR233" s="21" t="n"/>
      <c r="CS233" s="21" t="n"/>
      <c r="CT233" s="21" t="n"/>
      <c r="CU233" s="21" t="n"/>
      <c r="CV233" s="21" t="n"/>
      <c r="CW233" s="21" t="n"/>
      <c r="CX233" s="21" t="n"/>
      <c r="CY233" s="21" t="n"/>
      <c r="CZ233" s="21" t="n"/>
      <c r="DA233" s="21" t="n"/>
      <c r="DB233" s="21" t="n"/>
      <c r="DC233" s="21" t="n"/>
    </row>
    <row r="234">
      <c r="B234" t="inlineStr">
        <is>
          <t>TPP-358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12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Name],$A233)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TPP-533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12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Name],$A233)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TSP-1444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12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Name],$A233)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t="inlineStr">
        <is>
          <t>TSP-1445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12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Name],$A233)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TSP-1446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12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Name],$A233)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TSP-1448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12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Name],$A233)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TSP-1449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12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Name],$A233)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TSP-369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Name],$A233)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TSP-558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Name],$A233)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TSP-620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Name],$A233)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TSP-623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Name],$A233)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TSP-927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12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Name],$A233)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TSP-928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12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Name],$A233)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TSP-929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12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Name],$A233)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TSP-930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12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Name],$A233)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TSP-934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12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Name],$A233)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TSP-935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12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Name],$A233)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TSP-936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12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Name],$A233)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t="inlineStr">
        <is>
          <t>TSP-937</t>
        </is>
      </c>
      <c r="C270" t="inlineStr">
        <is>
          <t>No. of batches</t>
        </is>
      </c>
      <c r="D270">
        <f>IFERROR(INDEX(PP_Grid[#Data],$DD270,2),0)</f>
        <v/>
      </c>
      <c r="E270">
        <f>IFERROR(INDEX(PP_Grid[#Data],$DD270,3),0)</f>
        <v/>
      </c>
      <c r="F270">
        <f>IFERROR(INDEX(PP_Grid[#Data],$DD270,4),0)</f>
        <v/>
      </c>
      <c r="G270">
        <f>IFERROR(INDEX(PP_Grid[#Data],$DD270,5),0)</f>
        <v/>
      </c>
      <c r="H270">
        <f>IFERROR(INDEX(PP_Grid[#Data],$DD270,6),0)</f>
        <v/>
      </c>
      <c r="I270">
        <f>IFERROR(INDEX(PP_Grid[#Data],$DD270,7),0)</f>
        <v/>
      </c>
      <c r="J270">
        <f>IFERROR(INDEX(PP_Grid[#Data],$DD270,8),0)</f>
        <v/>
      </c>
      <c r="K270">
        <f>IFERROR(INDEX(PP_Grid[#Data],$DD270,9),0)</f>
        <v/>
      </c>
      <c r="L270">
        <f>IFERROR(INDEX(PP_Grid[#Data],$DD270,10),0)</f>
        <v/>
      </c>
      <c r="M270">
        <f>IFERROR(INDEX(PP_Grid[#Data],$DD270,11),0)</f>
        <v/>
      </c>
      <c r="N270">
        <f>IFERROR(INDEX(PP_Grid[#Data],$DD270,12),0)</f>
        <v/>
      </c>
      <c r="O270">
        <f>IFERROR(INDEX(PP_Grid[#Data],$DD270,13),0)</f>
        <v/>
      </c>
      <c r="P270">
        <f>IFERROR(INDEX(PP_Grid[#Data],$DD270,14),0)</f>
        <v/>
      </c>
      <c r="Q270">
        <f>IFERROR(INDEX(PP_Grid[#Data],$DD270,15),0)</f>
        <v/>
      </c>
      <c r="R270">
        <f>IFERROR(INDEX(PP_Grid[#Data],$DD270,16),0)</f>
        <v/>
      </c>
      <c r="S270">
        <f>IFERROR(INDEX(PP_Grid[#Data],$DD270,17),0)</f>
        <v/>
      </c>
      <c r="T270">
        <f>IFERROR(INDEX(PP_Grid[#Data],$DD270,18),0)</f>
        <v/>
      </c>
      <c r="U270">
        <f>IFERROR(INDEX(PP_Grid[#Data],$DD270,19),0)</f>
        <v/>
      </c>
      <c r="V270">
        <f>IFERROR(INDEX(PP_Grid[#Data],$DD270,20),0)</f>
        <v/>
      </c>
      <c r="W270">
        <f>IFERROR(INDEX(PP_Grid[#Data],$DD270,21),0)</f>
        <v/>
      </c>
      <c r="X270">
        <f>IFERROR(INDEX(PP_Grid[#Data],$DD270,22),0)</f>
        <v/>
      </c>
      <c r="Y270">
        <f>IFERROR(INDEX(PP_Grid[#Data],$DD270,23),0)</f>
        <v/>
      </c>
      <c r="Z270">
        <f>IFERROR(INDEX(PP_Grid[#Data],$DD270,24),0)</f>
        <v/>
      </c>
      <c r="AA270">
        <f>IFERROR(INDEX(PP_Grid[#Data],$DD270,25),0)</f>
        <v/>
      </c>
      <c r="AB270">
        <f>IFERROR(INDEX(PP_Grid[#Data],$DD270,26),0)</f>
        <v/>
      </c>
      <c r="AC270">
        <f>IFERROR(INDEX(PP_Grid[#Data],$DD270,27),0)</f>
        <v/>
      </c>
      <c r="AD270">
        <f>IFERROR(INDEX(PP_Grid[#Data],$DD270,28),0)</f>
        <v/>
      </c>
      <c r="AE270">
        <f>IFERROR(INDEX(PP_Grid[#Data],$DD270,29),0)</f>
        <v/>
      </c>
      <c r="AF270">
        <f>IFERROR(INDEX(PP_Grid[#Data],$DD270,30),0)</f>
        <v/>
      </c>
      <c r="AG270">
        <f>IFERROR(INDEX(PP_Grid[#Data],$DD270,31),0)</f>
        <v/>
      </c>
      <c r="AH270">
        <f>IFERROR(INDEX(PP_Grid[#Data],$DD270,32),0)</f>
        <v/>
      </c>
      <c r="AI270">
        <f>IFERROR(INDEX(PP_Grid[#Data],$DD270,33),0)</f>
        <v/>
      </c>
      <c r="AJ270">
        <f>IFERROR(INDEX(PP_Grid[#Data],$DD270,34),0)</f>
        <v/>
      </c>
      <c r="AK270">
        <f>IFERROR(INDEX(PP_Grid[#Data],$DD270,35),0)</f>
        <v/>
      </c>
      <c r="AL270">
        <f>IFERROR(INDEX(PP_Grid[#Data],$DD270,36),0)</f>
        <v/>
      </c>
      <c r="AM270">
        <f>IFERROR(INDEX(PP_Grid[#Data],$DD270,37),0)</f>
        <v/>
      </c>
      <c r="AN270">
        <f>IFERROR(INDEX(PP_Grid[#Data],$DD270,38),0)</f>
        <v/>
      </c>
      <c r="AO270">
        <f>IFERROR(INDEX(PP_Grid[#Data],$DD270,39),0)</f>
        <v/>
      </c>
      <c r="AP270">
        <f>IFERROR(INDEX(PP_Grid[#Data],$DD270,40),0)</f>
        <v/>
      </c>
      <c r="AQ270">
        <f>IFERROR(INDEX(PP_Grid[#Data],$DD270,41),0)</f>
        <v/>
      </c>
      <c r="AR270">
        <f>IFERROR(INDEX(PP_Grid[#Data],$DD270,42),0)</f>
        <v/>
      </c>
      <c r="AS270">
        <f>IFERROR(INDEX(PP_Grid[#Data],$DD270,43),0)</f>
        <v/>
      </c>
      <c r="AT270">
        <f>IFERROR(INDEX(PP_Grid[#Data],$DD270,44),0)</f>
        <v/>
      </c>
      <c r="AU270">
        <f>IFERROR(INDEX(PP_Grid[#Data],$DD270,45),0)</f>
        <v/>
      </c>
      <c r="AV270">
        <f>IFERROR(INDEX(PP_Grid[#Data],$DD270,46),0)</f>
        <v/>
      </c>
      <c r="AW270">
        <f>IFERROR(INDEX(PP_Grid[#Data],$DD270,47),0)</f>
        <v/>
      </c>
      <c r="AX270">
        <f>IFERROR(INDEX(PP_Grid[#Data],$DD270,48),0)</f>
        <v/>
      </c>
      <c r="AY270">
        <f>IFERROR(INDEX(PP_Grid[#Data],$DD270,49),0)</f>
        <v/>
      </c>
      <c r="AZ270">
        <f>IFERROR(INDEX(PP_Grid[#Data],$DD270,50),0)</f>
        <v/>
      </c>
      <c r="BA270">
        <f>IFERROR(INDEX(PP_Grid[#Data],$DD270,51),0)</f>
        <v/>
      </c>
      <c r="BB270">
        <f>IFERROR(INDEX(PP_Grid[#Data],$DD270,52),0)</f>
        <v/>
      </c>
      <c r="BC270">
        <f>IFERROR(INDEX(PP_Grid[#Data],$DD270,53),0)</f>
        <v/>
      </c>
      <c r="BD270">
        <f>IFERROR(INDEX(PP_Grid[#Data],$DD270,54),0)</f>
        <v/>
      </c>
      <c r="BE270">
        <f>IFERROR(INDEX(PP_Grid[#Data],$DD270,55),0)</f>
        <v/>
      </c>
      <c r="BF270">
        <f>IFERROR(INDEX(PP_Grid[#Data],$DD270,56),0)</f>
        <v/>
      </c>
      <c r="BG270">
        <f>IFERROR(INDEX(PP_Grid[#Data],$DD270,57),0)</f>
        <v/>
      </c>
      <c r="BH270">
        <f>IFERROR(INDEX(PP_Grid[#Data],$DD270,58),0)</f>
        <v/>
      </c>
      <c r="BI270">
        <f>IFERROR(INDEX(PP_Grid[#Data],$DD270,59),0)</f>
        <v/>
      </c>
      <c r="BJ270">
        <f>IFERROR(INDEX(PP_Grid[#Data],$DD270,60),0)</f>
        <v/>
      </c>
      <c r="BK270">
        <f>IFERROR(INDEX(PP_Grid[#Data],$DD270,61),0)</f>
        <v/>
      </c>
      <c r="BL270">
        <f>IFERROR(INDEX(PP_Grid[#Data],$DD270,62),0)</f>
        <v/>
      </c>
      <c r="BM270">
        <f>IFERROR(INDEX(PP_Grid[#Data],$DD270,63),0)</f>
        <v/>
      </c>
      <c r="BN270">
        <f>IFERROR(INDEX(PP_Grid[#Data],$DD270,64),0)</f>
        <v/>
      </c>
      <c r="BO270">
        <f>IFERROR(INDEX(PP_Grid[#Data],$DD270,65),0)</f>
        <v/>
      </c>
      <c r="BP270">
        <f>IFERROR(INDEX(PP_Grid[#Data],$DD270,66),0)</f>
        <v/>
      </c>
      <c r="BQ270">
        <f>IFERROR(INDEX(PP_Grid[#Data],$DD270,67),0)</f>
        <v/>
      </c>
      <c r="BR270">
        <f>IFERROR(INDEX(PP_Grid[#Data],$DD270,68),0)</f>
        <v/>
      </c>
      <c r="BS270">
        <f>IFERROR(INDEX(PP_Grid[#Data],$DD270,69),0)</f>
        <v/>
      </c>
      <c r="BT270">
        <f>IFERROR(INDEX(PP_Grid[#Data],$DD270,70),0)</f>
        <v/>
      </c>
      <c r="BU270">
        <f>IFERROR(INDEX(PP_Grid[#Data],$DD270,71),0)</f>
        <v/>
      </c>
      <c r="BV270">
        <f>IFERROR(INDEX(PP_Grid[#Data],$DD270,72),0)</f>
        <v/>
      </c>
      <c r="BW270">
        <f>IFERROR(INDEX(PP_Grid[#Data],$DD270,73),0)</f>
        <v/>
      </c>
      <c r="BX270">
        <f>IFERROR(INDEX(PP_Grid[#Data],$DD270,74),0)</f>
        <v/>
      </c>
      <c r="BY270">
        <f>IFERROR(INDEX(PP_Grid[#Data],$DD270,75),0)</f>
        <v/>
      </c>
      <c r="BZ270">
        <f>IFERROR(INDEX(PP_Grid[#Data],$DD270,76),0)</f>
        <v/>
      </c>
      <c r="CA270">
        <f>IFERROR(INDEX(PP_Grid[#Data],$DD270,77),0)</f>
        <v/>
      </c>
      <c r="CB270">
        <f>IFERROR(INDEX(PP_Grid[#Data],$DD270,78),0)</f>
        <v/>
      </c>
      <c r="CC270">
        <f>IFERROR(INDEX(PP_Grid[#Data],$DD270,79),0)</f>
        <v/>
      </c>
      <c r="CD270">
        <f>IFERROR(INDEX(PP_Grid[#Data],$DD270,80),0)</f>
        <v/>
      </c>
      <c r="CE270">
        <f>IFERROR(INDEX(PP_Grid[#Data],$DD270,81),0)</f>
        <v/>
      </c>
      <c r="CF270">
        <f>IFERROR(INDEX(PP_Grid[#Data],$DD270,82),0)</f>
        <v/>
      </c>
      <c r="CG270">
        <f>IFERROR(INDEX(PP_Grid[#Data],$DD270,83),0)</f>
        <v/>
      </c>
      <c r="CH270">
        <f>IFERROR(INDEX(PP_Grid[#Data],$DD270,84),0)</f>
        <v/>
      </c>
      <c r="CI270">
        <f>IFERROR(INDEX(PP_Grid[#Data],$DD270,85),0)</f>
        <v/>
      </c>
      <c r="CJ270">
        <f>IFERROR(INDEX(PP_Grid[#Data],$DD270,86),0)</f>
        <v/>
      </c>
      <c r="CK270">
        <f>IFERROR(INDEX(PP_Grid[#Data],$DD270,87),0)</f>
        <v/>
      </c>
      <c r="CL270">
        <f>IFERROR(INDEX(PP_Grid[#Data],$DD270,88),0)</f>
        <v/>
      </c>
      <c r="CM270">
        <f>IFERROR(INDEX(PP_Grid[#Data],$DD270,89),0)</f>
        <v/>
      </c>
      <c r="CN270">
        <f>IFERROR(INDEX(PP_Grid[#Data],$DD270,90),0)</f>
        <v/>
      </c>
      <c r="CO270">
        <f>IFERROR(INDEX(PP_Grid[#Data],$DD270,91),0)</f>
        <v/>
      </c>
      <c r="CP270">
        <f>IFERROR(INDEX(PP_Grid[#Data],$DD270,92),0)</f>
        <v/>
      </c>
      <c r="CQ270">
        <f>IFERROR(INDEX(PP_Grid[#Data],$DD270,93),0)</f>
        <v/>
      </c>
      <c r="CR270">
        <f>IFERROR(INDEX(PP_Grid[#Data],$DD270,94),0)</f>
        <v/>
      </c>
      <c r="CS270">
        <f>IFERROR(INDEX(PP_Grid[#Data],$DD270,95),0)</f>
        <v/>
      </c>
      <c r="CT270">
        <f>IFERROR(INDEX(PP_Grid[#Data],$DD270,96),0)</f>
        <v/>
      </c>
      <c r="CU270">
        <f>IFERROR(INDEX(PP_Grid[#Data],$DD270,97),0)</f>
        <v/>
      </c>
      <c r="CV270">
        <f>IFERROR(INDEX(PP_Grid[#Data],$DD270,98),0)</f>
        <v/>
      </c>
      <c r="CW270">
        <f>IFERROR(INDEX(PP_Grid[#Data],$DD270,99),0)</f>
        <v/>
      </c>
      <c r="CX270">
        <f>IFERROR(INDEX(PP_Grid[#Data],$DD270,100),0)</f>
        <v/>
      </c>
      <c r="CY270">
        <f>IFERROR(INDEX(PP_Grid[#Data],$DD270,101),0)</f>
        <v/>
      </c>
      <c r="CZ270">
        <f>IFERROR(INDEX(PP_Grid[#Data],$DD270,102),0)</f>
        <v/>
      </c>
      <c r="DA270">
        <f>IFERROR(INDEX(PP_Grid[#Data],$DD270,103),0)</f>
        <v/>
      </c>
      <c r="DB270">
        <f>IFERROR(INDEX(PP_Grid[#Data],$DD270,104),0)</f>
        <v/>
      </c>
      <c r="DC270">
        <f>IFERROR(INDEX(PP_Grid[#Data],$DD270,105),0)</f>
        <v/>
      </c>
      <c r="DD270" s="12">
        <f>IFERROR(MATCH($B270,PP_Grid[Intermediate],0),99999)</f>
        <v/>
      </c>
    </row>
    <row r="271">
      <c r="B271" t="inlineStr">
        <is>
          <t>使用量(kg)</t>
        </is>
      </c>
      <c r="C271">
        <f>SUMIFS(M_BOM[RM_Qty_Per_Batch],M_BOM[Intermediate],$B270,M_BOM[Part Name],$A233)</f>
        <v/>
      </c>
      <c r="D271">
        <f>$C271*D270</f>
        <v/>
      </c>
      <c r="E271">
        <f>$C271*E270</f>
        <v/>
      </c>
      <c r="F271">
        <f>$C271*F270</f>
        <v/>
      </c>
      <c r="G271">
        <f>$C271*G270</f>
        <v/>
      </c>
      <c r="H271">
        <f>$C271*H270</f>
        <v/>
      </c>
      <c r="I271">
        <f>$C271*I270</f>
        <v/>
      </c>
      <c r="J271">
        <f>$C271*J270</f>
        <v/>
      </c>
      <c r="K271">
        <f>$C271*K270</f>
        <v/>
      </c>
      <c r="L271">
        <f>$C271*L270</f>
        <v/>
      </c>
      <c r="M271">
        <f>$C271*M270</f>
        <v/>
      </c>
      <c r="N271">
        <f>$C271*N270</f>
        <v/>
      </c>
      <c r="O271">
        <f>$C271*O270</f>
        <v/>
      </c>
      <c r="P271">
        <f>$C271*P270</f>
        <v/>
      </c>
      <c r="Q271">
        <f>$C271*Q270</f>
        <v/>
      </c>
      <c r="R271">
        <f>$C271*R270</f>
        <v/>
      </c>
      <c r="S271">
        <f>$C271*S270</f>
        <v/>
      </c>
      <c r="T271">
        <f>$C271*T270</f>
        <v/>
      </c>
      <c r="U271">
        <f>$C271*U270</f>
        <v/>
      </c>
      <c r="V271">
        <f>$C271*V270</f>
        <v/>
      </c>
      <c r="W271">
        <f>$C271*W270</f>
        <v/>
      </c>
      <c r="X271">
        <f>$C271*X270</f>
        <v/>
      </c>
      <c r="Y271">
        <f>$C271*Y270</f>
        <v/>
      </c>
      <c r="Z271">
        <f>$C271*Z270</f>
        <v/>
      </c>
      <c r="AA271">
        <f>$C271*AA270</f>
        <v/>
      </c>
      <c r="AB271">
        <f>$C271*AB270</f>
        <v/>
      </c>
      <c r="AC271">
        <f>$C271*AC270</f>
        <v/>
      </c>
      <c r="AD271">
        <f>$C271*AD270</f>
        <v/>
      </c>
      <c r="AE271">
        <f>$C271*AE270</f>
        <v/>
      </c>
      <c r="AF271">
        <f>$C271*AF270</f>
        <v/>
      </c>
      <c r="AG271">
        <f>$C271*AG270</f>
        <v/>
      </c>
      <c r="AH271">
        <f>$C271*AH270</f>
        <v/>
      </c>
      <c r="AI271">
        <f>$C271*AI270</f>
        <v/>
      </c>
      <c r="AJ271">
        <f>$C271*AJ270</f>
        <v/>
      </c>
      <c r="AK271">
        <f>$C271*AK270</f>
        <v/>
      </c>
      <c r="AL271">
        <f>$C271*AL270</f>
        <v/>
      </c>
      <c r="AM271">
        <f>$C271*AM270</f>
        <v/>
      </c>
      <c r="AN271">
        <f>$C271*AN270</f>
        <v/>
      </c>
      <c r="AO271">
        <f>$C271*AO270</f>
        <v/>
      </c>
      <c r="AP271">
        <f>$C271*AP270</f>
        <v/>
      </c>
      <c r="AQ271">
        <f>$C271*AQ270</f>
        <v/>
      </c>
      <c r="AR271">
        <f>$C271*AR270</f>
        <v/>
      </c>
      <c r="AS271">
        <f>$C271*AS270</f>
        <v/>
      </c>
      <c r="AT271">
        <f>$C271*AT270</f>
        <v/>
      </c>
      <c r="AU271">
        <f>$C271*AU270</f>
        <v/>
      </c>
      <c r="AV271">
        <f>$C271*AV270</f>
        <v/>
      </c>
      <c r="AW271">
        <f>$C271*AW270</f>
        <v/>
      </c>
      <c r="AX271">
        <f>$C271*AX270</f>
        <v/>
      </c>
      <c r="AY271">
        <f>$C271*AY270</f>
        <v/>
      </c>
      <c r="AZ271">
        <f>$C271*AZ270</f>
        <v/>
      </c>
      <c r="BA271">
        <f>$C271*BA270</f>
        <v/>
      </c>
      <c r="BB271">
        <f>$C271*BB270</f>
        <v/>
      </c>
      <c r="BC271">
        <f>$C271*BC270</f>
        <v/>
      </c>
      <c r="BD271">
        <f>$C271*BD270</f>
        <v/>
      </c>
      <c r="BE271">
        <f>$C271*BE270</f>
        <v/>
      </c>
      <c r="BF271">
        <f>$C271*BF270</f>
        <v/>
      </c>
      <c r="BG271">
        <f>$C271*BG270</f>
        <v/>
      </c>
      <c r="BH271">
        <f>$C271*BH270</f>
        <v/>
      </c>
      <c r="BI271">
        <f>$C271*BI270</f>
        <v/>
      </c>
      <c r="BJ271">
        <f>$C271*BJ270</f>
        <v/>
      </c>
      <c r="BK271">
        <f>$C271*BK270</f>
        <v/>
      </c>
      <c r="BL271">
        <f>$C271*BL270</f>
        <v/>
      </c>
      <c r="BM271">
        <f>$C271*BM270</f>
        <v/>
      </c>
      <c r="BN271">
        <f>$C271*BN270</f>
        <v/>
      </c>
      <c r="BO271">
        <f>$C271*BO270</f>
        <v/>
      </c>
      <c r="BP271">
        <f>$C271*BP270</f>
        <v/>
      </c>
      <c r="BQ271">
        <f>$C271*BQ270</f>
        <v/>
      </c>
      <c r="BR271">
        <f>$C271*BR270</f>
        <v/>
      </c>
      <c r="BS271">
        <f>$C271*BS270</f>
        <v/>
      </c>
      <c r="BT271">
        <f>$C271*BT270</f>
        <v/>
      </c>
      <c r="BU271">
        <f>$C271*BU270</f>
        <v/>
      </c>
      <c r="BV271">
        <f>$C271*BV270</f>
        <v/>
      </c>
      <c r="BW271">
        <f>$C271*BW270</f>
        <v/>
      </c>
      <c r="BX271">
        <f>$C271*BX270</f>
        <v/>
      </c>
      <c r="BY271">
        <f>$C271*BY270</f>
        <v/>
      </c>
      <c r="BZ271">
        <f>$C271*BZ270</f>
        <v/>
      </c>
      <c r="CA271">
        <f>$C271*CA270</f>
        <v/>
      </c>
      <c r="CB271">
        <f>$C271*CB270</f>
        <v/>
      </c>
      <c r="CC271">
        <f>$C271*CC270</f>
        <v/>
      </c>
      <c r="CD271">
        <f>$C271*CD270</f>
        <v/>
      </c>
      <c r="CE271">
        <f>$C271*CE270</f>
        <v/>
      </c>
      <c r="CF271">
        <f>$C271*CF270</f>
        <v/>
      </c>
      <c r="CG271">
        <f>$C271*CG270</f>
        <v/>
      </c>
      <c r="CH271">
        <f>$C271*CH270</f>
        <v/>
      </c>
      <c r="CI271">
        <f>$C271*CI270</f>
        <v/>
      </c>
      <c r="CJ271">
        <f>$C271*CJ270</f>
        <v/>
      </c>
      <c r="CK271">
        <f>$C271*CK270</f>
        <v/>
      </c>
      <c r="CL271">
        <f>$C271*CL270</f>
        <v/>
      </c>
      <c r="CM271">
        <f>$C271*CM270</f>
        <v/>
      </c>
      <c r="CN271">
        <f>$C271*CN270</f>
        <v/>
      </c>
      <c r="CO271">
        <f>$C271*CO270</f>
        <v/>
      </c>
      <c r="CP271">
        <f>$C271*CP270</f>
        <v/>
      </c>
      <c r="CQ271">
        <f>$C271*CQ270</f>
        <v/>
      </c>
      <c r="CR271">
        <f>$C271*CR270</f>
        <v/>
      </c>
      <c r="CS271">
        <f>$C271*CS270</f>
        <v/>
      </c>
      <c r="CT271">
        <f>$C271*CT270</f>
        <v/>
      </c>
      <c r="CU271">
        <f>$C271*CU270</f>
        <v/>
      </c>
      <c r="CV271">
        <f>$C271*CV270</f>
        <v/>
      </c>
      <c r="CW271">
        <f>$C271*CW270</f>
        <v/>
      </c>
      <c r="CX271">
        <f>$C271*CX270</f>
        <v/>
      </c>
      <c r="CY271">
        <f>$C271*CY270</f>
        <v/>
      </c>
      <c r="CZ271">
        <f>$C271*CZ270</f>
        <v/>
      </c>
      <c r="DA271">
        <f>$C271*DA270</f>
        <v/>
      </c>
      <c r="DB271">
        <f>$C271*DB270</f>
        <v/>
      </c>
      <c r="DC271">
        <f>$C271*DC270</f>
        <v/>
      </c>
    </row>
    <row r="272">
      <c r="B272" s="5" t="inlineStr">
        <is>
          <t>合計使用量(kg)/週</t>
        </is>
      </c>
      <c r="D272">
        <f>'Grid_Requirement'!B39</f>
        <v/>
      </c>
      <c r="E272">
        <f>'Grid_Requirement'!C39</f>
        <v/>
      </c>
      <c r="F272">
        <f>'Grid_Requirement'!D39</f>
        <v/>
      </c>
      <c r="G272">
        <f>'Grid_Requirement'!E39</f>
        <v/>
      </c>
      <c r="H272">
        <f>'Grid_Requirement'!F39</f>
        <v/>
      </c>
      <c r="I272">
        <f>'Grid_Requirement'!G39</f>
        <v/>
      </c>
      <c r="J272">
        <f>'Grid_Requirement'!H39</f>
        <v/>
      </c>
      <c r="K272">
        <f>'Grid_Requirement'!I39</f>
        <v/>
      </c>
      <c r="L272">
        <f>'Grid_Requirement'!J39</f>
        <v/>
      </c>
      <c r="M272">
        <f>'Grid_Requirement'!K39</f>
        <v/>
      </c>
      <c r="N272">
        <f>'Grid_Requirement'!L39</f>
        <v/>
      </c>
      <c r="O272">
        <f>'Grid_Requirement'!M39</f>
        <v/>
      </c>
      <c r="P272">
        <f>'Grid_Requirement'!N39</f>
        <v/>
      </c>
      <c r="Q272">
        <f>'Grid_Requirement'!O39</f>
        <v/>
      </c>
      <c r="R272">
        <f>'Grid_Requirement'!P39</f>
        <v/>
      </c>
      <c r="S272">
        <f>'Grid_Requirement'!Q39</f>
        <v/>
      </c>
      <c r="T272">
        <f>'Grid_Requirement'!R39</f>
        <v/>
      </c>
      <c r="U272">
        <f>'Grid_Requirement'!S39</f>
        <v/>
      </c>
      <c r="V272">
        <f>'Grid_Requirement'!T39</f>
        <v/>
      </c>
      <c r="W272">
        <f>'Grid_Requirement'!U39</f>
        <v/>
      </c>
      <c r="X272">
        <f>'Grid_Requirement'!V39</f>
        <v/>
      </c>
      <c r="Y272">
        <f>'Grid_Requirement'!W39</f>
        <v/>
      </c>
      <c r="Z272">
        <f>'Grid_Requirement'!X39</f>
        <v/>
      </c>
      <c r="AA272">
        <f>'Grid_Requirement'!Y39</f>
        <v/>
      </c>
      <c r="AB272">
        <f>'Grid_Requirement'!Z39</f>
        <v/>
      </c>
      <c r="AC272">
        <f>'Grid_Requirement'!AA39</f>
        <v/>
      </c>
      <c r="AD272">
        <f>'Grid_Requirement'!AB39</f>
        <v/>
      </c>
      <c r="AE272">
        <f>'Grid_Requirement'!AC39</f>
        <v/>
      </c>
      <c r="AF272">
        <f>'Grid_Requirement'!AD39</f>
        <v/>
      </c>
      <c r="AG272">
        <f>'Grid_Requirement'!AE39</f>
        <v/>
      </c>
      <c r="AH272">
        <f>'Grid_Requirement'!AF39</f>
        <v/>
      </c>
      <c r="AI272">
        <f>'Grid_Requirement'!AG39</f>
        <v/>
      </c>
      <c r="AJ272">
        <f>'Grid_Requirement'!AH39</f>
        <v/>
      </c>
      <c r="AK272">
        <f>'Grid_Requirement'!AI39</f>
        <v/>
      </c>
      <c r="AL272">
        <f>'Grid_Requirement'!AJ39</f>
        <v/>
      </c>
      <c r="AM272">
        <f>'Grid_Requirement'!AK39</f>
        <v/>
      </c>
      <c r="AN272">
        <f>'Grid_Requirement'!AL39</f>
        <v/>
      </c>
      <c r="AO272">
        <f>'Grid_Requirement'!AM39</f>
        <v/>
      </c>
      <c r="AP272">
        <f>'Grid_Requirement'!AN39</f>
        <v/>
      </c>
      <c r="AQ272">
        <f>'Grid_Requirement'!AO39</f>
        <v/>
      </c>
      <c r="AR272">
        <f>'Grid_Requirement'!AP39</f>
        <v/>
      </c>
      <c r="AS272">
        <f>'Grid_Requirement'!AQ39</f>
        <v/>
      </c>
      <c r="AT272">
        <f>'Grid_Requirement'!AR39</f>
        <v/>
      </c>
      <c r="AU272">
        <f>'Grid_Requirement'!AS39</f>
        <v/>
      </c>
      <c r="AV272">
        <f>'Grid_Requirement'!AT39</f>
        <v/>
      </c>
      <c r="AW272">
        <f>'Grid_Requirement'!AU39</f>
        <v/>
      </c>
      <c r="AX272">
        <f>'Grid_Requirement'!AV39</f>
        <v/>
      </c>
      <c r="AY272">
        <f>'Grid_Requirement'!AW39</f>
        <v/>
      </c>
      <c r="AZ272">
        <f>'Grid_Requirement'!AX39</f>
        <v/>
      </c>
      <c r="BA272">
        <f>'Grid_Requirement'!AY39</f>
        <v/>
      </c>
      <c r="BB272">
        <f>'Grid_Requirement'!AZ39</f>
        <v/>
      </c>
      <c r="BC272">
        <f>'Grid_Requirement'!BA39</f>
        <v/>
      </c>
      <c r="BD272">
        <f>'Grid_Requirement'!BB39</f>
        <v/>
      </c>
      <c r="BE272">
        <f>'Grid_Requirement'!BC39</f>
        <v/>
      </c>
      <c r="BF272">
        <f>'Grid_Requirement'!BD39</f>
        <v/>
      </c>
      <c r="BG272">
        <f>'Grid_Requirement'!BE39</f>
        <v/>
      </c>
      <c r="BH272">
        <f>'Grid_Requirement'!BF39</f>
        <v/>
      </c>
      <c r="BI272">
        <f>'Grid_Requirement'!BG39</f>
        <v/>
      </c>
      <c r="BJ272">
        <f>'Grid_Requirement'!BH39</f>
        <v/>
      </c>
      <c r="BK272">
        <f>'Grid_Requirement'!BI39</f>
        <v/>
      </c>
      <c r="BL272">
        <f>'Grid_Requirement'!BJ39</f>
        <v/>
      </c>
      <c r="BM272">
        <f>'Grid_Requirement'!BK39</f>
        <v/>
      </c>
      <c r="BN272">
        <f>'Grid_Requirement'!BL39</f>
        <v/>
      </c>
      <c r="BO272">
        <f>'Grid_Requirement'!BM39</f>
        <v/>
      </c>
      <c r="BP272">
        <f>'Grid_Requirement'!BN39</f>
        <v/>
      </c>
      <c r="BQ272">
        <f>'Grid_Requirement'!BO39</f>
        <v/>
      </c>
      <c r="BR272">
        <f>'Grid_Requirement'!BP39</f>
        <v/>
      </c>
      <c r="BS272">
        <f>'Grid_Requirement'!BQ39</f>
        <v/>
      </c>
      <c r="BT272">
        <f>'Grid_Requirement'!BR39</f>
        <v/>
      </c>
      <c r="BU272">
        <f>'Grid_Requirement'!BS39</f>
        <v/>
      </c>
      <c r="BV272">
        <f>'Grid_Requirement'!BT39</f>
        <v/>
      </c>
      <c r="BW272">
        <f>'Grid_Requirement'!BU39</f>
        <v/>
      </c>
      <c r="BX272">
        <f>'Grid_Requirement'!BV39</f>
        <v/>
      </c>
      <c r="BY272">
        <f>'Grid_Requirement'!BW39</f>
        <v/>
      </c>
      <c r="BZ272">
        <f>'Grid_Requirement'!BX39</f>
        <v/>
      </c>
      <c r="CA272">
        <f>'Grid_Requirement'!BY39</f>
        <v/>
      </c>
      <c r="CB272">
        <f>'Grid_Requirement'!BZ39</f>
        <v/>
      </c>
      <c r="CC272">
        <f>'Grid_Requirement'!CA39</f>
        <v/>
      </c>
      <c r="CD272">
        <f>'Grid_Requirement'!CB39</f>
        <v/>
      </c>
      <c r="CE272">
        <f>'Grid_Requirement'!CC39</f>
        <v/>
      </c>
      <c r="CF272">
        <f>'Grid_Requirement'!CD39</f>
        <v/>
      </c>
      <c r="CG272">
        <f>'Grid_Requirement'!CE39</f>
        <v/>
      </c>
      <c r="CH272">
        <f>'Grid_Requirement'!CF39</f>
        <v/>
      </c>
      <c r="CI272">
        <f>'Grid_Requirement'!CG39</f>
        <v/>
      </c>
      <c r="CJ272">
        <f>'Grid_Requirement'!CH39</f>
        <v/>
      </c>
      <c r="CK272">
        <f>'Grid_Requirement'!CI39</f>
        <v/>
      </c>
      <c r="CL272">
        <f>'Grid_Requirement'!CJ39</f>
        <v/>
      </c>
      <c r="CM272">
        <f>'Grid_Requirement'!CK39</f>
        <v/>
      </c>
      <c r="CN272">
        <f>'Grid_Requirement'!CL39</f>
        <v/>
      </c>
      <c r="CO272">
        <f>'Grid_Requirement'!CM39</f>
        <v/>
      </c>
      <c r="CP272">
        <f>'Grid_Requirement'!CN39</f>
        <v/>
      </c>
      <c r="CQ272">
        <f>'Grid_Requirement'!CO39</f>
        <v/>
      </c>
      <c r="CR272">
        <f>'Grid_Requirement'!CP39</f>
        <v/>
      </c>
      <c r="CS272">
        <f>'Grid_Requirement'!CQ39</f>
        <v/>
      </c>
      <c r="CT272">
        <f>'Grid_Requirement'!CR39</f>
        <v/>
      </c>
      <c r="CU272">
        <f>'Grid_Requirement'!CS39</f>
        <v/>
      </c>
      <c r="CV272">
        <f>'Grid_Requirement'!CT39</f>
        <v/>
      </c>
      <c r="CW272">
        <f>'Grid_Requirement'!CU39</f>
        <v/>
      </c>
      <c r="CX272">
        <f>'Grid_Requirement'!CV39</f>
        <v/>
      </c>
      <c r="CY272">
        <f>'Grid_Requirement'!CW39</f>
        <v/>
      </c>
      <c r="CZ272">
        <f>'Grid_Requirement'!CX39</f>
        <v/>
      </c>
      <c r="DA272">
        <f>'Grid_Requirement'!CY39</f>
        <v/>
      </c>
      <c r="DB272">
        <f>'Grid_Requirement'!CZ39</f>
        <v/>
      </c>
      <c r="DC272">
        <f>'Grid_Requirement'!DA39</f>
        <v/>
      </c>
    </row>
    <row r="273">
      <c r="B273" t="inlineStr">
        <is>
          <t>TTAF在庫(実績,kg)</t>
        </is>
      </c>
      <c r="D273">
        <f>'T_TTAFStock'!B43</f>
        <v/>
      </c>
      <c r="E273">
        <f>'T_TTAFStock'!C43</f>
        <v/>
      </c>
      <c r="F273">
        <f>'T_TTAFStock'!D43</f>
        <v/>
      </c>
      <c r="G273">
        <f>'T_TTAFStock'!E43</f>
        <v/>
      </c>
      <c r="H273">
        <f>'T_TTAFStock'!F43</f>
        <v/>
      </c>
      <c r="I273">
        <f>'T_TTAFStock'!G43</f>
        <v/>
      </c>
      <c r="J273">
        <f>'T_TTAFStock'!H43</f>
        <v/>
      </c>
      <c r="K273">
        <f>'T_TTAFStock'!I43</f>
        <v/>
      </c>
      <c r="L273">
        <f>'T_TTAFStock'!J43</f>
        <v/>
      </c>
      <c r="M273">
        <f>'T_TTAFStock'!K43</f>
        <v/>
      </c>
      <c r="N273">
        <f>'T_TTAFStock'!L43</f>
        <v/>
      </c>
      <c r="O273">
        <f>'T_TTAFStock'!M43</f>
        <v/>
      </c>
      <c r="P273">
        <f>'T_TTAFStock'!N43</f>
        <v/>
      </c>
      <c r="Q273">
        <f>'T_TTAFStock'!O43</f>
        <v/>
      </c>
      <c r="R273">
        <f>'T_TTAFStock'!P43</f>
        <v/>
      </c>
      <c r="S273">
        <f>'T_TTAFStock'!Q43</f>
        <v/>
      </c>
      <c r="T273">
        <f>'T_TTAFStock'!R43</f>
        <v/>
      </c>
      <c r="U273">
        <f>'T_TTAFStock'!S43</f>
        <v/>
      </c>
      <c r="V273">
        <f>'T_TTAFStock'!T43</f>
        <v/>
      </c>
      <c r="W273">
        <f>'T_TTAFStock'!U43</f>
        <v/>
      </c>
      <c r="X273">
        <f>'T_TTAFStock'!V43</f>
        <v/>
      </c>
      <c r="Y273">
        <f>'T_TTAFStock'!W43</f>
        <v/>
      </c>
      <c r="Z273">
        <f>'T_TTAFStock'!X43</f>
        <v/>
      </c>
      <c r="AA273">
        <f>'T_TTAFStock'!Y43</f>
        <v/>
      </c>
      <c r="AB273">
        <f>'T_TTAFStock'!Z43</f>
        <v/>
      </c>
      <c r="AC273">
        <f>'T_TTAFStock'!AA43</f>
        <v/>
      </c>
      <c r="AD273">
        <f>'T_TTAFStock'!AB43</f>
        <v/>
      </c>
      <c r="AE273">
        <f>'T_TTAFStock'!AC43</f>
        <v/>
      </c>
      <c r="AF273">
        <f>'T_TTAFStock'!AD43</f>
        <v/>
      </c>
      <c r="AG273">
        <f>'T_TTAFStock'!AE43</f>
        <v/>
      </c>
      <c r="AH273">
        <f>'T_TTAFStock'!AF43</f>
        <v/>
      </c>
      <c r="AI273">
        <f>'T_TTAFStock'!AG43</f>
        <v/>
      </c>
      <c r="AJ273">
        <f>'T_TTAFStock'!AH43</f>
        <v/>
      </c>
      <c r="AK273">
        <f>'T_TTAFStock'!AI43</f>
        <v/>
      </c>
      <c r="AL273">
        <f>'T_TTAFStock'!AJ43</f>
        <v/>
      </c>
      <c r="AM273">
        <f>'T_TTAFStock'!AK43</f>
        <v/>
      </c>
      <c r="AN273">
        <f>'T_TTAFStock'!AL43</f>
        <v/>
      </c>
      <c r="AO273">
        <f>'T_TTAFStock'!AM43</f>
        <v/>
      </c>
      <c r="AP273">
        <f>'T_TTAFStock'!AN43</f>
        <v/>
      </c>
      <c r="AQ273">
        <f>'T_TTAFStock'!AO43</f>
        <v/>
      </c>
      <c r="AR273">
        <f>'T_TTAFStock'!AP43</f>
        <v/>
      </c>
      <c r="AS273">
        <f>'T_TTAFStock'!AQ43</f>
        <v/>
      </c>
      <c r="AT273">
        <f>'T_TTAFStock'!AR43</f>
        <v/>
      </c>
      <c r="AU273">
        <f>'T_TTAFStock'!AS43</f>
        <v/>
      </c>
      <c r="AV273">
        <f>'T_TTAFStock'!AT43</f>
        <v/>
      </c>
      <c r="AW273">
        <f>'T_TTAFStock'!AU43</f>
        <v/>
      </c>
      <c r="AX273">
        <f>'T_TTAFStock'!AV43</f>
        <v/>
      </c>
      <c r="AY273">
        <f>'T_TTAFStock'!AW43</f>
        <v/>
      </c>
      <c r="AZ273">
        <f>'T_TTAFStock'!AX43</f>
        <v/>
      </c>
      <c r="BA273">
        <f>'T_TTAFStock'!AY43</f>
        <v/>
      </c>
      <c r="BB273">
        <f>'T_TTAFStock'!AZ43</f>
        <v/>
      </c>
      <c r="BC273">
        <f>'T_TTAFStock'!BA43</f>
        <v/>
      </c>
      <c r="BD273">
        <f>'T_TTAFStock'!BB43</f>
        <v/>
      </c>
      <c r="BE273">
        <f>'T_TTAFStock'!BC43</f>
        <v/>
      </c>
      <c r="BF273">
        <f>'T_TTAFStock'!BD43</f>
        <v/>
      </c>
      <c r="BG273">
        <f>'T_TTAFStock'!BE43</f>
        <v/>
      </c>
      <c r="BH273">
        <f>'T_TTAFStock'!BF43</f>
        <v/>
      </c>
      <c r="BI273">
        <f>'T_TTAFStock'!BG43</f>
        <v/>
      </c>
      <c r="BJ273">
        <f>'T_TTAFStock'!BH43</f>
        <v/>
      </c>
      <c r="BK273">
        <f>'T_TTAFStock'!BI43</f>
        <v/>
      </c>
      <c r="BL273">
        <f>'T_TTAFStock'!BJ43</f>
        <v/>
      </c>
      <c r="BM273">
        <f>'T_TTAFStock'!BK43</f>
        <v/>
      </c>
      <c r="BN273">
        <f>'T_TTAFStock'!BL43</f>
        <v/>
      </c>
      <c r="BO273">
        <f>'T_TTAFStock'!BM43</f>
        <v/>
      </c>
      <c r="BP273">
        <f>'T_TTAFStock'!BN43</f>
        <v/>
      </c>
      <c r="BQ273">
        <f>'T_TTAFStock'!BO43</f>
        <v/>
      </c>
      <c r="BR273">
        <f>'T_TTAFStock'!BP43</f>
        <v/>
      </c>
      <c r="BS273">
        <f>'T_TTAFStock'!BQ43</f>
        <v/>
      </c>
      <c r="BT273">
        <f>'T_TTAFStock'!BR43</f>
        <v/>
      </c>
      <c r="BU273">
        <f>'T_TTAFStock'!BS43</f>
        <v/>
      </c>
      <c r="BV273">
        <f>'T_TTAFStock'!BT43</f>
        <v/>
      </c>
      <c r="BW273">
        <f>'T_TTAFStock'!BU43</f>
        <v/>
      </c>
      <c r="BX273">
        <f>'T_TTAFStock'!BV43</f>
        <v/>
      </c>
      <c r="BY273">
        <f>'T_TTAFStock'!BW43</f>
        <v/>
      </c>
      <c r="BZ273">
        <f>'T_TTAFStock'!BX43</f>
        <v/>
      </c>
      <c r="CA273">
        <f>'T_TTAFStock'!BY43</f>
        <v/>
      </c>
      <c r="CB273">
        <f>'T_TTAFStock'!BZ43</f>
        <v/>
      </c>
      <c r="CC273">
        <f>'T_TTAFStock'!CA43</f>
        <v/>
      </c>
      <c r="CD273">
        <f>'T_TTAFStock'!CB43</f>
        <v/>
      </c>
      <c r="CE273">
        <f>'T_TTAFStock'!CC43</f>
        <v/>
      </c>
      <c r="CF273">
        <f>'T_TTAFStock'!CD43</f>
        <v/>
      </c>
      <c r="CG273">
        <f>'T_TTAFStock'!CE43</f>
        <v/>
      </c>
      <c r="CH273">
        <f>'T_TTAFStock'!CF43</f>
        <v/>
      </c>
      <c r="CI273">
        <f>'T_TTAFStock'!CG43</f>
        <v/>
      </c>
      <c r="CJ273">
        <f>'T_TTAFStock'!CH43</f>
        <v/>
      </c>
      <c r="CK273">
        <f>'T_TTAFStock'!CI43</f>
        <v/>
      </c>
      <c r="CL273">
        <f>'T_TTAFStock'!CJ43</f>
        <v/>
      </c>
      <c r="CM273">
        <f>'T_TTAFStock'!CK43</f>
        <v/>
      </c>
      <c r="CN273">
        <f>'T_TTAFStock'!CL43</f>
        <v/>
      </c>
      <c r="CO273">
        <f>'T_TTAFStock'!CM43</f>
        <v/>
      </c>
      <c r="CP273">
        <f>'T_TTAFStock'!CN43</f>
        <v/>
      </c>
      <c r="CQ273">
        <f>'T_TTAFStock'!CO43</f>
        <v/>
      </c>
      <c r="CR273">
        <f>'T_TTAFStock'!CP43</f>
        <v/>
      </c>
      <c r="CS273">
        <f>'T_TTAFStock'!CQ43</f>
        <v/>
      </c>
      <c r="CT273">
        <f>'T_TTAFStock'!CR43</f>
        <v/>
      </c>
      <c r="CU273">
        <f>'T_TTAFStock'!CS43</f>
        <v/>
      </c>
      <c r="CV273">
        <f>'T_TTAFStock'!CT43</f>
        <v/>
      </c>
      <c r="CW273">
        <f>'T_TTAFStock'!CU43</f>
        <v/>
      </c>
      <c r="CX273">
        <f>'T_TTAFStock'!CV43</f>
        <v/>
      </c>
      <c r="CY273">
        <f>'T_TTAFStock'!CW43</f>
        <v/>
      </c>
      <c r="CZ273">
        <f>'T_TTAFStock'!CX43</f>
        <v/>
      </c>
      <c r="DA273">
        <f>'T_TTAFStock'!CY43</f>
        <v/>
      </c>
      <c r="DB273">
        <f>'T_TTAFStock'!CZ43</f>
        <v/>
      </c>
      <c r="DC273">
        <f>'T_TTAFStock'!DA43</f>
        <v/>
      </c>
    </row>
    <row r="274">
      <c r="B274" t="inlineStr">
        <is>
          <t>自社在庫(実績,kg)</t>
        </is>
      </c>
      <c r="D274">
        <f>'T_SelfStock'!B43</f>
        <v/>
      </c>
      <c r="E274">
        <f>'T_SelfStock'!C43</f>
        <v/>
      </c>
      <c r="F274">
        <f>'T_SelfStock'!D43</f>
        <v/>
      </c>
      <c r="G274">
        <f>'T_SelfStock'!E43</f>
        <v/>
      </c>
      <c r="H274">
        <f>'T_SelfStock'!F43</f>
        <v/>
      </c>
      <c r="I274">
        <f>'T_SelfStock'!G43</f>
        <v/>
      </c>
      <c r="J274">
        <f>'T_SelfStock'!H43</f>
        <v/>
      </c>
      <c r="K274">
        <f>'T_SelfStock'!I43</f>
        <v/>
      </c>
      <c r="L274">
        <f>'T_SelfStock'!J43</f>
        <v/>
      </c>
      <c r="M274">
        <f>'T_SelfStock'!K43</f>
        <v/>
      </c>
      <c r="N274">
        <f>'T_SelfStock'!L43</f>
        <v/>
      </c>
      <c r="O274">
        <f>'T_SelfStock'!M43</f>
        <v/>
      </c>
      <c r="P274">
        <f>'T_SelfStock'!N43</f>
        <v/>
      </c>
      <c r="Q274">
        <f>'T_SelfStock'!O43</f>
        <v/>
      </c>
      <c r="R274">
        <f>'T_SelfStock'!P43</f>
        <v/>
      </c>
      <c r="S274">
        <f>'T_SelfStock'!Q43</f>
        <v/>
      </c>
      <c r="T274">
        <f>'T_SelfStock'!R43</f>
        <v/>
      </c>
      <c r="U274">
        <f>'T_SelfStock'!S43</f>
        <v/>
      </c>
      <c r="V274">
        <f>'T_SelfStock'!T43</f>
        <v/>
      </c>
      <c r="W274">
        <f>'T_SelfStock'!U43</f>
        <v/>
      </c>
      <c r="X274">
        <f>'T_SelfStock'!V43</f>
        <v/>
      </c>
      <c r="Y274">
        <f>'T_SelfStock'!W43</f>
        <v/>
      </c>
      <c r="Z274">
        <f>'T_SelfStock'!X43</f>
        <v/>
      </c>
      <c r="AA274">
        <f>'T_SelfStock'!Y43</f>
        <v/>
      </c>
      <c r="AB274">
        <f>'T_SelfStock'!Z43</f>
        <v/>
      </c>
      <c r="AC274">
        <f>'T_SelfStock'!AA43</f>
        <v/>
      </c>
      <c r="AD274">
        <f>'T_SelfStock'!AB43</f>
        <v/>
      </c>
      <c r="AE274">
        <f>'T_SelfStock'!AC43</f>
        <v/>
      </c>
      <c r="AF274">
        <f>'T_SelfStock'!AD43</f>
        <v/>
      </c>
      <c r="AG274">
        <f>'T_SelfStock'!AE43</f>
        <v/>
      </c>
      <c r="AH274">
        <f>'T_SelfStock'!AF43</f>
        <v/>
      </c>
      <c r="AI274">
        <f>'T_SelfStock'!AG43</f>
        <v/>
      </c>
      <c r="AJ274">
        <f>'T_SelfStock'!AH43</f>
        <v/>
      </c>
      <c r="AK274">
        <f>'T_SelfStock'!AI43</f>
        <v/>
      </c>
      <c r="AL274">
        <f>'T_SelfStock'!AJ43</f>
        <v/>
      </c>
      <c r="AM274">
        <f>'T_SelfStock'!AK43</f>
        <v/>
      </c>
      <c r="AN274">
        <f>'T_SelfStock'!AL43</f>
        <v/>
      </c>
      <c r="AO274">
        <f>'T_SelfStock'!AM43</f>
        <v/>
      </c>
      <c r="AP274">
        <f>'T_SelfStock'!AN43</f>
        <v/>
      </c>
      <c r="AQ274">
        <f>'T_SelfStock'!AO43</f>
        <v/>
      </c>
      <c r="AR274">
        <f>'T_SelfStock'!AP43</f>
        <v/>
      </c>
      <c r="AS274">
        <f>'T_SelfStock'!AQ43</f>
        <v/>
      </c>
      <c r="AT274">
        <f>'T_SelfStock'!AR43</f>
        <v/>
      </c>
      <c r="AU274">
        <f>'T_SelfStock'!AS43</f>
        <v/>
      </c>
      <c r="AV274">
        <f>'T_SelfStock'!AT43</f>
        <v/>
      </c>
      <c r="AW274">
        <f>'T_SelfStock'!AU43</f>
        <v/>
      </c>
      <c r="AX274">
        <f>'T_SelfStock'!AV43</f>
        <v/>
      </c>
      <c r="AY274">
        <f>'T_SelfStock'!AW43</f>
        <v/>
      </c>
      <c r="AZ274">
        <f>'T_SelfStock'!AX43</f>
        <v/>
      </c>
      <c r="BA274">
        <f>'T_SelfStock'!AY43</f>
        <v/>
      </c>
      <c r="BB274">
        <f>'T_SelfStock'!AZ43</f>
        <v/>
      </c>
      <c r="BC274">
        <f>'T_SelfStock'!BA43</f>
        <v/>
      </c>
      <c r="BD274">
        <f>'T_SelfStock'!BB43</f>
        <v/>
      </c>
      <c r="BE274">
        <f>'T_SelfStock'!BC43</f>
        <v/>
      </c>
      <c r="BF274">
        <f>'T_SelfStock'!BD43</f>
        <v/>
      </c>
      <c r="BG274">
        <f>'T_SelfStock'!BE43</f>
        <v/>
      </c>
      <c r="BH274">
        <f>'T_SelfStock'!BF43</f>
        <v/>
      </c>
      <c r="BI274">
        <f>'T_SelfStock'!BG43</f>
        <v/>
      </c>
      <c r="BJ274">
        <f>'T_SelfStock'!BH43</f>
        <v/>
      </c>
      <c r="BK274">
        <f>'T_SelfStock'!BI43</f>
        <v/>
      </c>
      <c r="BL274">
        <f>'T_SelfStock'!BJ43</f>
        <v/>
      </c>
      <c r="BM274">
        <f>'T_SelfStock'!BK43</f>
        <v/>
      </c>
      <c r="BN274">
        <f>'T_SelfStock'!BL43</f>
        <v/>
      </c>
      <c r="BO274">
        <f>'T_SelfStock'!BM43</f>
        <v/>
      </c>
      <c r="BP274">
        <f>'T_SelfStock'!BN43</f>
        <v/>
      </c>
      <c r="BQ274">
        <f>'T_SelfStock'!BO43</f>
        <v/>
      </c>
      <c r="BR274">
        <f>'T_SelfStock'!BP43</f>
        <v/>
      </c>
      <c r="BS274">
        <f>'T_SelfStock'!BQ43</f>
        <v/>
      </c>
      <c r="BT274">
        <f>'T_SelfStock'!BR43</f>
        <v/>
      </c>
      <c r="BU274">
        <f>'T_SelfStock'!BS43</f>
        <v/>
      </c>
      <c r="BV274">
        <f>'T_SelfStock'!BT43</f>
        <v/>
      </c>
      <c r="BW274">
        <f>'T_SelfStock'!BU43</f>
        <v/>
      </c>
      <c r="BX274">
        <f>'T_SelfStock'!BV43</f>
        <v/>
      </c>
      <c r="BY274">
        <f>'T_SelfStock'!BW43</f>
        <v/>
      </c>
      <c r="BZ274">
        <f>'T_SelfStock'!BX43</f>
        <v/>
      </c>
      <c r="CA274">
        <f>'T_SelfStock'!BY43</f>
        <v/>
      </c>
      <c r="CB274">
        <f>'T_SelfStock'!BZ43</f>
        <v/>
      </c>
      <c r="CC274">
        <f>'T_SelfStock'!CA43</f>
        <v/>
      </c>
      <c r="CD274">
        <f>'T_SelfStock'!CB43</f>
        <v/>
      </c>
      <c r="CE274">
        <f>'T_SelfStock'!CC43</f>
        <v/>
      </c>
      <c r="CF274">
        <f>'T_SelfStock'!CD43</f>
        <v/>
      </c>
      <c r="CG274">
        <f>'T_SelfStock'!CE43</f>
        <v/>
      </c>
      <c r="CH274">
        <f>'T_SelfStock'!CF43</f>
        <v/>
      </c>
      <c r="CI274">
        <f>'T_SelfStock'!CG43</f>
        <v/>
      </c>
      <c r="CJ274">
        <f>'T_SelfStock'!CH43</f>
        <v/>
      </c>
      <c r="CK274">
        <f>'T_SelfStock'!CI43</f>
        <v/>
      </c>
      <c r="CL274">
        <f>'T_SelfStock'!CJ43</f>
        <v/>
      </c>
      <c r="CM274">
        <f>'T_SelfStock'!CK43</f>
        <v/>
      </c>
      <c r="CN274">
        <f>'T_SelfStock'!CL43</f>
        <v/>
      </c>
      <c r="CO274">
        <f>'T_SelfStock'!CM43</f>
        <v/>
      </c>
      <c r="CP274">
        <f>'T_SelfStock'!CN43</f>
        <v/>
      </c>
      <c r="CQ274">
        <f>'T_SelfStock'!CO43</f>
        <v/>
      </c>
      <c r="CR274">
        <f>'T_SelfStock'!CP43</f>
        <v/>
      </c>
      <c r="CS274">
        <f>'T_SelfStock'!CQ43</f>
        <v/>
      </c>
      <c r="CT274">
        <f>'T_SelfStock'!CR43</f>
        <v/>
      </c>
      <c r="CU274">
        <f>'T_SelfStock'!CS43</f>
        <v/>
      </c>
      <c r="CV274">
        <f>'T_SelfStock'!CT43</f>
        <v/>
      </c>
      <c r="CW274">
        <f>'T_SelfStock'!CU43</f>
        <v/>
      </c>
      <c r="CX274">
        <f>'T_SelfStock'!CV43</f>
        <v/>
      </c>
      <c r="CY274">
        <f>'T_SelfStock'!CW43</f>
        <v/>
      </c>
      <c r="CZ274">
        <f>'T_SelfStock'!CX43</f>
        <v/>
      </c>
      <c r="DA274">
        <f>'T_SelfStock'!CY43</f>
        <v/>
      </c>
      <c r="DB274">
        <f>'T_SelfStock'!CZ43</f>
        <v/>
      </c>
      <c r="DC274">
        <f>'T_SelfStock'!DA43</f>
        <v/>
      </c>
    </row>
    <row r="275">
      <c r="B275" t="inlineStr">
        <is>
          <t>Order(発注予定,kg)</t>
        </is>
      </c>
      <c r="D275">
        <f>IF(SUMIFS(T_PlannedOrders[EffectiveQty],T_PlannedOrders[Part Name],$A233,T_PlannedOrders[WeekIndex],1)=0,"",SUMIFS(T_PlannedOrders[EffectiveQty],T_PlannedOrders[Part Name],$A233,T_PlannedOrders[WeekIndex],1)&amp;" ("&amp;TEXT(SUMPRODUCT(MAX((T_PlannedOrders[Part Name]=$A233)*(T_PlannedOrders[WeekIndex]=1)*(T_PlannedOrders[EffectiveQty]&gt;0)*T_PlannedOrders[Order_Month])),"m月")&amp;"発注)")</f>
        <v/>
      </c>
      <c r="E275">
        <f>IF(SUMIFS(T_PlannedOrders[EffectiveQty],T_PlannedOrders[Part Name],$A233,T_PlannedOrders[WeekIndex],2)=0,"",SUMIFS(T_PlannedOrders[EffectiveQty],T_PlannedOrders[Part Name],$A233,T_PlannedOrders[WeekIndex],2)&amp;" ("&amp;TEXT(SUMPRODUCT(MAX((T_PlannedOrders[Part Name]=$A233)*(T_PlannedOrders[WeekIndex]=2)*(T_PlannedOrders[EffectiveQty]&gt;0)*T_PlannedOrders[Order_Month])),"m月")&amp;"発注)")</f>
        <v/>
      </c>
      <c r="F275">
        <f>IF(SUMIFS(T_PlannedOrders[EffectiveQty],T_PlannedOrders[Part Name],$A233,T_PlannedOrders[WeekIndex],3)=0,"",SUMIFS(T_PlannedOrders[EffectiveQty],T_PlannedOrders[Part Name],$A233,T_PlannedOrders[WeekIndex],3)&amp;" ("&amp;TEXT(SUMPRODUCT(MAX((T_PlannedOrders[Part Name]=$A233)*(T_PlannedOrders[WeekIndex]=3)*(T_PlannedOrders[EffectiveQty]&gt;0)*T_PlannedOrders[Order_Month])),"m月")&amp;"発注)")</f>
        <v/>
      </c>
      <c r="G275">
        <f>IF(SUMIFS(T_PlannedOrders[EffectiveQty],T_PlannedOrders[Part Name],$A233,T_PlannedOrders[WeekIndex],4)=0,"",SUMIFS(T_PlannedOrders[EffectiveQty],T_PlannedOrders[Part Name],$A233,T_PlannedOrders[WeekIndex],4)&amp;" ("&amp;TEXT(SUMPRODUCT(MAX((T_PlannedOrders[Part Name]=$A233)*(T_PlannedOrders[WeekIndex]=4)*(T_PlannedOrders[EffectiveQty]&gt;0)*T_PlannedOrders[Order_Month])),"m月")&amp;"発注)")</f>
        <v/>
      </c>
      <c r="H275">
        <f>IF(SUMIFS(T_PlannedOrders[EffectiveQty],T_PlannedOrders[Part Name],$A233,T_PlannedOrders[WeekIndex],5)=0,"",SUMIFS(T_PlannedOrders[EffectiveQty],T_PlannedOrders[Part Name],$A233,T_PlannedOrders[WeekIndex],5)&amp;" ("&amp;TEXT(SUMPRODUCT(MAX((T_PlannedOrders[Part Name]=$A233)*(T_PlannedOrders[WeekIndex]=5)*(T_PlannedOrders[EffectiveQty]&gt;0)*T_PlannedOrders[Order_Month])),"m月")&amp;"発注)")</f>
        <v/>
      </c>
      <c r="I275">
        <f>IF(SUMIFS(T_PlannedOrders[EffectiveQty],T_PlannedOrders[Part Name],$A233,T_PlannedOrders[WeekIndex],6)=0,"",SUMIFS(T_PlannedOrders[EffectiveQty],T_PlannedOrders[Part Name],$A233,T_PlannedOrders[WeekIndex],6)&amp;" ("&amp;TEXT(SUMPRODUCT(MAX((T_PlannedOrders[Part Name]=$A233)*(T_PlannedOrders[WeekIndex]=6)*(T_PlannedOrders[EffectiveQty]&gt;0)*T_PlannedOrders[Order_Month])),"m月")&amp;"発注)")</f>
        <v/>
      </c>
      <c r="J275">
        <f>IF(SUMIFS(T_PlannedOrders[EffectiveQty],T_PlannedOrders[Part Name],$A233,T_PlannedOrders[WeekIndex],7)=0,"",SUMIFS(T_PlannedOrders[EffectiveQty],T_PlannedOrders[Part Name],$A233,T_PlannedOrders[WeekIndex],7)&amp;" ("&amp;TEXT(SUMPRODUCT(MAX((T_PlannedOrders[Part Name]=$A233)*(T_PlannedOrders[WeekIndex]=7)*(T_PlannedOrders[EffectiveQty]&gt;0)*T_PlannedOrders[Order_Month])),"m月")&amp;"発注)")</f>
        <v/>
      </c>
      <c r="K275">
        <f>IF(SUMIFS(T_PlannedOrders[EffectiveQty],T_PlannedOrders[Part Name],$A233,T_PlannedOrders[WeekIndex],8)=0,"",SUMIFS(T_PlannedOrders[EffectiveQty],T_PlannedOrders[Part Name],$A233,T_PlannedOrders[WeekIndex],8)&amp;" ("&amp;TEXT(SUMPRODUCT(MAX((T_PlannedOrders[Part Name]=$A233)*(T_PlannedOrders[WeekIndex]=8)*(T_PlannedOrders[EffectiveQty]&gt;0)*T_PlannedOrders[Order_Month])),"m月")&amp;"発注)")</f>
        <v/>
      </c>
      <c r="L275">
        <f>IF(SUMIFS(T_PlannedOrders[EffectiveQty],T_PlannedOrders[Part Name],$A233,T_PlannedOrders[WeekIndex],9)=0,"",SUMIFS(T_PlannedOrders[EffectiveQty],T_PlannedOrders[Part Name],$A233,T_PlannedOrders[WeekIndex],9)&amp;" ("&amp;TEXT(SUMPRODUCT(MAX((T_PlannedOrders[Part Name]=$A233)*(T_PlannedOrders[WeekIndex]=9)*(T_PlannedOrders[EffectiveQty]&gt;0)*T_PlannedOrders[Order_Month])),"m月")&amp;"発注)")</f>
        <v/>
      </c>
      <c r="M275">
        <f>IF(SUMIFS(T_PlannedOrders[EffectiveQty],T_PlannedOrders[Part Name],$A233,T_PlannedOrders[WeekIndex],10)=0,"",SUMIFS(T_PlannedOrders[EffectiveQty],T_PlannedOrders[Part Name],$A233,T_PlannedOrders[WeekIndex],10)&amp;" ("&amp;TEXT(SUMPRODUCT(MAX((T_PlannedOrders[Part Name]=$A233)*(T_PlannedOrders[WeekIndex]=10)*(T_PlannedOrders[EffectiveQty]&gt;0)*T_PlannedOrders[Order_Month])),"m月")&amp;"発注)")</f>
        <v/>
      </c>
      <c r="N275">
        <f>IF(SUMIFS(T_PlannedOrders[EffectiveQty],T_PlannedOrders[Part Name],$A233,T_PlannedOrders[WeekIndex],11)=0,"",SUMIFS(T_PlannedOrders[EffectiveQty],T_PlannedOrders[Part Name],$A233,T_PlannedOrders[WeekIndex],11)&amp;" ("&amp;TEXT(SUMPRODUCT(MAX((T_PlannedOrders[Part Name]=$A233)*(T_PlannedOrders[WeekIndex]=11)*(T_PlannedOrders[EffectiveQty]&gt;0)*T_PlannedOrders[Order_Month])),"m月")&amp;"発注)")</f>
        <v/>
      </c>
      <c r="O275">
        <f>IF(SUMIFS(T_PlannedOrders[EffectiveQty],T_PlannedOrders[Part Name],$A233,T_PlannedOrders[WeekIndex],12)=0,"",SUMIFS(T_PlannedOrders[EffectiveQty],T_PlannedOrders[Part Name],$A233,T_PlannedOrders[WeekIndex],12)&amp;" ("&amp;TEXT(SUMPRODUCT(MAX((T_PlannedOrders[Part Name]=$A233)*(T_PlannedOrders[WeekIndex]=12)*(T_PlannedOrders[EffectiveQty]&gt;0)*T_PlannedOrders[Order_Month])),"m月")&amp;"発注)")</f>
        <v/>
      </c>
      <c r="P275">
        <f>IF(SUMIFS(T_PlannedOrders[EffectiveQty],T_PlannedOrders[Part Name],$A233,T_PlannedOrders[WeekIndex],13)=0,"",SUMIFS(T_PlannedOrders[EffectiveQty],T_PlannedOrders[Part Name],$A233,T_PlannedOrders[WeekIndex],13)&amp;" ("&amp;TEXT(SUMPRODUCT(MAX((T_PlannedOrders[Part Name]=$A233)*(T_PlannedOrders[WeekIndex]=13)*(T_PlannedOrders[EffectiveQty]&gt;0)*T_PlannedOrders[Order_Month])),"m月")&amp;"発注)")</f>
        <v/>
      </c>
      <c r="Q275">
        <f>IF(SUMIFS(T_PlannedOrders[EffectiveQty],T_PlannedOrders[Part Name],$A233,T_PlannedOrders[WeekIndex],14)=0,"",SUMIFS(T_PlannedOrders[EffectiveQty],T_PlannedOrders[Part Name],$A233,T_PlannedOrders[WeekIndex],14)&amp;" ("&amp;TEXT(SUMPRODUCT(MAX((T_PlannedOrders[Part Name]=$A233)*(T_PlannedOrders[WeekIndex]=14)*(T_PlannedOrders[EffectiveQty]&gt;0)*T_PlannedOrders[Order_Month])),"m月")&amp;"発注)")</f>
        <v/>
      </c>
      <c r="R275">
        <f>IF(SUMIFS(T_PlannedOrders[EffectiveQty],T_PlannedOrders[Part Name],$A233,T_PlannedOrders[WeekIndex],15)=0,"",SUMIFS(T_PlannedOrders[EffectiveQty],T_PlannedOrders[Part Name],$A233,T_PlannedOrders[WeekIndex],15)&amp;" ("&amp;TEXT(SUMPRODUCT(MAX((T_PlannedOrders[Part Name]=$A233)*(T_PlannedOrders[WeekIndex]=15)*(T_PlannedOrders[EffectiveQty]&gt;0)*T_PlannedOrders[Order_Month])),"m月")&amp;"発注)")</f>
        <v/>
      </c>
      <c r="S275">
        <f>IF(SUMIFS(T_PlannedOrders[EffectiveQty],T_PlannedOrders[Part Name],$A233,T_PlannedOrders[WeekIndex],16)=0,"",SUMIFS(T_PlannedOrders[EffectiveQty],T_PlannedOrders[Part Name],$A233,T_PlannedOrders[WeekIndex],16)&amp;" ("&amp;TEXT(SUMPRODUCT(MAX((T_PlannedOrders[Part Name]=$A233)*(T_PlannedOrders[WeekIndex]=16)*(T_PlannedOrders[EffectiveQty]&gt;0)*T_PlannedOrders[Order_Month])),"m月")&amp;"発注)")</f>
        <v/>
      </c>
      <c r="T275">
        <f>IF(SUMIFS(T_PlannedOrders[EffectiveQty],T_PlannedOrders[Part Name],$A233,T_PlannedOrders[WeekIndex],17)=0,"",SUMIFS(T_PlannedOrders[EffectiveQty],T_PlannedOrders[Part Name],$A233,T_PlannedOrders[WeekIndex],17)&amp;" ("&amp;TEXT(SUMPRODUCT(MAX((T_PlannedOrders[Part Name]=$A233)*(T_PlannedOrders[WeekIndex]=17)*(T_PlannedOrders[EffectiveQty]&gt;0)*T_PlannedOrders[Order_Month])),"m月")&amp;"発注)")</f>
        <v/>
      </c>
      <c r="U275">
        <f>IF(SUMIFS(T_PlannedOrders[EffectiveQty],T_PlannedOrders[Part Name],$A233,T_PlannedOrders[WeekIndex],18)=0,"",SUMIFS(T_PlannedOrders[EffectiveQty],T_PlannedOrders[Part Name],$A233,T_PlannedOrders[WeekIndex],18)&amp;" ("&amp;TEXT(SUMPRODUCT(MAX((T_PlannedOrders[Part Name]=$A233)*(T_PlannedOrders[WeekIndex]=18)*(T_PlannedOrders[EffectiveQty]&gt;0)*T_PlannedOrders[Order_Month])),"m月")&amp;"発注)")</f>
        <v/>
      </c>
      <c r="V275">
        <f>IF(SUMIFS(T_PlannedOrders[EffectiveQty],T_PlannedOrders[Part Name],$A233,T_PlannedOrders[WeekIndex],19)=0,"",SUMIFS(T_PlannedOrders[EffectiveQty],T_PlannedOrders[Part Name],$A233,T_PlannedOrders[WeekIndex],19)&amp;" ("&amp;TEXT(SUMPRODUCT(MAX((T_PlannedOrders[Part Name]=$A233)*(T_PlannedOrders[WeekIndex]=19)*(T_PlannedOrders[EffectiveQty]&gt;0)*T_PlannedOrders[Order_Month])),"m月")&amp;"発注)")</f>
        <v/>
      </c>
      <c r="W275">
        <f>IF(SUMIFS(T_PlannedOrders[EffectiveQty],T_PlannedOrders[Part Name],$A233,T_PlannedOrders[WeekIndex],20)=0,"",SUMIFS(T_PlannedOrders[EffectiveQty],T_PlannedOrders[Part Name],$A233,T_PlannedOrders[WeekIndex],20)&amp;" ("&amp;TEXT(SUMPRODUCT(MAX((T_PlannedOrders[Part Name]=$A233)*(T_PlannedOrders[WeekIndex]=20)*(T_PlannedOrders[EffectiveQty]&gt;0)*T_PlannedOrders[Order_Month])),"m月")&amp;"発注)")</f>
        <v/>
      </c>
      <c r="X275">
        <f>IF(SUMIFS(T_PlannedOrders[EffectiveQty],T_PlannedOrders[Part Name],$A233,T_PlannedOrders[WeekIndex],21)=0,"",SUMIFS(T_PlannedOrders[EffectiveQty],T_PlannedOrders[Part Name],$A233,T_PlannedOrders[WeekIndex],21)&amp;" ("&amp;TEXT(SUMPRODUCT(MAX((T_PlannedOrders[Part Name]=$A233)*(T_PlannedOrders[WeekIndex]=21)*(T_PlannedOrders[EffectiveQty]&gt;0)*T_PlannedOrders[Order_Month])),"m月")&amp;"発注)")</f>
        <v/>
      </c>
      <c r="Y275">
        <f>IF(SUMIFS(T_PlannedOrders[EffectiveQty],T_PlannedOrders[Part Name],$A233,T_PlannedOrders[WeekIndex],22)=0,"",SUMIFS(T_PlannedOrders[EffectiveQty],T_PlannedOrders[Part Name],$A233,T_PlannedOrders[WeekIndex],22)&amp;" ("&amp;TEXT(SUMPRODUCT(MAX((T_PlannedOrders[Part Name]=$A233)*(T_PlannedOrders[WeekIndex]=22)*(T_PlannedOrders[EffectiveQty]&gt;0)*T_PlannedOrders[Order_Month])),"m月")&amp;"発注)")</f>
        <v/>
      </c>
      <c r="Z275">
        <f>IF(SUMIFS(T_PlannedOrders[EffectiveQty],T_PlannedOrders[Part Name],$A233,T_PlannedOrders[WeekIndex],23)=0,"",SUMIFS(T_PlannedOrders[EffectiveQty],T_PlannedOrders[Part Name],$A233,T_PlannedOrders[WeekIndex],23)&amp;" ("&amp;TEXT(SUMPRODUCT(MAX((T_PlannedOrders[Part Name]=$A233)*(T_PlannedOrders[WeekIndex]=23)*(T_PlannedOrders[EffectiveQty]&gt;0)*T_PlannedOrders[Order_Month])),"m月")&amp;"発注)")</f>
        <v/>
      </c>
      <c r="AA275">
        <f>IF(SUMIFS(T_PlannedOrders[EffectiveQty],T_PlannedOrders[Part Name],$A233,T_PlannedOrders[WeekIndex],24)=0,"",SUMIFS(T_PlannedOrders[EffectiveQty],T_PlannedOrders[Part Name],$A233,T_PlannedOrders[WeekIndex],24)&amp;" ("&amp;TEXT(SUMPRODUCT(MAX((T_PlannedOrders[Part Name]=$A233)*(T_PlannedOrders[WeekIndex]=24)*(T_PlannedOrders[EffectiveQty]&gt;0)*T_PlannedOrders[Order_Month])),"m月")&amp;"発注)")</f>
        <v/>
      </c>
      <c r="AB275">
        <f>IF(SUMIFS(T_PlannedOrders[EffectiveQty],T_PlannedOrders[Part Name],$A233,T_PlannedOrders[WeekIndex],25)=0,"",SUMIFS(T_PlannedOrders[EffectiveQty],T_PlannedOrders[Part Name],$A233,T_PlannedOrders[WeekIndex],25)&amp;" ("&amp;TEXT(SUMPRODUCT(MAX((T_PlannedOrders[Part Name]=$A233)*(T_PlannedOrders[WeekIndex]=25)*(T_PlannedOrders[EffectiveQty]&gt;0)*T_PlannedOrders[Order_Month])),"m月")&amp;"発注)")</f>
        <v/>
      </c>
      <c r="AC275">
        <f>IF(SUMIFS(T_PlannedOrders[EffectiveQty],T_PlannedOrders[Part Name],$A233,T_PlannedOrders[WeekIndex],26)=0,"",SUMIFS(T_PlannedOrders[EffectiveQty],T_PlannedOrders[Part Name],$A233,T_PlannedOrders[WeekIndex],26)&amp;" ("&amp;TEXT(SUMPRODUCT(MAX((T_PlannedOrders[Part Name]=$A233)*(T_PlannedOrders[WeekIndex]=26)*(T_PlannedOrders[EffectiveQty]&gt;0)*T_PlannedOrders[Order_Month])),"m月")&amp;"発注)")</f>
        <v/>
      </c>
      <c r="AD275">
        <f>IF(SUMIFS(T_PlannedOrders[EffectiveQty],T_PlannedOrders[Part Name],$A233,T_PlannedOrders[WeekIndex],27)=0,"",SUMIFS(T_PlannedOrders[EffectiveQty],T_PlannedOrders[Part Name],$A233,T_PlannedOrders[WeekIndex],27)&amp;" ("&amp;TEXT(SUMPRODUCT(MAX((T_PlannedOrders[Part Name]=$A233)*(T_PlannedOrders[WeekIndex]=27)*(T_PlannedOrders[EffectiveQty]&gt;0)*T_PlannedOrders[Order_Month])),"m月")&amp;"発注)")</f>
        <v/>
      </c>
      <c r="AE275">
        <f>IF(SUMIFS(T_PlannedOrders[EffectiveQty],T_PlannedOrders[Part Name],$A233,T_PlannedOrders[WeekIndex],28)=0,"",SUMIFS(T_PlannedOrders[EffectiveQty],T_PlannedOrders[Part Name],$A233,T_PlannedOrders[WeekIndex],28)&amp;" ("&amp;TEXT(SUMPRODUCT(MAX((T_PlannedOrders[Part Name]=$A233)*(T_PlannedOrders[WeekIndex]=28)*(T_PlannedOrders[EffectiveQty]&gt;0)*T_PlannedOrders[Order_Month])),"m月")&amp;"発注)")</f>
        <v/>
      </c>
      <c r="AF275">
        <f>IF(SUMIFS(T_PlannedOrders[EffectiveQty],T_PlannedOrders[Part Name],$A233,T_PlannedOrders[WeekIndex],29)=0,"",SUMIFS(T_PlannedOrders[EffectiveQty],T_PlannedOrders[Part Name],$A233,T_PlannedOrders[WeekIndex],29)&amp;" ("&amp;TEXT(SUMPRODUCT(MAX((T_PlannedOrders[Part Name]=$A233)*(T_PlannedOrders[WeekIndex]=29)*(T_PlannedOrders[EffectiveQty]&gt;0)*T_PlannedOrders[Order_Month])),"m月")&amp;"発注)")</f>
        <v/>
      </c>
      <c r="AG275">
        <f>IF(SUMIFS(T_PlannedOrders[EffectiveQty],T_PlannedOrders[Part Name],$A233,T_PlannedOrders[WeekIndex],30)=0,"",SUMIFS(T_PlannedOrders[EffectiveQty],T_PlannedOrders[Part Name],$A233,T_PlannedOrders[WeekIndex],30)&amp;" ("&amp;TEXT(SUMPRODUCT(MAX((T_PlannedOrders[Part Name]=$A233)*(T_PlannedOrders[WeekIndex]=30)*(T_PlannedOrders[EffectiveQty]&gt;0)*T_PlannedOrders[Order_Month])),"m月")&amp;"発注)")</f>
        <v/>
      </c>
      <c r="AH275">
        <f>IF(SUMIFS(T_PlannedOrders[EffectiveQty],T_PlannedOrders[Part Name],$A233,T_PlannedOrders[WeekIndex],31)=0,"",SUMIFS(T_PlannedOrders[EffectiveQty],T_PlannedOrders[Part Name],$A233,T_PlannedOrders[WeekIndex],31)&amp;" ("&amp;TEXT(SUMPRODUCT(MAX((T_PlannedOrders[Part Name]=$A233)*(T_PlannedOrders[WeekIndex]=31)*(T_PlannedOrders[EffectiveQty]&gt;0)*T_PlannedOrders[Order_Month])),"m月")&amp;"発注)")</f>
        <v/>
      </c>
      <c r="AI275">
        <f>IF(SUMIFS(T_PlannedOrders[EffectiveQty],T_PlannedOrders[Part Name],$A233,T_PlannedOrders[WeekIndex],32)=0,"",SUMIFS(T_PlannedOrders[EffectiveQty],T_PlannedOrders[Part Name],$A233,T_PlannedOrders[WeekIndex],32)&amp;" ("&amp;TEXT(SUMPRODUCT(MAX((T_PlannedOrders[Part Name]=$A233)*(T_PlannedOrders[WeekIndex]=32)*(T_PlannedOrders[EffectiveQty]&gt;0)*T_PlannedOrders[Order_Month])),"m月")&amp;"発注)")</f>
        <v/>
      </c>
      <c r="AJ275">
        <f>IF(SUMIFS(T_PlannedOrders[EffectiveQty],T_PlannedOrders[Part Name],$A233,T_PlannedOrders[WeekIndex],33)=0,"",SUMIFS(T_PlannedOrders[EffectiveQty],T_PlannedOrders[Part Name],$A233,T_PlannedOrders[WeekIndex],33)&amp;" ("&amp;TEXT(SUMPRODUCT(MAX((T_PlannedOrders[Part Name]=$A233)*(T_PlannedOrders[WeekIndex]=33)*(T_PlannedOrders[EffectiveQty]&gt;0)*T_PlannedOrders[Order_Month])),"m月")&amp;"発注)")</f>
        <v/>
      </c>
      <c r="AK275">
        <f>IF(SUMIFS(T_PlannedOrders[EffectiveQty],T_PlannedOrders[Part Name],$A233,T_PlannedOrders[WeekIndex],34)=0,"",SUMIFS(T_PlannedOrders[EffectiveQty],T_PlannedOrders[Part Name],$A233,T_PlannedOrders[WeekIndex],34)&amp;" ("&amp;TEXT(SUMPRODUCT(MAX((T_PlannedOrders[Part Name]=$A233)*(T_PlannedOrders[WeekIndex]=34)*(T_PlannedOrders[EffectiveQty]&gt;0)*T_PlannedOrders[Order_Month])),"m月")&amp;"発注)")</f>
        <v/>
      </c>
      <c r="AL275">
        <f>IF(SUMIFS(T_PlannedOrders[EffectiveQty],T_PlannedOrders[Part Name],$A233,T_PlannedOrders[WeekIndex],35)=0,"",SUMIFS(T_PlannedOrders[EffectiveQty],T_PlannedOrders[Part Name],$A233,T_PlannedOrders[WeekIndex],35)&amp;" ("&amp;TEXT(SUMPRODUCT(MAX((T_PlannedOrders[Part Name]=$A233)*(T_PlannedOrders[WeekIndex]=35)*(T_PlannedOrders[EffectiveQty]&gt;0)*T_PlannedOrders[Order_Month])),"m月")&amp;"発注)")</f>
        <v/>
      </c>
      <c r="AM275">
        <f>IF(SUMIFS(T_PlannedOrders[EffectiveQty],T_PlannedOrders[Part Name],$A233,T_PlannedOrders[WeekIndex],36)=0,"",SUMIFS(T_PlannedOrders[EffectiveQty],T_PlannedOrders[Part Name],$A233,T_PlannedOrders[WeekIndex],36)&amp;" ("&amp;TEXT(SUMPRODUCT(MAX((T_PlannedOrders[Part Name]=$A233)*(T_PlannedOrders[WeekIndex]=36)*(T_PlannedOrders[EffectiveQty]&gt;0)*T_PlannedOrders[Order_Month])),"m月")&amp;"発注)")</f>
        <v/>
      </c>
      <c r="AN275">
        <f>IF(SUMIFS(T_PlannedOrders[EffectiveQty],T_PlannedOrders[Part Name],$A233,T_PlannedOrders[WeekIndex],37)=0,"",SUMIFS(T_PlannedOrders[EffectiveQty],T_PlannedOrders[Part Name],$A233,T_PlannedOrders[WeekIndex],37)&amp;" ("&amp;TEXT(SUMPRODUCT(MAX((T_PlannedOrders[Part Name]=$A233)*(T_PlannedOrders[WeekIndex]=37)*(T_PlannedOrders[EffectiveQty]&gt;0)*T_PlannedOrders[Order_Month])),"m月")&amp;"発注)")</f>
        <v/>
      </c>
      <c r="AO275">
        <f>IF(SUMIFS(T_PlannedOrders[EffectiveQty],T_PlannedOrders[Part Name],$A233,T_PlannedOrders[WeekIndex],38)=0,"",SUMIFS(T_PlannedOrders[EffectiveQty],T_PlannedOrders[Part Name],$A233,T_PlannedOrders[WeekIndex],38)&amp;" ("&amp;TEXT(SUMPRODUCT(MAX((T_PlannedOrders[Part Name]=$A233)*(T_PlannedOrders[WeekIndex]=38)*(T_PlannedOrders[EffectiveQty]&gt;0)*T_PlannedOrders[Order_Month])),"m月")&amp;"発注)")</f>
        <v/>
      </c>
      <c r="AP275">
        <f>IF(SUMIFS(T_PlannedOrders[EffectiveQty],T_PlannedOrders[Part Name],$A233,T_PlannedOrders[WeekIndex],39)=0,"",SUMIFS(T_PlannedOrders[EffectiveQty],T_PlannedOrders[Part Name],$A233,T_PlannedOrders[WeekIndex],39)&amp;" ("&amp;TEXT(SUMPRODUCT(MAX((T_PlannedOrders[Part Name]=$A233)*(T_PlannedOrders[WeekIndex]=39)*(T_PlannedOrders[EffectiveQty]&gt;0)*T_PlannedOrders[Order_Month])),"m月")&amp;"発注)")</f>
        <v/>
      </c>
      <c r="AQ275">
        <f>IF(SUMIFS(T_PlannedOrders[EffectiveQty],T_PlannedOrders[Part Name],$A233,T_PlannedOrders[WeekIndex],40)=0,"",SUMIFS(T_PlannedOrders[EffectiveQty],T_PlannedOrders[Part Name],$A233,T_PlannedOrders[WeekIndex],40)&amp;" ("&amp;TEXT(SUMPRODUCT(MAX((T_PlannedOrders[Part Name]=$A233)*(T_PlannedOrders[WeekIndex]=40)*(T_PlannedOrders[EffectiveQty]&gt;0)*T_PlannedOrders[Order_Month])),"m月")&amp;"発注)")</f>
        <v/>
      </c>
      <c r="AR275">
        <f>IF(SUMIFS(T_PlannedOrders[EffectiveQty],T_PlannedOrders[Part Name],$A233,T_PlannedOrders[WeekIndex],41)=0,"",SUMIFS(T_PlannedOrders[EffectiveQty],T_PlannedOrders[Part Name],$A233,T_PlannedOrders[WeekIndex],41)&amp;" ("&amp;TEXT(SUMPRODUCT(MAX((T_PlannedOrders[Part Name]=$A233)*(T_PlannedOrders[WeekIndex]=41)*(T_PlannedOrders[EffectiveQty]&gt;0)*T_PlannedOrders[Order_Month])),"m月")&amp;"発注)")</f>
        <v/>
      </c>
      <c r="AS275">
        <f>IF(SUMIFS(T_PlannedOrders[EffectiveQty],T_PlannedOrders[Part Name],$A233,T_PlannedOrders[WeekIndex],42)=0,"",SUMIFS(T_PlannedOrders[EffectiveQty],T_PlannedOrders[Part Name],$A233,T_PlannedOrders[WeekIndex],42)&amp;" ("&amp;TEXT(SUMPRODUCT(MAX((T_PlannedOrders[Part Name]=$A233)*(T_PlannedOrders[WeekIndex]=42)*(T_PlannedOrders[EffectiveQty]&gt;0)*T_PlannedOrders[Order_Month])),"m月")&amp;"発注)")</f>
        <v/>
      </c>
      <c r="AT275">
        <f>IF(SUMIFS(T_PlannedOrders[EffectiveQty],T_PlannedOrders[Part Name],$A233,T_PlannedOrders[WeekIndex],43)=0,"",SUMIFS(T_PlannedOrders[EffectiveQty],T_PlannedOrders[Part Name],$A233,T_PlannedOrders[WeekIndex],43)&amp;" ("&amp;TEXT(SUMPRODUCT(MAX((T_PlannedOrders[Part Name]=$A233)*(T_PlannedOrders[WeekIndex]=43)*(T_PlannedOrders[EffectiveQty]&gt;0)*T_PlannedOrders[Order_Month])),"m月")&amp;"発注)")</f>
        <v/>
      </c>
      <c r="AU275">
        <f>IF(SUMIFS(T_PlannedOrders[EffectiveQty],T_PlannedOrders[Part Name],$A233,T_PlannedOrders[WeekIndex],44)=0,"",SUMIFS(T_PlannedOrders[EffectiveQty],T_PlannedOrders[Part Name],$A233,T_PlannedOrders[WeekIndex],44)&amp;" ("&amp;TEXT(SUMPRODUCT(MAX((T_PlannedOrders[Part Name]=$A233)*(T_PlannedOrders[WeekIndex]=44)*(T_PlannedOrders[EffectiveQty]&gt;0)*T_PlannedOrders[Order_Month])),"m月")&amp;"発注)")</f>
        <v/>
      </c>
      <c r="AV275">
        <f>IF(SUMIFS(T_PlannedOrders[EffectiveQty],T_PlannedOrders[Part Name],$A233,T_PlannedOrders[WeekIndex],45)=0,"",SUMIFS(T_PlannedOrders[EffectiveQty],T_PlannedOrders[Part Name],$A233,T_PlannedOrders[WeekIndex],45)&amp;" ("&amp;TEXT(SUMPRODUCT(MAX((T_PlannedOrders[Part Name]=$A233)*(T_PlannedOrders[WeekIndex]=45)*(T_PlannedOrders[EffectiveQty]&gt;0)*T_PlannedOrders[Order_Month])),"m月")&amp;"発注)")</f>
        <v/>
      </c>
      <c r="AW275">
        <f>IF(SUMIFS(T_PlannedOrders[EffectiveQty],T_PlannedOrders[Part Name],$A233,T_PlannedOrders[WeekIndex],46)=0,"",SUMIFS(T_PlannedOrders[EffectiveQty],T_PlannedOrders[Part Name],$A233,T_PlannedOrders[WeekIndex],46)&amp;" ("&amp;TEXT(SUMPRODUCT(MAX((T_PlannedOrders[Part Name]=$A233)*(T_PlannedOrders[WeekIndex]=46)*(T_PlannedOrders[EffectiveQty]&gt;0)*T_PlannedOrders[Order_Month])),"m月")&amp;"発注)")</f>
        <v/>
      </c>
      <c r="AX275">
        <f>IF(SUMIFS(T_PlannedOrders[EffectiveQty],T_PlannedOrders[Part Name],$A233,T_PlannedOrders[WeekIndex],47)=0,"",SUMIFS(T_PlannedOrders[EffectiveQty],T_PlannedOrders[Part Name],$A233,T_PlannedOrders[WeekIndex],47)&amp;" ("&amp;TEXT(SUMPRODUCT(MAX((T_PlannedOrders[Part Name]=$A233)*(T_PlannedOrders[WeekIndex]=47)*(T_PlannedOrders[EffectiveQty]&gt;0)*T_PlannedOrders[Order_Month])),"m月")&amp;"発注)")</f>
        <v/>
      </c>
      <c r="AY275">
        <f>IF(SUMIFS(T_PlannedOrders[EffectiveQty],T_PlannedOrders[Part Name],$A233,T_PlannedOrders[WeekIndex],48)=0,"",SUMIFS(T_PlannedOrders[EffectiveQty],T_PlannedOrders[Part Name],$A233,T_PlannedOrders[WeekIndex],48)&amp;" ("&amp;TEXT(SUMPRODUCT(MAX((T_PlannedOrders[Part Name]=$A233)*(T_PlannedOrders[WeekIndex]=48)*(T_PlannedOrders[EffectiveQty]&gt;0)*T_PlannedOrders[Order_Month])),"m月")&amp;"発注)")</f>
        <v/>
      </c>
      <c r="AZ275">
        <f>IF(SUMIFS(T_PlannedOrders[EffectiveQty],T_PlannedOrders[Part Name],$A233,T_PlannedOrders[WeekIndex],49)=0,"",SUMIFS(T_PlannedOrders[EffectiveQty],T_PlannedOrders[Part Name],$A233,T_PlannedOrders[WeekIndex],49)&amp;" ("&amp;TEXT(SUMPRODUCT(MAX((T_PlannedOrders[Part Name]=$A233)*(T_PlannedOrders[WeekIndex]=49)*(T_PlannedOrders[EffectiveQty]&gt;0)*T_PlannedOrders[Order_Month])),"m月")&amp;"発注)")</f>
        <v/>
      </c>
      <c r="BA275">
        <f>IF(SUMIFS(T_PlannedOrders[EffectiveQty],T_PlannedOrders[Part Name],$A233,T_PlannedOrders[WeekIndex],50)=0,"",SUMIFS(T_PlannedOrders[EffectiveQty],T_PlannedOrders[Part Name],$A233,T_PlannedOrders[WeekIndex],50)&amp;" ("&amp;TEXT(SUMPRODUCT(MAX((T_PlannedOrders[Part Name]=$A233)*(T_PlannedOrders[WeekIndex]=50)*(T_PlannedOrders[EffectiveQty]&gt;0)*T_PlannedOrders[Order_Month])),"m月")&amp;"発注)")</f>
        <v/>
      </c>
      <c r="BB275">
        <f>IF(SUMIFS(T_PlannedOrders[EffectiveQty],T_PlannedOrders[Part Name],$A233,T_PlannedOrders[WeekIndex],51)=0,"",SUMIFS(T_PlannedOrders[EffectiveQty],T_PlannedOrders[Part Name],$A233,T_PlannedOrders[WeekIndex],51)&amp;" ("&amp;TEXT(SUMPRODUCT(MAX((T_PlannedOrders[Part Name]=$A233)*(T_PlannedOrders[WeekIndex]=51)*(T_PlannedOrders[EffectiveQty]&gt;0)*T_PlannedOrders[Order_Month])),"m月")&amp;"発注)")</f>
        <v/>
      </c>
      <c r="BC275">
        <f>IF(SUMIFS(T_PlannedOrders[EffectiveQty],T_PlannedOrders[Part Name],$A233,T_PlannedOrders[WeekIndex],52)=0,"",SUMIFS(T_PlannedOrders[EffectiveQty],T_PlannedOrders[Part Name],$A233,T_PlannedOrders[WeekIndex],52)&amp;" ("&amp;TEXT(SUMPRODUCT(MAX((T_PlannedOrders[Part Name]=$A233)*(T_PlannedOrders[WeekIndex]=52)*(T_PlannedOrders[EffectiveQty]&gt;0)*T_PlannedOrders[Order_Month])),"m月")&amp;"発注)")</f>
        <v/>
      </c>
      <c r="BD275">
        <f>IF(SUMIFS(T_PlannedOrders[EffectiveQty],T_PlannedOrders[Part Name],$A233,T_PlannedOrders[WeekIndex],53)=0,"",SUMIFS(T_PlannedOrders[EffectiveQty],T_PlannedOrders[Part Name],$A233,T_PlannedOrders[WeekIndex],53)&amp;" ("&amp;TEXT(SUMPRODUCT(MAX((T_PlannedOrders[Part Name]=$A233)*(T_PlannedOrders[WeekIndex]=53)*(T_PlannedOrders[EffectiveQty]&gt;0)*T_PlannedOrders[Order_Month])),"m月")&amp;"発注)")</f>
        <v/>
      </c>
      <c r="BE275">
        <f>IF(SUMIFS(T_PlannedOrders[EffectiveQty],T_PlannedOrders[Part Name],$A233,T_PlannedOrders[WeekIndex],54)=0,"",SUMIFS(T_PlannedOrders[EffectiveQty],T_PlannedOrders[Part Name],$A233,T_PlannedOrders[WeekIndex],54)&amp;" ("&amp;TEXT(SUMPRODUCT(MAX((T_PlannedOrders[Part Name]=$A233)*(T_PlannedOrders[WeekIndex]=54)*(T_PlannedOrders[EffectiveQty]&gt;0)*T_PlannedOrders[Order_Month])),"m月")&amp;"発注)")</f>
        <v/>
      </c>
      <c r="BF275">
        <f>IF(SUMIFS(T_PlannedOrders[EffectiveQty],T_PlannedOrders[Part Name],$A233,T_PlannedOrders[WeekIndex],55)=0,"",SUMIFS(T_PlannedOrders[EffectiveQty],T_PlannedOrders[Part Name],$A233,T_PlannedOrders[WeekIndex],55)&amp;" ("&amp;TEXT(SUMPRODUCT(MAX((T_PlannedOrders[Part Name]=$A233)*(T_PlannedOrders[WeekIndex]=55)*(T_PlannedOrders[EffectiveQty]&gt;0)*T_PlannedOrders[Order_Month])),"m月")&amp;"発注)")</f>
        <v/>
      </c>
      <c r="BG275">
        <f>IF(SUMIFS(T_PlannedOrders[EffectiveQty],T_PlannedOrders[Part Name],$A233,T_PlannedOrders[WeekIndex],56)=0,"",SUMIFS(T_PlannedOrders[EffectiveQty],T_PlannedOrders[Part Name],$A233,T_PlannedOrders[WeekIndex],56)&amp;" ("&amp;TEXT(SUMPRODUCT(MAX((T_PlannedOrders[Part Name]=$A233)*(T_PlannedOrders[WeekIndex]=56)*(T_PlannedOrders[EffectiveQty]&gt;0)*T_PlannedOrders[Order_Month])),"m月")&amp;"発注)")</f>
        <v/>
      </c>
      <c r="BH275">
        <f>IF(SUMIFS(T_PlannedOrders[EffectiveQty],T_PlannedOrders[Part Name],$A233,T_PlannedOrders[WeekIndex],57)=0,"",SUMIFS(T_PlannedOrders[EffectiveQty],T_PlannedOrders[Part Name],$A233,T_PlannedOrders[WeekIndex],57)&amp;" ("&amp;TEXT(SUMPRODUCT(MAX((T_PlannedOrders[Part Name]=$A233)*(T_PlannedOrders[WeekIndex]=57)*(T_PlannedOrders[EffectiveQty]&gt;0)*T_PlannedOrders[Order_Month])),"m月")&amp;"発注)")</f>
        <v/>
      </c>
      <c r="BI275">
        <f>IF(SUMIFS(T_PlannedOrders[EffectiveQty],T_PlannedOrders[Part Name],$A233,T_PlannedOrders[WeekIndex],58)=0,"",SUMIFS(T_PlannedOrders[EffectiveQty],T_PlannedOrders[Part Name],$A233,T_PlannedOrders[WeekIndex],58)&amp;" ("&amp;TEXT(SUMPRODUCT(MAX((T_PlannedOrders[Part Name]=$A233)*(T_PlannedOrders[WeekIndex]=58)*(T_PlannedOrders[EffectiveQty]&gt;0)*T_PlannedOrders[Order_Month])),"m月")&amp;"発注)")</f>
        <v/>
      </c>
      <c r="BJ275">
        <f>IF(SUMIFS(T_PlannedOrders[EffectiveQty],T_PlannedOrders[Part Name],$A233,T_PlannedOrders[WeekIndex],59)=0,"",SUMIFS(T_PlannedOrders[EffectiveQty],T_PlannedOrders[Part Name],$A233,T_PlannedOrders[WeekIndex],59)&amp;" ("&amp;TEXT(SUMPRODUCT(MAX((T_PlannedOrders[Part Name]=$A233)*(T_PlannedOrders[WeekIndex]=59)*(T_PlannedOrders[EffectiveQty]&gt;0)*T_PlannedOrders[Order_Month])),"m月")&amp;"発注)")</f>
        <v/>
      </c>
      <c r="BK275">
        <f>IF(SUMIFS(T_PlannedOrders[EffectiveQty],T_PlannedOrders[Part Name],$A233,T_PlannedOrders[WeekIndex],60)=0,"",SUMIFS(T_PlannedOrders[EffectiveQty],T_PlannedOrders[Part Name],$A233,T_PlannedOrders[WeekIndex],60)&amp;" ("&amp;TEXT(SUMPRODUCT(MAX((T_PlannedOrders[Part Name]=$A233)*(T_PlannedOrders[WeekIndex]=60)*(T_PlannedOrders[EffectiveQty]&gt;0)*T_PlannedOrders[Order_Month])),"m月")&amp;"発注)")</f>
        <v/>
      </c>
      <c r="BL275">
        <f>IF(SUMIFS(T_PlannedOrders[EffectiveQty],T_PlannedOrders[Part Name],$A233,T_PlannedOrders[WeekIndex],61)=0,"",SUMIFS(T_PlannedOrders[EffectiveQty],T_PlannedOrders[Part Name],$A233,T_PlannedOrders[WeekIndex],61)&amp;" ("&amp;TEXT(SUMPRODUCT(MAX((T_PlannedOrders[Part Name]=$A233)*(T_PlannedOrders[WeekIndex]=61)*(T_PlannedOrders[EffectiveQty]&gt;0)*T_PlannedOrders[Order_Month])),"m月")&amp;"発注)")</f>
        <v/>
      </c>
      <c r="BM275">
        <f>IF(SUMIFS(T_PlannedOrders[EffectiveQty],T_PlannedOrders[Part Name],$A233,T_PlannedOrders[WeekIndex],62)=0,"",SUMIFS(T_PlannedOrders[EffectiveQty],T_PlannedOrders[Part Name],$A233,T_PlannedOrders[WeekIndex],62)&amp;" ("&amp;TEXT(SUMPRODUCT(MAX((T_PlannedOrders[Part Name]=$A233)*(T_PlannedOrders[WeekIndex]=62)*(T_PlannedOrders[EffectiveQty]&gt;0)*T_PlannedOrders[Order_Month])),"m月")&amp;"発注)")</f>
        <v/>
      </c>
      <c r="BN275">
        <f>IF(SUMIFS(T_PlannedOrders[EffectiveQty],T_PlannedOrders[Part Name],$A233,T_PlannedOrders[WeekIndex],63)=0,"",SUMIFS(T_PlannedOrders[EffectiveQty],T_PlannedOrders[Part Name],$A233,T_PlannedOrders[WeekIndex],63)&amp;" ("&amp;TEXT(SUMPRODUCT(MAX((T_PlannedOrders[Part Name]=$A233)*(T_PlannedOrders[WeekIndex]=63)*(T_PlannedOrders[EffectiveQty]&gt;0)*T_PlannedOrders[Order_Month])),"m月")&amp;"発注)")</f>
        <v/>
      </c>
      <c r="BO275">
        <f>IF(SUMIFS(T_PlannedOrders[EffectiveQty],T_PlannedOrders[Part Name],$A233,T_PlannedOrders[WeekIndex],64)=0,"",SUMIFS(T_PlannedOrders[EffectiveQty],T_PlannedOrders[Part Name],$A233,T_PlannedOrders[WeekIndex],64)&amp;" ("&amp;TEXT(SUMPRODUCT(MAX((T_PlannedOrders[Part Name]=$A233)*(T_PlannedOrders[WeekIndex]=64)*(T_PlannedOrders[EffectiveQty]&gt;0)*T_PlannedOrders[Order_Month])),"m月")&amp;"発注)")</f>
        <v/>
      </c>
      <c r="BP275">
        <f>IF(SUMIFS(T_PlannedOrders[EffectiveQty],T_PlannedOrders[Part Name],$A233,T_PlannedOrders[WeekIndex],65)=0,"",SUMIFS(T_PlannedOrders[EffectiveQty],T_PlannedOrders[Part Name],$A233,T_PlannedOrders[WeekIndex],65)&amp;" ("&amp;TEXT(SUMPRODUCT(MAX((T_PlannedOrders[Part Name]=$A233)*(T_PlannedOrders[WeekIndex]=65)*(T_PlannedOrders[EffectiveQty]&gt;0)*T_PlannedOrders[Order_Month])),"m月")&amp;"発注)")</f>
        <v/>
      </c>
      <c r="BQ275">
        <f>IF(SUMIFS(T_PlannedOrders[EffectiveQty],T_PlannedOrders[Part Name],$A233,T_PlannedOrders[WeekIndex],66)=0,"",SUMIFS(T_PlannedOrders[EffectiveQty],T_PlannedOrders[Part Name],$A233,T_PlannedOrders[WeekIndex],66)&amp;" ("&amp;TEXT(SUMPRODUCT(MAX((T_PlannedOrders[Part Name]=$A233)*(T_PlannedOrders[WeekIndex]=66)*(T_PlannedOrders[EffectiveQty]&gt;0)*T_PlannedOrders[Order_Month])),"m月")&amp;"発注)")</f>
        <v/>
      </c>
      <c r="BR275">
        <f>IF(SUMIFS(T_PlannedOrders[EffectiveQty],T_PlannedOrders[Part Name],$A233,T_PlannedOrders[WeekIndex],67)=0,"",SUMIFS(T_PlannedOrders[EffectiveQty],T_PlannedOrders[Part Name],$A233,T_PlannedOrders[WeekIndex],67)&amp;" ("&amp;TEXT(SUMPRODUCT(MAX((T_PlannedOrders[Part Name]=$A233)*(T_PlannedOrders[WeekIndex]=67)*(T_PlannedOrders[EffectiveQty]&gt;0)*T_PlannedOrders[Order_Month])),"m月")&amp;"発注)")</f>
        <v/>
      </c>
      <c r="BS275">
        <f>IF(SUMIFS(T_PlannedOrders[EffectiveQty],T_PlannedOrders[Part Name],$A233,T_PlannedOrders[WeekIndex],68)=0,"",SUMIFS(T_PlannedOrders[EffectiveQty],T_PlannedOrders[Part Name],$A233,T_PlannedOrders[WeekIndex],68)&amp;" ("&amp;TEXT(SUMPRODUCT(MAX((T_PlannedOrders[Part Name]=$A233)*(T_PlannedOrders[WeekIndex]=68)*(T_PlannedOrders[EffectiveQty]&gt;0)*T_PlannedOrders[Order_Month])),"m月")&amp;"発注)")</f>
        <v/>
      </c>
      <c r="BT275">
        <f>IF(SUMIFS(T_PlannedOrders[EffectiveQty],T_PlannedOrders[Part Name],$A233,T_PlannedOrders[WeekIndex],69)=0,"",SUMIFS(T_PlannedOrders[EffectiveQty],T_PlannedOrders[Part Name],$A233,T_PlannedOrders[WeekIndex],69)&amp;" ("&amp;TEXT(SUMPRODUCT(MAX((T_PlannedOrders[Part Name]=$A233)*(T_PlannedOrders[WeekIndex]=69)*(T_PlannedOrders[EffectiveQty]&gt;0)*T_PlannedOrders[Order_Month])),"m月")&amp;"発注)")</f>
        <v/>
      </c>
      <c r="BU275">
        <f>IF(SUMIFS(T_PlannedOrders[EffectiveQty],T_PlannedOrders[Part Name],$A233,T_PlannedOrders[WeekIndex],70)=0,"",SUMIFS(T_PlannedOrders[EffectiveQty],T_PlannedOrders[Part Name],$A233,T_PlannedOrders[WeekIndex],70)&amp;" ("&amp;TEXT(SUMPRODUCT(MAX((T_PlannedOrders[Part Name]=$A233)*(T_PlannedOrders[WeekIndex]=70)*(T_PlannedOrders[EffectiveQty]&gt;0)*T_PlannedOrders[Order_Month])),"m月")&amp;"発注)")</f>
        <v/>
      </c>
      <c r="BV275">
        <f>IF(SUMIFS(T_PlannedOrders[EffectiveQty],T_PlannedOrders[Part Name],$A233,T_PlannedOrders[WeekIndex],71)=0,"",SUMIFS(T_PlannedOrders[EffectiveQty],T_PlannedOrders[Part Name],$A233,T_PlannedOrders[WeekIndex],71)&amp;" ("&amp;TEXT(SUMPRODUCT(MAX((T_PlannedOrders[Part Name]=$A233)*(T_PlannedOrders[WeekIndex]=71)*(T_PlannedOrders[EffectiveQty]&gt;0)*T_PlannedOrders[Order_Month])),"m月")&amp;"発注)")</f>
        <v/>
      </c>
      <c r="BW275">
        <f>IF(SUMIFS(T_PlannedOrders[EffectiveQty],T_PlannedOrders[Part Name],$A233,T_PlannedOrders[WeekIndex],72)=0,"",SUMIFS(T_PlannedOrders[EffectiveQty],T_PlannedOrders[Part Name],$A233,T_PlannedOrders[WeekIndex],72)&amp;" ("&amp;TEXT(SUMPRODUCT(MAX((T_PlannedOrders[Part Name]=$A233)*(T_PlannedOrders[WeekIndex]=72)*(T_PlannedOrders[EffectiveQty]&gt;0)*T_PlannedOrders[Order_Month])),"m月")&amp;"発注)")</f>
        <v/>
      </c>
      <c r="BX275">
        <f>IF(SUMIFS(T_PlannedOrders[EffectiveQty],T_PlannedOrders[Part Name],$A233,T_PlannedOrders[WeekIndex],73)=0,"",SUMIFS(T_PlannedOrders[EffectiveQty],T_PlannedOrders[Part Name],$A233,T_PlannedOrders[WeekIndex],73)&amp;" ("&amp;TEXT(SUMPRODUCT(MAX((T_PlannedOrders[Part Name]=$A233)*(T_PlannedOrders[WeekIndex]=73)*(T_PlannedOrders[EffectiveQty]&gt;0)*T_PlannedOrders[Order_Month])),"m月")&amp;"発注)")</f>
        <v/>
      </c>
      <c r="BY275">
        <f>IF(SUMIFS(T_PlannedOrders[EffectiveQty],T_PlannedOrders[Part Name],$A233,T_PlannedOrders[WeekIndex],74)=0,"",SUMIFS(T_PlannedOrders[EffectiveQty],T_PlannedOrders[Part Name],$A233,T_PlannedOrders[WeekIndex],74)&amp;" ("&amp;TEXT(SUMPRODUCT(MAX((T_PlannedOrders[Part Name]=$A233)*(T_PlannedOrders[WeekIndex]=74)*(T_PlannedOrders[EffectiveQty]&gt;0)*T_PlannedOrders[Order_Month])),"m月")&amp;"発注)")</f>
        <v/>
      </c>
      <c r="BZ275">
        <f>IF(SUMIFS(T_PlannedOrders[EffectiveQty],T_PlannedOrders[Part Name],$A233,T_PlannedOrders[WeekIndex],75)=0,"",SUMIFS(T_PlannedOrders[EffectiveQty],T_PlannedOrders[Part Name],$A233,T_PlannedOrders[WeekIndex],75)&amp;" ("&amp;TEXT(SUMPRODUCT(MAX((T_PlannedOrders[Part Name]=$A233)*(T_PlannedOrders[WeekIndex]=75)*(T_PlannedOrders[EffectiveQty]&gt;0)*T_PlannedOrders[Order_Month])),"m月")&amp;"発注)")</f>
        <v/>
      </c>
      <c r="CA275">
        <f>IF(SUMIFS(T_PlannedOrders[EffectiveQty],T_PlannedOrders[Part Name],$A233,T_PlannedOrders[WeekIndex],76)=0,"",SUMIFS(T_PlannedOrders[EffectiveQty],T_PlannedOrders[Part Name],$A233,T_PlannedOrders[WeekIndex],76)&amp;" ("&amp;TEXT(SUMPRODUCT(MAX((T_PlannedOrders[Part Name]=$A233)*(T_PlannedOrders[WeekIndex]=76)*(T_PlannedOrders[EffectiveQty]&gt;0)*T_PlannedOrders[Order_Month])),"m月")&amp;"発注)")</f>
        <v/>
      </c>
      <c r="CB275">
        <f>IF(SUMIFS(T_PlannedOrders[EffectiveQty],T_PlannedOrders[Part Name],$A233,T_PlannedOrders[WeekIndex],77)=0,"",SUMIFS(T_PlannedOrders[EffectiveQty],T_PlannedOrders[Part Name],$A233,T_PlannedOrders[WeekIndex],77)&amp;" ("&amp;TEXT(SUMPRODUCT(MAX((T_PlannedOrders[Part Name]=$A233)*(T_PlannedOrders[WeekIndex]=77)*(T_PlannedOrders[EffectiveQty]&gt;0)*T_PlannedOrders[Order_Month])),"m月")&amp;"発注)")</f>
        <v/>
      </c>
      <c r="CC275">
        <f>IF(SUMIFS(T_PlannedOrders[EffectiveQty],T_PlannedOrders[Part Name],$A233,T_PlannedOrders[WeekIndex],78)=0,"",SUMIFS(T_PlannedOrders[EffectiveQty],T_PlannedOrders[Part Name],$A233,T_PlannedOrders[WeekIndex],78)&amp;" ("&amp;TEXT(SUMPRODUCT(MAX((T_PlannedOrders[Part Name]=$A233)*(T_PlannedOrders[WeekIndex]=78)*(T_PlannedOrders[EffectiveQty]&gt;0)*T_PlannedOrders[Order_Month])),"m月")&amp;"発注)")</f>
        <v/>
      </c>
      <c r="CD275">
        <f>IF(SUMIFS(T_PlannedOrders[EffectiveQty],T_PlannedOrders[Part Name],$A233,T_PlannedOrders[WeekIndex],79)=0,"",SUMIFS(T_PlannedOrders[EffectiveQty],T_PlannedOrders[Part Name],$A233,T_PlannedOrders[WeekIndex],79)&amp;" ("&amp;TEXT(SUMPRODUCT(MAX((T_PlannedOrders[Part Name]=$A233)*(T_PlannedOrders[WeekIndex]=79)*(T_PlannedOrders[EffectiveQty]&gt;0)*T_PlannedOrders[Order_Month])),"m月")&amp;"発注)")</f>
        <v/>
      </c>
      <c r="CE275">
        <f>IF(SUMIFS(T_PlannedOrders[EffectiveQty],T_PlannedOrders[Part Name],$A233,T_PlannedOrders[WeekIndex],80)=0,"",SUMIFS(T_PlannedOrders[EffectiveQty],T_PlannedOrders[Part Name],$A233,T_PlannedOrders[WeekIndex],80)&amp;" ("&amp;TEXT(SUMPRODUCT(MAX((T_PlannedOrders[Part Name]=$A233)*(T_PlannedOrders[WeekIndex]=80)*(T_PlannedOrders[EffectiveQty]&gt;0)*T_PlannedOrders[Order_Month])),"m月")&amp;"発注)")</f>
        <v/>
      </c>
      <c r="CF275">
        <f>IF(SUMIFS(T_PlannedOrders[EffectiveQty],T_PlannedOrders[Part Name],$A233,T_PlannedOrders[WeekIndex],81)=0,"",SUMIFS(T_PlannedOrders[EffectiveQty],T_PlannedOrders[Part Name],$A233,T_PlannedOrders[WeekIndex],81)&amp;" ("&amp;TEXT(SUMPRODUCT(MAX((T_PlannedOrders[Part Name]=$A233)*(T_PlannedOrders[WeekIndex]=81)*(T_PlannedOrders[EffectiveQty]&gt;0)*T_PlannedOrders[Order_Month])),"m月")&amp;"発注)")</f>
        <v/>
      </c>
      <c r="CG275">
        <f>IF(SUMIFS(T_PlannedOrders[EffectiveQty],T_PlannedOrders[Part Name],$A233,T_PlannedOrders[WeekIndex],82)=0,"",SUMIFS(T_PlannedOrders[EffectiveQty],T_PlannedOrders[Part Name],$A233,T_PlannedOrders[WeekIndex],82)&amp;" ("&amp;TEXT(SUMPRODUCT(MAX((T_PlannedOrders[Part Name]=$A233)*(T_PlannedOrders[WeekIndex]=82)*(T_PlannedOrders[EffectiveQty]&gt;0)*T_PlannedOrders[Order_Month])),"m月")&amp;"発注)")</f>
        <v/>
      </c>
      <c r="CH275">
        <f>IF(SUMIFS(T_PlannedOrders[EffectiveQty],T_PlannedOrders[Part Name],$A233,T_PlannedOrders[WeekIndex],83)=0,"",SUMIFS(T_PlannedOrders[EffectiveQty],T_PlannedOrders[Part Name],$A233,T_PlannedOrders[WeekIndex],83)&amp;" ("&amp;TEXT(SUMPRODUCT(MAX((T_PlannedOrders[Part Name]=$A233)*(T_PlannedOrders[WeekIndex]=83)*(T_PlannedOrders[EffectiveQty]&gt;0)*T_PlannedOrders[Order_Month])),"m月")&amp;"発注)")</f>
        <v/>
      </c>
      <c r="CI275">
        <f>IF(SUMIFS(T_PlannedOrders[EffectiveQty],T_PlannedOrders[Part Name],$A233,T_PlannedOrders[WeekIndex],84)=0,"",SUMIFS(T_PlannedOrders[EffectiveQty],T_PlannedOrders[Part Name],$A233,T_PlannedOrders[WeekIndex],84)&amp;" ("&amp;TEXT(SUMPRODUCT(MAX((T_PlannedOrders[Part Name]=$A233)*(T_PlannedOrders[WeekIndex]=84)*(T_PlannedOrders[EffectiveQty]&gt;0)*T_PlannedOrders[Order_Month])),"m月")&amp;"発注)")</f>
        <v/>
      </c>
      <c r="CJ275">
        <f>IF(SUMIFS(T_PlannedOrders[EffectiveQty],T_PlannedOrders[Part Name],$A233,T_PlannedOrders[WeekIndex],85)=0,"",SUMIFS(T_PlannedOrders[EffectiveQty],T_PlannedOrders[Part Name],$A233,T_PlannedOrders[WeekIndex],85)&amp;" ("&amp;TEXT(SUMPRODUCT(MAX((T_PlannedOrders[Part Name]=$A233)*(T_PlannedOrders[WeekIndex]=85)*(T_PlannedOrders[EffectiveQty]&gt;0)*T_PlannedOrders[Order_Month])),"m月")&amp;"発注)")</f>
        <v/>
      </c>
      <c r="CK275">
        <f>IF(SUMIFS(T_PlannedOrders[EffectiveQty],T_PlannedOrders[Part Name],$A233,T_PlannedOrders[WeekIndex],86)=0,"",SUMIFS(T_PlannedOrders[EffectiveQty],T_PlannedOrders[Part Name],$A233,T_PlannedOrders[WeekIndex],86)&amp;" ("&amp;TEXT(SUMPRODUCT(MAX((T_PlannedOrders[Part Name]=$A233)*(T_PlannedOrders[WeekIndex]=86)*(T_PlannedOrders[EffectiveQty]&gt;0)*T_PlannedOrders[Order_Month])),"m月")&amp;"発注)")</f>
        <v/>
      </c>
      <c r="CL275">
        <f>IF(SUMIFS(T_PlannedOrders[EffectiveQty],T_PlannedOrders[Part Name],$A233,T_PlannedOrders[WeekIndex],87)=0,"",SUMIFS(T_PlannedOrders[EffectiveQty],T_PlannedOrders[Part Name],$A233,T_PlannedOrders[WeekIndex],87)&amp;" ("&amp;TEXT(SUMPRODUCT(MAX((T_PlannedOrders[Part Name]=$A233)*(T_PlannedOrders[WeekIndex]=87)*(T_PlannedOrders[EffectiveQty]&gt;0)*T_PlannedOrders[Order_Month])),"m月")&amp;"発注)")</f>
        <v/>
      </c>
      <c r="CM275">
        <f>IF(SUMIFS(T_PlannedOrders[EffectiveQty],T_PlannedOrders[Part Name],$A233,T_PlannedOrders[WeekIndex],88)=0,"",SUMIFS(T_PlannedOrders[EffectiveQty],T_PlannedOrders[Part Name],$A233,T_PlannedOrders[WeekIndex],88)&amp;" ("&amp;TEXT(SUMPRODUCT(MAX((T_PlannedOrders[Part Name]=$A233)*(T_PlannedOrders[WeekIndex]=88)*(T_PlannedOrders[EffectiveQty]&gt;0)*T_PlannedOrders[Order_Month])),"m月")&amp;"発注)")</f>
        <v/>
      </c>
      <c r="CN275">
        <f>IF(SUMIFS(T_PlannedOrders[EffectiveQty],T_PlannedOrders[Part Name],$A233,T_PlannedOrders[WeekIndex],89)=0,"",SUMIFS(T_PlannedOrders[EffectiveQty],T_PlannedOrders[Part Name],$A233,T_PlannedOrders[WeekIndex],89)&amp;" ("&amp;TEXT(SUMPRODUCT(MAX((T_PlannedOrders[Part Name]=$A233)*(T_PlannedOrders[WeekIndex]=89)*(T_PlannedOrders[EffectiveQty]&gt;0)*T_PlannedOrders[Order_Month])),"m月")&amp;"発注)")</f>
        <v/>
      </c>
      <c r="CO275">
        <f>IF(SUMIFS(T_PlannedOrders[EffectiveQty],T_PlannedOrders[Part Name],$A233,T_PlannedOrders[WeekIndex],90)=0,"",SUMIFS(T_PlannedOrders[EffectiveQty],T_PlannedOrders[Part Name],$A233,T_PlannedOrders[WeekIndex],90)&amp;" ("&amp;TEXT(SUMPRODUCT(MAX((T_PlannedOrders[Part Name]=$A233)*(T_PlannedOrders[WeekIndex]=90)*(T_PlannedOrders[EffectiveQty]&gt;0)*T_PlannedOrders[Order_Month])),"m月")&amp;"発注)")</f>
        <v/>
      </c>
      <c r="CP275">
        <f>IF(SUMIFS(T_PlannedOrders[EffectiveQty],T_PlannedOrders[Part Name],$A233,T_PlannedOrders[WeekIndex],91)=0,"",SUMIFS(T_PlannedOrders[EffectiveQty],T_PlannedOrders[Part Name],$A233,T_PlannedOrders[WeekIndex],91)&amp;" ("&amp;TEXT(SUMPRODUCT(MAX((T_PlannedOrders[Part Name]=$A233)*(T_PlannedOrders[WeekIndex]=91)*(T_PlannedOrders[EffectiveQty]&gt;0)*T_PlannedOrders[Order_Month])),"m月")&amp;"発注)")</f>
        <v/>
      </c>
      <c r="CQ275">
        <f>IF(SUMIFS(T_PlannedOrders[EffectiveQty],T_PlannedOrders[Part Name],$A233,T_PlannedOrders[WeekIndex],92)=0,"",SUMIFS(T_PlannedOrders[EffectiveQty],T_PlannedOrders[Part Name],$A233,T_PlannedOrders[WeekIndex],92)&amp;" ("&amp;TEXT(SUMPRODUCT(MAX((T_PlannedOrders[Part Name]=$A233)*(T_PlannedOrders[WeekIndex]=92)*(T_PlannedOrders[EffectiveQty]&gt;0)*T_PlannedOrders[Order_Month])),"m月")&amp;"発注)")</f>
        <v/>
      </c>
      <c r="CR275">
        <f>IF(SUMIFS(T_PlannedOrders[EffectiveQty],T_PlannedOrders[Part Name],$A233,T_PlannedOrders[WeekIndex],93)=0,"",SUMIFS(T_PlannedOrders[EffectiveQty],T_PlannedOrders[Part Name],$A233,T_PlannedOrders[WeekIndex],93)&amp;" ("&amp;TEXT(SUMPRODUCT(MAX((T_PlannedOrders[Part Name]=$A233)*(T_PlannedOrders[WeekIndex]=93)*(T_PlannedOrders[EffectiveQty]&gt;0)*T_PlannedOrders[Order_Month])),"m月")&amp;"発注)")</f>
        <v/>
      </c>
      <c r="CS275">
        <f>IF(SUMIFS(T_PlannedOrders[EffectiveQty],T_PlannedOrders[Part Name],$A233,T_PlannedOrders[WeekIndex],94)=0,"",SUMIFS(T_PlannedOrders[EffectiveQty],T_PlannedOrders[Part Name],$A233,T_PlannedOrders[WeekIndex],94)&amp;" ("&amp;TEXT(SUMPRODUCT(MAX((T_PlannedOrders[Part Name]=$A233)*(T_PlannedOrders[WeekIndex]=94)*(T_PlannedOrders[EffectiveQty]&gt;0)*T_PlannedOrders[Order_Month])),"m月")&amp;"発注)")</f>
        <v/>
      </c>
      <c r="CT275">
        <f>IF(SUMIFS(T_PlannedOrders[EffectiveQty],T_PlannedOrders[Part Name],$A233,T_PlannedOrders[WeekIndex],95)=0,"",SUMIFS(T_PlannedOrders[EffectiveQty],T_PlannedOrders[Part Name],$A233,T_PlannedOrders[WeekIndex],95)&amp;" ("&amp;TEXT(SUMPRODUCT(MAX((T_PlannedOrders[Part Name]=$A233)*(T_PlannedOrders[WeekIndex]=95)*(T_PlannedOrders[EffectiveQty]&gt;0)*T_PlannedOrders[Order_Month])),"m月")&amp;"発注)")</f>
        <v/>
      </c>
      <c r="CU275">
        <f>IF(SUMIFS(T_PlannedOrders[EffectiveQty],T_PlannedOrders[Part Name],$A233,T_PlannedOrders[WeekIndex],96)=0,"",SUMIFS(T_PlannedOrders[EffectiveQty],T_PlannedOrders[Part Name],$A233,T_PlannedOrders[WeekIndex],96)&amp;" ("&amp;TEXT(SUMPRODUCT(MAX((T_PlannedOrders[Part Name]=$A233)*(T_PlannedOrders[WeekIndex]=96)*(T_PlannedOrders[EffectiveQty]&gt;0)*T_PlannedOrders[Order_Month])),"m月")&amp;"発注)")</f>
        <v/>
      </c>
      <c r="CV275">
        <f>IF(SUMIFS(T_PlannedOrders[EffectiveQty],T_PlannedOrders[Part Name],$A233,T_PlannedOrders[WeekIndex],97)=0,"",SUMIFS(T_PlannedOrders[EffectiveQty],T_PlannedOrders[Part Name],$A233,T_PlannedOrders[WeekIndex],97)&amp;" ("&amp;TEXT(SUMPRODUCT(MAX((T_PlannedOrders[Part Name]=$A233)*(T_PlannedOrders[WeekIndex]=97)*(T_PlannedOrders[EffectiveQty]&gt;0)*T_PlannedOrders[Order_Month])),"m月")&amp;"発注)")</f>
        <v/>
      </c>
      <c r="CW275">
        <f>IF(SUMIFS(T_PlannedOrders[EffectiveQty],T_PlannedOrders[Part Name],$A233,T_PlannedOrders[WeekIndex],98)=0,"",SUMIFS(T_PlannedOrders[EffectiveQty],T_PlannedOrders[Part Name],$A233,T_PlannedOrders[WeekIndex],98)&amp;" ("&amp;TEXT(SUMPRODUCT(MAX((T_PlannedOrders[Part Name]=$A233)*(T_PlannedOrders[WeekIndex]=98)*(T_PlannedOrders[EffectiveQty]&gt;0)*T_PlannedOrders[Order_Month])),"m月")&amp;"発注)")</f>
        <v/>
      </c>
      <c r="CX275">
        <f>IF(SUMIFS(T_PlannedOrders[EffectiveQty],T_PlannedOrders[Part Name],$A233,T_PlannedOrders[WeekIndex],99)=0,"",SUMIFS(T_PlannedOrders[EffectiveQty],T_PlannedOrders[Part Name],$A233,T_PlannedOrders[WeekIndex],99)&amp;" ("&amp;TEXT(SUMPRODUCT(MAX((T_PlannedOrders[Part Name]=$A233)*(T_PlannedOrders[WeekIndex]=99)*(T_PlannedOrders[EffectiveQty]&gt;0)*T_PlannedOrders[Order_Month])),"m月")&amp;"発注)")</f>
        <v/>
      </c>
      <c r="CY275">
        <f>IF(SUMIFS(T_PlannedOrders[EffectiveQty],T_PlannedOrders[Part Name],$A233,T_PlannedOrders[WeekIndex],100)=0,"",SUMIFS(T_PlannedOrders[EffectiveQty],T_PlannedOrders[Part Name],$A233,T_PlannedOrders[WeekIndex],100)&amp;" ("&amp;TEXT(SUMPRODUCT(MAX((T_PlannedOrders[Part Name]=$A233)*(T_PlannedOrders[WeekIndex]=100)*(T_PlannedOrders[EffectiveQty]&gt;0)*T_PlannedOrders[Order_Month])),"m月")&amp;"発注)")</f>
        <v/>
      </c>
      <c r="CZ275">
        <f>IF(SUMIFS(T_PlannedOrders[EffectiveQty],T_PlannedOrders[Part Name],$A233,T_PlannedOrders[WeekIndex],101)=0,"",SUMIFS(T_PlannedOrders[EffectiveQty],T_PlannedOrders[Part Name],$A233,T_PlannedOrders[WeekIndex],101)&amp;" ("&amp;TEXT(SUMPRODUCT(MAX((T_PlannedOrders[Part Name]=$A233)*(T_PlannedOrders[WeekIndex]=101)*(T_PlannedOrders[EffectiveQty]&gt;0)*T_PlannedOrders[Order_Month])),"m月")&amp;"発注)")</f>
        <v/>
      </c>
      <c r="DA275">
        <f>IF(SUMIFS(T_PlannedOrders[EffectiveQty],T_PlannedOrders[Part Name],$A233,T_PlannedOrders[WeekIndex],102)=0,"",SUMIFS(T_PlannedOrders[EffectiveQty],T_PlannedOrders[Part Name],$A233,T_PlannedOrders[WeekIndex],102)&amp;" ("&amp;TEXT(SUMPRODUCT(MAX((T_PlannedOrders[Part Name]=$A233)*(T_PlannedOrders[WeekIndex]=102)*(T_PlannedOrders[EffectiveQty]&gt;0)*T_PlannedOrders[Order_Month])),"m月")&amp;"発注)")</f>
        <v/>
      </c>
      <c r="DB275">
        <f>IF(SUMIFS(T_PlannedOrders[EffectiveQty],T_PlannedOrders[Part Name],$A233,T_PlannedOrders[WeekIndex],103)=0,"",SUMIFS(T_PlannedOrders[EffectiveQty],T_PlannedOrders[Part Name],$A233,T_PlannedOrders[WeekIndex],103)&amp;" ("&amp;TEXT(SUMPRODUCT(MAX((T_PlannedOrders[Part Name]=$A233)*(T_PlannedOrders[WeekIndex]=103)*(T_PlannedOrders[EffectiveQty]&gt;0)*T_PlannedOrders[Order_Month])),"m月")&amp;"発注)")</f>
        <v/>
      </c>
      <c r="DC275">
        <f>IF(SUMIFS(T_PlannedOrders[EffectiveQty],T_PlannedOrders[Part Name],$A233,T_PlannedOrders[WeekIndex],104)=0,"",SUMIFS(T_PlannedOrders[EffectiveQty],T_PlannedOrders[Part Name],$A233,T_PlannedOrders[WeekIndex],104)&amp;" ("&amp;TEXT(SUMPRODUCT(MAX((T_PlannedOrders[Part Name]=$A233)*(T_PlannedOrders[WeekIndex]=104)*(T_PlannedOrders[EffectiveQty]&gt;0)*T_PlannedOrders[Order_Month])),"m月")&amp;"発注)")</f>
        <v/>
      </c>
    </row>
    <row r="276">
      <c r="B276" s="5" t="inlineStr">
        <is>
          <t>合計在庫(週末時点,kg)</t>
        </is>
      </c>
      <c r="D276">
        <f>'Grid_Stock'!B39</f>
        <v/>
      </c>
      <c r="E276">
        <f>'Grid_Stock'!C39</f>
        <v/>
      </c>
      <c r="F276">
        <f>'Grid_Stock'!D39</f>
        <v/>
      </c>
      <c r="G276">
        <f>'Grid_Stock'!E39</f>
        <v/>
      </c>
      <c r="H276">
        <f>'Grid_Stock'!F39</f>
        <v/>
      </c>
      <c r="I276">
        <f>'Grid_Stock'!G39</f>
        <v/>
      </c>
      <c r="J276">
        <f>'Grid_Stock'!H39</f>
        <v/>
      </c>
      <c r="K276">
        <f>'Grid_Stock'!I39</f>
        <v/>
      </c>
      <c r="L276">
        <f>'Grid_Stock'!J39</f>
        <v/>
      </c>
      <c r="M276">
        <f>'Grid_Stock'!K39</f>
        <v/>
      </c>
      <c r="N276">
        <f>'Grid_Stock'!L39</f>
        <v/>
      </c>
      <c r="O276">
        <f>'Grid_Stock'!M39</f>
        <v/>
      </c>
      <c r="P276">
        <f>'Grid_Stock'!N39</f>
        <v/>
      </c>
      <c r="Q276">
        <f>'Grid_Stock'!O39</f>
        <v/>
      </c>
      <c r="R276">
        <f>'Grid_Stock'!P39</f>
        <v/>
      </c>
      <c r="S276">
        <f>'Grid_Stock'!Q39</f>
        <v/>
      </c>
      <c r="T276">
        <f>'Grid_Stock'!R39</f>
        <v/>
      </c>
      <c r="U276">
        <f>'Grid_Stock'!S39</f>
        <v/>
      </c>
      <c r="V276">
        <f>'Grid_Stock'!T39</f>
        <v/>
      </c>
      <c r="W276">
        <f>'Grid_Stock'!U39</f>
        <v/>
      </c>
      <c r="X276">
        <f>'Grid_Stock'!V39</f>
        <v/>
      </c>
      <c r="Y276">
        <f>'Grid_Stock'!W39</f>
        <v/>
      </c>
      <c r="Z276">
        <f>'Grid_Stock'!X39</f>
        <v/>
      </c>
      <c r="AA276">
        <f>'Grid_Stock'!Y39</f>
        <v/>
      </c>
      <c r="AB276">
        <f>'Grid_Stock'!Z39</f>
        <v/>
      </c>
      <c r="AC276">
        <f>'Grid_Stock'!AA39</f>
        <v/>
      </c>
      <c r="AD276">
        <f>'Grid_Stock'!AB39</f>
        <v/>
      </c>
      <c r="AE276">
        <f>'Grid_Stock'!AC39</f>
        <v/>
      </c>
      <c r="AF276">
        <f>'Grid_Stock'!AD39</f>
        <v/>
      </c>
      <c r="AG276">
        <f>'Grid_Stock'!AE39</f>
        <v/>
      </c>
      <c r="AH276">
        <f>'Grid_Stock'!AF39</f>
        <v/>
      </c>
      <c r="AI276">
        <f>'Grid_Stock'!AG39</f>
        <v/>
      </c>
      <c r="AJ276">
        <f>'Grid_Stock'!AH39</f>
        <v/>
      </c>
      <c r="AK276">
        <f>'Grid_Stock'!AI39</f>
        <v/>
      </c>
      <c r="AL276">
        <f>'Grid_Stock'!AJ39</f>
        <v/>
      </c>
      <c r="AM276">
        <f>'Grid_Stock'!AK39</f>
        <v/>
      </c>
      <c r="AN276">
        <f>'Grid_Stock'!AL39</f>
        <v/>
      </c>
      <c r="AO276">
        <f>'Grid_Stock'!AM39</f>
        <v/>
      </c>
      <c r="AP276">
        <f>'Grid_Stock'!AN39</f>
        <v/>
      </c>
      <c r="AQ276">
        <f>'Grid_Stock'!AO39</f>
        <v/>
      </c>
      <c r="AR276">
        <f>'Grid_Stock'!AP39</f>
        <v/>
      </c>
      <c r="AS276">
        <f>'Grid_Stock'!AQ39</f>
        <v/>
      </c>
      <c r="AT276">
        <f>'Grid_Stock'!AR39</f>
        <v/>
      </c>
      <c r="AU276">
        <f>'Grid_Stock'!AS39</f>
        <v/>
      </c>
      <c r="AV276">
        <f>'Grid_Stock'!AT39</f>
        <v/>
      </c>
      <c r="AW276">
        <f>'Grid_Stock'!AU39</f>
        <v/>
      </c>
      <c r="AX276">
        <f>'Grid_Stock'!AV39</f>
        <v/>
      </c>
      <c r="AY276">
        <f>'Grid_Stock'!AW39</f>
        <v/>
      </c>
      <c r="AZ276">
        <f>'Grid_Stock'!AX39</f>
        <v/>
      </c>
      <c r="BA276">
        <f>'Grid_Stock'!AY39</f>
        <v/>
      </c>
      <c r="BB276">
        <f>'Grid_Stock'!AZ39</f>
        <v/>
      </c>
      <c r="BC276">
        <f>'Grid_Stock'!BA39</f>
        <v/>
      </c>
      <c r="BD276">
        <f>'Grid_Stock'!BB39</f>
        <v/>
      </c>
      <c r="BE276">
        <f>'Grid_Stock'!BC39</f>
        <v/>
      </c>
      <c r="BF276">
        <f>'Grid_Stock'!BD39</f>
        <v/>
      </c>
      <c r="BG276">
        <f>'Grid_Stock'!BE39</f>
        <v/>
      </c>
      <c r="BH276">
        <f>'Grid_Stock'!BF39</f>
        <v/>
      </c>
      <c r="BI276">
        <f>'Grid_Stock'!BG39</f>
        <v/>
      </c>
      <c r="BJ276">
        <f>'Grid_Stock'!BH39</f>
        <v/>
      </c>
      <c r="BK276">
        <f>'Grid_Stock'!BI39</f>
        <v/>
      </c>
      <c r="BL276">
        <f>'Grid_Stock'!BJ39</f>
        <v/>
      </c>
      <c r="BM276">
        <f>'Grid_Stock'!BK39</f>
        <v/>
      </c>
      <c r="BN276">
        <f>'Grid_Stock'!BL39</f>
        <v/>
      </c>
      <c r="BO276">
        <f>'Grid_Stock'!BM39</f>
        <v/>
      </c>
      <c r="BP276">
        <f>'Grid_Stock'!BN39</f>
        <v/>
      </c>
      <c r="BQ276">
        <f>'Grid_Stock'!BO39</f>
        <v/>
      </c>
      <c r="BR276">
        <f>'Grid_Stock'!BP39</f>
        <v/>
      </c>
      <c r="BS276">
        <f>'Grid_Stock'!BQ39</f>
        <v/>
      </c>
      <c r="BT276">
        <f>'Grid_Stock'!BR39</f>
        <v/>
      </c>
      <c r="BU276">
        <f>'Grid_Stock'!BS39</f>
        <v/>
      </c>
      <c r="BV276">
        <f>'Grid_Stock'!BT39</f>
        <v/>
      </c>
      <c r="BW276">
        <f>'Grid_Stock'!BU39</f>
        <v/>
      </c>
      <c r="BX276">
        <f>'Grid_Stock'!BV39</f>
        <v/>
      </c>
      <c r="BY276">
        <f>'Grid_Stock'!BW39</f>
        <v/>
      </c>
      <c r="BZ276">
        <f>'Grid_Stock'!BX39</f>
        <v/>
      </c>
      <c r="CA276">
        <f>'Grid_Stock'!BY39</f>
        <v/>
      </c>
      <c r="CB276">
        <f>'Grid_Stock'!BZ39</f>
        <v/>
      </c>
      <c r="CC276">
        <f>'Grid_Stock'!CA39</f>
        <v/>
      </c>
      <c r="CD276">
        <f>'Grid_Stock'!CB39</f>
        <v/>
      </c>
      <c r="CE276">
        <f>'Grid_Stock'!CC39</f>
        <v/>
      </c>
      <c r="CF276">
        <f>'Grid_Stock'!CD39</f>
        <v/>
      </c>
      <c r="CG276">
        <f>'Grid_Stock'!CE39</f>
        <v/>
      </c>
      <c r="CH276">
        <f>'Grid_Stock'!CF39</f>
        <v/>
      </c>
      <c r="CI276">
        <f>'Grid_Stock'!CG39</f>
        <v/>
      </c>
      <c r="CJ276">
        <f>'Grid_Stock'!CH39</f>
        <v/>
      </c>
      <c r="CK276">
        <f>'Grid_Stock'!CI39</f>
        <v/>
      </c>
      <c r="CL276">
        <f>'Grid_Stock'!CJ39</f>
        <v/>
      </c>
      <c r="CM276">
        <f>'Grid_Stock'!CK39</f>
        <v/>
      </c>
      <c r="CN276">
        <f>'Grid_Stock'!CL39</f>
        <v/>
      </c>
      <c r="CO276">
        <f>'Grid_Stock'!CM39</f>
        <v/>
      </c>
      <c r="CP276">
        <f>'Grid_Stock'!CN39</f>
        <v/>
      </c>
      <c r="CQ276">
        <f>'Grid_Stock'!CO39</f>
        <v/>
      </c>
      <c r="CR276">
        <f>'Grid_Stock'!CP39</f>
        <v/>
      </c>
      <c r="CS276">
        <f>'Grid_Stock'!CQ39</f>
        <v/>
      </c>
      <c r="CT276">
        <f>'Grid_Stock'!CR39</f>
        <v/>
      </c>
      <c r="CU276">
        <f>'Grid_Stock'!CS39</f>
        <v/>
      </c>
      <c r="CV276">
        <f>'Grid_Stock'!CT39</f>
        <v/>
      </c>
      <c r="CW276">
        <f>'Grid_Stock'!CU39</f>
        <v/>
      </c>
      <c r="CX276">
        <f>'Grid_Stock'!CV39</f>
        <v/>
      </c>
      <c r="CY276">
        <f>'Grid_Stock'!CW39</f>
        <v/>
      </c>
      <c r="CZ276">
        <f>'Grid_Stock'!CX39</f>
        <v/>
      </c>
      <c r="DA276">
        <f>'Grid_Stock'!CY39</f>
        <v/>
      </c>
      <c r="DB276">
        <f>'Grid_Stock'!CZ39</f>
        <v/>
      </c>
      <c r="DC276">
        <f>'Grid_Stock'!DA39</f>
        <v/>
      </c>
    </row>
    <row r="277">
      <c r="B277" s="23" t="inlineStr">
        <is>
          <t>（発注の目安はDashboardの基準在庫[下限/上限]と色分けを参照）</t>
        </is>
      </c>
    </row>
    <row r="279">
      <c r="A279" s="21" t="inlineStr">
        <is>
          <t>CHEM-1680</t>
        </is>
      </c>
      <c r="B279" s="21" t="inlineStr">
        <is>
          <t>NAT 38</t>
        </is>
      </c>
      <c r="C279" s="22" t="n"/>
      <c r="D279" s="21" t="n"/>
      <c r="E279" s="21" t="n"/>
      <c r="F279" s="21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  <c r="AA279" s="21" t="n"/>
      <c r="AB279" s="21" t="n"/>
      <c r="AC279" s="21" t="n"/>
      <c r="AD279" s="21" t="n"/>
      <c r="AE279" s="21" t="n"/>
      <c r="AF279" s="21" t="n"/>
      <c r="AG279" s="21" t="n"/>
      <c r="AH279" s="21" t="n"/>
      <c r="AI279" s="21" t="n"/>
      <c r="AJ279" s="21" t="n"/>
      <c r="AK279" s="21" t="n"/>
      <c r="AL279" s="21" t="n"/>
      <c r="AM279" s="21" t="n"/>
      <c r="AN279" s="21" t="n"/>
      <c r="AO279" s="21" t="n"/>
      <c r="AP279" s="21" t="n"/>
      <c r="AQ279" s="21" t="n"/>
      <c r="AR279" s="21" t="n"/>
      <c r="AS279" s="21" t="n"/>
      <c r="AT279" s="21" t="n"/>
      <c r="AU279" s="21" t="n"/>
      <c r="AV279" s="21" t="n"/>
      <c r="AW279" s="21" t="n"/>
      <c r="AX279" s="21" t="n"/>
      <c r="AY279" s="21" t="n"/>
      <c r="AZ279" s="21" t="n"/>
      <c r="BA279" s="21" t="n"/>
      <c r="BB279" s="21" t="n"/>
      <c r="BC279" s="21" t="n"/>
      <c r="BD279" s="21" t="n"/>
      <c r="BE279" s="21" t="n"/>
      <c r="BF279" s="21" t="n"/>
      <c r="BG279" s="21" t="n"/>
      <c r="BH279" s="21" t="n"/>
      <c r="BI279" s="21" t="n"/>
      <c r="BJ279" s="21" t="n"/>
      <c r="BK279" s="21" t="n"/>
      <c r="BL279" s="21" t="n"/>
      <c r="BM279" s="21" t="n"/>
      <c r="BN279" s="21" t="n"/>
      <c r="BO279" s="21" t="n"/>
      <c r="BP279" s="21" t="n"/>
      <c r="BQ279" s="21" t="n"/>
      <c r="BR279" s="21" t="n"/>
      <c r="BS279" s="21" t="n"/>
      <c r="BT279" s="21" t="n"/>
      <c r="BU279" s="21" t="n"/>
      <c r="BV279" s="21" t="n"/>
      <c r="BW279" s="21" t="n"/>
      <c r="BX279" s="21" t="n"/>
      <c r="BY279" s="21" t="n"/>
      <c r="BZ279" s="21" t="n"/>
      <c r="CA279" s="21" t="n"/>
      <c r="CB279" s="21" t="n"/>
      <c r="CC279" s="21" t="n"/>
      <c r="CD279" s="21" t="n"/>
      <c r="CE279" s="21" t="n"/>
      <c r="CF279" s="21" t="n"/>
      <c r="CG279" s="21" t="n"/>
      <c r="CH279" s="21" t="n"/>
      <c r="CI279" s="21" t="n"/>
      <c r="CJ279" s="21" t="n"/>
      <c r="CK279" s="21" t="n"/>
      <c r="CL279" s="21" t="n"/>
      <c r="CM279" s="21" t="n"/>
      <c r="CN279" s="21" t="n"/>
      <c r="CO279" s="21" t="n"/>
      <c r="CP279" s="21" t="n"/>
      <c r="CQ279" s="21" t="n"/>
      <c r="CR279" s="21" t="n"/>
      <c r="CS279" s="21" t="n"/>
      <c r="CT279" s="21" t="n"/>
      <c r="CU279" s="21" t="n"/>
      <c r="CV279" s="21" t="n"/>
      <c r="CW279" s="21" t="n"/>
      <c r="CX279" s="21" t="n"/>
      <c r="CY279" s="21" t="n"/>
      <c r="CZ279" s="21" t="n"/>
      <c r="DA279" s="21" t="n"/>
      <c r="DB279" s="21" t="n"/>
      <c r="DC279" s="21" t="n"/>
    </row>
    <row r="280">
      <c r="B280" t="inlineStr">
        <is>
          <t>TPP-611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12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Name],$A279)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TPP-613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12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Name],$A279)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TPP-914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12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Name],$A279)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t="inlineStr">
        <is>
          <t>TPP-915</t>
        </is>
      </c>
      <c r="C286" t="inlineStr">
        <is>
          <t>No. of batches</t>
        </is>
      </c>
      <c r="D286">
        <f>IFERROR(INDEX(PP_Grid[#Data],$DD286,2),0)</f>
        <v/>
      </c>
      <c r="E286">
        <f>IFERROR(INDEX(PP_Grid[#Data],$DD286,3),0)</f>
        <v/>
      </c>
      <c r="F286">
        <f>IFERROR(INDEX(PP_Grid[#Data],$DD286,4),0)</f>
        <v/>
      </c>
      <c r="G286">
        <f>IFERROR(INDEX(PP_Grid[#Data],$DD286,5),0)</f>
        <v/>
      </c>
      <c r="H286">
        <f>IFERROR(INDEX(PP_Grid[#Data],$DD286,6),0)</f>
        <v/>
      </c>
      <c r="I286">
        <f>IFERROR(INDEX(PP_Grid[#Data],$DD286,7),0)</f>
        <v/>
      </c>
      <c r="J286">
        <f>IFERROR(INDEX(PP_Grid[#Data],$DD286,8),0)</f>
        <v/>
      </c>
      <c r="K286">
        <f>IFERROR(INDEX(PP_Grid[#Data],$DD286,9),0)</f>
        <v/>
      </c>
      <c r="L286">
        <f>IFERROR(INDEX(PP_Grid[#Data],$DD286,10),0)</f>
        <v/>
      </c>
      <c r="M286">
        <f>IFERROR(INDEX(PP_Grid[#Data],$DD286,11),0)</f>
        <v/>
      </c>
      <c r="N286">
        <f>IFERROR(INDEX(PP_Grid[#Data],$DD286,12),0)</f>
        <v/>
      </c>
      <c r="O286">
        <f>IFERROR(INDEX(PP_Grid[#Data],$DD286,13),0)</f>
        <v/>
      </c>
      <c r="P286">
        <f>IFERROR(INDEX(PP_Grid[#Data],$DD286,14),0)</f>
        <v/>
      </c>
      <c r="Q286">
        <f>IFERROR(INDEX(PP_Grid[#Data],$DD286,15),0)</f>
        <v/>
      </c>
      <c r="R286">
        <f>IFERROR(INDEX(PP_Grid[#Data],$DD286,16),0)</f>
        <v/>
      </c>
      <c r="S286">
        <f>IFERROR(INDEX(PP_Grid[#Data],$DD286,17),0)</f>
        <v/>
      </c>
      <c r="T286">
        <f>IFERROR(INDEX(PP_Grid[#Data],$DD286,18),0)</f>
        <v/>
      </c>
      <c r="U286">
        <f>IFERROR(INDEX(PP_Grid[#Data],$DD286,19),0)</f>
        <v/>
      </c>
      <c r="V286">
        <f>IFERROR(INDEX(PP_Grid[#Data],$DD286,20),0)</f>
        <v/>
      </c>
      <c r="W286">
        <f>IFERROR(INDEX(PP_Grid[#Data],$DD286,21),0)</f>
        <v/>
      </c>
      <c r="X286">
        <f>IFERROR(INDEX(PP_Grid[#Data],$DD286,22),0)</f>
        <v/>
      </c>
      <c r="Y286">
        <f>IFERROR(INDEX(PP_Grid[#Data],$DD286,23),0)</f>
        <v/>
      </c>
      <c r="Z286">
        <f>IFERROR(INDEX(PP_Grid[#Data],$DD286,24),0)</f>
        <v/>
      </c>
      <c r="AA286">
        <f>IFERROR(INDEX(PP_Grid[#Data],$DD286,25),0)</f>
        <v/>
      </c>
      <c r="AB286">
        <f>IFERROR(INDEX(PP_Grid[#Data],$DD286,26),0)</f>
        <v/>
      </c>
      <c r="AC286">
        <f>IFERROR(INDEX(PP_Grid[#Data],$DD286,27),0)</f>
        <v/>
      </c>
      <c r="AD286">
        <f>IFERROR(INDEX(PP_Grid[#Data],$DD286,28),0)</f>
        <v/>
      </c>
      <c r="AE286">
        <f>IFERROR(INDEX(PP_Grid[#Data],$DD286,29),0)</f>
        <v/>
      </c>
      <c r="AF286">
        <f>IFERROR(INDEX(PP_Grid[#Data],$DD286,30),0)</f>
        <v/>
      </c>
      <c r="AG286">
        <f>IFERROR(INDEX(PP_Grid[#Data],$DD286,31),0)</f>
        <v/>
      </c>
      <c r="AH286">
        <f>IFERROR(INDEX(PP_Grid[#Data],$DD286,32),0)</f>
        <v/>
      </c>
      <c r="AI286">
        <f>IFERROR(INDEX(PP_Grid[#Data],$DD286,33),0)</f>
        <v/>
      </c>
      <c r="AJ286">
        <f>IFERROR(INDEX(PP_Grid[#Data],$DD286,34),0)</f>
        <v/>
      </c>
      <c r="AK286">
        <f>IFERROR(INDEX(PP_Grid[#Data],$DD286,35),0)</f>
        <v/>
      </c>
      <c r="AL286">
        <f>IFERROR(INDEX(PP_Grid[#Data],$DD286,36),0)</f>
        <v/>
      </c>
      <c r="AM286">
        <f>IFERROR(INDEX(PP_Grid[#Data],$DD286,37),0)</f>
        <v/>
      </c>
      <c r="AN286">
        <f>IFERROR(INDEX(PP_Grid[#Data],$DD286,38),0)</f>
        <v/>
      </c>
      <c r="AO286">
        <f>IFERROR(INDEX(PP_Grid[#Data],$DD286,39),0)</f>
        <v/>
      </c>
      <c r="AP286">
        <f>IFERROR(INDEX(PP_Grid[#Data],$DD286,40),0)</f>
        <v/>
      </c>
      <c r="AQ286">
        <f>IFERROR(INDEX(PP_Grid[#Data],$DD286,41),0)</f>
        <v/>
      </c>
      <c r="AR286">
        <f>IFERROR(INDEX(PP_Grid[#Data],$DD286,42),0)</f>
        <v/>
      </c>
      <c r="AS286">
        <f>IFERROR(INDEX(PP_Grid[#Data],$DD286,43),0)</f>
        <v/>
      </c>
      <c r="AT286">
        <f>IFERROR(INDEX(PP_Grid[#Data],$DD286,44),0)</f>
        <v/>
      </c>
      <c r="AU286">
        <f>IFERROR(INDEX(PP_Grid[#Data],$DD286,45),0)</f>
        <v/>
      </c>
      <c r="AV286">
        <f>IFERROR(INDEX(PP_Grid[#Data],$DD286,46),0)</f>
        <v/>
      </c>
      <c r="AW286">
        <f>IFERROR(INDEX(PP_Grid[#Data],$DD286,47),0)</f>
        <v/>
      </c>
      <c r="AX286">
        <f>IFERROR(INDEX(PP_Grid[#Data],$DD286,48),0)</f>
        <v/>
      </c>
      <c r="AY286">
        <f>IFERROR(INDEX(PP_Grid[#Data],$DD286,49),0)</f>
        <v/>
      </c>
      <c r="AZ286">
        <f>IFERROR(INDEX(PP_Grid[#Data],$DD286,50),0)</f>
        <v/>
      </c>
      <c r="BA286">
        <f>IFERROR(INDEX(PP_Grid[#Data],$DD286,51),0)</f>
        <v/>
      </c>
      <c r="BB286">
        <f>IFERROR(INDEX(PP_Grid[#Data],$DD286,52),0)</f>
        <v/>
      </c>
      <c r="BC286">
        <f>IFERROR(INDEX(PP_Grid[#Data],$DD286,53),0)</f>
        <v/>
      </c>
      <c r="BD286">
        <f>IFERROR(INDEX(PP_Grid[#Data],$DD286,54),0)</f>
        <v/>
      </c>
      <c r="BE286">
        <f>IFERROR(INDEX(PP_Grid[#Data],$DD286,55),0)</f>
        <v/>
      </c>
      <c r="BF286">
        <f>IFERROR(INDEX(PP_Grid[#Data],$DD286,56),0)</f>
        <v/>
      </c>
      <c r="BG286">
        <f>IFERROR(INDEX(PP_Grid[#Data],$DD286,57),0)</f>
        <v/>
      </c>
      <c r="BH286">
        <f>IFERROR(INDEX(PP_Grid[#Data],$DD286,58),0)</f>
        <v/>
      </c>
      <c r="BI286">
        <f>IFERROR(INDEX(PP_Grid[#Data],$DD286,59),0)</f>
        <v/>
      </c>
      <c r="BJ286">
        <f>IFERROR(INDEX(PP_Grid[#Data],$DD286,60),0)</f>
        <v/>
      </c>
      <c r="BK286">
        <f>IFERROR(INDEX(PP_Grid[#Data],$DD286,61),0)</f>
        <v/>
      </c>
      <c r="BL286">
        <f>IFERROR(INDEX(PP_Grid[#Data],$DD286,62),0)</f>
        <v/>
      </c>
      <c r="BM286">
        <f>IFERROR(INDEX(PP_Grid[#Data],$DD286,63),0)</f>
        <v/>
      </c>
      <c r="BN286">
        <f>IFERROR(INDEX(PP_Grid[#Data],$DD286,64),0)</f>
        <v/>
      </c>
      <c r="BO286">
        <f>IFERROR(INDEX(PP_Grid[#Data],$DD286,65),0)</f>
        <v/>
      </c>
      <c r="BP286">
        <f>IFERROR(INDEX(PP_Grid[#Data],$DD286,66),0)</f>
        <v/>
      </c>
      <c r="BQ286">
        <f>IFERROR(INDEX(PP_Grid[#Data],$DD286,67),0)</f>
        <v/>
      </c>
      <c r="BR286">
        <f>IFERROR(INDEX(PP_Grid[#Data],$DD286,68),0)</f>
        <v/>
      </c>
      <c r="BS286">
        <f>IFERROR(INDEX(PP_Grid[#Data],$DD286,69),0)</f>
        <v/>
      </c>
      <c r="BT286">
        <f>IFERROR(INDEX(PP_Grid[#Data],$DD286,70),0)</f>
        <v/>
      </c>
      <c r="BU286">
        <f>IFERROR(INDEX(PP_Grid[#Data],$DD286,71),0)</f>
        <v/>
      </c>
      <c r="BV286">
        <f>IFERROR(INDEX(PP_Grid[#Data],$DD286,72),0)</f>
        <v/>
      </c>
      <c r="BW286">
        <f>IFERROR(INDEX(PP_Grid[#Data],$DD286,73),0)</f>
        <v/>
      </c>
      <c r="BX286">
        <f>IFERROR(INDEX(PP_Grid[#Data],$DD286,74),0)</f>
        <v/>
      </c>
      <c r="BY286">
        <f>IFERROR(INDEX(PP_Grid[#Data],$DD286,75),0)</f>
        <v/>
      </c>
      <c r="BZ286">
        <f>IFERROR(INDEX(PP_Grid[#Data],$DD286,76),0)</f>
        <v/>
      </c>
      <c r="CA286">
        <f>IFERROR(INDEX(PP_Grid[#Data],$DD286,77),0)</f>
        <v/>
      </c>
      <c r="CB286">
        <f>IFERROR(INDEX(PP_Grid[#Data],$DD286,78),0)</f>
        <v/>
      </c>
      <c r="CC286">
        <f>IFERROR(INDEX(PP_Grid[#Data],$DD286,79),0)</f>
        <v/>
      </c>
      <c r="CD286">
        <f>IFERROR(INDEX(PP_Grid[#Data],$DD286,80),0)</f>
        <v/>
      </c>
      <c r="CE286">
        <f>IFERROR(INDEX(PP_Grid[#Data],$DD286,81),0)</f>
        <v/>
      </c>
      <c r="CF286">
        <f>IFERROR(INDEX(PP_Grid[#Data],$DD286,82),0)</f>
        <v/>
      </c>
      <c r="CG286">
        <f>IFERROR(INDEX(PP_Grid[#Data],$DD286,83),0)</f>
        <v/>
      </c>
      <c r="CH286">
        <f>IFERROR(INDEX(PP_Grid[#Data],$DD286,84),0)</f>
        <v/>
      </c>
      <c r="CI286">
        <f>IFERROR(INDEX(PP_Grid[#Data],$DD286,85),0)</f>
        <v/>
      </c>
      <c r="CJ286">
        <f>IFERROR(INDEX(PP_Grid[#Data],$DD286,86),0)</f>
        <v/>
      </c>
      <c r="CK286">
        <f>IFERROR(INDEX(PP_Grid[#Data],$DD286,87),0)</f>
        <v/>
      </c>
      <c r="CL286">
        <f>IFERROR(INDEX(PP_Grid[#Data],$DD286,88),0)</f>
        <v/>
      </c>
      <c r="CM286">
        <f>IFERROR(INDEX(PP_Grid[#Data],$DD286,89),0)</f>
        <v/>
      </c>
      <c r="CN286">
        <f>IFERROR(INDEX(PP_Grid[#Data],$DD286,90),0)</f>
        <v/>
      </c>
      <c r="CO286">
        <f>IFERROR(INDEX(PP_Grid[#Data],$DD286,91),0)</f>
        <v/>
      </c>
      <c r="CP286">
        <f>IFERROR(INDEX(PP_Grid[#Data],$DD286,92),0)</f>
        <v/>
      </c>
      <c r="CQ286">
        <f>IFERROR(INDEX(PP_Grid[#Data],$DD286,93),0)</f>
        <v/>
      </c>
      <c r="CR286">
        <f>IFERROR(INDEX(PP_Grid[#Data],$DD286,94),0)</f>
        <v/>
      </c>
      <c r="CS286">
        <f>IFERROR(INDEX(PP_Grid[#Data],$DD286,95),0)</f>
        <v/>
      </c>
      <c r="CT286">
        <f>IFERROR(INDEX(PP_Grid[#Data],$DD286,96),0)</f>
        <v/>
      </c>
      <c r="CU286">
        <f>IFERROR(INDEX(PP_Grid[#Data],$DD286,97),0)</f>
        <v/>
      </c>
      <c r="CV286">
        <f>IFERROR(INDEX(PP_Grid[#Data],$DD286,98),0)</f>
        <v/>
      </c>
      <c r="CW286">
        <f>IFERROR(INDEX(PP_Grid[#Data],$DD286,99),0)</f>
        <v/>
      </c>
      <c r="CX286">
        <f>IFERROR(INDEX(PP_Grid[#Data],$DD286,100),0)</f>
        <v/>
      </c>
      <c r="CY286">
        <f>IFERROR(INDEX(PP_Grid[#Data],$DD286,101),0)</f>
        <v/>
      </c>
      <c r="CZ286">
        <f>IFERROR(INDEX(PP_Grid[#Data],$DD286,102),0)</f>
        <v/>
      </c>
      <c r="DA286">
        <f>IFERROR(INDEX(PP_Grid[#Data],$DD286,103),0)</f>
        <v/>
      </c>
      <c r="DB286">
        <f>IFERROR(INDEX(PP_Grid[#Data],$DD286,104),0)</f>
        <v/>
      </c>
      <c r="DC286">
        <f>IFERROR(INDEX(PP_Grid[#Data],$DD286,105),0)</f>
        <v/>
      </c>
      <c r="DD286" s="12">
        <f>IFERROR(MATCH($B286,PP_Grid[Intermediate],0),99999)</f>
        <v/>
      </c>
    </row>
    <row r="287">
      <c r="B287" t="inlineStr">
        <is>
          <t>使用量(kg)</t>
        </is>
      </c>
      <c r="C287">
        <f>SUMIFS(M_BOM[RM_Qty_Per_Batch],M_BOM[Intermediate],$B286,M_BOM[Part Name],$A279)</f>
        <v/>
      </c>
      <c r="D287">
        <f>$C287*D286</f>
        <v/>
      </c>
      <c r="E287">
        <f>$C287*E286</f>
        <v/>
      </c>
      <c r="F287">
        <f>$C287*F286</f>
        <v/>
      </c>
      <c r="G287">
        <f>$C287*G286</f>
        <v/>
      </c>
      <c r="H287">
        <f>$C287*H286</f>
        <v/>
      </c>
      <c r="I287">
        <f>$C287*I286</f>
        <v/>
      </c>
      <c r="J287">
        <f>$C287*J286</f>
        <v/>
      </c>
      <c r="K287">
        <f>$C287*K286</f>
        <v/>
      </c>
      <c r="L287">
        <f>$C287*L286</f>
        <v/>
      </c>
      <c r="M287">
        <f>$C287*M286</f>
        <v/>
      </c>
      <c r="N287">
        <f>$C287*N286</f>
        <v/>
      </c>
      <c r="O287">
        <f>$C287*O286</f>
        <v/>
      </c>
      <c r="P287">
        <f>$C287*P286</f>
        <v/>
      </c>
      <c r="Q287">
        <f>$C287*Q286</f>
        <v/>
      </c>
      <c r="R287">
        <f>$C287*R286</f>
        <v/>
      </c>
      <c r="S287">
        <f>$C287*S286</f>
        <v/>
      </c>
      <c r="T287">
        <f>$C287*T286</f>
        <v/>
      </c>
      <c r="U287">
        <f>$C287*U286</f>
        <v/>
      </c>
      <c r="V287">
        <f>$C287*V286</f>
        <v/>
      </c>
      <c r="W287">
        <f>$C287*W286</f>
        <v/>
      </c>
      <c r="X287">
        <f>$C287*X286</f>
        <v/>
      </c>
      <c r="Y287">
        <f>$C287*Y286</f>
        <v/>
      </c>
      <c r="Z287">
        <f>$C287*Z286</f>
        <v/>
      </c>
      <c r="AA287">
        <f>$C287*AA286</f>
        <v/>
      </c>
      <c r="AB287">
        <f>$C287*AB286</f>
        <v/>
      </c>
      <c r="AC287">
        <f>$C287*AC286</f>
        <v/>
      </c>
      <c r="AD287">
        <f>$C287*AD286</f>
        <v/>
      </c>
      <c r="AE287">
        <f>$C287*AE286</f>
        <v/>
      </c>
      <c r="AF287">
        <f>$C287*AF286</f>
        <v/>
      </c>
      <c r="AG287">
        <f>$C287*AG286</f>
        <v/>
      </c>
      <c r="AH287">
        <f>$C287*AH286</f>
        <v/>
      </c>
      <c r="AI287">
        <f>$C287*AI286</f>
        <v/>
      </c>
      <c r="AJ287">
        <f>$C287*AJ286</f>
        <v/>
      </c>
      <c r="AK287">
        <f>$C287*AK286</f>
        <v/>
      </c>
      <c r="AL287">
        <f>$C287*AL286</f>
        <v/>
      </c>
      <c r="AM287">
        <f>$C287*AM286</f>
        <v/>
      </c>
      <c r="AN287">
        <f>$C287*AN286</f>
        <v/>
      </c>
      <c r="AO287">
        <f>$C287*AO286</f>
        <v/>
      </c>
      <c r="AP287">
        <f>$C287*AP286</f>
        <v/>
      </c>
      <c r="AQ287">
        <f>$C287*AQ286</f>
        <v/>
      </c>
      <c r="AR287">
        <f>$C287*AR286</f>
        <v/>
      </c>
      <c r="AS287">
        <f>$C287*AS286</f>
        <v/>
      </c>
      <c r="AT287">
        <f>$C287*AT286</f>
        <v/>
      </c>
      <c r="AU287">
        <f>$C287*AU286</f>
        <v/>
      </c>
      <c r="AV287">
        <f>$C287*AV286</f>
        <v/>
      </c>
      <c r="AW287">
        <f>$C287*AW286</f>
        <v/>
      </c>
      <c r="AX287">
        <f>$C287*AX286</f>
        <v/>
      </c>
      <c r="AY287">
        <f>$C287*AY286</f>
        <v/>
      </c>
      <c r="AZ287">
        <f>$C287*AZ286</f>
        <v/>
      </c>
      <c r="BA287">
        <f>$C287*BA286</f>
        <v/>
      </c>
      <c r="BB287">
        <f>$C287*BB286</f>
        <v/>
      </c>
      <c r="BC287">
        <f>$C287*BC286</f>
        <v/>
      </c>
      <c r="BD287">
        <f>$C287*BD286</f>
        <v/>
      </c>
      <c r="BE287">
        <f>$C287*BE286</f>
        <v/>
      </c>
      <c r="BF287">
        <f>$C287*BF286</f>
        <v/>
      </c>
      <c r="BG287">
        <f>$C287*BG286</f>
        <v/>
      </c>
      <c r="BH287">
        <f>$C287*BH286</f>
        <v/>
      </c>
      <c r="BI287">
        <f>$C287*BI286</f>
        <v/>
      </c>
      <c r="BJ287">
        <f>$C287*BJ286</f>
        <v/>
      </c>
      <c r="BK287">
        <f>$C287*BK286</f>
        <v/>
      </c>
      <c r="BL287">
        <f>$C287*BL286</f>
        <v/>
      </c>
      <c r="BM287">
        <f>$C287*BM286</f>
        <v/>
      </c>
      <c r="BN287">
        <f>$C287*BN286</f>
        <v/>
      </c>
      <c r="BO287">
        <f>$C287*BO286</f>
        <v/>
      </c>
      <c r="BP287">
        <f>$C287*BP286</f>
        <v/>
      </c>
      <c r="BQ287">
        <f>$C287*BQ286</f>
        <v/>
      </c>
      <c r="BR287">
        <f>$C287*BR286</f>
        <v/>
      </c>
      <c r="BS287">
        <f>$C287*BS286</f>
        <v/>
      </c>
      <c r="BT287">
        <f>$C287*BT286</f>
        <v/>
      </c>
      <c r="BU287">
        <f>$C287*BU286</f>
        <v/>
      </c>
      <c r="BV287">
        <f>$C287*BV286</f>
        <v/>
      </c>
      <c r="BW287">
        <f>$C287*BW286</f>
        <v/>
      </c>
      <c r="BX287">
        <f>$C287*BX286</f>
        <v/>
      </c>
      <c r="BY287">
        <f>$C287*BY286</f>
        <v/>
      </c>
      <c r="BZ287">
        <f>$C287*BZ286</f>
        <v/>
      </c>
      <c r="CA287">
        <f>$C287*CA286</f>
        <v/>
      </c>
      <c r="CB287">
        <f>$C287*CB286</f>
        <v/>
      </c>
      <c r="CC287">
        <f>$C287*CC286</f>
        <v/>
      </c>
      <c r="CD287">
        <f>$C287*CD286</f>
        <v/>
      </c>
      <c r="CE287">
        <f>$C287*CE286</f>
        <v/>
      </c>
      <c r="CF287">
        <f>$C287*CF286</f>
        <v/>
      </c>
      <c r="CG287">
        <f>$C287*CG286</f>
        <v/>
      </c>
      <c r="CH287">
        <f>$C287*CH286</f>
        <v/>
      </c>
      <c r="CI287">
        <f>$C287*CI286</f>
        <v/>
      </c>
      <c r="CJ287">
        <f>$C287*CJ286</f>
        <v/>
      </c>
      <c r="CK287">
        <f>$C287*CK286</f>
        <v/>
      </c>
      <c r="CL287">
        <f>$C287*CL286</f>
        <v/>
      </c>
      <c r="CM287">
        <f>$C287*CM286</f>
        <v/>
      </c>
      <c r="CN287">
        <f>$C287*CN286</f>
        <v/>
      </c>
      <c r="CO287">
        <f>$C287*CO286</f>
        <v/>
      </c>
      <c r="CP287">
        <f>$C287*CP286</f>
        <v/>
      </c>
      <c r="CQ287">
        <f>$C287*CQ286</f>
        <v/>
      </c>
      <c r="CR287">
        <f>$C287*CR286</f>
        <v/>
      </c>
      <c r="CS287">
        <f>$C287*CS286</f>
        <v/>
      </c>
      <c r="CT287">
        <f>$C287*CT286</f>
        <v/>
      </c>
      <c r="CU287">
        <f>$C287*CU286</f>
        <v/>
      </c>
      <c r="CV287">
        <f>$C287*CV286</f>
        <v/>
      </c>
      <c r="CW287">
        <f>$C287*CW286</f>
        <v/>
      </c>
      <c r="CX287">
        <f>$C287*CX286</f>
        <v/>
      </c>
      <c r="CY287">
        <f>$C287*CY286</f>
        <v/>
      </c>
      <c r="CZ287">
        <f>$C287*CZ286</f>
        <v/>
      </c>
      <c r="DA287">
        <f>$C287*DA286</f>
        <v/>
      </c>
      <c r="DB287">
        <f>$C287*DB286</f>
        <v/>
      </c>
      <c r="DC287">
        <f>$C287*DC286</f>
        <v/>
      </c>
    </row>
    <row r="288">
      <c r="B288" t="inlineStr">
        <is>
          <t>TPP-916</t>
        </is>
      </c>
      <c r="C288" t="inlineStr">
        <is>
          <t>No. of batches</t>
        </is>
      </c>
      <c r="D288">
        <f>IFERROR(INDEX(PP_Grid[#Data],$DD288,2),0)</f>
        <v/>
      </c>
      <c r="E288">
        <f>IFERROR(INDEX(PP_Grid[#Data],$DD288,3),0)</f>
        <v/>
      </c>
      <c r="F288">
        <f>IFERROR(INDEX(PP_Grid[#Data],$DD288,4),0)</f>
        <v/>
      </c>
      <c r="G288">
        <f>IFERROR(INDEX(PP_Grid[#Data],$DD288,5),0)</f>
        <v/>
      </c>
      <c r="H288">
        <f>IFERROR(INDEX(PP_Grid[#Data],$DD288,6),0)</f>
        <v/>
      </c>
      <c r="I288">
        <f>IFERROR(INDEX(PP_Grid[#Data],$DD288,7),0)</f>
        <v/>
      </c>
      <c r="J288">
        <f>IFERROR(INDEX(PP_Grid[#Data],$DD288,8),0)</f>
        <v/>
      </c>
      <c r="K288">
        <f>IFERROR(INDEX(PP_Grid[#Data],$DD288,9),0)</f>
        <v/>
      </c>
      <c r="L288">
        <f>IFERROR(INDEX(PP_Grid[#Data],$DD288,10),0)</f>
        <v/>
      </c>
      <c r="M288">
        <f>IFERROR(INDEX(PP_Grid[#Data],$DD288,11),0)</f>
        <v/>
      </c>
      <c r="N288">
        <f>IFERROR(INDEX(PP_Grid[#Data],$DD288,12),0)</f>
        <v/>
      </c>
      <c r="O288">
        <f>IFERROR(INDEX(PP_Grid[#Data],$DD288,13),0)</f>
        <v/>
      </c>
      <c r="P288">
        <f>IFERROR(INDEX(PP_Grid[#Data],$DD288,14),0)</f>
        <v/>
      </c>
      <c r="Q288">
        <f>IFERROR(INDEX(PP_Grid[#Data],$DD288,15),0)</f>
        <v/>
      </c>
      <c r="R288">
        <f>IFERROR(INDEX(PP_Grid[#Data],$DD288,16),0)</f>
        <v/>
      </c>
      <c r="S288">
        <f>IFERROR(INDEX(PP_Grid[#Data],$DD288,17),0)</f>
        <v/>
      </c>
      <c r="T288">
        <f>IFERROR(INDEX(PP_Grid[#Data],$DD288,18),0)</f>
        <v/>
      </c>
      <c r="U288">
        <f>IFERROR(INDEX(PP_Grid[#Data],$DD288,19),0)</f>
        <v/>
      </c>
      <c r="V288">
        <f>IFERROR(INDEX(PP_Grid[#Data],$DD288,20),0)</f>
        <v/>
      </c>
      <c r="W288">
        <f>IFERROR(INDEX(PP_Grid[#Data],$DD288,21),0)</f>
        <v/>
      </c>
      <c r="X288">
        <f>IFERROR(INDEX(PP_Grid[#Data],$DD288,22),0)</f>
        <v/>
      </c>
      <c r="Y288">
        <f>IFERROR(INDEX(PP_Grid[#Data],$DD288,23),0)</f>
        <v/>
      </c>
      <c r="Z288">
        <f>IFERROR(INDEX(PP_Grid[#Data],$DD288,24),0)</f>
        <v/>
      </c>
      <c r="AA288">
        <f>IFERROR(INDEX(PP_Grid[#Data],$DD288,25),0)</f>
        <v/>
      </c>
      <c r="AB288">
        <f>IFERROR(INDEX(PP_Grid[#Data],$DD288,26),0)</f>
        <v/>
      </c>
      <c r="AC288">
        <f>IFERROR(INDEX(PP_Grid[#Data],$DD288,27),0)</f>
        <v/>
      </c>
      <c r="AD288">
        <f>IFERROR(INDEX(PP_Grid[#Data],$DD288,28),0)</f>
        <v/>
      </c>
      <c r="AE288">
        <f>IFERROR(INDEX(PP_Grid[#Data],$DD288,29),0)</f>
        <v/>
      </c>
      <c r="AF288">
        <f>IFERROR(INDEX(PP_Grid[#Data],$DD288,30),0)</f>
        <v/>
      </c>
      <c r="AG288">
        <f>IFERROR(INDEX(PP_Grid[#Data],$DD288,31),0)</f>
        <v/>
      </c>
      <c r="AH288">
        <f>IFERROR(INDEX(PP_Grid[#Data],$DD288,32),0)</f>
        <v/>
      </c>
      <c r="AI288">
        <f>IFERROR(INDEX(PP_Grid[#Data],$DD288,33),0)</f>
        <v/>
      </c>
      <c r="AJ288">
        <f>IFERROR(INDEX(PP_Grid[#Data],$DD288,34),0)</f>
        <v/>
      </c>
      <c r="AK288">
        <f>IFERROR(INDEX(PP_Grid[#Data],$DD288,35),0)</f>
        <v/>
      </c>
      <c r="AL288">
        <f>IFERROR(INDEX(PP_Grid[#Data],$DD288,36),0)</f>
        <v/>
      </c>
      <c r="AM288">
        <f>IFERROR(INDEX(PP_Grid[#Data],$DD288,37),0)</f>
        <v/>
      </c>
      <c r="AN288">
        <f>IFERROR(INDEX(PP_Grid[#Data],$DD288,38),0)</f>
        <v/>
      </c>
      <c r="AO288">
        <f>IFERROR(INDEX(PP_Grid[#Data],$DD288,39),0)</f>
        <v/>
      </c>
      <c r="AP288">
        <f>IFERROR(INDEX(PP_Grid[#Data],$DD288,40),0)</f>
        <v/>
      </c>
      <c r="AQ288">
        <f>IFERROR(INDEX(PP_Grid[#Data],$DD288,41),0)</f>
        <v/>
      </c>
      <c r="AR288">
        <f>IFERROR(INDEX(PP_Grid[#Data],$DD288,42),0)</f>
        <v/>
      </c>
      <c r="AS288">
        <f>IFERROR(INDEX(PP_Grid[#Data],$DD288,43),0)</f>
        <v/>
      </c>
      <c r="AT288">
        <f>IFERROR(INDEX(PP_Grid[#Data],$DD288,44),0)</f>
        <v/>
      </c>
      <c r="AU288">
        <f>IFERROR(INDEX(PP_Grid[#Data],$DD288,45),0)</f>
        <v/>
      </c>
      <c r="AV288">
        <f>IFERROR(INDEX(PP_Grid[#Data],$DD288,46),0)</f>
        <v/>
      </c>
      <c r="AW288">
        <f>IFERROR(INDEX(PP_Grid[#Data],$DD288,47),0)</f>
        <v/>
      </c>
      <c r="AX288">
        <f>IFERROR(INDEX(PP_Grid[#Data],$DD288,48),0)</f>
        <v/>
      </c>
      <c r="AY288">
        <f>IFERROR(INDEX(PP_Grid[#Data],$DD288,49),0)</f>
        <v/>
      </c>
      <c r="AZ288">
        <f>IFERROR(INDEX(PP_Grid[#Data],$DD288,50),0)</f>
        <v/>
      </c>
      <c r="BA288">
        <f>IFERROR(INDEX(PP_Grid[#Data],$DD288,51),0)</f>
        <v/>
      </c>
      <c r="BB288">
        <f>IFERROR(INDEX(PP_Grid[#Data],$DD288,52),0)</f>
        <v/>
      </c>
      <c r="BC288">
        <f>IFERROR(INDEX(PP_Grid[#Data],$DD288,53),0)</f>
        <v/>
      </c>
      <c r="BD288">
        <f>IFERROR(INDEX(PP_Grid[#Data],$DD288,54),0)</f>
        <v/>
      </c>
      <c r="BE288">
        <f>IFERROR(INDEX(PP_Grid[#Data],$DD288,55),0)</f>
        <v/>
      </c>
      <c r="BF288">
        <f>IFERROR(INDEX(PP_Grid[#Data],$DD288,56),0)</f>
        <v/>
      </c>
      <c r="BG288">
        <f>IFERROR(INDEX(PP_Grid[#Data],$DD288,57),0)</f>
        <v/>
      </c>
      <c r="BH288">
        <f>IFERROR(INDEX(PP_Grid[#Data],$DD288,58),0)</f>
        <v/>
      </c>
      <c r="BI288">
        <f>IFERROR(INDEX(PP_Grid[#Data],$DD288,59),0)</f>
        <v/>
      </c>
      <c r="BJ288">
        <f>IFERROR(INDEX(PP_Grid[#Data],$DD288,60),0)</f>
        <v/>
      </c>
      <c r="BK288">
        <f>IFERROR(INDEX(PP_Grid[#Data],$DD288,61),0)</f>
        <v/>
      </c>
      <c r="BL288">
        <f>IFERROR(INDEX(PP_Grid[#Data],$DD288,62),0)</f>
        <v/>
      </c>
      <c r="BM288">
        <f>IFERROR(INDEX(PP_Grid[#Data],$DD288,63),0)</f>
        <v/>
      </c>
      <c r="BN288">
        <f>IFERROR(INDEX(PP_Grid[#Data],$DD288,64),0)</f>
        <v/>
      </c>
      <c r="BO288">
        <f>IFERROR(INDEX(PP_Grid[#Data],$DD288,65),0)</f>
        <v/>
      </c>
      <c r="BP288">
        <f>IFERROR(INDEX(PP_Grid[#Data],$DD288,66),0)</f>
        <v/>
      </c>
      <c r="BQ288">
        <f>IFERROR(INDEX(PP_Grid[#Data],$DD288,67),0)</f>
        <v/>
      </c>
      <c r="BR288">
        <f>IFERROR(INDEX(PP_Grid[#Data],$DD288,68),0)</f>
        <v/>
      </c>
      <c r="BS288">
        <f>IFERROR(INDEX(PP_Grid[#Data],$DD288,69),0)</f>
        <v/>
      </c>
      <c r="BT288">
        <f>IFERROR(INDEX(PP_Grid[#Data],$DD288,70),0)</f>
        <v/>
      </c>
      <c r="BU288">
        <f>IFERROR(INDEX(PP_Grid[#Data],$DD288,71),0)</f>
        <v/>
      </c>
      <c r="BV288">
        <f>IFERROR(INDEX(PP_Grid[#Data],$DD288,72),0)</f>
        <v/>
      </c>
      <c r="BW288">
        <f>IFERROR(INDEX(PP_Grid[#Data],$DD288,73),0)</f>
        <v/>
      </c>
      <c r="BX288">
        <f>IFERROR(INDEX(PP_Grid[#Data],$DD288,74),0)</f>
        <v/>
      </c>
      <c r="BY288">
        <f>IFERROR(INDEX(PP_Grid[#Data],$DD288,75),0)</f>
        <v/>
      </c>
      <c r="BZ288">
        <f>IFERROR(INDEX(PP_Grid[#Data],$DD288,76),0)</f>
        <v/>
      </c>
      <c r="CA288">
        <f>IFERROR(INDEX(PP_Grid[#Data],$DD288,77),0)</f>
        <v/>
      </c>
      <c r="CB288">
        <f>IFERROR(INDEX(PP_Grid[#Data],$DD288,78),0)</f>
        <v/>
      </c>
      <c r="CC288">
        <f>IFERROR(INDEX(PP_Grid[#Data],$DD288,79),0)</f>
        <v/>
      </c>
      <c r="CD288">
        <f>IFERROR(INDEX(PP_Grid[#Data],$DD288,80),0)</f>
        <v/>
      </c>
      <c r="CE288">
        <f>IFERROR(INDEX(PP_Grid[#Data],$DD288,81),0)</f>
        <v/>
      </c>
      <c r="CF288">
        <f>IFERROR(INDEX(PP_Grid[#Data],$DD288,82),0)</f>
        <v/>
      </c>
      <c r="CG288">
        <f>IFERROR(INDEX(PP_Grid[#Data],$DD288,83),0)</f>
        <v/>
      </c>
      <c r="CH288">
        <f>IFERROR(INDEX(PP_Grid[#Data],$DD288,84),0)</f>
        <v/>
      </c>
      <c r="CI288">
        <f>IFERROR(INDEX(PP_Grid[#Data],$DD288,85),0)</f>
        <v/>
      </c>
      <c r="CJ288">
        <f>IFERROR(INDEX(PP_Grid[#Data],$DD288,86),0)</f>
        <v/>
      </c>
      <c r="CK288">
        <f>IFERROR(INDEX(PP_Grid[#Data],$DD288,87),0)</f>
        <v/>
      </c>
      <c r="CL288">
        <f>IFERROR(INDEX(PP_Grid[#Data],$DD288,88),0)</f>
        <v/>
      </c>
      <c r="CM288">
        <f>IFERROR(INDEX(PP_Grid[#Data],$DD288,89),0)</f>
        <v/>
      </c>
      <c r="CN288">
        <f>IFERROR(INDEX(PP_Grid[#Data],$DD288,90),0)</f>
        <v/>
      </c>
      <c r="CO288">
        <f>IFERROR(INDEX(PP_Grid[#Data],$DD288,91),0)</f>
        <v/>
      </c>
      <c r="CP288">
        <f>IFERROR(INDEX(PP_Grid[#Data],$DD288,92),0)</f>
        <v/>
      </c>
      <c r="CQ288">
        <f>IFERROR(INDEX(PP_Grid[#Data],$DD288,93),0)</f>
        <v/>
      </c>
      <c r="CR288">
        <f>IFERROR(INDEX(PP_Grid[#Data],$DD288,94),0)</f>
        <v/>
      </c>
      <c r="CS288">
        <f>IFERROR(INDEX(PP_Grid[#Data],$DD288,95),0)</f>
        <v/>
      </c>
      <c r="CT288">
        <f>IFERROR(INDEX(PP_Grid[#Data],$DD288,96),0)</f>
        <v/>
      </c>
      <c r="CU288">
        <f>IFERROR(INDEX(PP_Grid[#Data],$DD288,97),0)</f>
        <v/>
      </c>
      <c r="CV288">
        <f>IFERROR(INDEX(PP_Grid[#Data],$DD288,98),0)</f>
        <v/>
      </c>
      <c r="CW288">
        <f>IFERROR(INDEX(PP_Grid[#Data],$DD288,99),0)</f>
        <v/>
      </c>
      <c r="CX288">
        <f>IFERROR(INDEX(PP_Grid[#Data],$DD288,100),0)</f>
        <v/>
      </c>
      <c r="CY288">
        <f>IFERROR(INDEX(PP_Grid[#Data],$DD288,101),0)</f>
        <v/>
      </c>
      <c r="CZ288">
        <f>IFERROR(INDEX(PP_Grid[#Data],$DD288,102),0)</f>
        <v/>
      </c>
      <c r="DA288">
        <f>IFERROR(INDEX(PP_Grid[#Data],$DD288,103),0)</f>
        <v/>
      </c>
      <c r="DB288">
        <f>IFERROR(INDEX(PP_Grid[#Data],$DD288,104),0)</f>
        <v/>
      </c>
      <c r="DC288">
        <f>IFERROR(INDEX(PP_Grid[#Data],$DD288,105),0)</f>
        <v/>
      </c>
      <c r="DD288" s="12">
        <f>IFERROR(MATCH($B288,PP_Grid[Intermediate],0),99999)</f>
        <v/>
      </c>
    </row>
    <row r="289">
      <c r="B289" t="inlineStr">
        <is>
          <t>使用量(kg)</t>
        </is>
      </c>
      <c r="C289">
        <f>SUMIFS(M_BOM[RM_Qty_Per_Batch],M_BOM[Intermediate],$B288,M_BOM[Part Name],$A279)</f>
        <v/>
      </c>
      <c r="D289">
        <f>$C289*D288</f>
        <v/>
      </c>
      <c r="E289">
        <f>$C289*E288</f>
        <v/>
      </c>
      <c r="F289">
        <f>$C289*F288</f>
        <v/>
      </c>
      <c r="G289">
        <f>$C289*G288</f>
        <v/>
      </c>
      <c r="H289">
        <f>$C289*H288</f>
        <v/>
      </c>
      <c r="I289">
        <f>$C289*I288</f>
        <v/>
      </c>
      <c r="J289">
        <f>$C289*J288</f>
        <v/>
      </c>
      <c r="K289">
        <f>$C289*K288</f>
        <v/>
      </c>
      <c r="L289">
        <f>$C289*L288</f>
        <v/>
      </c>
      <c r="M289">
        <f>$C289*M288</f>
        <v/>
      </c>
      <c r="N289">
        <f>$C289*N288</f>
        <v/>
      </c>
      <c r="O289">
        <f>$C289*O288</f>
        <v/>
      </c>
      <c r="P289">
        <f>$C289*P288</f>
        <v/>
      </c>
      <c r="Q289">
        <f>$C289*Q288</f>
        <v/>
      </c>
      <c r="R289">
        <f>$C289*R288</f>
        <v/>
      </c>
      <c r="S289">
        <f>$C289*S288</f>
        <v/>
      </c>
      <c r="T289">
        <f>$C289*T288</f>
        <v/>
      </c>
      <c r="U289">
        <f>$C289*U288</f>
        <v/>
      </c>
      <c r="V289">
        <f>$C289*V288</f>
        <v/>
      </c>
      <c r="W289">
        <f>$C289*W288</f>
        <v/>
      </c>
      <c r="X289">
        <f>$C289*X288</f>
        <v/>
      </c>
      <c r="Y289">
        <f>$C289*Y288</f>
        <v/>
      </c>
      <c r="Z289">
        <f>$C289*Z288</f>
        <v/>
      </c>
      <c r="AA289">
        <f>$C289*AA288</f>
        <v/>
      </c>
      <c r="AB289">
        <f>$C289*AB288</f>
        <v/>
      </c>
      <c r="AC289">
        <f>$C289*AC288</f>
        <v/>
      </c>
      <c r="AD289">
        <f>$C289*AD288</f>
        <v/>
      </c>
      <c r="AE289">
        <f>$C289*AE288</f>
        <v/>
      </c>
      <c r="AF289">
        <f>$C289*AF288</f>
        <v/>
      </c>
      <c r="AG289">
        <f>$C289*AG288</f>
        <v/>
      </c>
      <c r="AH289">
        <f>$C289*AH288</f>
        <v/>
      </c>
      <c r="AI289">
        <f>$C289*AI288</f>
        <v/>
      </c>
      <c r="AJ289">
        <f>$C289*AJ288</f>
        <v/>
      </c>
      <c r="AK289">
        <f>$C289*AK288</f>
        <v/>
      </c>
      <c r="AL289">
        <f>$C289*AL288</f>
        <v/>
      </c>
      <c r="AM289">
        <f>$C289*AM288</f>
        <v/>
      </c>
      <c r="AN289">
        <f>$C289*AN288</f>
        <v/>
      </c>
      <c r="AO289">
        <f>$C289*AO288</f>
        <v/>
      </c>
      <c r="AP289">
        <f>$C289*AP288</f>
        <v/>
      </c>
      <c r="AQ289">
        <f>$C289*AQ288</f>
        <v/>
      </c>
      <c r="AR289">
        <f>$C289*AR288</f>
        <v/>
      </c>
      <c r="AS289">
        <f>$C289*AS288</f>
        <v/>
      </c>
      <c r="AT289">
        <f>$C289*AT288</f>
        <v/>
      </c>
      <c r="AU289">
        <f>$C289*AU288</f>
        <v/>
      </c>
      <c r="AV289">
        <f>$C289*AV288</f>
        <v/>
      </c>
      <c r="AW289">
        <f>$C289*AW288</f>
        <v/>
      </c>
      <c r="AX289">
        <f>$C289*AX288</f>
        <v/>
      </c>
      <c r="AY289">
        <f>$C289*AY288</f>
        <v/>
      </c>
      <c r="AZ289">
        <f>$C289*AZ288</f>
        <v/>
      </c>
      <c r="BA289">
        <f>$C289*BA288</f>
        <v/>
      </c>
      <c r="BB289">
        <f>$C289*BB288</f>
        <v/>
      </c>
      <c r="BC289">
        <f>$C289*BC288</f>
        <v/>
      </c>
      <c r="BD289">
        <f>$C289*BD288</f>
        <v/>
      </c>
      <c r="BE289">
        <f>$C289*BE288</f>
        <v/>
      </c>
      <c r="BF289">
        <f>$C289*BF288</f>
        <v/>
      </c>
      <c r="BG289">
        <f>$C289*BG288</f>
        <v/>
      </c>
      <c r="BH289">
        <f>$C289*BH288</f>
        <v/>
      </c>
      <c r="BI289">
        <f>$C289*BI288</f>
        <v/>
      </c>
      <c r="BJ289">
        <f>$C289*BJ288</f>
        <v/>
      </c>
      <c r="BK289">
        <f>$C289*BK288</f>
        <v/>
      </c>
      <c r="BL289">
        <f>$C289*BL288</f>
        <v/>
      </c>
      <c r="BM289">
        <f>$C289*BM288</f>
        <v/>
      </c>
      <c r="BN289">
        <f>$C289*BN288</f>
        <v/>
      </c>
      <c r="BO289">
        <f>$C289*BO288</f>
        <v/>
      </c>
      <c r="BP289">
        <f>$C289*BP288</f>
        <v/>
      </c>
      <c r="BQ289">
        <f>$C289*BQ288</f>
        <v/>
      </c>
      <c r="BR289">
        <f>$C289*BR288</f>
        <v/>
      </c>
      <c r="BS289">
        <f>$C289*BS288</f>
        <v/>
      </c>
      <c r="BT289">
        <f>$C289*BT288</f>
        <v/>
      </c>
      <c r="BU289">
        <f>$C289*BU288</f>
        <v/>
      </c>
      <c r="BV289">
        <f>$C289*BV288</f>
        <v/>
      </c>
      <c r="BW289">
        <f>$C289*BW288</f>
        <v/>
      </c>
      <c r="BX289">
        <f>$C289*BX288</f>
        <v/>
      </c>
      <c r="BY289">
        <f>$C289*BY288</f>
        <v/>
      </c>
      <c r="BZ289">
        <f>$C289*BZ288</f>
        <v/>
      </c>
      <c r="CA289">
        <f>$C289*CA288</f>
        <v/>
      </c>
      <c r="CB289">
        <f>$C289*CB288</f>
        <v/>
      </c>
      <c r="CC289">
        <f>$C289*CC288</f>
        <v/>
      </c>
      <c r="CD289">
        <f>$C289*CD288</f>
        <v/>
      </c>
      <c r="CE289">
        <f>$C289*CE288</f>
        <v/>
      </c>
      <c r="CF289">
        <f>$C289*CF288</f>
        <v/>
      </c>
      <c r="CG289">
        <f>$C289*CG288</f>
        <v/>
      </c>
      <c r="CH289">
        <f>$C289*CH288</f>
        <v/>
      </c>
      <c r="CI289">
        <f>$C289*CI288</f>
        <v/>
      </c>
      <c r="CJ289">
        <f>$C289*CJ288</f>
        <v/>
      </c>
      <c r="CK289">
        <f>$C289*CK288</f>
        <v/>
      </c>
      <c r="CL289">
        <f>$C289*CL288</f>
        <v/>
      </c>
      <c r="CM289">
        <f>$C289*CM288</f>
        <v/>
      </c>
      <c r="CN289">
        <f>$C289*CN288</f>
        <v/>
      </c>
      <c r="CO289">
        <f>$C289*CO288</f>
        <v/>
      </c>
      <c r="CP289">
        <f>$C289*CP288</f>
        <v/>
      </c>
      <c r="CQ289">
        <f>$C289*CQ288</f>
        <v/>
      </c>
      <c r="CR289">
        <f>$C289*CR288</f>
        <v/>
      </c>
      <c r="CS289">
        <f>$C289*CS288</f>
        <v/>
      </c>
      <c r="CT289">
        <f>$C289*CT288</f>
        <v/>
      </c>
      <c r="CU289">
        <f>$C289*CU288</f>
        <v/>
      </c>
      <c r="CV289">
        <f>$C289*CV288</f>
        <v/>
      </c>
      <c r="CW289">
        <f>$C289*CW288</f>
        <v/>
      </c>
      <c r="CX289">
        <f>$C289*CX288</f>
        <v/>
      </c>
      <c r="CY289">
        <f>$C289*CY288</f>
        <v/>
      </c>
      <c r="CZ289">
        <f>$C289*CZ288</f>
        <v/>
      </c>
      <c r="DA289">
        <f>$C289*DA288</f>
        <v/>
      </c>
      <c r="DB289">
        <f>$C289*DB288</f>
        <v/>
      </c>
      <c r="DC289">
        <f>$C289*DC288</f>
        <v/>
      </c>
    </row>
    <row r="290">
      <c r="B290" t="inlineStr">
        <is>
          <t>TPP-917</t>
        </is>
      </c>
      <c r="C290" t="inlineStr">
        <is>
          <t>No. of batches</t>
        </is>
      </c>
      <c r="D290">
        <f>IFERROR(INDEX(PP_Grid[#Data],$DD290,2),0)</f>
        <v/>
      </c>
      <c r="E290">
        <f>IFERROR(INDEX(PP_Grid[#Data],$DD290,3),0)</f>
        <v/>
      </c>
      <c r="F290">
        <f>IFERROR(INDEX(PP_Grid[#Data],$DD290,4),0)</f>
        <v/>
      </c>
      <c r="G290">
        <f>IFERROR(INDEX(PP_Grid[#Data],$DD290,5),0)</f>
        <v/>
      </c>
      <c r="H290">
        <f>IFERROR(INDEX(PP_Grid[#Data],$DD290,6),0)</f>
        <v/>
      </c>
      <c r="I290">
        <f>IFERROR(INDEX(PP_Grid[#Data],$DD290,7),0)</f>
        <v/>
      </c>
      <c r="J290">
        <f>IFERROR(INDEX(PP_Grid[#Data],$DD290,8),0)</f>
        <v/>
      </c>
      <c r="K290">
        <f>IFERROR(INDEX(PP_Grid[#Data],$DD290,9),0)</f>
        <v/>
      </c>
      <c r="L290">
        <f>IFERROR(INDEX(PP_Grid[#Data],$DD290,10),0)</f>
        <v/>
      </c>
      <c r="M290">
        <f>IFERROR(INDEX(PP_Grid[#Data],$DD290,11),0)</f>
        <v/>
      </c>
      <c r="N290">
        <f>IFERROR(INDEX(PP_Grid[#Data],$DD290,12),0)</f>
        <v/>
      </c>
      <c r="O290">
        <f>IFERROR(INDEX(PP_Grid[#Data],$DD290,13),0)</f>
        <v/>
      </c>
      <c r="P290">
        <f>IFERROR(INDEX(PP_Grid[#Data],$DD290,14),0)</f>
        <v/>
      </c>
      <c r="Q290">
        <f>IFERROR(INDEX(PP_Grid[#Data],$DD290,15),0)</f>
        <v/>
      </c>
      <c r="R290">
        <f>IFERROR(INDEX(PP_Grid[#Data],$DD290,16),0)</f>
        <v/>
      </c>
      <c r="S290">
        <f>IFERROR(INDEX(PP_Grid[#Data],$DD290,17),0)</f>
        <v/>
      </c>
      <c r="T290">
        <f>IFERROR(INDEX(PP_Grid[#Data],$DD290,18),0)</f>
        <v/>
      </c>
      <c r="U290">
        <f>IFERROR(INDEX(PP_Grid[#Data],$DD290,19),0)</f>
        <v/>
      </c>
      <c r="V290">
        <f>IFERROR(INDEX(PP_Grid[#Data],$DD290,20),0)</f>
        <v/>
      </c>
      <c r="W290">
        <f>IFERROR(INDEX(PP_Grid[#Data],$DD290,21),0)</f>
        <v/>
      </c>
      <c r="X290">
        <f>IFERROR(INDEX(PP_Grid[#Data],$DD290,22),0)</f>
        <v/>
      </c>
      <c r="Y290">
        <f>IFERROR(INDEX(PP_Grid[#Data],$DD290,23),0)</f>
        <v/>
      </c>
      <c r="Z290">
        <f>IFERROR(INDEX(PP_Grid[#Data],$DD290,24),0)</f>
        <v/>
      </c>
      <c r="AA290">
        <f>IFERROR(INDEX(PP_Grid[#Data],$DD290,25),0)</f>
        <v/>
      </c>
      <c r="AB290">
        <f>IFERROR(INDEX(PP_Grid[#Data],$DD290,26),0)</f>
        <v/>
      </c>
      <c r="AC290">
        <f>IFERROR(INDEX(PP_Grid[#Data],$DD290,27),0)</f>
        <v/>
      </c>
      <c r="AD290">
        <f>IFERROR(INDEX(PP_Grid[#Data],$DD290,28),0)</f>
        <v/>
      </c>
      <c r="AE290">
        <f>IFERROR(INDEX(PP_Grid[#Data],$DD290,29),0)</f>
        <v/>
      </c>
      <c r="AF290">
        <f>IFERROR(INDEX(PP_Grid[#Data],$DD290,30),0)</f>
        <v/>
      </c>
      <c r="AG290">
        <f>IFERROR(INDEX(PP_Grid[#Data],$DD290,31),0)</f>
        <v/>
      </c>
      <c r="AH290">
        <f>IFERROR(INDEX(PP_Grid[#Data],$DD290,32),0)</f>
        <v/>
      </c>
      <c r="AI290">
        <f>IFERROR(INDEX(PP_Grid[#Data],$DD290,33),0)</f>
        <v/>
      </c>
      <c r="AJ290">
        <f>IFERROR(INDEX(PP_Grid[#Data],$DD290,34),0)</f>
        <v/>
      </c>
      <c r="AK290">
        <f>IFERROR(INDEX(PP_Grid[#Data],$DD290,35),0)</f>
        <v/>
      </c>
      <c r="AL290">
        <f>IFERROR(INDEX(PP_Grid[#Data],$DD290,36),0)</f>
        <v/>
      </c>
      <c r="AM290">
        <f>IFERROR(INDEX(PP_Grid[#Data],$DD290,37),0)</f>
        <v/>
      </c>
      <c r="AN290">
        <f>IFERROR(INDEX(PP_Grid[#Data],$DD290,38),0)</f>
        <v/>
      </c>
      <c r="AO290">
        <f>IFERROR(INDEX(PP_Grid[#Data],$DD290,39),0)</f>
        <v/>
      </c>
      <c r="AP290">
        <f>IFERROR(INDEX(PP_Grid[#Data],$DD290,40),0)</f>
        <v/>
      </c>
      <c r="AQ290">
        <f>IFERROR(INDEX(PP_Grid[#Data],$DD290,41),0)</f>
        <v/>
      </c>
      <c r="AR290">
        <f>IFERROR(INDEX(PP_Grid[#Data],$DD290,42),0)</f>
        <v/>
      </c>
      <c r="AS290">
        <f>IFERROR(INDEX(PP_Grid[#Data],$DD290,43),0)</f>
        <v/>
      </c>
      <c r="AT290">
        <f>IFERROR(INDEX(PP_Grid[#Data],$DD290,44),0)</f>
        <v/>
      </c>
      <c r="AU290">
        <f>IFERROR(INDEX(PP_Grid[#Data],$DD290,45),0)</f>
        <v/>
      </c>
      <c r="AV290">
        <f>IFERROR(INDEX(PP_Grid[#Data],$DD290,46),0)</f>
        <v/>
      </c>
      <c r="AW290">
        <f>IFERROR(INDEX(PP_Grid[#Data],$DD290,47),0)</f>
        <v/>
      </c>
      <c r="AX290">
        <f>IFERROR(INDEX(PP_Grid[#Data],$DD290,48),0)</f>
        <v/>
      </c>
      <c r="AY290">
        <f>IFERROR(INDEX(PP_Grid[#Data],$DD290,49),0)</f>
        <v/>
      </c>
      <c r="AZ290">
        <f>IFERROR(INDEX(PP_Grid[#Data],$DD290,50),0)</f>
        <v/>
      </c>
      <c r="BA290">
        <f>IFERROR(INDEX(PP_Grid[#Data],$DD290,51),0)</f>
        <v/>
      </c>
      <c r="BB290">
        <f>IFERROR(INDEX(PP_Grid[#Data],$DD290,52),0)</f>
        <v/>
      </c>
      <c r="BC290">
        <f>IFERROR(INDEX(PP_Grid[#Data],$DD290,53),0)</f>
        <v/>
      </c>
      <c r="BD290">
        <f>IFERROR(INDEX(PP_Grid[#Data],$DD290,54),0)</f>
        <v/>
      </c>
      <c r="BE290">
        <f>IFERROR(INDEX(PP_Grid[#Data],$DD290,55),0)</f>
        <v/>
      </c>
      <c r="BF290">
        <f>IFERROR(INDEX(PP_Grid[#Data],$DD290,56),0)</f>
        <v/>
      </c>
      <c r="BG290">
        <f>IFERROR(INDEX(PP_Grid[#Data],$DD290,57),0)</f>
        <v/>
      </c>
      <c r="BH290">
        <f>IFERROR(INDEX(PP_Grid[#Data],$DD290,58),0)</f>
        <v/>
      </c>
      <c r="BI290">
        <f>IFERROR(INDEX(PP_Grid[#Data],$DD290,59),0)</f>
        <v/>
      </c>
      <c r="BJ290">
        <f>IFERROR(INDEX(PP_Grid[#Data],$DD290,60),0)</f>
        <v/>
      </c>
      <c r="BK290">
        <f>IFERROR(INDEX(PP_Grid[#Data],$DD290,61),0)</f>
        <v/>
      </c>
      <c r="BL290">
        <f>IFERROR(INDEX(PP_Grid[#Data],$DD290,62),0)</f>
        <v/>
      </c>
      <c r="BM290">
        <f>IFERROR(INDEX(PP_Grid[#Data],$DD290,63),0)</f>
        <v/>
      </c>
      <c r="BN290">
        <f>IFERROR(INDEX(PP_Grid[#Data],$DD290,64),0)</f>
        <v/>
      </c>
      <c r="BO290">
        <f>IFERROR(INDEX(PP_Grid[#Data],$DD290,65),0)</f>
        <v/>
      </c>
      <c r="BP290">
        <f>IFERROR(INDEX(PP_Grid[#Data],$DD290,66),0)</f>
        <v/>
      </c>
      <c r="BQ290">
        <f>IFERROR(INDEX(PP_Grid[#Data],$DD290,67),0)</f>
        <v/>
      </c>
      <c r="BR290">
        <f>IFERROR(INDEX(PP_Grid[#Data],$DD290,68),0)</f>
        <v/>
      </c>
      <c r="BS290">
        <f>IFERROR(INDEX(PP_Grid[#Data],$DD290,69),0)</f>
        <v/>
      </c>
      <c r="BT290">
        <f>IFERROR(INDEX(PP_Grid[#Data],$DD290,70),0)</f>
        <v/>
      </c>
      <c r="BU290">
        <f>IFERROR(INDEX(PP_Grid[#Data],$DD290,71),0)</f>
        <v/>
      </c>
      <c r="BV290">
        <f>IFERROR(INDEX(PP_Grid[#Data],$DD290,72),0)</f>
        <v/>
      </c>
      <c r="BW290">
        <f>IFERROR(INDEX(PP_Grid[#Data],$DD290,73),0)</f>
        <v/>
      </c>
      <c r="BX290">
        <f>IFERROR(INDEX(PP_Grid[#Data],$DD290,74),0)</f>
        <v/>
      </c>
      <c r="BY290">
        <f>IFERROR(INDEX(PP_Grid[#Data],$DD290,75),0)</f>
        <v/>
      </c>
      <c r="BZ290">
        <f>IFERROR(INDEX(PP_Grid[#Data],$DD290,76),0)</f>
        <v/>
      </c>
      <c r="CA290">
        <f>IFERROR(INDEX(PP_Grid[#Data],$DD290,77),0)</f>
        <v/>
      </c>
      <c r="CB290">
        <f>IFERROR(INDEX(PP_Grid[#Data],$DD290,78),0)</f>
        <v/>
      </c>
      <c r="CC290">
        <f>IFERROR(INDEX(PP_Grid[#Data],$DD290,79),0)</f>
        <v/>
      </c>
      <c r="CD290">
        <f>IFERROR(INDEX(PP_Grid[#Data],$DD290,80),0)</f>
        <v/>
      </c>
      <c r="CE290">
        <f>IFERROR(INDEX(PP_Grid[#Data],$DD290,81),0)</f>
        <v/>
      </c>
      <c r="CF290">
        <f>IFERROR(INDEX(PP_Grid[#Data],$DD290,82),0)</f>
        <v/>
      </c>
      <c r="CG290">
        <f>IFERROR(INDEX(PP_Grid[#Data],$DD290,83),0)</f>
        <v/>
      </c>
      <c r="CH290">
        <f>IFERROR(INDEX(PP_Grid[#Data],$DD290,84),0)</f>
        <v/>
      </c>
      <c r="CI290">
        <f>IFERROR(INDEX(PP_Grid[#Data],$DD290,85),0)</f>
        <v/>
      </c>
      <c r="CJ290">
        <f>IFERROR(INDEX(PP_Grid[#Data],$DD290,86),0)</f>
        <v/>
      </c>
      <c r="CK290">
        <f>IFERROR(INDEX(PP_Grid[#Data],$DD290,87),0)</f>
        <v/>
      </c>
      <c r="CL290">
        <f>IFERROR(INDEX(PP_Grid[#Data],$DD290,88),0)</f>
        <v/>
      </c>
      <c r="CM290">
        <f>IFERROR(INDEX(PP_Grid[#Data],$DD290,89),0)</f>
        <v/>
      </c>
      <c r="CN290">
        <f>IFERROR(INDEX(PP_Grid[#Data],$DD290,90),0)</f>
        <v/>
      </c>
      <c r="CO290">
        <f>IFERROR(INDEX(PP_Grid[#Data],$DD290,91),0)</f>
        <v/>
      </c>
      <c r="CP290">
        <f>IFERROR(INDEX(PP_Grid[#Data],$DD290,92),0)</f>
        <v/>
      </c>
      <c r="CQ290">
        <f>IFERROR(INDEX(PP_Grid[#Data],$DD290,93),0)</f>
        <v/>
      </c>
      <c r="CR290">
        <f>IFERROR(INDEX(PP_Grid[#Data],$DD290,94),0)</f>
        <v/>
      </c>
      <c r="CS290">
        <f>IFERROR(INDEX(PP_Grid[#Data],$DD290,95),0)</f>
        <v/>
      </c>
      <c r="CT290">
        <f>IFERROR(INDEX(PP_Grid[#Data],$DD290,96),0)</f>
        <v/>
      </c>
      <c r="CU290">
        <f>IFERROR(INDEX(PP_Grid[#Data],$DD290,97),0)</f>
        <v/>
      </c>
      <c r="CV290">
        <f>IFERROR(INDEX(PP_Grid[#Data],$DD290,98),0)</f>
        <v/>
      </c>
      <c r="CW290">
        <f>IFERROR(INDEX(PP_Grid[#Data],$DD290,99),0)</f>
        <v/>
      </c>
      <c r="CX290">
        <f>IFERROR(INDEX(PP_Grid[#Data],$DD290,100),0)</f>
        <v/>
      </c>
      <c r="CY290">
        <f>IFERROR(INDEX(PP_Grid[#Data],$DD290,101),0)</f>
        <v/>
      </c>
      <c r="CZ290">
        <f>IFERROR(INDEX(PP_Grid[#Data],$DD290,102),0)</f>
        <v/>
      </c>
      <c r="DA290">
        <f>IFERROR(INDEX(PP_Grid[#Data],$DD290,103),0)</f>
        <v/>
      </c>
      <c r="DB290">
        <f>IFERROR(INDEX(PP_Grid[#Data],$DD290,104),0)</f>
        <v/>
      </c>
      <c r="DC290">
        <f>IFERROR(INDEX(PP_Grid[#Data],$DD290,105),0)</f>
        <v/>
      </c>
      <c r="DD290" s="12">
        <f>IFERROR(MATCH($B290,PP_Grid[Intermediate],0),99999)</f>
        <v/>
      </c>
    </row>
    <row r="291">
      <c r="B291" t="inlineStr">
        <is>
          <t>使用量(kg)</t>
        </is>
      </c>
      <c r="C291">
        <f>SUMIFS(M_BOM[RM_Qty_Per_Batch],M_BOM[Intermediate],$B290,M_BOM[Part Name],$A279)</f>
        <v/>
      </c>
      <c r="D291">
        <f>$C291*D290</f>
        <v/>
      </c>
      <c r="E291">
        <f>$C291*E290</f>
        <v/>
      </c>
      <c r="F291">
        <f>$C291*F290</f>
        <v/>
      </c>
      <c r="G291">
        <f>$C291*G290</f>
        <v/>
      </c>
      <c r="H291">
        <f>$C291*H290</f>
        <v/>
      </c>
      <c r="I291">
        <f>$C291*I290</f>
        <v/>
      </c>
      <c r="J291">
        <f>$C291*J290</f>
        <v/>
      </c>
      <c r="K291">
        <f>$C291*K290</f>
        <v/>
      </c>
      <c r="L291">
        <f>$C291*L290</f>
        <v/>
      </c>
      <c r="M291">
        <f>$C291*M290</f>
        <v/>
      </c>
      <c r="N291">
        <f>$C291*N290</f>
        <v/>
      </c>
      <c r="O291">
        <f>$C291*O290</f>
        <v/>
      </c>
      <c r="P291">
        <f>$C291*P290</f>
        <v/>
      </c>
      <c r="Q291">
        <f>$C291*Q290</f>
        <v/>
      </c>
      <c r="R291">
        <f>$C291*R290</f>
        <v/>
      </c>
      <c r="S291">
        <f>$C291*S290</f>
        <v/>
      </c>
      <c r="T291">
        <f>$C291*T290</f>
        <v/>
      </c>
      <c r="U291">
        <f>$C291*U290</f>
        <v/>
      </c>
      <c r="V291">
        <f>$C291*V290</f>
        <v/>
      </c>
      <c r="W291">
        <f>$C291*W290</f>
        <v/>
      </c>
      <c r="X291">
        <f>$C291*X290</f>
        <v/>
      </c>
      <c r="Y291">
        <f>$C291*Y290</f>
        <v/>
      </c>
      <c r="Z291">
        <f>$C291*Z290</f>
        <v/>
      </c>
      <c r="AA291">
        <f>$C291*AA290</f>
        <v/>
      </c>
      <c r="AB291">
        <f>$C291*AB290</f>
        <v/>
      </c>
      <c r="AC291">
        <f>$C291*AC290</f>
        <v/>
      </c>
      <c r="AD291">
        <f>$C291*AD290</f>
        <v/>
      </c>
      <c r="AE291">
        <f>$C291*AE290</f>
        <v/>
      </c>
      <c r="AF291">
        <f>$C291*AF290</f>
        <v/>
      </c>
      <c r="AG291">
        <f>$C291*AG290</f>
        <v/>
      </c>
      <c r="AH291">
        <f>$C291*AH290</f>
        <v/>
      </c>
      <c r="AI291">
        <f>$C291*AI290</f>
        <v/>
      </c>
      <c r="AJ291">
        <f>$C291*AJ290</f>
        <v/>
      </c>
      <c r="AK291">
        <f>$C291*AK290</f>
        <v/>
      </c>
      <c r="AL291">
        <f>$C291*AL290</f>
        <v/>
      </c>
      <c r="AM291">
        <f>$C291*AM290</f>
        <v/>
      </c>
      <c r="AN291">
        <f>$C291*AN290</f>
        <v/>
      </c>
      <c r="AO291">
        <f>$C291*AO290</f>
        <v/>
      </c>
      <c r="AP291">
        <f>$C291*AP290</f>
        <v/>
      </c>
      <c r="AQ291">
        <f>$C291*AQ290</f>
        <v/>
      </c>
      <c r="AR291">
        <f>$C291*AR290</f>
        <v/>
      </c>
      <c r="AS291">
        <f>$C291*AS290</f>
        <v/>
      </c>
      <c r="AT291">
        <f>$C291*AT290</f>
        <v/>
      </c>
      <c r="AU291">
        <f>$C291*AU290</f>
        <v/>
      </c>
      <c r="AV291">
        <f>$C291*AV290</f>
        <v/>
      </c>
      <c r="AW291">
        <f>$C291*AW290</f>
        <v/>
      </c>
      <c r="AX291">
        <f>$C291*AX290</f>
        <v/>
      </c>
      <c r="AY291">
        <f>$C291*AY290</f>
        <v/>
      </c>
      <c r="AZ291">
        <f>$C291*AZ290</f>
        <v/>
      </c>
      <c r="BA291">
        <f>$C291*BA290</f>
        <v/>
      </c>
      <c r="BB291">
        <f>$C291*BB290</f>
        <v/>
      </c>
      <c r="BC291">
        <f>$C291*BC290</f>
        <v/>
      </c>
      <c r="BD291">
        <f>$C291*BD290</f>
        <v/>
      </c>
      <c r="BE291">
        <f>$C291*BE290</f>
        <v/>
      </c>
      <c r="BF291">
        <f>$C291*BF290</f>
        <v/>
      </c>
      <c r="BG291">
        <f>$C291*BG290</f>
        <v/>
      </c>
      <c r="BH291">
        <f>$C291*BH290</f>
        <v/>
      </c>
      <c r="BI291">
        <f>$C291*BI290</f>
        <v/>
      </c>
      <c r="BJ291">
        <f>$C291*BJ290</f>
        <v/>
      </c>
      <c r="BK291">
        <f>$C291*BK290</f>
        <v/>
      </c>
      <c r="BL291">
        <f>$C291*BL290</f>
        <v/>
      </c>
      <c r="BM291">
        <f>$C291*BM290</f>
        <v/>
      </c>
      <c r="BN291">
        <f>$C291*BN290</f>
        <v/>
      </c>
      <c r="BO291">
        <f>$C291*BO290</f>
        <v/>
      </c>
      <c r="BP291">
        <f>$C291*BP290</f>
        <v/>
      </c>
      <c r="BQ291">
        <f>$C291*BQ290</f>
        <v/>
      </c>
      <c r="BR291">
        <f>$C291*BR290</f>
        <v/>
      </c>
      <c r="BS291">
        <f>$C291*BS290</f>
        <v/>
      </c>
      <c r="BT291">
        <f>$C291*BT290</f>
        <v/>
      </c>
      <c r="BU291">
        <f>$C291*BU290</f>
        <v/>
      </c>
      <c r="BV291">
        <f>$C291*BV290</f>
        <v/>
      </c>
      <c r="BW291">
        <f>$C291*BW290</f>
        <v/>
      </c>
      <c r="BX291">
        <f>$C291*BX290</f>
        <v/>
      </c>
      <c r="BY291">
        <f>$C291*BY290</f>
        <v/>
      </c>
      <c r="BZ291">
        <f>$C291*BZ290</f>
        <v/>
      </c>
      <c r="CA291">
        <f>$C291*CA290</f>
        <v/>
      </c>
      <c r="CB291">
        <f>$C291*CB290</f>
        <v/>
      </c>
      <c r="CC291">
        <f>$C291*CC290</f>
        <v/>
      </c>
      <c r="CD291">
        <f>$C291*CD290</f>
        <v/>
      </c>
      <c r="CE291">
        <f>$C291*CE290</f>
        <v/>
      </c>
      <c r="CF291">
        <f>$C291*CF290</f>
        <v/>
      </c>
      <c r="CG291">
        <f>$C291*CG290</f>
        <v/>
      </c>
      <c r="CH291">
        <f>$C291*CH290</f>
        <v/>
      </c>
      <c r="CI291">
        <f>$C291*CI290</f>
        <v/>
      </c>
      <c r="CJ291">
        <f>$C291*CJ290</f>
        <v/>
      </c>
      <c r="CK291">
        <f>$C291*CK290</f>
        <v/>
      </c>
      <c r="CL291">
        <f>$C291*CL290</f>
        <v/>
      </c>
      <c r="CM291">
        <f>$C291*CM290</f>
        <v/>
      </c>
      <c r="CN291">
        <f>$C291*CN290</f>
        <v/>
      </c>
      <c r="CO291">
        <f>$C291*CO290</f>
        <v/>
      </c>
      <c r="CP291">
        <f>$C291*CP290</f>
        <v/>
      </c>
      <c r="CQ291">
        <f>$C291*CQ290</f>
        <v/>
      </c>
      <c r="CR291">
        <f>$C291*CR290</f>
        <v/>
      </c>
      <c r="CS291">
        <f>$C291*CS290</f>
        <v/>
      </c>
      <c r="CT291">
        <f>$C291*CT290</f>
        <v/>
      </c>
      <c r="CU291">
        <f>$C291*CU290</f>
        <v/>
      </c>
      <c r="CV291">
        <f>$C291*CV290</f>
        <v/>
      </c>
      <c r="CW291">
        <f>$C291*CW290</f>
        <v/>
      </c>
      <c r="CX291">
        <f>$C291*CX290</f>
        <v/>
      </c>
      <c r="CY291">
        <f>$C291*CY290</f>
        <v/>
      </c>
      <c r="CZ291">
        <f>$C291*CZ290</f>
        <v/>
      </c>
      <c r="DA291">
        <f>$C291*DA290</f>
        <v/>
      </c>
      <c r="DB291">
        <f>$C291*DB290</f>
        <v/>
      </c>
      <c r="DC291">
        <f>$C291*DC290</f>
        <v/>
      </c>
    </row>
    <row r="292">
      <c r="B292" t="inlineStr">
        <is>
          <t>TPP-919</t>
        </is>
      </c>
      <c r="C292" t="inlineStr">
        <is>
          <t>No. of batches</t>
        </is>
      </c>
      <c r="D292">
        <f>IFERROR(INDEX(PP_Grid[#Data],$DD292,2),0)</f>
        <v/>
      </c>
      <c r="E292">
        <f>IFERROR(INDEX(PP_Grid[#Data],$DD292,3),0)</f>
        <v/>
      </c>
      <c r="F292">
        <f>IFERROR(INDEX(PP_Grid[#Data],$DD292,4),0)</f>
        <v/>
      </c>
      <c r="G292">
        <f>IFERROR(INDEX(PP_Grid[#Data],$DD292,5),0)</f>
        <v/>
      </c>
      <c r="H292">
        <f>IFERROR(INDEX(PP_Grid[#Data],$DD292,6),0)</f>
        <v/>
      </c>
      <c r="I292">
        <f>IFERROR(INDEX(PP_Grid[#Data],$DD292,7),0)</f>
        <v/>
      </c>
      <c r="J292">
        <f>IFERROR(INDEX(PP_Grid[#Data],$DD292,8),0)</f>
        <v/>
      </c>
      <c r="K292">
        <f>IFERROR(INDEX(PP_Grid[#Data],$DD292,9),0)</f>
        <v/>
      </c>
      <c r="L292">
        <f>IFERROR(INDEX(PP_Grid[#Data],$DD292,10),0)</f>
        <v/>
      </c>
      <c r="M292">
        <f>IFERROR(INDEX(PP_Grid[#Data],$DD292,11),0)</f>
        <v/>
      </c>
      <c r="N292">
        <f>IFERROR(INDEX(PP_Grid[#Data],$DD292,12),0)</f>
        <v/>
      </c>
      <c r="O292">
        <f>IFERROR(INDEX(PP_Grid[#Data],$DD292,13),0)</f>
        <v/>
      </c>
      <c r="P292">
        <f>IFERROR(INDEX(PP_Grid[#Data],$DD292,14),0)</f>
        <v/>
      </c>
      <c r="Q292">
        <f>IFERROR(INDEX(PP_Grid[#Data],$DD292,15),0)</f>
        <v/>
      </c>
      <c r="R292">
        <f>IFERROR(INDEX(PP_Grid[#Data],$DD292,16),0)</f>
        <v/>
      </c>
      <c r="S292">
        <f>IFERROR(INDEX(PP_Grid[#Data],$DD292,17),0)</f>
        <v/>
      </c>
      <c r="T292">
        <f>IFERROR(INDEX(PP_Grid[#Data],$DD292,18),0)</f>
        <v/>
      </c>
      <c r="U292">
        <f>IFERROR(INDEX(PP_Grid[#Data],$DD292,19),0)</f>
        <v/>
      </c>
      <c r="V292">
        <f>IFERROR(INDEX(PP_Grid[#Data],$DD292,20),0)</f>
        <v/>
      </c>
      <c r="W292">
        <f>IFERROR(INDEX(PP_Grid[#Data],$DD292,21),0)</f>
        <v/>
      </c>
      <c r="X292">
        <f>IFERROR(INDEX(PP_Grid[#Data],$DD292,22),0)</f>
        <v/>
      </c>
      <c r="Y292">
        <f>IFERROR(INDEX(PP_Grid[#Data],$DD292,23),0)</f>
        <v/>
      </c>
      <c r="Z292">
        <f>IFERROR(INDEX(PP_Grid[#Data],$DD292,24),0)</f>
        <v/>
      </c>
      <c r="AA292">
        <f>IFERROR(INDEX(PP_Grid[#Data],$DD292,25),0)</f>
        <v/>
      </c>
      <c r="AB292">
        <f>IFERROR(INDEX(PP_Grid[#Data],$DD292,26),0)</f>
        <v/>
      </c>
      <c r="AC292">
        <f>IFERROR(INDEX(PP_Grid[#Data],$DD292,27),0)</f>
        <v/>
      </c>
      <c r="AD292">
        <f>IFERROR(INDEX(PP_Grid[#Data],$DD292,28),0)</f>
        <v/>
      </c>
      <c r="AE292">
        <f>IFERROR(INDEX(PP_Grid[#Data],$DD292,29),0)</f>
        <v/>
      </c>
      <c r="AF292">
        <f>IFERROR(INDEX(PP_Grid[#Data],$DD292,30),0)</f>
        <v/>
      </c>
      <c r="AG292">
        <f>IFERROR(INDEX(PP_Grid[#Data],$DD292,31),0)</f>
        <v/>
      </c>
      <c r="AH292">
        <f>IFERROR(INDEX(PP_Grid[#Data],$DD292,32),0)</f>
        <v/>
      </c>
      <c r="AI292">
        <f>IFERROR(INDEX(PP_Grid[#Data],$DD292,33),0)</f>
        <v/>
      </c>
      <c r="AJ292">
        <f>IFERROR(INDEX(PP_Grid[#Data],$DD292,34),0)</f>
        <v/>
      </c>
      <c r="AK292">
        <f>IFERROR(INDEX(PP_Grid[#Data],$DD292,35),0)</f>
        <v/>
      </c>
      <c r="AL292">
        <f>IFERROR(INDEX(PP_Grid[#Data],$DD292,36),0)</f>
        <v/>
      </c>
      <c r="AM292">
        <f>IFERROR(INDEX(PP_Grid[#Data],$DD292,37),0)</f>
        <v/>
      </c>
      <c r="AN292">
        <f>IFERROR(INDEX(PP_Grid[#Data],$DD292,38),0)</f>
        <v/>
      </c>
      <c r="AO292">
        <f>IFERROR(INDEX(PP_Grid[#Data],$DD292,39),0)</f>
        <v/>
      </c>
      <c r="AP292">
        <f>IFERROR(INDEX(PP_Grid[#Data],$DD292,40),0)</f>
        <v/>
      </c>
      <c r="AQ292">
        <f>IFERROR(INDEX(PP_Grid[#Data],$DD292,41),0)</f>
        <v/>
      </c>
      <c r="AR292">
        <f>IFERROR(INDEX(PP_Grid[#Data],$DD292,42),0)</f>
        <v/>
      </c>
      <c r="AS292">
        <f>IFERROR(INDEX(PP_Grid[#Data],$DD292,43),0)</f>
        <v/>
      </c>
      <c r="AT292">
        <f>IFERROR(INDEX(PP_Grid[#Data],$DD292,44),0)</f>
        <v/>
      </c>
      <c r="AU292">
        <f>IFERROR(INDEX(PP_Grid[#Data],$DD292,45),0)</f>
        <v/>
      </c>
      <c r="AV292">
        <f>IFERROR(INDEX(PP_Grid[#Data],$DD292,46),0)</f>
        <v/>
      </c>
      <c r="AW292">
        <f>IFERROR(INDEX(PP_Grid[#Data],$DD292,47),0)</f>
        <v/>
      </c>
      <c r="AX292">
        <f>IFERROR(INDEX(PP_Grid[#Data],$DD292,48),0)</f>
        <v/>
      </c>
      <c r="AY292">
        <f>IFERROR(INDEX(PP_Grid[#Data],$DD292,49),0)</f>
        <v/>
      </c>
      <c r="AZ292">
        <f>IFERROR(INDEX(PP_Grid[#Data],$DD292,50),0)</f>
        <v/>
      </c>
      <c r="BA292">
        <f>IFERROR(INDEX(PP_Grid[#Data],$DD292,51),0)</f>
        <v/>
      </c>
      <c r="BB292">
        <f>IFERROR(INDEX(PP_Grid[#Data],$DD292,52),0)</f>
        <v/>
      </c>
      <c r="BC292">
        <f>IFERROR(INDEX(PP_Grid[#Data],$DD292,53),0)</f>
        <v/>
      </c>
      <c r="BD292">
        <f>IFERROR(INDEX(PP_Grid[#Data],$DD292,54),0)</f>
        <v/>
      </c>
      <c r="BE292">
        <f>IFERROR(INDEX(PP_Grid[#Data],$DD292,55),0)</f>
        <v/>
      </c>
      <c r="BF292">
        <f>IFERROR(INDEX(PP_Grid[#Data],$DD292,56),0)</f>
        <v/>
      </c>
      <c r="BG292">
        <f>IFERROR(INDEX(PP_Grid[#Data],$DD292,57),0)</f>
        <v/>
      </c>
      <c r="BH292">
        <f>IFERROR(INDEX(PP_Grid[#Data],$DD292,58),0)</f>
        <v/>
      </c>
      <c r="BI292">
        <f>IFERROR(INDEX(PP_Grid[#Data],$DD292,59),0)</f>
        <v/>
      </c>
      <c r="BJ292">
        <f>IFERROR(INDEX(PP_Grid[#Data],$DD292,60),0)</f>
        <v/>
      </c>
      <c r="BK292">
        <f>IFERROR(INDEX(PP_Grid[#Data],$DD292,61),0)</f>
        <v/>
      </c>
      <c r="BL292">
        <f>IFERROR(INDEX(PP_Grid[#Data],$DD292,62),0)</f>
        <v/>
      </c>
      <c r="BM292">
        <f>IFERROR(INDEX(PP_Grid[#Data],$DD292,63),0)</f>
        <v/>
      </c>
      <c r="BN292">
        <f>IFERROR(INDEX(PP_Grid[#Data],$DD292,64),0)</f>
        <v/>
      </c>
      <c r="BO292">
        <f>IFERROR(INDEX(PP_Grid[#Data],$DD292,65),0)</f>
        <v/>
      </c>
      <c r="BP292">
        <f>IFERROR(INDEX(PP_Grid[#Data],$DD292,66),0)</f>
        <v/>
      </c>
      <c r="BQ292">
        <f>IFERROR(INDEX(PP_Grid[#Data],$DD292,67),0)</f>
        <v/>
      </c>
      <c r="BR292">
        <f>IFERROR(INDEX(PP_Grid[#Data],$DD292,68),0)</f>
        <v/>
      </c>
      <c r="BS292">
        <f>IFERROR(INDEX(PP_Grid[#Data],$DD292,69),0)</f>
        <v/>
      </c>
      <c r="BT292">
        <f>IFERROR(INDEX(PP_Grid[#Data],$DD292,70),0)</f>
        <v/>
      </c>
      <c r="BU292">
        <f>IFERROR(INDEX(PP_Grid[#Data],$DD292,71),0)</f>
        <v/>
      </c>
      <c r="BV292">
        <f>IFERROR(INDEX(PP_Grid[#Data],$DD292,72),0)</f>
        <v/>
      </c>
      <c r="BW292">
        <f>IFERROR(INDEX(PP_Grid[#Data],$DD292,73),0)</f>
        <v/>
      </c>
      <c r="BX292">
        <f>IFERROR(INDEX(PP_Grid[#Data],$DD292,74),0)</f>
        <v/>
      </c>
      <c r="BY292">
        <f>IFERROR(INDEX(PP_Grid[#Data],$DD292,75),0)</f>
        <v/>
      </c>
      <c r="BZ292">
        <f>IFERROR(INDEX(PP_Grid[#Data],$DD292,76),0)</f>
        <v/>
      </c>
      <c r="CA292">
        <f>IFERROR(INDEX(PP_Grid[#Data],$DD292,77),0)</f>
        <v/>
      </c>
      <c r="CB292">
        <f>IFERROR(INDEX(PP_Grid[#Data],$DD292,78),0)</f>
        <v/>
      </c>
      <c r="CC292">
        <f>IFERROR(INDEX(PP_Grid[#Data],$DD292,79),0)</f>
        <v/>
      </c>
      <c r="CD292">
        <f>IFERROR(INDEX(PP_Grid[#Data],$DD292,80),0)</f>
        <v/>
      </c>
      <c r="CE292">
        <f>IFERROR(INDEX(PP_Grid[#Data],$DD292,81),0)</f>
        <v/>
      </c>
      <c r="CF292">
        <f>IFERROR(INDEX(PP_Grid[#Data],$DD292,82),0)</f>
        <v/>
      </c>
      <c r="CG292">
        <f>IFERROR(INDEX(PP_Grid[#Data],$DD292,83),0)</f>
        <v/>
      </c>
      <c r="CH292">
        <f>IFERROR(INDEX(PP_Grid[#Data],$DD292,84),0)</f>
        <v/>
      </c>
      <c r="CI292">
        <f>IFERROR(INDEX(PP_Grid[#Data],$DD292,85),0)</f>
        <v/>
      </c>
      <c r="CJ292">
        <f>IFERROR(INDEX(PP_Grid[#Data],$DD292,86),0)</f>
        <v/>
      </c>
      <c r="CK292">
        <f>IFERROR(INDEX(PP_Grid[#Data],$DD292,87),0)</f>
        <v/>
      </c>
      <c r="CL292">
        <f>IFERROR(INDEX(PP_Grid[#Data],$DD292,88),0)</f>
        <v/>
      </c>
      <c r="CM292">
        <f>IFERROR(INDEX(PP_Grid[#Data],$DD292,89),0)</f>
        <v/>
      </c>
      <c r="CN292">
        <f>IFERROR(INDEX(PP_Grid[#Data],$DD292,90),0)</f>
        <v/>
      </c>
      <c r="CO292">
        <f>IFERROR(INDEX(PP_Grid[#Data],$DD292,91),0)</f>
        <v/>
      </c>
      <c r="CP292">
        <f>IFERROR(INDEX(PP_Grid[#Data],$DD292,92),0)</f>
        <v/>
      </c>
      <c r="CQ292">
        <f>IFERROR(INDEX(PP_Grid[#Data],$DD292,93),0)</f>
        <v/>
      </c>
      <c r="CR292">
        <f>IFERROR(INDEX(PP_Grid[#Data],$DD292,94),0)</f>
        <v/>
      </c>
      <c r="CS292">
        <f>IFERROR(INDEX(PP_Grid[#Data],$DD292,95),0)</f>
        <v/>
      </c>
      <c r="CT292">
        <f>IFERROR(INDEX(PP_Grid[#Data],$DD292,96),0)</f>
        <v/>
      </c>
      <c r="CU292">
        <f>IFERROR(INDEX(PP_Grid[#Data],$DD292,97),0)</f>
        <v/>
      </c>
      <c r="CV292">
        <f>IFERROR(INDEX(PP_Grid[#Data],$DD292,98),0)</f>
        <v/>
      </c>
      <c r="CW292">
        <f>IFERROR(INDEX(PP_Grid[#Data],$DD292,99),0)</f>
        <v/>
      </c>
      <c r="CX292">
        <f>IFERROR(INDEX(PP_Grid[#Data],$DD292,100),0)</f>
        <v/>
      </c>
      <c r="CY292">
        <f>IFERROR(INDEX(PP_Grid[#Data],$DD292,101),0)</f>
        <v/>
      </c>
      <c r="CZ292">
        <f>IFERROR(INDEX(PP_Grid[#Data],$DD292,102),0)</f>
        <v/>
      </c>
      <c r="DA292">
        <f>IFERROR(INDEX(PP_Grid[#Data],$DD292,103),0)</f>
        <v/>
      </c>
      <c r="DB292">
        <f>IFERROR(INDEX(PP_Grid[#Data],$DD292,104),0)</f>
        <v/>
      </c>
      <c r="DC292">
        <f>IFERROR(INDEX(PP_Grid[#Data],$DD292,105),0)</f>
        <v/>
      </c>
      <c r="DD292" s="12">
        <f>IFERROR(MATCH($B292,PP_Grid[Intermediate],0),99999)</f>
        <v/>
      </c>
    </row>
    <row r="293">
      <c r="B293" t="inlineStr">
        <is>
          <t>使用量(kg)</t>
        </is>
      </c>
      <c r="C293">
        <f>SUMIFS(M_BOM[RM_Qty_Per_Batch],M_BOM[Intermediate],$B292,M_BOM[Part Name],$A279)</f>
        <v/>
      </c>
      <c r="D293">
        <f>$C293*D292</f>
        <v/>
      </c>
      <c r="E293">
        <f>$C293*E292</f>
        <v/>
      </c>
      <c r="F293">
        <f>$C293*F292</f>
        <v/>
      </c>
      <c r="G293">
        <f>$C293*G292</f>
        <v/>
      </c>
      <c r="H293">
        <f>$C293*H292</f>
        <v/>
      </c>
      <c r="I293">
        <f>$C293*I292</f>
        <v/>
      </c>
      <c r="J293">
        <f>$C293*J292</f>
        <v/>
      </c>
      <c r="K293">
        <f>$C293*K292</f>
        <v/>
      </c>
      <c r="L293">
        <f>$C293*L292</f>
        <v/>
      </c>
      <c r="M293">
        <f>$C293*M292</f>
        <v/>
      </c>
      <c r="N293">
        <f>$C293*N292</f>
        <v/>
      </c>
      <c r="O293">
        <f>$C293*O292</f>
        <v/>
      </c>
      <c r="P293">
        <f>$C293*P292</f>
        <v/>
      </c>
      <c r="Q293">
        <f>$C293*Q292</f>
        <v/>
      </c>
      <c r="R293">
        <f>$C293*R292</f>
        <v/>
      </c>
      <c r="S293">
        <f>$C293*S292</f>
        <v/>
      </c>
      <c r="T293">
        <f>$C293*T292</f>
        <v/>
      </c>
      <c r="U293">
        <f>$C293*U292</f>
        <v/>
      </c>
      <c r="V293">
        <f>$C293*V292</f>
        <v/>
      </c>
      <c r="W293">
        <f>$C293*W292</f>
        <v/>
      </c>
      <c r="X293">
        <f>$C293*X292</f>
        <v/>
      </c>
      <c r="Y293">
        <f>$C293*Y292</f>
        <v/>
      </c>
      <c r="Z293">
        <f>$C293*Z292</f>
        <v/>
      </c>
      <c r="AA293">
        <f>$C293*AA292</f>
        <v/>
      </c>
      <c r="AB293">
        <f>$C293*AB292</f>
        <v/>
      </c>
      <c r="AC293">
        <f>$C293*AC292</f>
        <v/>
      </c>
      <c r="AD293">
        <f>$C293*AD292</f>
        <v/>
      </c>
      <c r="AE293">
        <f>$C293*AE292</f>
        <v/>
      </c>
      <c r="AF293">
        <f>$C293*AF292</f>
        <v/>
      </c>
      <c r="AG293">
        <f>$C293*AG292</f>
        <v/>
      </c>
      <c r="AH293">
        <f>$C293*AH292</f>
        <v/>
      </c>
      <c r="AI293">
        <f>$C293*AI292</f>
        <v/>
      </c>
      <c r="AJ293">
        <f>$C293*AJ292</f>
        <v/>
      </c>
      <c r="AK293">
        <f>$C293*AK292</f>
        <v/>
      </c>
      <c r="AL293">
        <f>$C293*AL292</f>
        <v/>
      </c>
      <c r="AM293">
        <f>$C293*AM292</f>
        <v/>
      </c>
      <c r="AN293">
        <f>$C293*AN292</f>
        <v/>
      </c>
      <c r="AO293">
        <f>$C293*AO292</f>
        <v/>
      </c>
      <c r="AP293">
        <f>$C293*AP292</f>
        <v/>
      </c>
      <c r="AQ293">
        <f>$C293*AQ292</f>
        <v/>
      </c>
      <c r="AR293">
        <f>$C293*AR292</f>
        <v/>
      </c>
      <c r="AS293">
        <f>$C293*AS292</f>
        <v/>
      </c>
      <c r="AT293">
        <f>$C293*AT292</f>
        <v/>
      </c>
      <c r="AU293">
        <f>$C293*AU292</f>
        <v/>
      </c>
      <c r="AV293">
        <f>$C293*AV292</f>
        <v/>
      </c>
      <c r="AW293">
        <f>$C293*AW292</f>
        <v/>
      </c>
      <c r="AX293">
        <f>$C293*AX292</f>
        <v/>
      </c>
      <c r="AY293">
        <f>$C293*AY292</f>
        <v/>
      </c>
      <c r="AZ293">
        <f>$C293*AZ292</f>
        <v/>
      </c>
      <c r="BA293">
        <f>$C293*BA292</f>
        <v/>
      </c>
      <c r="BB293">
        <f>$C293*BB292</f>
        <v/>
      </c>
      <c r="BC293">
        <f>$C293*BC292</f>
        <v/>
      </c>
      <c r="BD293">
        <f>$C293*BD292</f>
        <v/>
      </c>
      <c r="BE293">
        <f>$C293*BE292</f>
        <v/>
      </c>
      <c r="BF293">
        <f>$C293*BF292</f>
        <v/>
      </c>
      <c r="BG293">
        <f>$C293*BG292</f>
        <v/>
      </c>
      <c r="BH293">
        <f>$C293*BH292</f>
        <v/>
      </c>
      <c r="BI293">
        <f>$C293*BI292</f>
        <v/>
      </c>
      <c r="BJ293">
        <f>$C293*BJ292</f>
        <v/>
      </c>
      <c r="BK293">
        <f>$C293*BK292</f>
        <v/>
      </c>
      <c r="BL293">
        <f>$C293*BL292</f>
        <v/>
      </c>
      <c r="BM293">
        <f>$C293*BM292</f>
        <v/>
      </c>
      <c r="BN293">
        <f>$C293*BN292</f>
        <v/>
      </c>
      <c r="BO293">
        <f>$C293*BO292</f>
        <v/>
      </c>
      <c r="BP293">
        <f>$C293*BP292</f>
        <v/>
      </c>
      <c r="BQ293">
        <f>$C293*BQ292</f>
        <v/>
      </c>
      <c r="BR293">
        <f>$C293*BR292</f>
        <v/>
      </c>
      <c r="BS293">
        <f>$C293*BS292</f>
        <v/>
      </c>
      <c r="BT293">
        <f>$C293*BT292</f>
        <v/>
      </c>
      <c r="BU293">
        <f>$C293*BU292</f>
        <v/>
      </c>
      <c r="BV293">
        <f>$C293*BV292</f>
        <v/>
      </c>
      <c r="BW293">
        <f>$C293*BW292</f>
        <v/>
      </c>
      <c r="BX293">
        <f>$C293*BX292</f>
        <v/>
      </c>
      <c r="BY293">
        <f>$C293*BY292</f>
        <v/>
      </c>
      <c r="BZ293">
        <f>$C293*BZ292</f>
        <v/>
      </c>
      <c r="CA293">
        <f>$C293*CA292</f>
        <v/>
      </c>
      <c r="CB293">
        <f>$C293*CB292</f>
        <v/>
      </c>
      <c r="CC293">
        <f>$C293*CC292</f>
        <v/>
      </c>
      <c r="CD293">
        <f>$C293*CD292</f>
        <v/>
      </c>
      <c r="CE293">
        <f>$C293*CE292</f>
        <v/>
      </c>
      <c r="CF293">
        <f>$C293*CF292</f>
        <v/>
      </c>
      <c r="CG293">
        <f>$C293*CG292</f>
        <v/>
      </c>
      <c r="CH293">
        <f>$C293*CH292</f>
        <v/>
      </c>
      <c r="CI293">
        <f>$C293*CI292</f>
        <v/>
      </c>
      <c r="CJ293">
        <f>$C293*CJ292</f>
        <v/>
      </c>
      <c r="CK293">
        <f>$C293*CK292</f>
        <v/>
      </c>
      <c r="CL293">
        <f>$C293*CL292</f>
        <v/>
      </c>
      <c r="CM293">
        <f>$C293*CM292</f>
        <v/>
      </c>
      <c r="CN293">
        <f>$C293*CN292</f>
        <v/>
      </c>
      <c r="CO293">
        <f>$C293*CO292</f>
        <v/>
      </c>
      <c r="CP293">
        <f>$C293*CP292</f>
        <v/>
      </c>
      <c r="CQ293">
        <f>$C293*CQ292</f>
        <v/>
      </c>
      <c r="CR293">
        <f>$C293*CR292</f>
        <v/>
      </c>
      <c r="CS293">
        <f>$C293*CS292</f>
        <v/>
      </c>
      <c r="CT293">
        <f>$C293*CT292</f>
        <v/>
      </c>
      <c r="CU293">
        <f>$C293*CU292</f>
        <v/>
      </c>
      <c r="CV293">
        <f>$C293*CV292</f>
        <v/>
      </c>
      <c r="CW293">
        <f>$C293*CW292</f>
        <v/>
      </c>
      <c r="CX293">
        <f>$C293*CX292</f>
        <v/>
      </c>
      <c r="CY293">
        <f>$C293*CY292</f>
        <v/>
      </c>
      <c r="CZ293">
        <f>$C293*CZ292</f>
        <v/>
      </c>
      <c r="DA293">
        <f>$C293*DA292</f>
        <v/>
      </c>
      <c r="DB293">
        <f>$C293*DB292</f>
        <v/>
      </c>
      <c r="DC293">
        <f>$C293*DC292</f>
        <v/>
      </c>
    </row>
    <row r="294">
      <c r="B294" t="inlineStr">
        <is>
          <t>TPP-920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12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Name],$A279)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TPP-922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Name],$A279)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TPP-923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Name],$A279)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TSP-620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Name],$A279)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TSP-623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Name],$A279)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TSP-927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12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Name],$A279)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TSP-928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12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Name],$A279)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TSP-929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12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Name],$A279)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TSP-930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12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Name],$A279)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TSP-934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12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Name],$A279)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TSP-935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12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Name],$A279)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t="inlineStr">
        <is>
          <t>TSP-936</t>
        </is>
      </c>
      <c r="C316" t="inlineStr">
        <is>
          <t>No. of batches</t>
        </is>
      </c>
      <c r="D316">
        <f>IFERROR(INDEX(PP_Grid[#Data],$DD316,2),0)</f>
        <v/>
      </c>
      <c r="E316">
        <f>IFERROR(INDEX(PP_Grid[#Data],$DD316,3),0)</f>
        <v/>
      </c>
      <c r="F316">
        <f>IFERROR(INDEX(PP_Grid[#Data],$DD316,4),0)</f>
        <v/>
      </c>
      <c r="G316">
        <f>IFERROR(INDEX(PP_Grid[#Data],$DD316,5),0)</f>
        <v/>
      </c>
      <c r="H316">
        <f>IFERROR(INDEX(PP_Grid[#Data],$DD316,6),0)</f>
        <v/>
      </c>
      <c r="I316">
        <f>IFERROR(INDEX(PP_Grid[#Data],$DD316,7),0)</f>
        <v/>
      </c>
      <c r="J316">
        <f>IFERROR(INDEX(PP_Grid[#Data],$DD316,8),0)</f>
        <v/>
      </c>
      <c r="K316">
        <f>IFERROR(INDEX(PP_Grid[#Data],$DD316,9),0)</f>
        <v/>
      </c>
      <c r="L316">
        <f>IFERROR(INDEX(PP_Grid[#Data],$DD316,10),0)</f>
        <v/>
      </c>
      <c r="M316">
        <f>IFERROR(INDEX(PP_Grid[#Data],$DD316,11),0)</f>
        <v/>
      </c>
      <c r="N316">
        <f>IFERROR(INDEX(PP_Grid[#Data],$DD316,12),0)</f>
        <v/>
      </c>
      <c r="O316">
        <f>IFERROR(INDEX(PP_Grid[#Data],$DD316,13),0)</f>
        <v/>
      </c>
      <c r="P316">
        <f>IFERROR(INDEX(PP_Grid[#Data],$DD316,14),0)</f>
        <v/>
      </c>
      <c r="Q316">
        <f>IFERROR(INDEX(PP_Grid[#Data],$DD316,15),0)</f>
        <v/>
      </c>
      <c r="R316">
        <f>IFERROR(INDEX(PP_Grid[#Data],$DD316,16),0)</f>
        <v/>
      </c>
      <c r="S316">
        <f>IFERROR(INDEX(PP_Grid[#Data],$DD316,17),0)</f>
        <v/>
      </c>
      <c r="T316">
        <f>IFERROR(INDEX(PP_Grid[#Data],$DD316,18),0)</f>
        <v/>
      </c>
      <c r="U316">
        <f>IFERROR(INDEX(PP_Grid[#Data],$DD316,19),0)</f>
        <v/>
      </c>
      <c r="V316">
        <f>IFERROR(INDEX(PP_Grid[#Data],$DD316,20),0)</f>
        <v/>
      </c>
      <c r="W316">
        <f>IFERROR(INDEX(PP_Grid[#Data],$DD316,21),0)</f>
        <v/>
      </c>
      <c r="X316">
        <f>IFERROR(INDEX(PP_Grid[#Data],$DD316,22),0)</f>
        <v/>
      </c>
      <c r="Y316">
        <f>IFERROR(INDEX(PP_Grid[#Data],$DD316,23),0)</f>
        <v/>
      </c>
      <c r="Z316">
        <f>IFERROR(INDEX(PP_Grid[#Data],$DD316,24),0)</f>
        <v/>
      </c>
      <c r="AA316">
        <f>IFERROR(INDEX(PP_Grid[#Data],$DD316,25),0)</f>
        <v/>
      </c>
      <c r="AB316">
        <f>IFERROR(INDEX(PP_Grid[#Data],$DD316,26),0)</f>
        <v/>
      </c>
      <c r="AC316">
        <f>IFERROR(INDEX(PP_Grid[#Data],$DD316,27),0)</f>
        <v/>
      </c>
      <c r="AD316">
        <f>IFERROR(INDEX(PP_Grid[#Data],$DD316,28),0)</f>
        <v/>
      </c>
      <c r="AE316">
        <f>IFERROR(INDEX(PP_Grid[#Data],$DD316,29),0)</f>
        <v/>
      </c>
      <c r="AF316">
        <f>IFERROR(INDEX(PP_Grid[#Data],$DD316,30),0)</f>
        <v/>
      </c>
      <c r="AG316">
        <f>IFERROR(INDEX(PP_Grid[#Data],$DD316,31),0)</f>
        <v/>
      </c>
      <c r="AH316">
        <f>IFERROR(INDEX(PP_Grid[#Data],$DD316,32),0)</f>
        <v/>
      </c>
      <c r="AI316">
        <f>IFERROR(INDEX(PP_Grid[#Data],$DD316,33),0)</f>
        <v/>
      </c>
      <c r="AJ316">
        <f>IFERROR(INDEX(PP_Grid[#Data],$DD316,34),0)</f>
        <v/>
      </c>
      <c r="AK316">
        <f>IFERROR(INDEX(PP_Grid[#Data],$DD316,35),0)</f>
        <v/>
      </c>
      <c r="AL316">
        <f>IFERROR(INDEX(PP_Grid[#Data],$DD316,36),0)</f>
        <v/>
      </c>
      <c r="AM316">
        <f>IFERROR(INDEX(PP_Grid[#Data],$DD316,37),0)</f>
        <v/>
      </c>
      <c r="AN316">
        <f>IFERROR(INDEX(PP_Grid[#Data],$DD316,38),0)</f>
        <v/>
      </c>
      <c r="AO316">
        <f>IFERROR(INDEX(PP_Grid[#Data],$DD316,39),0)</f>
        <v/>
      </c>
      <c r="AP316">
        <f>IFERROR(INDEX(PP_Grid[#Data],$DD316,40),0)</f>
        <v/>
      </c>
      <c r="AQ316">
        <f>IFERROR(INDEX(PP_Grid[#Data],$DD316,41),0)</f>
        <v/>
      </c>
      <c r="AR316">
        <f>IFERROR(INDEX(PP_Grid[#Data],$DD316,42),0)</f>
        <v/>
      </c>
      <c r="AS316">
        <f>IFERROR(INDEX(PP_Grid[#Data],$DD316,43),0)</f>
        <v/>
      </c>
      <c r="AT316">
        <f>IFERROR(INDEX(PP_Grid[#Data],$DD316,44),0)</f>
        <v/>
      </c>
      <c r="AU316">
        <f>IFERROR(INDEX(PP_Grid[#Data],$DD316,45),0)</f>
        <v/>
      </c>
      <c r="AV316">
        <f>IFERROR(INDEX(PP_Grid[#Data],$DD316,46),0)</f>
        <v/>
      </c>
      <c r="AW316">
        <f>IFERROR(INDEX(PP_Grid[#Data],$DD316,47),0)</f>
        <v/>
      </c>
      <c r="AX316">
        <f>IFERROR(INDEX(PP_Grid[#Data],$DD316,48),0)</f>
        <v/>
      </c>
      <c r="AY316">
        <f>IFERROR(INDEX(PP_Grid[#Data],$DD316,49),0)</f>
        <v/>
      </c>
      <c r="AZ316">
        <f>IFERROR(INDEX(PP_Grid[#Data],$DD316,50),0)</f>
        <v/>
      </c>
      <c r="BA316">
        <f>IFERROR(INDEX(PP_Grid[#Data],$DD316,51),0)</f>
        <v/>
      </c>
      <c r="BB316">
        <f>IFERROR(INDEX(PP_Grid[#Data],$DD316,52),0)</f>
        <v/>
      </c>
      <c r="BC316">
        <f>IFERROR(INDEX(PP_Grid[#Data],$DD316,53),0)</f>
        <v/>
      </c>
      <c r="BD316">
        <f>IFERROR(INDEX(PP_Grid[#Data],$DD316,54),0)</f>
        <v/>
      </c>
      <c r="BE316">
        <f>IFERROR(INDEX(PP_Grid[#Data],$DD316,55),0)</f>
        <v/>
      </c>
      <c r="BF316">
        <f>IFERROR(INDEX(PP_Grid[#Data],$DD316,56),0)</f>
        <v/>
      </c>
      <c r="BG316">
        <f>IFERROR(INDEX(PP_Grid[#Data],$DD316,57),0)</f>
        <v/>
      </c>
      <c r="BH316">
        <f>IFERROR(INDEX(PP_Grid[#Data],$DD316,58),0)</f>
        <v/>
      </c>
      <c r="BI316">
        <f>IFERROR(INDEX(PP_Grid[#Data],$DD316,59),0)</f>
        <v/>
      </c>
      <c r="BJ316">
        <f>IFERROR(INDEX(PP_Grid[#Data],$DD316,60),0)</f>
        <v/>
      </c>
      <c r="BK316">
        <f>IFERROR(INDEX(PP_Grid[#Data],$DD316,61),0)</f>
        <v/>
      </c>
      <c r="BL316">
        <f>IFERROR(INDEX(PP_Grid[#Data],$DD316,62),0)</f>
        <v/>
      </c>
      <c r="BM316">
        <f>IFERROR(INDEX(PP_Grid[#Data],$DD316,63),0)</f>
        <v/>
      </c>
      <c r="BN316">
        <f>IFERROR(INDEX(PP_Grid[#Data],$DD316,64),0)</f>
        <v/>
      </c>
      <c r="BO316">
        <f>IFERROR(INDEX(PP_Grid[#Data],$DD316,65),0)</f>
        <v/>
      </c>
      <c r="BP316">
        <f>IFERROR(INDEX(PP_Grid[#Data],$DD316,66),0)</f>
        <v/>
      </c>
      <c r="BQ316">
        <f>IFERROR(INDEX(PP_Grid[#Data],$DD316,67),0)</f>
        <v/>
      </c>
      <c r="BR316">
        <f>IFERROR(INDEX(PP_Grid[#Data],$DD316,68),0)</f>
        <v/>
      </c>
      <c r="BS316">
        <f>IFERROR(INDEX(PP_Grid[#Data],$DD316,69),0)</f>
        <v/>
      </c>
      <c r="BT316">
        <f>IFERROR(INDEX(PP_Grid[#Data],$DD316,70),0)</f>
        <v/>
      </c>
      <c r="BU316">
        <f>IFERROR(INDEX(PP_Grid[#Data],$DD316,71),0)</f>
        <v/>
      </c>
      <c r="BV316">
        <f>IFERROR(INDEX(PP_Grid[#Data],$DD316,72),0)</f>
        <v/>
      </c>
      <c r="BW316">
        <f>IFERROR(INDEX(PP_Grid[#Data],$DD316,73),0)</f>
        <v/>
      </c>
      <c r="BX316">
        <f>IFERROR(INDEX(PP_Grid[#Data],$DD316,74),0)</f>
        <v/>
      </c>
      <c r="BY316">
        <f>IFERROR(INDEX(PP_Grid[#Data],$DD316,75),0)</f>
        <v/>
      </c>
      <c r="BZ316">
        <f>IFERROR(INDEX(PP_Grid[#Data],$DD316,76),0)</f>
        <v/>
      </c>
      <c r="CA316">
        <f>IFERROR(INDEX(PP_Grid[#Data],$DD316,77),0)</f>
        <v/>
      </c>
      <c r="CB316">
        <f>IFERROR(INDEX(PP_Grid[#Data],$DD316,78),0)</f>
        <v/>
      </c>
      <c r="CC316">
        <f>IFERROR(INDEX(PP_Grid[#Data],$DD316,79),0)</f>
        <v/>
      </c>
      <c r="CD316">
        <f>IFERROR(INDEX(PP_Grid[#Data],$DD316,80),0)</f>
        <v/>
      </c>
      <c r="CE316">
        <f>IFERROR(INDEX(PP_Grid[#Data],$DD316,81),0)</f>
        <v/>
      </c>
      <c r="CF316">
        <f>IFERROR(INDEX(PP_Grid[#Data],$DD316,82),0)</f>
        <v/>
      </c>
      <c r="CG316">
        <f>IFERROR(INDEX(PP_Grid[#Data],$DD316,83),0)</f>
        <v/>
      </c>
      <c r="CH316">
        <f>IFERROR(INDEX(PP_Grid[#Data],$DD316,84),0)</f>
        <v/>
      </c>
      <c r="CI316">
        <f>IFERROR(INDEX(PP_Grid[#Data],$DD316,85),0)</f>
        <v/>
      </c>
      <c r="CJ316">
        <f>IFERROR(INDEX(PP_Grid[#Data],$DD316,86),0)</f>
        <v/>
      </c>
      <c r="CK316">
        <f>IFERROR(INDEX(PP_Grid[#Data],$DD316,87),0)</f>
        <v/>
      </c>
      <c r="CL316">
        <f>IFERROR(INDEX(PP_Grid[#Data],$DD316,88),0)</f>
        <v/>
      </c>
      <c r="CM316">
        <f>IFERROR(INDEX(PP_Grid[#Data],$DD316,89),0)</f>
        <v/>
      </c>
      <c r="CN316">
        <f>IFERROR(INDEX(PP_Grid[#Data],$DD316,90),0)</f>
        <v/>
      </c>
      <c r="CO316">
        <f>IFERROR(INDEX(PP_Grid[#Data],$DD316,91),0)</f>
        <v/>
      </c>
      <c r="CP316">
        <f>IFERROR(INDEX(PP_Grid[#Data],$DD316,92),0)</f>
        <v/>
      </c>
      <c r="CQ316">
        <f>IFERROR(INDEX(PP_Grid[#Data],$DD316,93),0)</f>
        <v/>
      </c>
      <c r="CR316">
        <f>IFERROR(INDEX(PP_Grid[#Data],$DD316,94),0)</f>
        <v/>
      </c>
      <c r="CS316">
        <f>IFERROR(INDEX(PP_Grid[#Data],$DD316,95),0)</f>
        <v/>
      </c>
      <c r="CT316">
        <f>IFERROR(INDEX(PP_Grid[#Data],$DD316,96),0)</f>
        <v/>
      </c>
      <c r="CU316">
        <f>IFERROR(INDEX(PP_Grid[#Data],$DD316,97),0)</f>
        <v/>
      </c>
      <c r="CV316">
        <f>IFERROR(INDEX(PP_Grid[#Data],$DD316,98),0)</f>
        <v/>
      </c>
      <c r="CW316">
        <f>IFERROR(INDEX(PP_Grid[#Data],$DD316,99),0)</f>
        <v/>
      </c>
      <c r="CX316">
        <f>IFERROR(INDEX(PP_Grid[#Data],$DD316,100),0)</f>
        <v/>
      </c>
      <c r="CY316">
        <f>IFERROR(INDEX(PP_Grid[#Data],$DD316,101),0)</f>
        <v/>
      </c>
      <c r="CZ316">
        <f>IFERROR(INDEX(PP_Grid[#Data],$DD316,102),0)</f>
        <v/>
      </c>
      <c r="DA316">
        <f>IFERROR(INDEX(PP_Grid[#Data],$DD316,103),0)</f>
        <v/>
      </c>
      <c r="DB316">
        <f>IFERROR(INDEX(PP_Grid[#Data],$DD316,104),0)</f>
        <v/>
      </c>
      <c r="DC316">
        <f>IFERROR(INDEX(PP_Grid[#Data],$DD316,105),0)</f>
        <v/>
      </c>
      <c r="DD316" s="12">
        <f>IFERROR(MATCH($B316,PP_Grid[Intermediate],0),99999)</f>
        <v/>
      </c>
    </row>
    <row r="317">
      <c r="B317" t="inlineStr">
        <is>
          <t>使用量(kg)</t>
        </is>
      </c>
      <c r="C317">
        <f>SUMIFS(M_BOM[RM_Qty_Per_Batch],M_BOM[Intermediate],$B316,M_BOM[Part Name],$A279)</f>
        <v/>
      </c>
      <c r="D317">
        <f>$C317*D316</f>
        <v/>
      </c>
      <c r="E317">
        <f>$C317*E316</f>
        <v/>
      </c>
      <c r="F317">
        <f>$C317*F316</f>
        <v/>
      </c>
      <c r="G317">
        <f>$C317*G316</f>
        <v/>
      </c>
      <c r="H317">
        <f>$C317*H316</f>
        <v/>
      </c>
      <c r="I317">
        <f>$C317*I316</f>
        <v/>
      </c>
      <c r="J317">
        <f>$C317*J316</f>
        <v/>
      </c>
      <c r="K317">
        <f>$C317*K316</f>
        <v/>
      </c>
      <c r="L317">
        <f>$C317*L316</f>
        <v/>
      </c>
      <c r="M317">
        <f>$C317*M316</f>
        <v/>
      </c>
      <c r="N317">
        <f>$C317*N316</f>
        <v/>
      </c>
      <c r="O317">
        <f>$C317*O316</f>
        <v/>
      </c>
      <c r="P317">
        <f>$C317*P316</f>
        <v/>
      </c>
      <c r="Q317">
        <f>$C317*Q316</f>
        <v/>
      </c>
      <c r="R317">
        <f>$C317*R316</f>
        <v/>
      </c>
      <c r="S317">
        <f>$C317*S316</f>
        <v/>
      </c>
      <c r="T317">
        <f>$C317*T316</f>
        <v/>
      </c>
      <c r="U317">
        <f>$C317*U316</f>
        <v/>
      </c>
      <c r="V317">
        <f>$C317*V316</f>
        <v/>
      </c>
      <c r="W317">
        <f>$C317*W316</f>
        <v/>
      </c>
      <c r="X317">
        <f>$C317*X316</f>
        <v/>
      </c>
      <c r="Y317">
        <f>$C317*Y316</f>
        <v/>
      </c>
      <c r="Z317">
        <f>$C317*Z316</f>
        <v/>
      </c>
      <c r="AA317">
        <f>$C317*AA316</f>
        <v/>
      </c>
      <c r="AB317">
        <f>$C317*AB316</f>
        <v/>
      </c>
      <c r="AC317">
        <f>$C317*AC316</f>
        <v/>
      </c>
      <c r="AD317">
        <f>$C317*AD316</f>
        <v/>
      </c>
      <c r="AE317">
        <f>$C317*AE316</f>
        <v/>
      </c>
      <c r="AF317">
        <f>$C317*AF316</f>
        <v/>
      </c>
      <c r="AG317">
        <f>$C317*AG316</f>
        <v/>
      </c>
      <c r="AH317">
        <f>$C317*AH316</f>
        <v/>
      </c>
      <c r="AI317">
        <f>$C317*AI316</f>
        <v/>
      </c>
      <c r="AJ317">
        <f>$C317*AJ316</f>
        <v/>
      </c>
      <c r="AK317">
        <f>$C317*AK316</f>
        <v/>
      </c>
      <c r="AL317">
        <f>$C317*AL316</f>
        <v/>
      </c>
      <c r="AM317">
        <f>$C317*AM316</f>
        <v/>
      </c>
      <c r="AN317">
        <f>$C317*AN316</f>
        <v/>
      </c>
      <c r="AO317">
        <f>$C317*AO316</f>
        <v/>
      </c>
      <c r="AP317">
        <f>$C317*AP316</f>
        <v/>
      </c>
      <c r="AQ317">
        <f>$C317*AQ316</f>
        <v/>
      </c>
      <c r="AR317">
        <f>$C317*AR316</f>
        <v/>
      </c>
      <c r="AS317">
        <f>$C317*AS316</f>
        <v/>
      </c>
      <c r="AT317">
        <f>$C317*AT316</f>
        <v/>
      </c>
      <c r="AU317">
        <f>$C317*AU316</f>
        <v/>
      </c>
      <c r="AV317">
        <f>$C317*AV316</f>
        <v/>
      </c>
      <c r="AW317">
        <f>$C317*AW316</f>
        <v/>
      </c>
      <c r="AX317">
        <f>$C317*AX316</f>
        <v/>
      </c>
      <c r="AY317">
        <f>$C317*AY316</f>
        <v/>
      </c>
      <c r="AZ317">
        <f>$C317*AZ316</f>
        <v/>
      </c>
      <c r="BA317">
        <f>$C317*BA316</f>
        <v/>
      </c>
      <c r="BB317">
        <f>$C317*BB316</f>
        <v/>
      </c>
      <c r="BC317">
        <f>$C317*BC316</f>
        <v/>
      </c>
      <c r="BD317">
        <f>$C317*BD316</f>
        <v/>
      </c>
      <c r="BE317">
        <f>$C317*BE316</f>
        <v/>
      </c>
      <c r="BF317">
        <f>$C317*BF316</f>
        <v/>
      </c>
      <c r="BG317">
        <f>$C317*BG316</f>
        <v/>
      </c>
      <c r="BH317">
        <f>$C317*BH316</f>
        <v/>
      </c>
      <c r="BI317">
        <f>$C317*BI316</f>
        <v/>
      </c>
      <c r="BJ317">
        <f>$C317*BJ316</f>
        <v/>
      </c>
      <c r="BK317">
        <f>$C317*BK316</f>
        <v/>
      </c>
      <c r="BL317">
        <f>$C317*BL316</f>
        <v/>
      </c>
      <c r="BM317">
        <f>$C317*BM316</f>
        <v/>
      </c>
      <c r="BN317">
        <f>$C317*BN316</f>
        <v/>
      </c>
      <c r="BO317">
        <f>$C317*BO316</f>
        <v/>
      </c>
      <c r="BP317">
        <f>$C317*BP316</f>
        <v/>
      </c>
      <c r="BQ317">
        <f>$C317*BQ316</f>
        <v/>
      </c>
      <c r="BR317">
        <f>$C317*BR316</f>
        <v/>
      </c>
      <c r="BS317">
        <f>$C317*BS316</f>
        <v/>
      </c>
      <c r="BT317">
        <f>$C317*BT316</f>
        <v/>
      </c>
      <c r="BU317">
        <f>$C317*BU316</f>
        <v/>
      </c>
      <c r="BV317">
        <f>$C317*BV316</f>
        <v/>
      </c>
      <c r="BW317">
        <f>$C317*BW316</f>
        <v/>
      </c>
      <c r="BX317">
        <f>$C317*BX316</f>
        <v/>
      </c>
      <c r="BY317">
        <f>$C317*BY316</f>
        <v/>
      </c>
      <c r="BZ317">
        <f>$C317*BZ316</f>
        <v/>
      </c>
      <c r="CA317">
        <f>$C317*CA316</f>
        <v/>
      </c>
      <c r="CB317">
        <f>$C317*CB316</f>
        <v/>
      </c>
      <c r="CC317">
        <f>$C317*CC316</f>
        <v/>
      </c>
      <c r="CD317">
        <f>$C317*CD316</f>
        <v/>
      </c>
      <c r="CE317">
        <f>$C317*CE316</f>
        <v/>
      </c>
      <c r="CF317">
        <f>$C317*CF316</f>
        <v/>
      </c>
      <c r="CG317">
        <f>$C317*CG316</f>
        <v/>
      </c>
      <c r="CH317">
        <f>$C317*CH316</f>
        <v/>
      </c>
      <c r="CI317">
        <f>$C317*CI316</f>
        <v/>
      </c>
      <c r="CJ317">
        <f>$C317*CJ316</f>
        <v/>
      </c>
      <c r="CK317">
        <f>$C317*CK316</f>
        <v/>
      </c>
      <c r="CL317">
        <f>$C317*CL316</f>
        <v/>
      </c>
      <c r="CM317">
        <f>$C317*CM316</f>
        <v/>
      </c>
      <c r="CN317">
        <f>$C317*CN316</f>
        <v/>
      </c>
      <c r="CO317">
        <f>$C317*CO316</f>
        <v/>
      </c>
      <c r="CP317">
        <f>$C317*CP316</f>
        <v/>
      </c>
      <c r="CQ317">
        <f>$C317*CQ316</f>
        <v/>
      </c>
      <c r="CR317">
        <f>$C317*CR316</f>
        <v/>
      </c>
      <c r="CS317">
        <f>$C317*CS316</f>
        <v/>
      </c>
      <c r="CT317">
        <f>$C317*CT316</f>
        <v/>
      </c>
      <c r="CU317">
        <f>$C317*CU316</f>
        <v/>
      </c>
      <c r="CV317">
        <f>$C317*CV316</f>
        <v/>
      </c>
      <c r="CW317">
        <f>$C317*CW316</f>
        <v/>
      </c>
      <c r="CX317">
        <f>$C317*CX316</f>
        <v/>
      </c>
      <c r="CY317">
        <f>$C317*CY316</f>
        <v/>
      </c>
      <c r="CZ317">
        <f>$C317*CZ316</f>
        <v/>
      </c>
      <c r="DA317">
        <f>$C317*DA316</f>
        <v/>
      </c>
      <c r="DB317">
        <f>$C317*DB316</f>
        <v/>
      </c>
      <c r="DC317">
        <f>$C317*DC316</f>
        <v/>
      </c>
    </row>
    <row r="318">
      <c r="B318" t="inlineStr">
        <is>
          <t>TSP-937</t>
        </is>
      </c>
      <c r="C318" t="inlineStr">
        <is>
          <t>No. of batches</t>
        </is>
      </c>
      <c r="D318">
        <f>IFERROR(INDEX(PP_Grid[#Data],$DD318,2),0)</f>
        <v/>
      </c>
      <c r="E318">
        <f>IFERROR(INDEX(PP_Grid[#Data],$DD318,3),0)</f>
        <v/>
      </c>
      <c r="F318">
        <f>IFERROR(INDEX(PP_Grid[#Data],$DD318,4),0)</f>
        <v/>
      </c>
      <c r="G318">
        <f>IFERROR(INDEX(PP_Grid[#Data],$DD318,5),0)</f>
        <v/>
      </c>
      <c r="H318">
        <f>IFERROR(INDEX(PP_Grid[#Data],$DD318,6),0)</f>
        <v/>
      </c>
      <c r="I318">
        <f>IFERROR(INDEX(PP_Grid[#Data],$DD318,7),0)</f>
        <v/>
      </c>
      <c r="J318">
        <f>IFERROR(INDEX(PP_Grid[#Data],$DD318,8),0)</f>
        <v/>
      </c>
      <c r="K318">
        <f>IFERROR(INDEX(PP_Grid[#Data],$DD318,9),0)</f>
        <v/>
      </c>
      <c r="L318">
        <f>IFERROR(INDEX(PP_Grid[#Data],$DD318,10),0)</f>
        <v/>
      </c>
      <c r="M318">
        <f>IFERROR(INDEX(PP_Grid[#Data],$DD318,11),0)</f>
        <v/>
      </c>
      <c r="N318">
        <f>IFERROR(INDEX(PP_Grid[#Data],$DD318,12),0)</f>
        <v/>
      </c>
      <c r="O318">
        <f>IFERROR(INDEX(PP_Grid[#Data],$DD318,13),0)</f>
        <v/>
      </c>
      <c r="P318">
        <f>IFERROR(INDEX(PP_Grid[#Data],$DD318,14),0)</f>
        <v/>
      </c>
      <c r="Q318">
        <f>IFERROR(INDEX(PP_Grid[#Data],$DD318,15),0)</f>
        <v/>
      </c>
      <c r="R318">
        <f>IFERROR(INDEX(PP_Grid[#Data],$DD318,16),0)</f>
        <v/>
      </c>
      <c r="S318">
        <f>IFERROR(INDEX(PP_Grid[#Data],$DD318,17),0)</f>
        <v/>
      </c>
      <c r="T318">
        <f>IFERROR(INDEX(PP_Grid[#Data],$DD318,18),0)</f>
        <v/>
      </c>
      <c r="U318">
        <f>IFERROR(INDEX(PP_Grid[#Data],$DD318,19),0)</f>
        <v/>
      </c>
      <c r="V318">
        <f>IFERROR(INDEX(PP_Grid[#Data],$DD318,20),0)</f>
        <v/>
      </c>
      <c r="W318">
        <f>IFERROR(INDEX(PP_Grid[#Data],$DD318,21),0)</f>
        <v/>
      </c>
      <c r="X318">
        <f>IFERROR(INDEX(PP_Grid[#Data],$DD318,22),0)</f>
        <v/>
      </c>
      <c r="Y318">
        <f>IFERROR(INDEX(PP_Grid[#Data],$DD318,23),0)</f>
        <v/>
      </c>
      <c r="Z318">
        <f>IFERROR(INDEX(PP_Grid[#Data],$DD318,24),0)</f>
        <v/>
      </c>
      <c r="AA318">
        <f>IFERROR(INDEX(PP_Grid[#Data],$DD318,25),0)</f>
        <v/>
      </c>
      <c r="AB318">
        <f>IFERROR(INDEX(PP_Grid[#Data],$DD318,26),0)</f>
        <v/>
      </c>
      <c r="AC318">
        <f>IFERROR(INDEX(PP_Grid[#Data],$DD318,27),0)</f>
        <v/>
      </c>
      <c r="AD318">
        <f>IFERROR(INDEX(PP_Grid[#Data],$DD318,28),0)</f>
        <v/>
      </c>
      <c r="AE318">
        <f>IFERROR(INDEX(PP_Grid[#Data],$DD318,29),0)</f>
        <v/>
      </c>
      <c r="AF318">
        <f>IFERROR(INDEX(PP_Grid[#Data],$DD318,30),0)</f>
        <v/>
      </c>
      <c r="AG318">
        <f>IFERROR(INDEX(PP_Grid[#Data],$DD318,31),0)</f>
        <v/>
      </c>
      <c r="AH318">
        <f>IFERROR(INDEX(PP_Grid[#Data],$DD318,32),0)</f>
        <v/>
      </c>
      <c r="AI318">
        <f>IFERROR(INDEX(PP_Grid[#Data],$DD318,33),0)</f>
        <v/>
      </c>
      <c r="AJ318">
        <f>IFERROR(INDEX(PP_Grid[#Data],$DD318,34),0)</f>
        <v/>
      </c>
      <c r="AK318">
        <f>IFERROR(INDEX(PP_Grid[#Data],$DD318,35),0)</f>
        <v/>
      </c>
      <c r="AL318">
        <f>IFERROR(INDEX(PP_Grid[#Data],$DD318,36),0)</f>
        <v/>
      </c>
      <c r="AM318">
        <f>IFERROR(INDEX(PP_Grid[#Data],$DD318,37),0)</f>
        <v/>
      </c>
      <c r="AN318">
        <f>IFERROR(INDEX(PP_Grid[#Data],$DD318,38),0)</f>
        <v/>
      </c>
      <c r="AO318">
        <f>IFERROR(INDEX(PP_Grid[#Data],$DD318,39),0)</f>
        <v/>
      </c>
      <c r="AP318">
        <f>IFERROR(INDEX(PP_Grid[#Data],$DD318,40),0)</f>
        <v/>
      </c>
      <c r="AQ318">
        <f>IFERROR(INDEX(PP_Grid[#Data],$DD318,41),0)</f>
        <v/>
      </c>
      <c r="AR318">
        <f>IFERROR(INDEX(PP_Grid[#Data],$DD318,42),0)</f>
        <v/>
      </c>
      <c r="AS318">
        <f>IFERROR(INDEX(PP_Grid[#Data],$DD318,43),0)</f>
        <v/>
      </c>
      <c r="AT318">
        <f>IFERROR(INDEX(PP_Grid[#Data],$DD318,44),0)</f>
        <v/>
      </c>
      <c r="AU318">
        <f>IFERROR(INDEX(PP_Grid[#Data],$DD318,45),0)</f>
        <v/>
      </c>
      <c r="AV318">
        <f>IFERROR(INDEX(PP_Grid[#Data],$DD318,46),0)</f>
        <v/>
      </c>
      <c r="AW318">
        <f>IFERROR(INDEX(PP_Grid[#Data],$DD318,47),0)</f>
        <v/>
      </c>
      <c r="AX318">
        <f>IFERROR(INDEX(PP_Grid[#Data],$DD318,48),0)</f>
        <v/>
      </c>
      <c r="AY318">
        <f>IFERROR(INDEX(PP_Grid[#Data],$DD318,49),0)</f>
        <v/>
      </c>
      <c r="AZ318">
        <f>IFERROR(INDEX(PP_Grid[#Data],$DD318,50),0)</f>
        <v/>
      </c>
      <c r="BA318">
        <f>IFERROR(INDEX(PP_Grid[#Data],$DD318,51),0)</f>
        <v/>
      </c>
      <c r="BB318">
        <f>IFERROR(INDEX(PP_Grid[#Data],$DD318,52),0)</f>
        <v/>
      </c>
      <c r="BC318">
        <f>IFERROR(INDEX(PP_Grid[#Data],$DD318,53),0)</f>
        <v/>
      </c>
      <c r="BD318">
        <f>IFERROR(INDEX(PP_Grid[#Data],$DD318,54),0)</f>
        <v/>
      </c>
      <c r="BE318">
        <f>IFERROR(INDEX(PP_Grid[#Data],$DD318,55),0)</f>
        <v/>
      </c>
      <c r="BF318">
        <f>IFERROR(INDEX(PP_Grid[#Data],$DD318,56),0)</f>
        <v/>
      </c>
      <c r="BG318">
        <f>IFERROR(INDEX(PP_Grid[#Data],$DD318,57),0)</f>
        <v/>
      </c>
      <c r="BH318">
        <f>IFERROR(INDEX(PP_Grid[#Data],$DD318,58),0)</f>
        <v/>
      </c>
      <c r="BI318">
        <f>IFERROR(INDEX(PP_Grid[#Data],$DD318,59),0)</f>
        <v/>
      </c>
      <c r="BJ318">
        <f>IFERROR(INDEX(PP_Grid[#Data],$DD318,60),0)</f>
        <v/>
      </c>
      <c r="BK318">
        <f>IFERROR(INDEX(PP_Grid[#Data],$DD318,61),0)</f>
        <v/>
      </c>
      <c r="BL318">
        <f>IFERROR(INDEX(PP_Grid[#Data],$DD318,62),0)</f>
        <v/>
      </c>
      <c r="BM318">
        <f>IFERROR(INDEX(PP_Grid[#Data],$DD318,63),0)</f>
        <v/>
      </c>
      <c r="BN318">
        <f>IFERROR(INDEX(PP_Grid[#Data],$DD318,64),0)</f>
        <v/>
      </c>
      <c r="BO318">
        <f>IFERROR(INDEX(PP_Grid[#Data],$DD318,65),0)</f>
        <v/>
      </c>
      <c r="BP318">
        <f>IFERROR(INDEX(PP_Grid[#Data],$DD318,66),0)</f>
        <v/>
      </c>
      <c r="BQ318">
        <f>IFERROR(INDEX(PP_Grid[#Data],$DD318,67),0)</f>
        <v/>
      </c>
      <c r="BR318">
        <f>IFERROR(INDEX(PP_Grid[#Data],$DD318,68),0)</f>
        <v/>
      </c>
      <c r="BS318">
        <f>IFERROR(INDEX(PP_Grid[#Data],$DD318,69),0)</f>
        <v/>
      </c>
      <c r="BT318">
        <f>IFERROR(INDEX(PP_Grid[#Data],$DD318,70),0)</f>
        <v/>
      </c>
      <c r="BU318">
        <f>IFERROR(INDEX(PP_Grid[#Data],$DD318,71),0)</f>
        <v/>
      </c>
      <c r="BV318">
        <f>IFERROR(INDEX(PP_Grid[#Data],$DD318,72),0)</f>
        <v/>
      </c>
      <c r="BW318">
        <f>IFERROR(INDEX(PP_Grid[#Data],$DD318,73),0)</f>
        <v/>
      </c>
      <c r="BX318">
        <f>IFERROR(INDEX(PP_Grid[#Data],$DD318,74),0)</f>
        <v/>
      </c>
      <c r="BY318">
        <f>IFERROR(INDEX(PP_Grid[#Data],$DD318,75),0)</f>
        <v/>
      </c>
      <c r="BZ318">
        <f>IFERROR(INDEX(PP_Grid[#Data],$DD318,76),0)</f>
        <v/>
      </c>
      <c r="CA318">
        <f>IFERROR(INDEX(PP_Grid[#Data],$DD318,77),0)</f>
        <v/>
      </c>
      <c r="CB318">
        <f>IFERROR(INDEX(PP_Grid[#Data],$DD318,78),0)</f>
        <v/>
      </c>
      <c r="CC318">
        <f>IFERROR(INDEX(PP_Grid[#Data],$DD318,79),0)</f>
        <v/>
      </c>
      <c r="CD318">
        <f>IFERROR(INDEX(PP_Grid[#Data],$DD318,80),0)</f>
        <v/>
      </c>
      <c r="CE318">
        <f>IFERROR(INDEX(PP_Grid[#Data],$DD318,81),0)</f>
        <v/>
      </c>
      <c r="CF318">
        <f>IFERROR(INDEX(PP_Grid[#Data],$DD318,82),0)</f>
        <v/>
      </c>
      <c r="CG318">
        <f>IFERROR(INDEX(PP_Grid[#Data],$DD318,83),0)</f>
        <v/>
      </c>
      <c r="CH318">
        <f>IFERROR(INDEX(PP_Grid[#Data],$DD318,84),0)</f>
        <v/>
      </c>
      <c r="CI318">
        <f>IFERROR(INDEX(PP_Grid[#Data],$DD318,85),0)</f>
        <v/>
      </c>
      <c r="CJ318">
        <f>IFERROR(INDEX(PP_Grid[#Data],$DD318,86),0)</f>
        <v/>
      </c>
      <c r="CK318">
        <f>IFERROR(INDEX(PP_Grid[#Data],$DD318,87),0)</f>
        <v/>
      </c>
      <c r="CL318">
        <f>IFERROR(INDEX(PP_Grid[#Data],$DD318,88),0)</f>
        <v/>
      </c>
      <c r="CM318">
        <f>IFERROR(INDEX(PP_Grid[#Data],$DD318,89),0)</f>
        <v/>
      </c>
      <c r="CN318">
        <f>IFERROR(INDEX(PP_Grid[#Data],$DD318,90),0)</f>
        <v/>
      </c>
      <c r="CO318">
        <f>IFERROR(INDEX(PP_Grid[#Data],$DD318,91),0)</f>
        <v/>
      </c>
      <c r="CP318">
        <f>IFERROR(INDEX(PP_Grid[#Data],$DD318,92),0)</f>
        <v/>
      </c>
      <c r="CQ318">
        <f>IFERROR(INDEX(PP_Grid[#Data],$DD318,93),0)</f>
        <v/>
      </c>
      <c r="CR318">
        <f>IFERROR(INDEX(PP_Grid[#Data],$DD318,94),0)</f>
        <v/>
      </c>
      <c r="CS318">
        <f>IFERROR(INDEX(PP_Grid[#Data],$DD318,95),0)</f>
        <v/>
      </c>
      <c r="CT318">
        <f>IFERROR(INDEX(PP_Grid[#Data],$DD318,96),0)</f>
        <v/>
      </c>
      <c r="CU318">
        <f>IFERROR(INDEX(PP_Grid[#Data],$DD318,97),0)</f>
        <v/>
      </c>
      <c r="CV318">
        <f>IFERROR(INDEX(PP_Grid[#Data],$DD318,98),0)</f>
        <v/>
      </c>
      <c r="CW318">
        <f>IFERROR(INDEX(PP_Grid[#Data],$DD318,99),0)</f>
        <v/>
      </c>
      <c r="CX318">
        <f>IFERROR(INDEX(PP_Grid[#Data],$DD318,100),0)</f>
        <v/>
      </c>
      <c r="CY318">
        <f>IFERROR(INDEX(PP_Grid[#Data],$DD318,101),0)</f>
        <v/>
      </c>
      <c r="CZ318">
        <f>IFERROR(INDEX(PP_Grid[#Data],$DD318,102),0)</f>
        <v/>
      </c>
      <c r="DA318">
        <f>IFERROR(INDEX(PP_Grid[#Data],$DD318,103),0)</f>
        <v/>
      </c>
      <c r="DB318">
        <f>IFERROR(INDEX(PP_Grid[#Data],$DD318,104),0)</f>
        <v/>
      </c>
      <c r="DC318">
        <f>IFERROR(INDEX(PP_Grid[#Data],$DD318,105),0)</f>
        <v/>
      </c>
      <c r="DD318" s="12">
        <f>IFERROR(MATCH($B318,PP_Grid[Intermediate],0),99999)</f>
        <v/>
      </c>
    </row>
    <row r="319">
      <c r="B319" t="inlineStr">
        <is>
          <t>使用量(kg)</t>
        </is>
      </c>
      <c r="C319">
        <f>SUMIFS(M_BOM[RM_Qty_Per_Batch],M_BOM[Intermediate],$B318,M_BOM[Part Name],$A279)</f>
        <v/>
      </c>
      <c r="D319">
        <f>$C319*D318</f>
        <v/>
      </c>
      <c r="E319">
        <f>$C319*E318</f>
        <v/>
      </c>
      <c r="F319">
        <f>$C319*F318</f>
        <v/>
      </c>
      <c r="G319">
        <f>$C319*G318</f>
        <v/>
      </c>
      <c r="H319">
        <f>$C319*H318</f>
        <v/>
      </c>
      <c r="I319">
        <f>$C319*I318</f>
        <v/>
      </c>
      <c r="J319">
        <f>$C319*J318</f>
        <v/>
      </c>
      <c r="K319">
        <f>$C319*K318</f>
        <v/>
      </c>
      <c r="L319">
        <f>$C319*L318</f>
        <v/>
      </c>
      <c r="M319">
        <f>$C319*M318</f>
        <v/>
      </c>
      <c r="N319">
        <f>$C319*N318</f>
        <v/>
      </c>
      <c r="O319">
        <f>$C319*O318</f>
        <v/>
      </c>
      <c r="P319">
        <f>$C319*P318</f>
        <v/>
      </c>
      <c r="Q319">
        <f>$C319*Q318</f>
        <v/>
      </c>
      <c r="R319">
        <f>$C319*R318</f>
        <v/>
      </c>
      <c r="S319">
        <f>$C319*S318</f>
        <v/>
      </c>
      <c r="T319">
        <f>$C319*T318</f>
        <v/>
      </c>
      <c r="U319">
        <f>$C319*U318</f>
        <v/>
      </c>
      <c r="V319">
        <f>$C319*V318</f>
        <v/>
      </c>
      <c r="W319">
        <f>$C319*W318</f>
        <v/>
      </c>
      <c r="X319">
        <f>$C319*X318</f>
        <v/>
      </c>
      <c r="Y319">
        <f>$C319*Y318</f>
        <v/>
      </c>
      <c r="Z319">
        <f>$C319*Z318</f>
        <v/>
      </c>
      <c r="AA319">
        <f>$C319*AA318</f>
        <v/>
      </c>
      <c r="AB319">
        <f>$C319*AB318</f>
        <v/>
      </c>
      <c r="AC319">
        <f>$C319*AC318</f>
        <v/>
      </c>
      <c r="AD319">
        <f>$C319*AD318</f>
        <v/>
      </c>
      <c r="AE319">
        <f>$C319*AE318</f>
        <v/>
      </c>
      <c r="AF319">
        <f>$C319*AF318</f>
        <v/>
      </c>
      <c r="AG319">
        <f>$C319*AG318</f>
        <v/>
      </c>
      <c r="AH319">
        <f>$C319*AH318</f>
        <v/>
      </c>
      <c r="AI319">
        <f>$C319*AI318</f>
        <v/>
      </c>
      <c r="AJ319">
        <f>$C319*AJ318</f>
        <v/>
      </c>
      <c r="AK319">
        <f>$C319*AK318</f>
        <v/>
      </c>
      <c r="AL319">
        <f>$C319*AL318</f>
        <v/>
      </c>
      <c r="AM319">
        <f>$C319*AM318</f>
        <v/>
      </c>
      <c r="AN319">
        <f>$C319*AN318</f>
        <v/>
      </c>
      <c r="AO319">
        <f>$C319*AO318</f>
        <v/>
      </c>
      <c r="AP319">
        <f>$C319*AP318</f>
        <v/>
      </c>
      <c r="AQ319">
        <f>$C319*AQ318</f>
        <v/>
      </c>
      <c r="AR319">
        <f>$C319*AR318</f>
        <v/>
      </c>
      <c r="AS319">
        <f>$C319*AS318</f>
        <v/>
      </c>
      <c r="AT319">
        <f>$C319*AT318</f>
        <v/>
      </c>
      <c r="AU319">
        <f>$C319*AU318</f>
        <v/>
      </c>
      <c r="AV319">
        <f>$C319*AV318</f>
        <v/>
      </c>
      <c r="AW319">
        <f>$C319*AW318</f>
        <v/>
      </c>
      <c r="AX319">
        <f>$C319*AX318</f>
        <v/>
      </c>
      <c r="AY319">
        <f>$C319*AY318</f>
        <v/>
      </c>
      <c r="AZ319">
        <f>$C319*AZ318</f>
        <v/>
      </c>
      <c r="BA319">
        <f>$C319*BA318</f>
        <v/>
      </c>
      <c r="BB319">
        <f>$C319*BB318</f>
        <v/>
      </c>
      <c r="BC319">
        <f>$C319*BC318</f>
        <v/>
      </c>
      <c r="BD319">
        <f>$C319*BD318</f>
        <v/>
      </c>
      <c r="BE319">
        <f>$C319*BE318</f>
        <v/>
      </c>
      <c r="BF319">
        <f>$C319*BF318</f>
        <v/>
      </c>
      <c r="BG319">
        <f>$C319*BG318</f>
        <v/>
      </c>
      <c r="BH319">
        <f>$C319*BH318</f>
        <v/>
      </c>
      <c r="BI319">
        <f>$C319*BI318</f>
        <v/>
      </c>
      <c r="BJ319">
        <f>$C319*BJ318</f>
        <v/>
      </c>
      <c r="BK319">
        <f>$C319*BK318</f>
        <v/>
      </c>
      <c r="BL319">
        <f>$C319*BL318</f>
        <v/>
      </c>
      <c r="BM319">
        <f>$C319*BM318</f>
        <v/>
      </c>
      <c r="BN319">
        <f>$C319*BN318</f>
        <v/>
      </c>
      <c r="BO319">
        <f>$C319*BO318</f>
        <v/>
      </c>
      <c r="BP319">
        <f>$C319*BP318</f>
        <v/>
      </c>
      <c r="BQ319">
        <f>$C319*BQ318</f>
        <v/>
      </c>
      <c r="BR319">
        <f>$C319*BR318</f>
        <v/>
      </c>
      <c r="BS319">
        <f>$C319*BS318</f>
        <v/>
      </c>
      <c r="BT319">
        <f>$C319*BT318</f>
        <v/>
      </c>
      <c r="BU319">
        <f>$C319*BU318</f>
        <v/>
      </c>
      <c r="BV319">
        <f>$C319*BV318</f>
        <v/>
      </c>
      <c r="BW319">
        <f>$C319*BW318</f>
        <v/>
      </c>
      <c r="BX319">
        <f>$C319*BX318</f>
        <v/>
      </c>
      <c r="BY319">
        <f>$C319*BY318</f>
        <v/>
      </c>
      <c r="BZ319">
        <f>$C319*BZ318</f>
        <v/>
      </c>
      <c r="CA319">
        <f>$C319*CA318</f>
        <v/>
      </c>
      <c r="CB319">
        <f>$C319*CB318</f>
        <v/>
      </c>
      <c r="CC319">
        <f>$C319*CC318</f>
        <v/>
      </c>
      <c r="CD319">
        <f>$C319*CD318</f>
        <v/>
      </c>
      <c r="CE319">
        <f>$C319*CE318</f>
        <v/>
      </c>
      <c r="CF319">
        <f>$C319*CF318</f>
        <v/>
      </c>
      <c r="CG319">
        <f>$C319*CG318</f>
        <v/>
      </c>
      <c r="CH319">
        <f>$C319*CH318</f>
        <v/>
      </c>
      <c r="CI319">
        <f>$C319*CI318</f>
        <v/>
      </c>
      <c r="CJ319">
        <f>$C319*CJ318</f>
        <v/>
      </c>
      <c r="CK319">
        <f>$C319*CK318</f>
        <v/>
      </c>
      <c r="CL319">
        <f>$C319*CL318</f>
        <v/>
      </c>
      <c r="CM319">
        <f>$C319*CM318</f>
        <v/>
      </c>
      <c r="CN319">
        <f>$C319*CN318</f>
        <v/>
      </c>
      <c r="CO319">
        <f>$C319*CO318</f>
        <v/>
      </c>
      <c r="CP319">
        <f>$C319*CP318</f>
        <v/>
      </c>
      <c r="CQ319">
        <f>$C319*CQ318</f>
        <v/>
      </c>
      <c r="CR319">
        <f>$C319*CR318</f>
        <v/>
      </c>
      <c r="CS319">
        <f>$C319*CS318</f>
        <v/>
      </c>
      <c r="CT319">
        <f>$C319*CT318</f>
        <v/>
      </c>
      <c r="CU319">
        <f>$C319*CU318</f>
        <v/>
      </c>
      <c r="CV319">
        <f>$C319*CV318</f>
        <v/>
      </c>
      <c r="CW319">
        <f>$C319*CW318</f>
        <v/>
      </c>
      <c r="CX319">
        <f>$C319*CX318</f>
        <v/>
      </c>
      <c r="CY319">
        <f>$C319*CY318</f>
        <v/>
      </c>
      <c r="CZ319">
        <f>$C319*CZ318</f>
        <v/>
      </c>
      <c r="DA319">
        <f>$C319*DA318</f>
        <v/>
      </c>
      <c r="DB319">
        <f>$C319*DB318</f>
        <v/>
      </c>
      <c r="DC319">
        <f>$C319*DC318</f>
        <v/>
      </c>
    </row>
    <row r="320">
      <c r="B320" s="5" t="inlineStr">
        <is>
          <t>合計使用量(kg)/週</t>
        </is>
      </c>
      <c r="D320">
        <f>'Grid_Requirement'!B40</f>
        <v/>
      </c>
      <c r="E320">
        <f>'Grid_Requirement'!C40</f>
        <v/>
      </c>
      <c r="F320">
        <f>'Grid_Requirement'!D40</f>
        <v/>
      </c>
      <c r="G320">
        <f>'Grid_Requirement'!E40</f>
        <v/>
      </c>
      <c r="H320">
        <f>'Grid_Requirement'!F40</f>
        <v/>
      </c>
      <c r="I320">
        <f>'Grid_Requirement'!G40</f>
        <v/>
      </c>
      <c r="J320">
        <f>'Grid_Requirement'!H40</f>
        <v/>
      </c>
      <c r="K320">
        <f>'Grid_Requirement'!I40</f>
        <v/>
      </c>
      <c r="L320">
        <f>'Grid_Requirement'!J40</f>
        <v/>
      </c>
      <c r="M320">
        <f>'Grid_Requirement'!K40</f>
        <v/>
      </c>
      <c r="N320">
        <f>'Grid_Requirement'!L40</f>
        <v/>
      </c>
      <c r="O320">
        <f>'Grid_Requirement'!M40</f>
        <v/>
      </c>
      <c r="P320">
        <f>'Grid_Requirement'!N40</f>
        <v/>
      </c>
      <c r="Q320">
        <f>'Grid_Requirement'!O40</f>
        <v/>
      </c>
      <c r="R320">
        <f>'Grid_Requirement'!P40</f>
        <v/>
      </c>
      <c r="S320">
        <f>'Grid_Requirement'!Q40</f>
        <v/>
      </c>
      <c r="T320">
        <f>'Grid_Requirement'!R40</f>
        <v/>
      </c>
      <c r="U320">
        <f>'Grid_Requirement'!S40</f>
        <v/>
      </c>
      <c r="V320">
        <f>'Grid_Requirement'!T40</f>
        <v/>
      </c>
      <c r="W320">
        <f>'Grid_Requirement'!U40</f>
        <v/>
      </c>
      <c r="X320">
        <f>'Grid_Requirement'!V40</f>
        <v/>
      </c>
      <c r="Y320">
        <f>'Grid_Requirement'!W40</f>
        <v/>
      </c>
      <c r="Z320">
        <f>'Grid_Requirement'!X40</f>
        <v/>
      </c>
      <c r="AA320">
        <f>'Grid_Requirement'!Y40</f>
        <v/>
      </c>
      <c r="AB320">
        <f>'Grid_Requirement'!Z40</f>
        <v/>
      </c>
      <c r="AC320">
        <f>'Grid_Requirement'!AA40</f>
        <v/>
      </c>
      <c r="AD320">
        <f>'Grid_Requirement'!AB40</f>
        <v/>
      </c>
      <c r="AE320">
        <f>'Grid_Requirement'!AC40</f>
        <v/>
      </c>
      <c r="AF320">
        <f>'Grid_Requirement'!AD40</f>
        <v/>
      </c>
      <c r="AG320">
        <f>'Grid_Requirement'!AE40</f>
        <v/>
      </c>
      <c r="AH320">
        <f>'Grid_Requirement'!AF40</f>
        <v/>
      </c>
      <c r="AI320">
        <f>'Grid_Requirement'!AG40</f>
        <v/>
      </c>
      <c r="AJ320">
        <f>'Grid_Requirement'!AH40</f>
        <v/>
      </c>
      <c r="AK320">
        <f>'Grid_Requirement'!AI40</f>
        <v/>
      </c>
      <c r="AL320">
        <f>'Grid_Requirement'!AJ40</f>
        <v/>
      </c>
      <c r="AM320">
        <f>'Grid_Requirement'!AK40</f>
        <v/>
      </c>
      <c r="AN320">
        <f>'Grid_Requirement'!AL40</f>
        <v/>
      </c>
      <c r="AO320">
        <f>'Grid_Requirement'!AM40</f>
        <v/>
      </c>
      <c r="AP320">
        <f>'Grid_Requirement'!AN40</f>
        <v/>
      </c>
      <c r="AQ320">
        <f>'Grid_Requirement'!AO40</f>
        <v/>
      </c>
      <c r="AR320">
        <f>'Grid_Requirement'!AP40</f>
        <v/>
      </c>
      <c r="AS320">
        <f>'Grid_Requirement'!AQ40</f>
        <v/>
      </c>
      <c r="AT320">
        <f>'Grid_Requirement'!AR40</f>
        <v/>
      </c>
      <c r="AU320">
        <f>'Grid_Requirement'!AS40</f>
        <v/>
      </c>
      <c r="AV320">
        <f>'Grid_Requirement'!AT40</f>
        <v/>
      </c>
      <c r="AW320">
        <f>'Grid_Requirement'!AU40</f>
        <v/>
      </c>
      <c r="AX320">
        <f>'Grid_Requirement'!AV40</f>
        <v/>
      </c>
      <c r="AY320">
        <f>'Grid_Requirement'!AW40</f>
        <v/>
      </c>
      <c r="AZ320">
        <f>'Grid_Requirement'!AX40</f>
        <v/>
      </c>
      <c r="BA320">
        <f>'Grid_Requirement'!AY40</f>
        <v/>
      </c>
      <c r="BB320">
        <f>'Grid_Requirement'!AZ40</f>
        <v/>
      </c>
      <c r="BC320">
        <f>'Grid_Requirement'!BA40</f>
        <v/>
      </c>
      <c r="BD320">
        <f>'Grid_Requirement'!BB40</f>
        <v/>
      </c>
      <c r="BE320">
        <f>'Grid_Requirement'!BC40</f>
        <v/>
      </c>
      <c r="BF320">
        <f>'Grid_Requirement'!BD40</f>
        <v/>
      </c>
      <c r="BG320">
        <f>'Grid_Requirement'!BE40</f>
        <v/>
      </c>
      <c r="BH320">
        <f>'Grid_Requirement'!BF40</f>
        <v/>
      </c>
      <c r="BI320">
        <f>'Grid_Requirement'!BG40</f>
        <v/>
      </c>
      <c r="BJ320">
        <f>'Grid_Requirement'!BH40</f>
        <v/>
      </c>
      <c r="BK320">
        <f>'Grid_Requirement'!BI40</f>
        <v/>
      </c>
      <c r="BL320">
        <f>'Grid_Requirement'!BJ40</f>
        <v/>
      </c>
      <c r="BM320">
        <f>'Grid_Requirement'!BK40</f>
        <v/>
      </c>
      <c r="BN320">
        <f>'Grid_Requirement'!BL40</f>
        <v/>
      </c>
      <c r="BO320">
        <f>'Grid_Requirement'!BM40</f>
        <v/>
      </c>
      <c r="BP320">
        <f>'Grid_Requirement'!BN40</f>
        <v/>
      </c>
      <c r="BQ320">
        <f>'Grid_Requirement'!BO40</f>
        <v/>
      </c>
      <c r="BR320">
        <f>'Grid_Requirement'!BP40</f>
        <v/>
      </c>
      <c r="BS320">
        <f>'Grid_Requirement'!BQ40</f>
        <v/>
      </c>
      <c r="BT320">
        <f>'Grid_Requirement'!BR40</f>
        <v/>
      </c>
      <c r="BU320">
        <f>'Grid_Requirement'!BS40</f>
        <v/>
      </c>
      <c r="BV320">
        <f>'Grid_Requirement'!BT40</f>
        <v/>
      </c>
      <c r="BW320">
        <f>'Grid_Requirement'!BU40</f>
        <v/>
      </c>
      <c r="BX320">
        <f>'Grid_Requirement'!BV40</f>
        <v/>
      </c>
      <c r="BY320">
        <f>'Grid_Requirement'!BW40</f>
        <v/>
      </c>
      <c r="BZ320">
        <f>'Grid_Requirement'!BX40</f>
        <v/>
      </c>
      <c r="CA320">
        <f>'Grid_Requirement'!BY40</f>
        <v/>
      </c>
      <c r="CB320">
        <f>'Grid_Requirement'!BZ40</f>
        <v/>
      </c>
      <c r="CC320">
        <f>'Grid_Requirement'!CA40</f>
        <v/>
      </c>
      <c r="CD320">
        <f>'Grid_Requirement'!CB40</f>
        <v/>
      </c>
      <c r="CE320">
        <f>'Grid_Requirement'!CC40</f>
        <v/>
      </c>
      <c r="CF320">
        <f>'Grid_Requirement'!CD40</f>
        <v/>
      </c>
      <c r="CG320">
        <f>'Grid_Requirement'!CE40</f>
        <v/>
      </c>
      <c r="CH320">
        <f>'Grid_Requirement'!CF40</f>
        <v/>
      </c>
      <c r="CI320">
        <f>'Grid_Requirement'!CG40</f>
        <v/>
      </c>
      <c r="CJ320">
        <f>'Grid_Requirement'!CH40</f>
        <v/>
      </c>
      <c r="CK320">
        <f>'Grid_Requirement'!CI40</f>
        <v/>
      </c>
      <c r="CL320">
        <f>'Grid_Requirement'!CJ40</f>
        <v/>
      </c>
      <c r="CM320">
        <f>'Grid_Requirement'!CK40</f>
        <v/>
      </c>
      <c r="CN320">
        <f>'Grid_Requirement'!CL40</f>
        <v/>
      </c>
      <c r="CO320">
        <f>'Grid_Requirement'!CM40</f>
        <v/>
      </c>
      <c r="CP320">
        <f>'Grid_Requirement'!CN40</f>
        <v/>
      </c>
      <c r="CQ320">
        <f>'Grid_Requirement'!CO40</f>
        <v/>
      </c>
      <c r="CR320">
        <f>'Grid_Requirement'!CP40</f>
        <v/>
      </c>
      <c r="CS320">
        <f>'Grid_Requirement'!CQ40</f>
        <v/>
      </c>
      <c r="CT320">
        <f>'Grid_Requirement'!CR40</f>
        <v/>
      </c>
      <c r="CU320">
        <f>'Grid_Requirement'!CS40</f>
        <v/>
      </c>
      <c r="CV320">
        <f>'Grid_Requirement'!CT40</f>
        <v/>
      </c>
      <c r="CW320">
        <f>'Grid_Requirement'!CU40</f>
        <v/>
      </c>
      <c r="CX320">
        <f>'Grid_Requirement'!CV40</f>
        <v/>
      </c>
      <c r="CY320">
        <f>'Grid_Requirement'!CW40</f>
        <v/>
      </c>
      <c r="CZ320">
        <f>'Grid_Requirement'!CX40</f>
        <v/>
      </c>
      <c r="DA320">
        <f>'Grid_Requirement'!CY40</f>
        <v/>
      </c>
      <c r="DB320">
        <f>'Grid_Requirement'!CZ40</f>
        <v/>
      </c>
      <c r="DC320">
        <f>'Grid_Requirement'!DA40</f>
        <v/>
      </c>
    </row>
    <row r="321">
      <c r="B321" t="inlineStr">
        <is>
          <t>TTAF在庫(実績,kg)</t>
        </is>
      </c>
      <c r="D321">
        <f>'T_TTAFStock'!B44</f>
        <v/>
      </c>
      <c r="E321">
        <f>'T_TTAFStock'!C44</f>
        <v/>
      </c>
      <c r="F321">
        <f>'T_TTAFStock'!D44</f>
        <v/>
      </c>
      <c r="G321">
        <f>'T_TTAFStock'!E44</f>
        <v/>
      </c>
      <c r="H321">
        <f>'T_TTAFStock'!F44</f>
        <v/>
      </c>
      <c r="I321">
        <f>'T_TTAFStock'!G44</f>
        <v/>
      </c>
      <c r="J321">
        <f>'T_TTAFStock'!H44</f>
        <v/>
      </c>
      <c r="K321">
        <f>'T_TTAFStock'!I44</f>
        <v/>
      </c>
      <c r="L321">
        <f>'T_TTAFStock'!J44</f>
        <v/>
      </c>
      <c r="M321">
        <f>'T_TTAFStock'!K44</f>
        <v/>
      </c>
      <c r="N321">
        <f>'T_TTAFStock'!L44</f>
        <v/>
      </c>
      <c r="O321">
        <f>'T_TTAFStock'!M44</f>
        <v/>
      </c>
      <c r="P321">
        <f>'T_TTAFStock'!N44</f>
        <v/>
      </c>
      <c r="Q321">
        <f>'T_TTAFStock'!O44</f>
        <v/>
      </c>
      <c r="R321">
        <f>'T_TTAFStock'!P44</f>
        <v/>
      </c>
      <c r="S321">
        <f>'T_TTAFStock'!Q44</f>
        <v/>
      </c>
      <c r="T321">
        <f>'T_TTAFStock'!R44</f>
        <v/>
      </c>
      <c r="U321">
        <f>'T_TTAFStock'!S44</f>
        <v/>
      </c>
      <c r="V321">
        <f>'T_TTAFStock'!T44</f>
        <v/>
      </c>
      <c r="W321">
        <f>'T_TTAFStock'!U44</f>
        <v/>
      </c>
      <c r="X321">
        <f>'T_TTAFStock'!V44</f>
        <v/>
      </c>
      <c r="Y321">
        <f>'T_TTAFStock'!W44</f>
        <v/>
      </c>
      <c r="Z321">
        <f>'T_TTAFStock'!X44</f>
        <v/>
      </c>
      <c r="AA321">
        <f>'T_TTAFStock'!Y44</f>
        <v/>
      </c>
      <c r="AB321">
        <f>'T_TTAFStock'!Z44</f>
        <v/>
      </c>
      <c r="AC321">
        <f>'T_TTAFStock'!AA44</f>
        <v/>
      </c>
      <c r="AD321">
        <f>'T_TTAFStock'!AB44</f>
        <v/>
      </c>
      <c r="AE321">
        <f>'T_TTAFStock'!AC44</f>
        <v/>
      </c>
      <c r="AF321">
        <f>'T_TTAFStock'!AD44</f>
        <v/>
      </c>
      <c r="AG321">
        <f>'T_TTAFStock'!AE44</f>
        <v/>
      </c>
      <c r="AH321">
        <f>'T_TTAFStock'!AF44</f>
        <v/>
      </c>
      <c r="AI321">
        <f>'T_TTAFStock'!AG44</f>
        <v/>
      </c>
      <c r="AJ321">
        <f>'T_TTAFStock'!AH44</f>
        <v/>
      </c>
      <c r="AK321">
        <f>'T_TTAFStock'!AI44</f>
        <v/>
      </c>
      <c r="AL321">
        <f>'T_TTAFStock'!AJ44</f>
        <v/>
      </c>
      <c r="AM321">
        <f>'T_TTAFStock'!AK44</f>
        <v/>
      </c>
      <c r="AN321">
        <f>'T_TTAFStock'!AL44</f>
        <v/>
      </c>
      <c r="AO321">
        <f>'T_TTAFStock'!AM44</f>
        <v/>
      </c>
      <c r="AP321">
        <f>'T_TTAFStock'!AN44</f>
        <v/>
      </c>
      <c r="AQ321">
        <f>'T_TTAFStock'!AO44</f>
        <v/>
      </c>
      <c r="AR321">
        <f>'T_TTAFStock'!AP44</f>
        <v/>
      </c>
      <c r="AS321">
        <f>'T_TTAFStock'!AQ44</f>
        <v/>
      </c>
      <c r="AT321">
        <f>'T_TTAFStock'!AR44</f>
        <v/>
      </c>
      <c r="AU321">
        <f>'T_TTAFStock'!AS44</f>
        <v/>
      </c>
      <c r="AV321">
        <f>'T_TTAFStock'!AT44</f>
        <v/>
      </c>
      <c r="AW321">
        <f>'T_TTAFStock'!AU44</f>
        <v/>
      </c>
      <c r="AX321">
        <f>'T_TTAFStock'!AV44</f>
        <v/>
      </c>
      <c r="AY321">
        <f>'T_TTAFStock'!AW44</f>
        <v/>
      </c>
      <c r="AZ321">
        <f>'T_TTAFStock'!AX44</f>
        <v/>
      </c>
      <c r="BA321">
        <f>'T_TTAFStock'!AY44</f>
        <v/>
      </c>
      <c r="BB321">
        <f>'T_TTAFStock'!AZ44</f>
        <v/>
      </c>
      <c r="BC321">
        <f>'T_TTAFStock'!BA44</f>
        <v/>
      </c>
      <c r="BD321">
        <f>'T_TTAFStock'!BB44</f>
        <v/>
      </c>
      <c r="BE321">
        <f>'T_TTAFStock'!BC44</f>
        <v/>
      </c>
      <c r="BF321">
        <f>'T_TTAFStock'!BD44</f>
        <v/>
      </c>
      <c r="BG321">
        <f>'T_TTAFStock'!BE44</f>
        <v/>
      </c>
      <c r="BH321">
        <f>'T_TTAFStock'!BF44</f>
        <v/>
      </c>
      <c r="BI321">
        <f>'T_TTAFStock'!BG44</f>
        <v/>
      </c>
      <c r="BJ321">
        <f>'T_TTAFStock'!BH44</f>
        <v/>
      </c>
      <c r="BK321">
        <f>'T_TTAFStock'!BI44</f>
        <v/>
      </c>
      <c r="BL321">
        <f>'T_TTAFStock'!BJ44</f>
        <v/>
      </c>
      <c r="BM321">
        <f>'T_TTAFStock'!BK44</f>
        <v/>
      </c>
      <c r="BN321">
        <f>'T_TTAFStock'!BL44</f>
        <v/>
      </c>
      <c r="BO321">
        <f>'T_TTAFStock'!BM44</f>
        <v/>
      </c>
      <c r="BP321">
        <f>'T_TTAFStock'!BN44</f>
        <v/>
      </c>
      <c r="BQ321">
        <f>'T_TTAFStock'!BO44</f>
        <v/>
      </c>
      <c r="BR321">
        <f>'T_TTAFStock'!BP44</f>
        <v/>
      </c>
      <c r="BS321">
        <f>'T_TTAFStock'!BQ44</f>
        <v/>
      </c>
      <c r="BT321">
        <f>'T_TTAFStock'!BR44</f>
        <v/>
      </c>
      <c r="BU321">
        <f>'T_TTAFStock'!BS44</f>
        <v/>
      </c>
      <c r="BV321">
        <f>'T_TTAFStock'!BT44</f>
        <v/>
      </c>
      <c r="BW321">
        <f>'T_TTAFStock'!BU44</f>
        <v/>
      </c>
      <c r="BX321">
        <f>'T_TTAFStock'!BV44</f>
        <v/>
      </c>
      <c r="BY321">
        <f>'T_TTAFStock'!BW44</f>
        <v/>
      </c>
      <c r="BZ321">
        <f>'T_TTAFStock'!BX44</f>
        <v/>
      </c>
      <c r="CA321">
        <f>'T_TTAFStock'!BY44</f>
        <v/>
      </c>
      <c r="CB321">
        <f>'T_TTAFStock'!BZ44</f>
        <v/>
      </c>
      <c r="CC321">
        <f>'T_TTAFStock'!CA44</f>
        <v/>
      </c>
      <c r="CD321">
        <f>'T_TTAFStock'!CB44</f>
        <v/>
      </c>
      <c r="CE321">
        <f>'T_TTAFStock'!CC44</f>
        <v/>
      </c>
      <c r="CF321">
        <f>'T_TTAFStock'!CD44</f>
        <v/>
      </c>
      <c r="CG321">
        <f>'T_TTAFStock'!CE44</f>
        <v/>
      </c>
      <c r="CH321">
        <f>'T_TTAFStock'!CF44</f>
        <v/>
      </c>
      <c r="CI321">
        <f>'T_TTAFStock'!CG44</f>
        <v/>
      </c>
      <c r="CJ321">
        <f>'T_TTAFStock'!CH44</f>
        <v/>
      </c>
      <c r="CK321">
        <f>'T_TTAFStock'!CI44</f>
        <v/>
      </c>
      <c r="CL321">
        <f>'T_TTAFStock'!CJ44</f>
        <v/>
      </c>
      <c r="CM321">
        <f>'T_TTAFStock'!CK44</f>
        <v/>
      </c>
      <c r="CN321">
        <f>'T_TTAFStock'!CL44</f>
        <v/>
      </c>
      <c r="CO321">
        <f>'T_TTAFStock'!CM44</f>
        <v/>
      </c>
      <c r="CP321">
        <f>'T_TTAFStock'!CN44</f>
        <v/>
      </c>
      <c r="CQ321">
        <f>'T_TTAFStock'!CO44</f>
        <v/>
      </c>
      <c r="CR321">
        <f>'T_TTAFStock'!CP44</f>
        <v/>
      </c>
      <c r="CS321">
        <f>'T_TTAFStock'!CQ44</f>
        <v/>
      </c>
      <c r="CT321">
        <f>'T_TTAFStock'!CR44</f>
        <v/>
      </c>
      <c r="CU321">
        <f>'T_TTAFStock'!CS44</f>
        <v/>
      </c>
      <c r="CV321">
        <f>'T_TTAFStock'!CT44</f>
        <v/>
      </c>
      <c r="CW321">
        <f>'T_TTAFStock'!CU44</f>
        <v/>
      </c>
      <c r="CX321">
        <f>'T_TTAFStock'!CV44</f>
        <v/>
      </c>
      <c r="CY321">
        <f>'T_TTAFStock'!CW44</f>
        <v/>
      </c>
      <c r="CZ321">
        <f>'T_TTAFStock'!CX44</f>
        <v/>
      </c>
      <c r="DA321">
        <f>'T_TTAFStock'!CY44</f>
        <v/>
      </c>
      <c r="DB321">
        <f>'T_TTAFStock'!CZ44</f>
        <v/>
      </c>
      <c r="DC321">
        <f>'T_TTAFStock'!DA44</f>
        <v/>
      </c>
    </row>
    <row r="322">
      <c r="B322" t="inlineStr">
        <is>
          <t>自社在庫(実績,kg)</t>
        </is>
      </c>
      <c r="D322">
        <f>'T_SelfStock'!B44</f>
        <v/>
      </c>
      <c r="E322">
        <f>'T_SelfStock'!C44</f>
        <v/>
      </c>
      <c r="F322">
        <f>'T_SelfStock'!D44</f>
        <v/>
      </c>
      <c r="G322">
        <f>'T_SelfStock'!E44</f>
        <v/>
      </c>
      <c r="H322">
        <f>'T_SelfStock'!F44</f>
        <v/>
      </c>
      <c r="I322">
        <f>'T_SelfStock'!G44</f>
        <v/>
      </c>
      <c r="J322">
        <f>'T_SelfStock'!H44</f>
        <v/>
      </c>
      <c r="K322">
        <f>'T_SelfStock'!I44</f>
        <v/>
      </c>
      <c r="L322">
        <f>'T_SelfStock'!J44</f>
        <v/>
      </c>
      <c r="M322">
        <f>'T_SelfStock'!K44</f>
        <v/>
      </c>
      <c r="N322">
        <f>'T_SelfStock'!L44</f>
        <v/>
      </c>
      <c r="O322">
        <f>'T_SelfStock'!M44</f>
        <v/>
      </c>
      <c r="P322">
        <f>'T_SelfStock'!N44</f>
        <v/>
      </c>
      <c r="Q322">
        <f>'T_SelfStock'!O44</f>
        <v/>
      </c>
      <c r="R322">
        <f>'T_SelfStock'!P44</f>
        <v/>
      </c>
      <c r="S322">
        <f>'T_SelfStock'!Q44</f>
        <v/>
      </c>
      <c r="T322">
        <f>'T_SelfStock'!R44</f>
        <v/>
      </c>
      <c r="U322">
        <f>'T_SelfStock'!S44</f>
        <v/>
      </c>
      <c r="V322">
        <f>'T_SelfStock'!T44</f>
        <v/>
      </c>
      <c r="W322">
        <f>'T_SelfStock'!U44</f>
        <v/>
      </c>
      <c r="X322">
        <f>'T_SelfStock'!V44</f>
        <v/>
      </c>
      <c r="Y322">
        <f>'T_SelfStock'!W44</f>
        <v/>
      </c>
      <c r="Z322">
        <f>'T_SelfStock'!X44</f>
        <v/>
      </c>
      <c r="AA322">
        <f>'T_SelfStock'!Y44</f>
        <v/>
      </c>
      <c r="AB322">
        <f>'T_SelfStock'!Z44</f>
        <v/>
      </c>
      <c r="AC322">
        <f>'T_SelfStock'!AA44</f>
        <v/>
      </c>
      <c r="AD322">
        <f>'T_SelfStock'!AB44</f>
        <v/>
      </c>
      <c r="AE322">
        <f>'T_SelfStock'!AC44</f>
        <v/>
      </c>
      <c r="AF322">
        <f>'T_SelfStock'!AD44</f>
        <v/>
      </c>
      <c r="AG322">
        <f>'T_SelfStock'!AE44</f>
        <v/>
      </c>
      <c r="AH322">
        <f>'T_SelfStock'!AF44</f>
        <v/>
      </c>
      <c r="AI322">
        <f>'T_SelfStock'!AG44</f>
        <v/>
      </c>
      <c r="AJ322">
        <f>'T_SelfStock'!AH44</f>
        <v/>
      </c>
      <c r="AK322">
        <f>'T_SelfStock'!AI44</f>
        <v/>
      </c>
      <c r="AL322">
        <f>'T_SelfStock'!AJ44</f>
        <v/>
      </c>
      <c r="AM322">
        <f>'T_SelfStock'!AK44</f>
        <v/>
      </c>
      <c r="AN322">
        <f>'T_SelfStock'!AL44</f>
        <v/>
      </c>
      <c r="AO322">
        <f>'T_SelfStock'!AM44</f>
        <v/>
      </c>
      <c r="AP322">
        <f>'T_SelfStock'!AN44</f>
        <v/>
      </c>
      <c r="AQ322">
        <f>'T_SelfStock'!AO44</f>
        <v/>
      </c>
      <c r="AR322">
        <f>'T_SelfStock'!AP44</f>
        <v/>
      </c>
      <c r="AS322">
        <f>'T_SelfStock'!AQ44</f>
        <v/>
      </c>
      <c r="AT322">
        <f>'T_SelfStock'!AR44</f>
        <v/>
      </c>
      <c r="AU322">
        <f>'T_SelfStock'!AS44</f>
        <v/>
      </c>
      <c r="AV322">
        <f>'T_SelfStock'!AT44</f>
        <v/>
      </c>
      <c r="AW322">
        <f>'T_SelfStock'!AU44</f>
        <v/>
      </c>
      <c r="AX322">
        <f>'T_SelfStock'!AV44</f>
        <v/>
      </c>
      <c r="AY322">
        <f>'T_SelfStock'!AW44</f>
        <v/>
      </c>
      <c r="AZ322">
        <f>'T_SelfStock'!AX44</f>
        <v/>
      </c>
      <c r="BA322">
        <f>'T_SelfStock'!AY44</f>
        <v/>
      </c>
      <c r="BB322">
        <f>'T_SelfStock'!AZ44</f>
        <v/>
      </c>
      <c r="BC322">
        <f>'T_SelfStock'!BA44</f>
        <v/>
      </c>
      <c r="BD322">
        <f>'T_SelfStock'!BB44</f>
        <v/>
      </c>
      <c r="BE322">
        <f>'T_SelfStock'!BC44</f>
        <v/>
      </c>
      <c r="BF322">
        <f>'T_SelfStock'!BD44</f>
        <v/>
      </c>
      <c r="BG322">
        <f>'T_SelfStock'!BE44</f>
        <v/>
      </c>
      <c r="BH322">
        <f>'T_SelfStock'!BF44</f>
        <v/>
      </c>
      <c r="BI322">
        <f>'T_SelfStock'!BG44</f>
        <v/>
      </c>
      <c r="BJ322">
        <f>'T_SelfStock'!BH44</f>
        <v/>
      </c>
      <c r="BK322">
        <f>'T_SelfStock'!BI44</f>
        <v/>
      </c>
      <c r="BL322">
        <f>'T_SelfStock'!BJ44</f>
        <v/>
      </c>
      <c r="BM322">
        <f>'T_SelfStock'!BK44</f>
        <v/>
      </c>
      <c r="BN322">
        <f>'T_SelfStock'!BL44</f>
        <v/>
      </c>
      <c r="BO322">
        <f>'T_SelfStock'!BM44</f>
        <v/>
      </c>
      <c r="BP322">
        <f>'T_SelfStock'!BN44</f>
        <v/>
      </c>
      <c r="BQ322">
        <f>'T_SelfStock'!BO44</f>
        <v/>
      </c>
      <c r="BR322">
        <f>'T_SelfStock'!BP44</f>
        <v/>
      </c>
      <c r="BS322">
        <f>'T_SelfStock'!BQ44</f>
        <v/>
      </c>
      <c r="BT322">
        <f>'T_SelfStock'!BR44</f>
        <v/>
      </c>
      <c r="BU322">
        <f>'T_SelfStock'!BS44</f>
        <v/>
      </c>
      <c r="BV322">
        <f>'T_SelfStock'!BT44</f>
        <v/>
      </c>
      <c r="BW322">
        <f>'T_SelfStock'!BU44</f>
        <v/>
      </c>
      <c r="BX322">
        <f>'T_SelfStock'!BV44</f>
        <v/>
      </c>
      <c r="BY322">
        <f>'T_SelfStock'!BW44</f>
        <v/>
      </c>
      <c r="BZ322">
        <f>'T_SelfStock'!BX44</f>
        <v/>
      </c>
      <c r="CA322">
        <f>'T_SelfStock'!BY44</f>
        <v/>
      </c>
      <c r="CB322">
        <f>'T_SelfStock'!BZ44</f>
        <v/>
      </c>
      <c r="CC322">
        <f>'T_SelfStock'!CA44</f>
        <v/>
      </c>
      <c r="CD322">
        <f>'T_SelfStock'!CB44</f>
        <v/>
      </c>
      <c r="CE322">
        <f>'T_SelfStock'!CC44</f>
        <v/>
      </c>
      <c r="CF322">
        <f>'T_SelfStock'!CD44</f>
        <v/>
      </c>
      <c r="CG322">
        <f>'T_SelfStock'!CE44</f>
        <v/>
      </c>
      <c r="CH322">
        <f>'T_SelfStock'!CF44</f>
        <v/>
      </c>
      <c r="CI322">
        <f>'T_SelfStock'!CG44</f>
        <v/>
      </c>
      <c r="CJ322">
        <f>'T_SelfStock'!CH44</f>
        <v/>
      </c>
      <c r="CK322">
        <f>'T_SelfStock'!CI44</f>
        <v/>
      </c>
      <c r="CL322">
        <f>'T_SelfStock'!CJ44</f>
        <v/>
      </c>
      <c r="CM322">
        <f>'T_SelfStock'!CK44</f>
        <v/>
      </c>
      <c r="CN322">
        <f>'T_SelfStock'!CL44</f>
        <v/>
      </c>
      <c r="CO322">
        <f>'T_SelfStock'!CM44</f>
        <v/>
      </c>
      <c r="CP322">
        <f>'T_SelfStock'!CN44</f>
        <v/>
      </c>
      <c r="CQ322">
        <f>'T_SelfStock'!CO44</f>
        <v/>
      </c>
      <c r="CR322">
        <f>'T_SelfStock'!CP44</f>
        <v/>
      </c>
      <c r="CS322">
        <f>'T_SelfStock'!CQ44</f>
        <v/>
      </c>
      <c r="CT322">
        <f>'T_SelfStock'!CR44</f>
        <v/>
      </c>
      <c r="CU322">
        <f>'T_SelfStock'!CS44</f>
        <v/>
      </c>
      <c r="CV322">
        <f>'T_SelfStock'!CT44</f>
        <v/>
      </c>
      <c r="CW322">
        <f>'T_SelfStock'!CU44</f>
        <v/>
      </c>
      <c r="CX322">
        <f>'T_SelfStock'!CV44</f>
        <v/>
      </c>
      <c r="CY322">
        <f>'T_SelfStock'!CW44</f>
        <v/>
      </c>
      <c r="CZ322">
        <f>'T_SelfStock'!CX44</f>
        <v/>
      </c>
      <c r="DA322">
        <f>'T_SelfStock'!CY44</f>
        <v/>
      </c>
      <c r="DB322">
        <f>'T_SelfStock'!CZ44</f>
        <v/>
      </c>
      <c r="DC322">
        <f>'T_SelfStock'!DA44</f>
        <v/>
      </c>
    </row>
    <row r="323">
      <c r="B323" t="inlineStr">
        <is>
          <t>Order(発注予定,kg)</t>
        </is>
      </c>
      <c r="D323">
        <f>IF(SUMIFS(T_PlannedOrders[EffectiveQty],T_PlannedOrders[Part Name],$A279,T_PlannedOrders[WeekIndex],1)=0,"",SUMIFS(T_PlannedOrders[EffectiveQty],T_PlannedOrders[Part Name],$A279,T_PlannedOrders[WeekIndex],1)&amp;" ("&amp;TEXT(SUMPRODUCT(MAX((T_PlannedOrders[Part Name]=$A279)*(T_PlannedOrders[WeekIndex]=1)*(T_PlannedOrders[EffectiveQty]&gt;0)*T_PlannedOrders[Order_Month])),"m月")&amp;"発注)")</f>
        <v/>
      </c>
      <c r="E323">
        <f>IF(SUMIFS(T_PlannedOrders[EffectiveQty],T_PlannedOrders[Part Name],$A279,T_PlannedOrders[WeekIndex],2)=0,"",SUMIFS(T_PlannedOrders[EffectiveQty],T_PlannedOrders[Part Name],$A279,T_PlannedOrders[WeekIndex],2)&amp;" ("&amp;TEXT(SUMPRODUCT(MAX((T_PlannedOrders[Part Name]=$A279)*(T_PlannedOrders[WeekIndex]=2)*(T_PlannedOrders[EffectiveQty]&gt;0)*T_PlannedOrders[Order_Month])),"m月")&amp;"発注)")</f>
        <v/>
      </c>
      <c r="F323">
        <f>IF(SUMIFS(T_PlannedOrders[EffectiveQty],T_PlannedOrders[Part Name],$A279,T_PlannedOrders[WeekIndex],3)=0,"",SUMIFS(T_PlannedOrders[EffectiveQty],T_PlannedOrders[Part Name],$A279,T_PlannedOrders[WeekIndex],3)&amp;" ("&amp;TEXT(SUMPRODUCT(MAX((T_PlannedOrders[Part Name]=$A279)*(T_PlannedOrders[WeekIndex]=3)*(T_PlannedOrders[EffectiveQty]&gt;0)*T_PlannedOrders[Order_Month])),"m月")&amp;"発注)")</f>
        <v/>
      </c>
      <c r="G323">
        <f>IF(SUMIFS(T_PlannedOrders[EffectiveQty],T_PlannedOrders[Part Name],$A279,T_PlannedOrders[WeekIndex],4)=0,"",SUMIFS(T_PlannedOrders[EffectiveQty],T_PlannedOrders[Part Name],$A279,T_PlannedOrders[WeekIndex],4)&amp;" ("&amp;TEXT(SUMPRODUCT(MAX((T_PlannedOrders[Part Name]=$A279)*(T_PlannedOrders[WeekIndex]=4)*(T_PlannedOrders[EffectiveQty]&gt;0)*T_PlannedOrders[Order_Month])),"m月")&amp;"発注)")</f>
        <v/>
      </c>
      <c r="H323">
        <f>IF(SUMIFS(T_PlannedOrders[EffectiveQty],T_PlannedOrders[Part Name],$A279,T_PlannedOrders[WeekIndex],5)=0,"",SUMIFS(T_PlannedOrders[EffectiveQty],T_PlannedOrders[Part Name],$A279,T_PlannedOrders[WeekIndex],5)&amp;" ("&amp;TEXT(SUMPRODUCT(MAX((T_PlannedOrders[Part Name]=$A279)*(T_PlannedOrders[WeekIndex]=5)*(T_PlannedOrders[EffectiveQty]&gt;0)*T_PlannedOrders[Order_Month])),"m月")&amp;"発注)")</f>
        <v/>
      </c>
      <c r="I323">
        <f>IF(SUMIFS(T_PlannedOrders[EffectiveQty],T_PlannedOrders[Part Name],$A279,T_PlannedOrders[WeekIndex],6)=0,"",SUMIFS(T_PlannedOrders[EffectiveQty],T_PlannedOrders[Part Name],$A279,T_PlannedOrders[WeekIndex],6)&amp;" ("&amp;TEXT(SUMPRODUCT(MAX((T_PlannedOrders[Part Name]=$A279)*(T_PlannedOrders[WeekIndex]=6)*(T_PlannedOrders[EffectiveQty]&gt;0)*T_PlannedOrders[Order_Month])),"m月")&amp;"発注)")</f>
        <v/>
      </c>
      <c r="J323">
        <f>IF(SUMIFS(T_PlannedOrders[EffectiveQty],T_PlannedOrders[Part Name],$A279,T_PlannedOrders[WeekIndex],7)=0,"",SUMIFS(T_PlannedOrders[EffectiveQty],T_PlannedOrders[Part Name],$A279,T_PlannedOrders[WeekIndex],7)&amp;" ("&amp;TEXT(SUMPRODUCT(MAX((T_PlannedOrders[Part Name]=$A279)*(T_PlannedOrders[WeekIndex]=7)*(T_PlannedOrders[EffectiveQty]&gt;0)*T_PlannedOrders[Order_Month])),"m月")&amp;"発注)")</f>
        <v/>
      </c>
      <c r="K323">
        <f>IF(SUMIFS(T_PlannedOrders[EffectiveQty],T_PlannedOrders[Part Name],$A279,T_PlannedOrders[WeekIndex],8)=0,"",SUMIFS(T_PlannedOrders[EffectiveQty],T_PlannedOrders[Part Name],$A279,T_PlannedOrders[WeekIndex],8)&amp;" ("&amp;TEXT(SUMPRODUCT(MAX((T_PlannedOrders[Part Name]=$A279)*(T_PlannedOrders[WeekIndex]=8)*(T_PlannedOrders[EffectiveQty]&gt;0)*T_PlannedOrders[Order_Month])),"m月")&amp;"発注)")</f>
        <v/>
      </c>
      <c r="L323">
        <f>IF(SUMIFS(T_PlannedOrders[EffectiveQty],T_PlannedOrders[Part Name],$A279,T_PlannedOrders[WeekIndex],9)=0,"",SUMIFS(T_PlannedOrders[EffectiveQty],T_PlannedOrders[Part Name],$A279,T_PlannedOrders[WeekIndex],9)&amp;" ("&amp;TEXT(SUMPRODUCT(MAX((T_PlannedOrders[Part Name]=$A279)*(T_PlannedOrders[WeekIndex]=9)*(T_PlannedOrders[EffectiveQty]&gt;0)*T_PlannedOrders[Order_Month])),"m月")&amp;"発注)")</f>
        <v/>
      </c>
      <c r="M323">
        <f>IF(SUMIFS(T_PlannedOrders[EffectiveQty],T_PlannedOrders[Part Name],$A279,T_PlannedOrders[WeekIndex],10)=0,"",SUMIFS(T_PlannedOrders[EffectiveQty],T_PlannedOrders[Part Name],$A279,T_PlannedOrders[WeekIndex],10)&amp;" ("&amp;TEXT(SUMPRODUCT(MAX((T_PlannedOrders[Part Name]=$A279)*(T_PlannedOrders[WeekIndex]=10)*(T_PlannedOrders[EffectiveQty]&gt;0)*T_PlannedOrders[Order_Month])),"m月")&amp;"発注)")</f>
        <v/>
      </c>
      <c r="N323">
        <f>IF(SUMIFS(T_PlannedOrders[EffectiveQty],T_PlannedOrders[Part Name],$A279,T_PlannedOrders[WeekIndex],11)=0,"",SUMIFS(T_PlannedOrders[EffectiveQty],T_PlannedOrders[Part Name],$A279,T_PlannedOrders[WeekIndex],11)&amp;" ("&amp;TEXT(SUMPRODUCT(MAX((T_PlannedOrders[Part Name]=$A279)*(T_PlannedOrders[WeekIndex]=11)*(T_PlannedOrders[EffectiveQty]&gt;0)*T_PlannedOrders[Order_Month])),"m月")&amp;"発注)")</f>
        <v/>
      </c>
      <c r="O323">
        <f>IF(SUMIFS(T_PlannedOrders[EffectiveQty],T_PlannedOrders[Part Name],$A279,T_PlannedOrders[WeekIndex],12)=0,"",SUMIFS(T_PlannedOrders[EffectiveQty],T_PlannedOrders[Part Name],$A279,T_PlannedOrders[WeekIndex],12)&amp;" ("&amp;TEXT(SUMPRODUCT(MAX((T_PlannedOrders[Part Name]=$A279)*(T_PlannedOrders[WeekIndex]=12)*(T_PlannedOrders[EffectiveQty]&gt;0)*T_PlannedOrders[Order_Month])),"m月")&amp;"発注)")</f>
        <v/>
      </c>
      <c r="P323">
        <f>IF(SUMIFS(T_PlannedOrders[EffectiveQty],T_PlannedOrders[Part Name],$A279,T_PlannedOrders[WeekIndex],13)=0,"",SUMIFS(T_PlannedOrders[EffectiveQty],T_PlannedOrders[Part Name],$A279,T_PlannedOrders[WeekIndex],13)&amp;" ("&amp;TEXT(SUMPRODUCT(MAX((T_PlannedOrders[Part Name]=$A279)*(T_PlannedOrders[WeekIndex]=13)*(T_PlannedOrders[EffectiveQty]&gt;0)*T_PlannedOrders[Order_Month])),"m月")&amp;"発注)")</f>
        <v/>
      </c>
      <c r="Q323">
        <f>IF(SUMIFS(T_PlannedOrders[EffectiveQty],T_PlannedOrders[Part Name],$A279,T_PlannedOrders[WeekIndex],14)=0,"",SUMIFS(T_PlannedOrders[EffectiveQty],T_PlannedOrders[Part Name],$A279,T_PlannedOrders[WeekIndex],14)&amp;" ("&amp;TEXT(SUMPRODUCT(MAX((T_PlannedOrders[Part Name]=$A279)*(T_PlannedOrders[WeekIndex]=14)*(T_PlannedOrders[EffectiveQty]&gt;0)*T_PlannedOrders[Order_Month])),"m月")&amp;"発注)")</f>
        <v/>
      </c>
      <c r="R323">
        <f>IF(SUMIFS(T_PlannedOrders[EffectiveQty],T_PlannedOrders[Part Name],$A279,T_PlannedOrders[WeekIndex],15)=0,"",SUMIFS(T_PlannedOrders[EffectiveQty],T_PlannedOrders[Part Name],$A279,T_PlannedOrders[WeekIndex],15)&amp;" ("&amp;TEXT(SUMPRODUCT(MAX((T_PlannedOrders[Part Name]=$A279)*(T_PlannedOrders[WeekIndex]=15)*(T_PlannedOrders[EffectiveQty]&gt;0)*T_PlannedOrders[Order_Month])),"m月")&amp;"発注)")</f>
        <v/>
      </c>
      <c r="S323">
        <f>IF(SUMIFS(T_PlannedOrders[EffectiveQty],T_PlannedOrders[Part Name],$A279,T_PlannedOrders[WeekIndex],16)=0,"",SUMIFS(T_PlannedOrders[EffectiveQty],T_PlannedOrders[Part Name],$A279,T_PlannedOrders[WeekIndex],16)&amp;" ("&amp;TEXT(SUMPRODUCT(MAX((T_PlannedOrders[Part Name]=$A279)*(T_PlannedOrders[WeekIndex]=16)*(T_PlannedOrders[EffectiveQty]&gt;0)*T_PlannedOrders[Order_Month])),"m月")&amp;"発注)")</f>
        <v/>
      </c>
      <c r="T323">
        <f>IF(SUMIFS(T_PlannedOrders[EffectiveQty],T_PlannedOrders[Part Name],$A279,T_PlannedOrders[WeekIndex],17)=0,"",SUMIFS(T_PlannedOrders[EffectiveQty],T_PlannedOrders[Part Name],$A279,T_PlannedOrders[WeekIndex],17)&amp;" ("&amp;TEXT(SUMPRODUCT(MAX((T_PlannedOrders[Part Name]=$A279)*(T_PlannedOrders[WeekIndex]=17)*(T_PlannedOrders[EffectiveQty]&gt;0)*T_PlannedOrders[Order_Month])),"m月")&amp;"発注)")</f>
        <v/>
      </c>
      <c r="U323">
        <f>IF(SUMIFS(T_PlannedOrders[EffectiveQty],T_PlannedOrders[Part Name],$A279,T_PlannedOrders[WeekIndex],18)=0,"",SUMIFS(T_PlannedOrders[EffectiveQty],T_PlannedOrders[Part Name],$A279,T_PlannedOrders[WeekIndex],18)&amp;" ("&amp;TEXT(SUMPRODUCT(MAX((T_PlannedOrders[Part Name]=$A279)*(T_PlannedOrders[WeekIndex]=18)*(T_PlannedOrders[EffectiveQty]&gt;0)*T_PlannedOrders[Order_Month])),"m月")&amp;"発注)")</f>
        <v/>
      </c>
      <c r="V323">
        <f>IF(SUMIFS(T_PlannedOrders[EffectiveQty],T_PlannedOrders[Part Name],$A279,T_PlannedOrders[WeekIndex],19)=0,"",SUMIFS(T_PlannedOrders[EffectiveQty],T_PlannedOrders[Part Name],$A279,T_PlannedOrders[WeekIndex],19)&amp;" ("&amp;TEXT(SUMPRODUCT(MAX((T_PlannedOrders[Part Name]=$A279)*(T_PlannedOrders[WeekIndex]=19)*(T_PlannedOrders[EffectiveQty]&gt;0)*T_PlannedOrders[Order_Month])),"m月")&amp;"発注)")</f>
        <v/>
      </c>
      <c r="W323">
        <f>IF(SUMIFS(T_PlannedOrders[EffectiveQty],T_PlannedOrders[Part Name],$A279,T_PlannedOrders[WeekIndex],20)=0,"",SUMIFS(T_PlannedOrders[EffectiveQty],T_PlannedOrders[Part Name],$A279,T_PlannedOrders[WeekIndex],20)&amp;" ("&amp;TEXT(SUMPRODUCT(MAX((T_PlannedOrders[Part Name]=$A279)*(T_PlannedOrders[WeekIndex]=20)*(T_PlannedOrders[EffectiveQty]&gt;0)*T_PlannedOrders[Order_Month])),"m月")&amp;"発注)")</f>
        <v/>
      </c>
      <c r="X323">
        <f>IF(SUMIFS(T_PlannedOrders[EffectiveQty],T_PlannedOrders[Part Name],$A279,T_PlannedOrders[WeekIndex],21)=0,"",SUMIFS(T_PlannedOrders[EffectiveQty],T_PlannedOrders[Part Name],$A279,T_PlannedOrders[WeekIndex],21)&amp;" ("&amp;TEXT(SUMPRODUCT(MAX((T_PlannedOrders[Part Name]=$A279)*(T_PlannedOrders[WeekIndex]=21)*(T_PlannedOrders[EffectiveQty]&gt;0)*T_PlannedOrders[Order_Month])),"m月")&amp;"発注)")</f>
        <v/>
      </c>
      <c r="Y323">
        <f>IF(SUMIFS(T_PlannedOrders[EffectiveQty],T_PlannedOrders[Part Name],$A279,T_PlannedOrders[WeekIndex],22)=0,"",SUMIFS(T_PlannedOrders[EffectiveQty],T_PlannedOrders[Part Name],$A279,T_PlannedOrders[WeekIndex],22)&amp;" ("&amp;TEXT(SUMPRODUCT(MAX((T_PlannedOrders[Part Name]=$A279)*(T_PlannedOrders[WeekIndex]=22)*(T_PlannedOrders[EffectiveQty]&gt;0)*T_PlannedOrders[Order_Month])),"m月")&amp;"発注)")</f>
        <v/>
      </c>
      <c r="Z323">
        <f>IF(SUMIFS(T_PlannedOrders[EffectiveQty],T_PlannedOrders[Part Name],$A279,T_PlannedOrders[WeekIndex],23)=0,"",SUMIFS(T_PlannedOrders[EffectiveQty],T_PlannedOrders[Part Name],$A279,T_PlannedOrders[WeekIndex],23)&amp;" ("&amp;TEXT(SUMPRODUCT(MAX((T_PlannedOrders[Part Name]=$A279)*(T_PlannedOrders[WeekIndex]=23)*(T_PlannedOrders[EffectiveQty]&gt;0)*T_PlannedOrders[Order_Month])),"m月")&amp;"発注)")</f>
        <v/>
      </c>
      <c r="AA323">
        <f>IF(SUMIFS(T_PlannedOrders[EffectiveQty],T_PlannedOrders[Part Name],$A279,T_PlannedOrders[WeekIndex],24)=0,"",SUMIFS(T_PlannedOrders[EffectiveQty],T_PlannedOrders[Part Name],$A279,T_PlannedOrders[WeekIndex],24)&amp;" ("&amp;TEXT(SUMPRODUCT(MAX((T_PlannedOrders[Part Name]=$A279)*(T_PlannedOrders[WeekIndex]=24)*(T_PlannedOrders[EffectiveQty]&gt;0)*T_PlannedOrders[Order_Month])),"m月")&amp;"発注)")</f>
        <v/>
      </c>
      <c r="AB323">
        <f>IF(SUMIFS(T_PlannedOrders[EffectiveQty],T_PlannedOrders[Part Name],$A279,T_PlannedOrders[WeekIndex],25)=0,"",SUMIFS(T_PlannedOrders[EffectiveQty],T_PlannedOrders[Part Name],$A279,T_PlannedOrders[WeekIndex],25)&amp;" ("&amp;TEXT(SUMPRODUCT(MAX((T_PlannedOrders[Part Name]=$A279)*(T_PlannedOrders[WeekIndex]=25)*(T_PlannedOrders[EffectiveQty]&gt;0)*T_PlannedOrders[Order_Month])),"m月")&amp;"発注)")</f>
        <v/>
      </c>
      <c r="AC323">
        <f>IF(SUMIFS(T_PlannedOrders[EffectiveQty],T_PlannedOrders[Part Name],$A279,T_PlannedOrders[WeekIndex],26)=0,"",SUMIFS(T_PlannedOrders[EffectiveQty],T_PlannedOrders[Part Name],$A279,T_PlannedOrders[WeekIndex],26)&amp;" ("&amp;TEXT(SUMPRODUCT(MAX((T_PlannedOrders[Part Name]=$A279)*(T_PlannedOrders[WeekIndex]=26)*(T_PlannedOrders[EffectiveQty]&gt;0)*T_PlannedOrders[Order_Month])),"m月")&amp;"発注)")</f>
        <v/>
      </c>
      <c r="AD323">
        <f>IF(SUMIFS(T_PlannedOrders[EffectiveQty],T_PlannedOrders[Part Name],$A279,T_PlannedOrders[WeekIndex],27)=0,"",SUMIFS(T_PlannedOrders[EffectiveQty],T_PlannedOrders[Part Name],$A279,T_PlannedOrders[WeekIndex],27)&amp;" ("&amp;TEXT(SUMPRODUCT(MAX((T_PlannedOrders[Part Name]=$A279)*(T_PlannedOrders[WeekIndex]=27)*(T_PlannedOrders[EffectiveQty]&gt;0)*T_PlannedOrders[Order_Month])),"m月")&amp;"発注)")</f>
        <v/>
      </c>
      <c r="AE323">
        <f>IF(SUMIFS(T_PlannedOrders[EffectiveQty],T_PlannedOrders[Part Name],$A279,T_PlannedOrders[WeekIndex],28)=0,"",SUMIFS(T_PlannedOrders[EffectiveQty],T_PlannedOrders[Part Name],$A279,T_PlannedOrders[WeekIndex],28)&amp;" ("&amp;TEXT(SUMPRODUCT(MAX((T_PlannedOrders[Part Name]=$A279)*(T_PlannedOrders[WeekIndex]=28)*(T_PlannedOrders[EffectiveQty]&gt;0)*T_PlannedOrders[Order_Month])),"m月")&amp;"発注)")</f>
        <v/>
      </c>
      <c r="AF323">
        <f>IF(SUMIFS(T_PlannedOrders[EffectiveQty],T_PlannedOrders[Part Name],$A279,T_PlannedOrders[WeekIndex],29)=0,"",SUMIFS(T_PlannedOrders[EffectiveQty],T_PlannedOrders[Part Name],$A279,T_PlannedOrders[WeekIndex],29)&amp;" ("&amp;TEXT(SUMPRODUCT(MAX((T_PlannedOrders[Part Name]=$A279)*(T_PlannedOrders[WeekIndex]=29)*(T_PlannedOrders[EffectiveQty]&gt;0)*T_PlannedOrders[Order_Month])),"m月")&amp;"発注)")</f>
        <v/>
      </c>
      <c r="AG323">
        <f>IF(SUMIFS(T_PlannedOrders[EffectiveQty],T_PlannedOrders[Part Name],$A279,T_PlannedOrders[WeekIndex],30)=0,"",SUMIFS(T_PlannedOrders[EffectiveQty],T_PlannedOrders[Part Name],$A279,T_PlannedOrders[WeekIndex],30)&amp;" ("&amp;TEXT(SUMPRODUCT(MAX((T_PlannedOrders[Part Name]=$A279)*(T_PlannedOrders[WeekIndex]=30)*(T_PlannedOrders[EffectiveQty]&gt;0)*T_PlannedOrders[Order_Month])),"m月")&amp;"発注)")</f>
        <v/>
      </c>
      <c r="AH323">
        <f>IF(SUMIFS(T_PlannedOrders[EffectiveQty],T_PlannedOrders[Part Name],$A279,T_PlannedOrders[WeekIndex],31)=0,"",SUMIFS(T_PlannedOrders[EffectiveQty],T_PlannedOrders[Part Name],$A279,T_PlannedOrders[WeekIndex],31)&amp;" ("&amp;TEXT(SUMPRODUCT(MAX((T_PlannedOrders[Part Name]=$A279)*(T_PlannedOrders[WeekIndex]=31)*(T_PlannedOrders[EffectiveQty]&gt;0)*T_PlannedOrders[Order_Month])),"m月")&amp;"発注)")</f>
        <v/>
      </c>
      <c r="AI323">
        <f>IF(SUMIFS(T_PlannedOrders[EffectiveQty],T_PlannedOrders[Part Name],$A279,T_PlannedOrders[WeekIndex],32)=0,"",SUMIFS(T_PlannedOrders[EffectiveQty],T_PlannedOrders[Part Name],$A279,T_PlannedOrders[WeekIndex],32)&amp;" ("&amp;TEXT(SUMPRODUCT(MAX((T_PlannedOrders[Part Name]=$A279)*(T_PlannedOrders[WeekIndex]=32)*(T_PlannedOrders[EffectiveQty]&gt;0)*T_PlannedOrders[Order_Month])),"m月")&amp;"発注)")</f>
        <v/>
      </c>
      <c r="AJ323">
        <f>IF(SUMIFS(T_PlannedOrders[EffectiveQty],T_PlannedOrders[Part Name],$A279,T_PlannedOrders[WeekIndex],33)=0,"",SUMIFS(T_PlannedOrders[EffectiveQty],T_PlannedOrders[Part Name],$A279,T_PlannedOrders[WeekIndex],33)&amp;" ("&amp;TEXT(SUMPRODUCT(MAX((T_PlannedOrders[Part Name]=$A279)*(T_PlannedOrders[WeekIndex]=33)*(T_PlannedOrders[EffectiveQty]&gt;0)*T_PlannedOrders[Order_Month])),"m月")&amp;"発注)")</f>
        <v/>
      </c>
      <c r="AK323">
        <f>IF(SUMIFS(T_PlannedOrders[EffectiveQty],T_PlannedOrders[Part Name],$A279,T_PlannedOrders[WeekIndex],34)=0,"",SUMIFS(T_PlannedOrders[EffectiveQty],T_PlannedOrders[Part Name],$A279,T_PlannedOrders[WeekIndex],34)&amp;" ("&amp;TEXT(SUMPRODUCT(MAX((T_PlannedOrders[Part Name]=$A279)*(T_PlannedOrders[WeekIndex]=34)*(T_PlannedOrders[EffectiveQty]&gt;0)*T_PlannedOrders[Order_Month])),"m月")&amp;"発注)")</f>
        <v/>
      </c>
      <c r="AL323">
        <f>IF(SUMIFS(T_PlannedOrders[EffectiveQty],T_PlannedOrders[Part Name],$A279,T_PlannedOrders[WeekIndex],35)=0,"",SUMIFS(T_PlannedOrders[EffectiveQty],T_PlannedOrders[Part Name],$A279,T_PlannedOrders[WeekIndex],35)&amp;" ("&amp;TEXT(SUMPRODUCT(MAX((T_PlannedOrders[Part Name]=$A279)*(T_PlannedOrders[WeekIndex]=35)*(T_PlannedOrders[EffectiveQty]&gt;0)*T_PlannedOrders[Order_Month])),"m月")&amp;"発注)")</f>
        <v/>
      </c>
      <c r="AM323">
        <f>IF(SUMIFS(T_PlannedOrders[EffectiveQty],T_PlannedOrders[Part Name],$A279,T_PlannedOrders[WeekIndex],36)=0,"",SUMIFS(T_PlannedOrders[EffectiveQty],T_PlannedOrders[Part Name],$A279,T_PlannedOrders[WeekIndex],36)&amp;" ("&amp;TEXT(SUMPRODUCT(MAX((T_PlannedOrders[Part Name]=$A279)*(T_PlannedOrders[WeekIndex]=36)*(T_PlannedOrders[EffectiveQty]&gt;0)*T_PlannedOrders[Order_Month])),"m月")&amp;"発注)")</f>
        <v/>
      </c>
      <c r="AN323">
        <f>IF(SUMIFS(T_PlannedOrders[EffectiveQty],T_PlannedOrders[Part Name],$A279,T_PlannedOrders[WeekIndex],37)=0,"",SUMIFS(T_PlannedOrders[EffectiveQty],T_PlannedOrders[Part Name],$A279,T_PlannedOrders[WeekIndex],37)&amp;" ("&amp;TEXT(SUMPRODUCT(MAX((T_PlannedOrders[Part Name]=$A279)*(T_PlannedOrders[WeekIndex]=37)*(T_PlannedOrders[EffectiveQty]&gt;0)*T_PlannedOrders[Order_Month])),"m月")&amp;"発注)")</f>
        <v/>
      </c>
      <c r="AO323">
        <f>IF(SUMIFS(T_PlannedOrders[EffectiveQty],T_PlannedOrders[Part Name],$A279,T_PlannedOrders[WeekIndex],38)=0,"",SUMIFS(T_PlannedOrders[EffectiveQty],T_PlannedOrders[Part Name],$A279,T_PlannedOrders[WeekIndex],38)&amp;" ("&amp;TEXT(SUMPRODUCT(MAX((T_PlannedOrders[Part Name]=$A279)*(T_PlannedOrders[WeekIndex]=38)*(T_PlannedOrders[EffectiveQty]&gt;0)*T_PlannedOrders[Order_Month])),"m月")&amp;"発注)")</f>
        <v/>
      </c>
      <c r="AP323">
        <f>IF(SUMIFS(T_PlannedOrders[EffectiveQty],T_PlannedOrders[Part Name],$A279,T_PlannedOrders[WeekIndex],39)=0,"",SUMIFS(T_PlannedOrders[EffectiveQty],T_PlannedOrders[Part Name],$A279,T_PlannedOrders[WeekIndex],39)&amp;" ("&amp;TEXT(SUMPRODUCT(MAX((T_PlannedOrders[Part Name]=$A279)*(T_PlannedOrders[WeekIndex]=39)*(T_PlannedOrders[EffectiveQty]&gt;0)*T_PlannedOrders[Order_Month])),"m月")&amp;"発注)")</f>
        <v/>
      </c>
      <c r="AQ323">
        <f>IF(SUMIFS(T_PlannedOrders[EffectiveQty],T_PlannedOrders[Part Name],$A279,T_PlannedOrders[WeekIndex],40)=0,"",SUMIFS(T_PlannedOrders[EffectiveQty],T_PlannedOrders[Part Name],$A279,T_PlannedOrders[WeekIndex],40)&amp;" ("&amp;TEXT(SUMPRODUCT(MAX((T_PlannedOrders[Part Name]=$A279)*(T_PlannedOrders[WeekIndex]=40)*(T_PlannedOrders[EffectiveQty]&gt;0)*T_PlannedOrders[Order_Month])),"m月")&amp;"発注)")</f>
        <v/>
      </c>
      <c r="AR323">
        <f>IF(SUMIFS(T_PlannedOrders[EffectiveQty],T_PlannedOrders[Part Name],$A279,T_PlannedOrders[WeekIndex],41)=0,"",SUMIFS(T_PlannedOrders[EffectiveQty],T_PlannedOrders[Part Name],$A279,T_PlannedOrders[WeekIndex],41)&amp;" ("&amp;TEXT(SUMPRODUCT(MAX((T_PlannedOrders[Part Name]=$A279)*(T_PlannedOrders[WeekIndex]=41)*(T_PlannedOrders[EffectiveQty]&gt;0)*T_PlannedOrders[Order_Month])),"m月")&amp;"発注)")</f>
        <v/>
      </c>
      <c r="AS323">
        <f>IF(SUMIFS(T_PlannedOrders[EffectiveQty],T_PlannedOrders[Part Name],$A279,T_PlannedOrders[WeekIndex],42)=0,"",SUMIFS(T_PlannedOrders[EffectiveQty],T_PlannedOrders[Part Name],$A279,T_PlannedOrders[WeekIndex],42)&amp;" ("&amp;TEXT(SUMPRODUCT(MAX((T_PlannedOrders[Part Name]=$A279)*(T_PlannedOrders[WeekIndex]=42)*(T_PlannedOrders[EffectiveQty]&gt;0)*T_PlannedOrders[Order_Month])),"m月")&amp;"発注)")</f>
        <v/>
      </c>
      <c r="AT323">
        <f>IF(SUMIFS(T_PlannedOrders[EffectiveQty],T_PlannedOrders[Part Name],$A279,T_PlannedOrders[WeekIndex],43)=0,"",SUMIFS(T_PlannedOrders[EffectiveQty],T_PlannedOrders[Part Name],$A279,T_PlannedOrders[WeekIndex],43)&amp;" ("&amp;TEXT(SUMPRODUCT(MAX((T_PlannedOrders[Part Name]=$A279)*(T_PlannedOrders[WeekIndex]=43)*(T_PlannedOrders[EffectiveQty]&gt;0)*T_PlannedOrders[Order_Month])),"m月")&amp;"発注)")</f>
        <v/>
      </c>
      <c r="AU323">
        <f>IF(SUMIFS(T_PlannedOrders[EffectiveQty],T_PlannedOrders[Part Name],$A279,T_PlannedOrders[WeekIndex],44)=0,"",SUMIFS(T_PlannedOrders[EffectiveQty],T_PlannedOrders[Part Name],$A279,T_PlannedOrders[WeekIndex],44)&amp;" ("&amp;TEXT(SUMPRODUCT(MAX((T_PlannedOrders[Part Name]=$A279)*(T_PlannedOrders[WeekIndex]=44)*(T_PlannedOrders[EffectiveQty]&gt;0)*T_PlannedOrders[Order_Month])),"m月")&amp;"発注)")</f>
        <v/>
      </c>
      <c r="AV323">
        <f>IF(SUMIFS(T_PlannedOrders[EffectiveQty],T_PlannedOrders[Part Name],$A279,T_PlannedOrders[WeekIndex],45)=0,"",SUMIFS(T_PlannedOrders[EffectiveQty],T_PlannedOrders[Part Name],$A279,T_PlannedOrders[WeekIndex],45)&amp;" ("&amp;TEXT(SUMPRODUCT(MAX((T_PlannedOrders[Part Name]=$A279)*(T_PlannedOrders[WeekIndex]=45)*(T_PlannedOrders[EffectiveQty]&gt;0)*T_PlannedOrders[Order_Month])),"m月")&amp;"発注)")</f>
        <v/>
      </c>
      <c r="AW323">
        <f>IF(SUMIFS(T_PlannedOrders[EffectiveQty],T_PlannedOrders[Part Name],$A279,T_PlannedOrders[WeekIndex],46)=0,"",SUMIFS(T_PlannedOrders[EffectiveQty],T_PlannedOrders[Part Name],$A279,T_PlannedOrders[WeekIndex],46)&amp;" ("&amp;TEXT(SUMPRODUCT(MAX((T_PlannedOrders[Part Name]=$A279)*(T_PlannedOrders[WeekIndex]=46)*(T_PlannedOrders[EffectiveQty]&gt;0)*T_PlannedOrders[Order_Month])),"m月")&amp;"発注)")</f>
        <v/>
      </c>
      <c r="AX323">
        <f>IF(SUMIFS(T_PlannedOrders[EffectiveQty],T_PlannedOrders[Part Name],$A279,T_PlannedOrders[WeekIndex],47)=0,"",SUMIFS(T_PlannedOrders[EffectiveQty],T_PlannedOrders[Part Name],$A279,T_PlannedOrders[WeekIndex],47)&amp;" ("&amp;TEXT(SUMPRODUCT(MAX((T_PlannedOrders[Part Name]=$A279)*(T_PlannedOrders[WeekIndex]=47)*(T_PlannedOrders[EffectiveQty]&gt;0)*T_PlannedOrders[Order_Month])),"m月")&amp;"発注)")</f>
        <v/>
      </c>
      <c r="AY323">
        <f>IF(SUMIFS(T_PlannedOrders[EffectiveQty],T_PlannedOrders[Part Name],$A279,T_PlannedOrders[WeekIndex],48)=0,"",SUMIFS(T_PlannedOrders[EffectiveQty],T_PlannedOrders[Part Name],$A279,T_PlannedOrders[WeekIndex],48)&amp;" ("&amp;TEXT(SUMPRODUCT(MAX((T_PlannedOrders[Part Name]=$A279)*(T_PlannedOrders[WeekIndex]=48)*(T_PlannedOrders[EffectiveQty]&gt;0)*T_PlannedOrders[Order_Month])),"m月")&amp;"発注)")</f>
        <v/>
      </c>
      <c r="AZ323">
        <f>IF(SUMIFS(T_PlannedOrders[EffectiveQty],T_PlannedOrders[Part Name],$A279,T_PlannedOrders[WeekIndex],49)=0,"",SUMIFS(T_PlannedOrders[EffectiveQty],T_PlannedOrders[Part Name],$A279,T_PlannedOrders[WeekIndex],49)&amp;" ("&amp;TEXT(SUMPRODUCT(MAX((T_PlannedOrders[Part Name]=$A279)*(T_PlannedOrders[WeekIndex]=49)*(T_PlannedOrders[EffectiveQty]&gt;0)*T_PlannedOrders[Order_Month])),"m月")&amp;"発注)")</f>
        <v/>
      </c>
      <c r="BA323">
        <f>IF(SUMIFS(T_PlannedOrders[EffectiveQty],T_PlannedOrders[Part Name],$A279,T_PlannedOrders[WeekIndex],50)=0,"",SUMIFS(T_PlannedOrders[EffectiveQty],T_PlannedOrders[Part Name],$A279,T_PlannedOrders[WeekIndex],50)&amp;" ("&amp;TEXT(SUMPRODUCT(MAX((T_PlannedOrders[Part Name]=$A279)*(T_PlannedOrders[WeekIndex]=50)*(T_PlannedOrders[EffectiveQty]&gt;0)*T_PlannedOrders[Order_Month])),"m月")&amp;"発注)")</f>
        <v/>
      </c>
      <c r="BB323">
        <f>IF(SUMIFS(T_PlannedOrders[EffectiveQty],T_PlannedOrders[Part Name],$A279,T_PlannedOrders[WeekIndex],51)=0,"",SUMIFS(T_PlannedOrders[EffectiveQty],T_PlannedOrders[Part Name],$A279,T_PlannedOrders[WeekIndex],51)&amp;" ("&amp;TEXT(SUMPRODUCT(MAX((T_PlannedOrders[Part Name]=$A279)*(T_PlannedOrders[WeekIndex]=51)*(T_PlannedOrders[EffectiveQty]&gt;0)*T_PlannedOrders[Order_Month])),"m月")&amp;"発注)")</f>
        <v/>
      </c>
      <c r="BC323">
        <f>IF(SUMIFS(T_PlannedOrders[EffectiveQty],T_PlannedOrders[Part Name],$A279,T_PlannedOrders[WeekIndex],52)=0,"",SUMIFS(T_PlannedOrders[EffectiveQty],T_PlannedOrders[Part Name],$A279,T_PlannedOrders[WeekIndex],52)&amp;" ("&amp;TEXT(SUMPRODUCT(MAX((T_PlannedOrders[Part Name]=$A279)*(T_PlannedOrders[WeekIndex]=52)*(T_PlannedOrders[EffectiveQty]&gt;0)*T_PlannedOrders[Order_Month])),"m月")&amp;"発注)")</f>
        <v/>
      </c>
      <c r="BD323">
        <f>IF(SUMIFS(T_PlannedOrders[EffectiveQty],T_PlannedOrders[Part Name],$A279,T_PlannedOrders[WeekIndex],53)=0,"",SUMIFS(T_PlannedOrders[EffectiveQty],T_PlannedOrders[Part Name],$A279,T_PlannedOrders[WeekIndex],53)&amp;" ("&amp;TEXT(SUMPRODUCT(MAX((T_PlannedOrders[Part Name]=$A279)*(T_PlannedOrders[WeekIndex]=53)*(T_PlannedOrders[EffectiveQty]&gt;0)*T_PlannedOrders[Order_Month])),"m月")&amp;"発注)")</f>
        <v/>
      </c>
      <c r="BE323">
        <f>IF(SUMIFS(T_PlannedOrders[EffectiveQty],T_PlannedOrders[Part Name],$A279,T_PlannedOrders[WeekIndex],54)=0,"",SUMIFS(T_PlannedOrders[EffectiveQty],T_PlannedOrders[Part Name],$A279,T_PlannedOrders[WeekIndex],54)&amp;" ("&amp;TEXT(SUMPRODUCT(MAX((T_PlannedOrders[Part Name]=$A279)*(T_PlannedOrders[WeekIndex]=54)*(T_PlannedOrders[EffectiveQty]&gt;0)*T_PlannedOrders[Order_Month])),"m月")&amp;"発注)")</f>
        <v/>
      </c>
      <c r="BF323">
        <f>IF(SUMIFS(T_PlannedOrders[EffectiveQty],T_PlannedOrders[Part Name],$A279,T_PlannedOrders[WeekIndex],55)=0,"",SUMIFS(T_PlannedOrders[EffectiveQty],T_PlannedOrders[Part Name],$A279,T_PlannedOrders[WeekIndex],55)&amp;" ("&amp;TEXT(SUMPRODUCT(MAX((T_PlannedOrders[Part Name]=$A279)*(T_PlannedOrders[WeekIndex]=55)*(T_PlannedOrders[EffectiveQty]&gt;0)*T_PlannedOrders[Order_Month])),"m月")&amp;"発注)")</f>
        <v/>
      </c>
      <c r="BG323">
        <f>IF(SUMIFS(T_PlannedOrders[EffectiveQty],T_PlannedOrders[Part Name],$A279,T_PlannedOrders[WeekIndex],56)=0,"",SUMIFS(T_PlannedOrders[EffectiveQty],T_PlannedOrders[Part Name],$A279,T_PlannedOrders[WeekIndex],56)&amp;" ("&amp;TEXT(SUMPRODUCT(MAX((T_PlannedOrders[Part Name]=$A279)*(T_PlannedOrders[WeekIndex]=56)*(T_PlannedOrders[EffectiveQty]&gt;0)*T_PlannedOrders[Order_Month])),"m月")&amp;"発注)")</f>
        <v/>
      </c>
      <c r="BH323">
        <f>IF(SUMIFS(T_PlannedOrders[EffectiveQty],T_PlannedOrders[Part Name],$A279,T_PlannedOrders[WeekIndex],57)=0,"",SUMIFS(T_PlannedOrders[EffectiveQty],T_PlannedOrders[Part Name],$A279,T_PlannedOrders[WeekIndex],57)&amp;" ("&amp;TEXT(SUMPRODUCT(MAX((T_PlannedOrders[Part Name]=$A279)*(T_PlannedOrders[WeekIndex]=57)*(T_PlannedOrders[EffectiveQty]&gt;0)*T_PlannedOrders[Order_Month])),"m月")&amp;"発注)")</f>
        <v/>
      </c>
      <c r="BI323">
        <f>IF(SUMIFS(T_PlannedOrders[EffectiveQty],T_PlannedOrders[Part Name],$A279,T_PlannedOrders[WeekIndex],58)=0,"",SUMIFS(T_PlannedOrders[EffectiveQty],T_PlannedOrders[Part Name],$A279,T_PlannedOrders[WeekIndex],58)&amp;" ("&amp;TEXT(SUMPRODUCT(MAX((T_PlannedOrders[Part Name]=$A279)*(T_PlannedOrders[WeekIndex]=58)*(T_PlannedOrders[EffectiveQty]&gt;0)*T_PlannedOrders[Order_Month])),"m月")&amp;"発注)")</f>
        <v/>
      </c>
      <c r="BJ323">
        <f>IF(SUMIFS(T_PlannedOrders[EffectiveQty],T_PlannedOrders[Part Name],$A279,T_PlannedOrders[WeekIndex],59)=0,"",SUMIFS(T_PlannedOrders[EffectiveQty],T_PlannedOrders[Part Name],$A279,T_PlannedOrders[WeekIndex],59)&amp;" ("&amp;TEXT(SUMPRODUCT(MAX((T_PlannedOrders[Part Name]=$A279)*(T_PlannedOrders[WeekIndex]=59)*(T_PlannedOrders[EffectiveQty]&gt;0)*T_PlannedOrders[Order_Month])),"m月")&amp;"発注)")</f>
        <v/>
      </c>
      <c r="BK323">
        <f>IF(SUMIFS(T_PlannedOrders[EffectiveQty],T_PlannedOrders[Part Name],$A279,T_PlannedOrders[WeekIndex],60)=0,"",SUMIFS(T_PlannedOrders[EffectiveQty],T_PlannedOrders[Part Name],$A279,T_PlannedOrders[WeekIndex],60)&amp;" ("&amp;TEXT(SUMPRODUCT(MAX((T_PlannedOrders[Part Name]=$A279)*(T_PlannedOrders[WeekIndex]=60)*(T_PlannedOrders[EffectiveQty]&gt;0)*T_PlannedOrders[Order_Month])),"m月")&amp;"発注)")</f>
        <v/>
      </c>
      <c r="BL323">
        <f>IF(SUMIFS(T_PlannedOrders[EffectiveQty],T_PlannedOrders[Part Name],$A279,T_PlannedOrders[WeekIndex],61)=0,"",SUMIFS(T_PlannedOrders[EffectiveQty],T_PlannedOrders[Part Name],$A279,T_PlannedOrders[WeekIndex],61)&amp;" ("&amp;TEXT(SUMPRODUCT(MAX((T_PlannedOrders[Part Name]=$A279)*(T_PlannedOrders[WeekIndex]=61)*(T_PlannedOrders[EffectiveQty]&gt;0)*T_PlannedOrders[Order_Month])),"m月")&amp;"発注)")</f>
        <v/>
      </c>
      <c r="BM323">
        <f>IF(SUMIFS(T_PlannedOrders[EffectiveQty],T_PlannedOrders[Part Name],$A279,T_PlannedOrders[WeekIndex],62)=0,"",SUMIFS(T_PlannedOrders[EffectiveQty],T_PlannedOrders[Part Name],$A279,T_PlannedOrders[WeekIndex],62)&amp;" ("&amp;TEXT(SUMPRODUCT(MAX((T_PlannedOrders[Part Name]=$A279)*(T_PlannedOrders[WeekIndex]=62)*(T_PlannedOrders[EffectiveQty]&gt;0)*T_PlannedOrders[Order_Month])),"m月")&amp;"発注)")</f>
        <v/>
      </c>
      <c r="BN323">
        <f>IF(SUMIFS(T_PlannedOrders[EffectiveQty],T_PlannedOrders[Part Name],$A279,T_PlannedOrders[WeekIndex],63)=0,"",SUMIFS(T_PlannedOrders[EffectiveQty],T_PlannedOrders[Part Name],$A279,T_PlannedOrders[WeekIndex],63)&amp;" ("&amp;TEXT(SUMPRODUCT(MAX((T_PlannedOrders[Part Name]=$A279)*(T_PlannedOrders[WeekIndex]=63)*(T_PlannedOrders[EffectiveQty]&gt;0)*T_PlannedOrders[Order_Month])),"m月")&amp;"発注)")</f>
        <v/>
      </c>
      <c r="BO323">
        <f>IF(SUMIFS(T_PlannedOrders[EffectiveQty],T_PlannedOrders[Part Name],$A279,T_PlannedOrders[WeekIndex],64)=0,"",SUMIFS(T_PlannedOrders[EffectiveQty],T_PlannedOrders[Part Name],$A279,T_PlannedOrders[WeekIndex],64)&amp;" ("&amp;TEXT(SUMPRODUCT(MAX((T_PlannedOrders[Part Name]=$A279)*(T_PlannedOrders[WeekIndex]=64)*(T_PlannedOrders[EffectiveQty]&gt;0)*T_PlannedOrders[Order_Month])),"m月")&amp;"発注)")</f>
        <v/>
      </c>
      <c r="BP323">
        <f>IF(SUMIFS(T_PlannedOrders[EffectiveQty],T_PlannedOrders[Part Name],$A279,T_PlannedOrders[WeekIndex],65)=0,"",SUMIFS(T_PlannedOrders[EffectiveQty],T_PlannedOrders[Part Name],$A279,T_PlannedOrders[WeekIndex],65)&amp;" ("&amp;TEXT(SUMPRODUCT(MAX((T_PlannedOrders[Part Name]=$A279)*(T_PlannedOrders[WeekIndex]=65)*(T_PlannedOrders[EffectiveQty]&gt;0)*T_PlannedOrders[Order_Month])),"m月")&amp;"発注)")</f>
        <v/>
      </c>
      <c r="BQ323">
        <f>IF(SUMIFS(T_PlannedOrders[EffectiveQty],T_PlannedOrders[Part Name],$A279,T_PlannedOrders[WeekIndex],66)=0,"",SUMIFS(T_PlannedOrders[EffectiveQty],T_PlannedOrders[Part Name],$A279,T_PlannedOrders[WeekIndex],66)&amp;" ("&amp;TEXT(SUMPRODUCT(MAX((T_PlannedOrders[Part Name]=$A279)*(T_PlannedOrders[WeekIndex]=66)*(T_PlannedOrders[EffectiveQty]&gt;0)*T_PlannedOrders[Order_Month])),"m月")&amp;"発注)")</f>
        <v/>
      </c>
      <c r="BR323">
        <f>IF(SUMIFS(T_PlannedOrders[EffectiveQty],T_PlannedOrders[Part Name],$A279,T_PlannedOrders[WeekIndex],67)=0,"",SUMIFS(T_PlannedOrders[EffectiveQty],T_PlannedOrders[Part Name],$A279,T_PlannedOrders[WeekIndex],67)&amp;" ("&amp;TEXT(SUMPRODUCT(MAX((T_PlannedOrders[Part Name]=$A279)*(T_PlannedOrders[WeekIndex]=67)*(T_PlannedOrders[EffectiveQty]&gt;0)*T_PlannedOrders[Order_Month])),"m月")&amp;"発注)")</f>
        <v/>
      </c>
      <c r="BS323">
        <f>IF(SUMIFS(T_PlannedOrders[EffectiveQty],T_PlannedOrders[Part Name],$A279,T_PlannedOrders[WeekIndex],68)=0,"",SUMIFS(T_PlannedOrders[EffectiveQty],T_PlannedOrders[Part Name],$A279,T_PlannedOrders[WeekIndex],68)&amp;" ("&amp;TEXT(SUMPRODUCT(MAX((T_PlannedOrders[Part Name]=$A279)*(T_PlannedOrders[WeekIndex]=68)*(T_PlannedOrders[EffectiveQty]&gt;0)*T_PlannedOrders[Order_Month])),"m月")&amp;"発注)")</f>
        <v/>
      </c>
      <c r="BT323">
        <f>IF(SUMIFS(T_PlannedOrders[EffectiveQty],T_PlannedOrders[Part Name],$A279,T_PlannedOrders[WeekIndex],69)=0,"",SUMIFS(T_PlannedOrders[EffectiveQty],T_PlannedOrders[Part Name],$A279,T_PlannedOrders[WeekIndex],69)&amp;" ("&amp;TEXT(SUMPRODUCT(MAX((T_PlannedOrders[Part Name]=$A279)*(T_PlannedOrders[WeekIndex]=69)*(T_PlannedOrders[EffectiveQty]&gt;0)*T_PlannedOrders[Order_Month])),"m月")&amp;"発注)")</f>
        <v/>
      </c>
      <c r="BU323">
        <f>IF(SUMIFS(T_PlannedOrders[EffectiveQty],T_PlannedOrders[Part Name],$A279,T_PlannedOrders[WeekIndex],70)=0,"",SUMIFS(T_PlannedOrders[EffectiveQty],T_PlannedOrders[Part Name],$A279,T_PlannedOrders[WeekIndex],70)&amp;" ("&amp;TEXT(SUMPRODUCT(MAX((T_PlannedOrders[Part Name]=$A279)*(T_PlannedOrders[WeekIndex]=70)*(T_PlannedOrders[EffectiveQty]&gt;0)*T_PlannedOrders[Order_Month])),"m月")&amp;"発注)")</f>
        <v/>
      </c>
      <c r="BV323">
        <f>IF(SUMIFS(T_PlannedOrders[EffectiveQty],T_PlannedOrders[Part Name],$A279,T_PlannedOrders[WeekIndex],71)=0,"",SUMIFS(T_PlannedOrders[EffectiveQty],T_PlannedOrders[Part Name],$A279,T_PlannedOrders[WeekIndex],71)&amp;" ("&amp;TEXT(SUMPRODUCT(MAX((T_PlannedOrders[Part Name]=$A279)*(T_PlannedOrders[WeekIndex]=71)*(T_PlannedOrders[EffectiveQty]&gt;0)*T_PlannedOrders[Order_Month])),"m月")&amp;"発注)")</f>
        <v/>
      </c>
      <c r="BW323">
        <f>IF(SUMIFS(T_PlannedOrders[EffectiveQty],T_PlannedOrders[Part Name],$A279,T_PlannedOrders[WeekIndex],72)=0,"",SUMIFS(T_PlannedOrders[EffectiveQty],T_PlannedOrders[Part Name],$A279,T_PlannedOrders[WeekIndex],72)&amp;" ("&amp;TEXT(SUMPRODUCT(MAX((T_PlannedOrders[Part Name]=$A279)*(T_PlannedOrders[WeekIndex]=72)*(T_PlannedOrders[EffectiveQty]&gt;0)*T_PlannedOrders[Order_Month])),"m月")&amp;"発注)")</f>
        <v/>
      </c>
      <c r="BX323">
        <f>IF(SUMIFS(T_PlannedOrders[EffectiveQty],T_PlannedOrders[Part Name],$A279,T_PlannedOrders[WeekIndex],73)=0,"",SUMIFS(T_PlannedOrders[EffectiveQty],T_PlannedOrders[Part Name],$A279,T_PlannedOrders[WeekIndex],73)&amp;" ("&amp;TEXT(SUMPRODUCT(MAX((T_PlannedOrders[Part Name]=$A279)*(T_PlannedOrders[WeekIndex]=73)*(T_PlannedOrders[EffectiveQty]&gt;0)*T_PlannedOrders[Order_Month])),"m月")&amp;"発注)")</f>
        <v/>
      </c>
      <c r="BY323">
        <f>IF(SUMIFS(T_PlannedOrders[EffectiveQty],T_PlannedOrders[Part Name],$A279,T_PlannedOrders[WeekIndex],74)=0,"",SUMIFS(T_PlannedOrders[EffectiveQty],T_PlannedOrders[Part Name],$A279,T_PlannedOrders[WeekIndex],74)&amp;" ("&amp;TEXT(SUMPRODUCT(MAX((T_PlannedOrders[Part Name]=$A279)*(T_PlannedOrders[WeekIndex]=74)*(T_PlannedOrders[EffectiveQty]&gt;0)*T_PlannedOrders[Order_Month])),"m月")&amp;"発注)")</f>
        <v/>
      </c>
      <c r="BZ323">
        <f>IF(SUMIFS(T_PlannedOrders[EffectiveQty],T_PlannedOrders[Part Name],$A279,T_PlannedOrders[WeekIndex],75)=0,"",SUMIFS(T_PlannedOrders[EffectiveQty],T_PlannedOrders[Part Name],$A279,T_PlannedOrders[WeekIndex],75)&amp;" ("&amp;TEXT(SUMPRODUCT(MAX((T_PlannedOrders[Part Name]=$A279)*(T_PlannedOrders[WeekIndex]=75)*(T_PlannedOrders[EffectiveQty]&gt;0)*T_PlannedOrders[Order_Month])),"m月")&amp;"発注)")</f>
        <v/>
      </c>
      <c r="CA323">
        <f>IF(SUMIFS(T_PlannedOrders[EffectiveQty],T_PlannedOrders[Part Name],$A279,T_PlannedOrders[WeekIndex],76)=0,"",SUMIFS(T_PlannedOrders[EffectiveQty],T_PlannedOrders[Part Name],$A279,T_PlannedOrders[WeekIndex],76)&amp;" ("&amp;TEXT(SUMPRODUCT(MAX((T_PlannedOrders[Part Name]=$A279)*(T_PlannedOrders[WeekIndex]=76)*(T_PlannedOrders[EffectiveQty]&gt;0)*T_PlannedOrders[Order_Month])),"m月")&amp;"発注)")</f>
        <v/>
      </c>
      <c r="CB323">
        <f>IF(SUMIFS(T_PlannedOrders[EffectiveQty],T_PlannedOrders[Part Name],$A279,T_PlannedOrders[WeekIndex],77)=0,"",SUMIFS(T_PlannedOrders[EffectiveQty],T_PlannedOrders[Part Name],$A279,T_PlannedOrders[WeekIndex],77)&amp;" ("&amp;TEXT(SUMPRODUCT(MAX((T_PlannedOrders[Part Name]=$A279)*(T_PlannedOrders[WeekIndex]=77)*(T_PlannedOrders[EffectiveQty]&gt;0)*T_PlannedOrders[Order_Month])),"m月")&amp;"発注)")</f>
        <v/>
      </c>
      <c r="CC323">
        <f>IF(SUMIFS(T_PlannedOrders[EffectiveQty],T_PlannedOrders[Part Name],$A279,T_PlannedOrders[WeekIndex],78)=0,"",SUMIFS(T_PlannedOrders[EffectiveQty],T_PlannedOrders[Part Name],$A279,T_PlannedOrders[WeekIndex],78)&amp;" ("&amp;TEXT(SUMPRODUCT(MAX((T_PlannedOrders[Part Name]=$A279)*(T_PlannedOrders[WeekIndex]=78)*(T_PlannedOrders[EffectiveQty]&gt;0)*T_PlannedOrders[Order_Month])),"m月")&amp;"発注)")</f>
        <v/>
      </c>
      <c r="CD323">
        <f>IF(SUMIFS(T_PlannedOrders[EffectiveQty],T_PlannedOrders[Part Name],$A279,T_PlannedOrders[WeekIndex],79)=0,"",SUMIFS(T_PlannedOrders[EffectiveQty],T_PlannedOrders[Part Name],$A279,T_PlannedOrders[WeekIndex],79)&amp;" ("&amp;TEXT(SUMPRODUCT(MAX((T_PlannedOrders[Part Name]=$A279)*(T_PlannedOrders[WeekIndex]=79)*(T_PlannedOrders[EffectiveQty]&gt;0)*T_PlannedOrders[Order_Month])),"m月")&amp;"発注)")</f>
        <v/>
      </c>
      <c r="CE323">
        <f>IF(SUMIFS(T_PlannedOrders[EffectiveQty],T_PlannedOrders[Part Name],$A279,T_PlannedOrders[WeekIndex],80)=0,"",SUMIFS(T_PlannedOrders[EffectiveQty],T_PlannedOrders[Part Name],$A279,T_PlannedOrders[WeekIndex],80)&amp;" ("&amp;TEXT(SUMPRODUCT(MAX((T_PlannedOrders[Part Name]=$A279)*(T_PlannedOrders[WeekIndex]=80)*(T_PlannedOrders[EffectiveQty]&gt;0)*T_PlannedOrders[Order_Month])),"m月")&amp;"発注)")</f>
        <v/>
      </c>
      <c r="CF323">
        <f>IF(SUMIFS(T_PlannedOrders[EffectiveQty],T_PlannedOrders[Part Name],$A279,T_PlannedOrders[WeekIndex],81)=0,"",SUMIFS(T_PlannedOrders[EffectiveQty],T_PlannedOrders[Part Name],$A279,T_PlannedOrders[WeekIndex],81)&amp;" ("&amp;TEXT(SUMPRODUCT(MAX((T_PlannedOrders[Part Name]=$A279)*(T_PlannedOrders[WeekIndex]=81)*(T_PlannedOrders[EffectiveQty]&gt;0)*T_PlannedOrders[Order_Month])),"m月")&amp;"発注)")</f>
        <v/>
      </c>
      <c r="CG323">
        <f>IF(SUMIFS(T_PlannedOrders[EffectiveQty],T_PlannedOrders[Part Name],$A279,T_PlannedOrders[WeekIndex],82)=0,"",SUMIFS(T_PlannedOrders[EffectiveQty],T_PlannedOrders[Part Name],$A279,T_PlannedOrders[WeekIndex],82)&amp;" ("&amp;TEXT(SUMPRODUCT(MAX((T_PlannedOrders[Part Name]=$A279)*(T_PlannedOrders[WeekIndex]=82)*(T_PlannedOrders[EffectiveQty]&gt;0)*T_PlannedOrders[Order_Month])),"m月")&amp;"発注)")</f>
        <v/>
      </c>
      <c r="CH323">
        <f>IF(SUMIFS(T_PlannedOrders[EffectiveQty],T_PlannedOrders[Part Name],$A279,T_PlannedOrders[WeekIndex],83)=0,"",SUMIFS(T_PlannedOrders[EffectiveQty],T_PlannedOrders[Part Name],$A279,T_PlannedOrders[WeekIndex],83)&amp;" ("&amp;TEXT(SUMPRODUCT(MAX((T_PlannedOrders[Part Name]=$A279)*(T_PlannedOrders[WeekIndex]=83)*(T_PlannedOrders[EffectiveQty]&gt;0)*T_PlannedOrders[Order_Month])),"m月")&amp;"発注)")</f>
        <v/>
      </c>
      <c r="CI323">
        <f>IF(SUMIFS(T_PlannedOrders[EffectiveQty],T_PlannedOrders[Part Name],$A279,T_PlannedOrders[WeekIndex],84)=0,"",SUMIFS(T_PlannedOrders[EffectiveQty],T_PlannedOrders[Part Name],$A279,T_PlannedOrders[WeekIndex],84)&amp;" ("&amp;TEXT(SUMPRODUCT(MAX((T_PlannedOrders[Part Name]=$A279)*(T_PlannedOrders[WeekIndex]=84)*(T_PlannedOrders[EffectiveQty]&gt;0)*T_PlannedOrders[Order_Month])),"m月")&amp;"発注)")</f>
        <v/>
      </c>
      <c r="CJ323">
        <f>IF(SUMIFS(T_PlannedOrders[EffectiveQty],T_PlannedOrders[Part Name],$A279,T_PlannedOrders[WeekIndex],85)=0,"",SUMIFS(T_PlannedOrders[EffectiveQty],T_PlannedOrders[Part Name],$A279,T_PlannedOrders[WeekIndex],85)&amp;" ("&amp;TEXT(SUMPRODUCT(MAX((T_PlannedOrders[Part Name]=$A279)*(T_PlannedOrders[WeekIndex]=85)*(T_PlannedOrders[EffectiveQty]&gt;0)*T_PlannedOrders[Order_Month])),"m月")&amp;"発注)")</f>
        <v/>
      </c>
      <c r="CK323">
        <f>IF(SUMIFS(T_PlannedOrders[EffectiveQty],T_PlannedOrders[Part Name],$A279,T_PlannedOrders[WeekIndex],86)=0,"",SUMIFS(T_PlannedOrders[EffectiveQty],T_PlannedOrders[Part Name],$A279,T_PlannedOrders[WeekIndex],86)&amp;" ("&amp;TEXT(SUMPRODUCT(MAX((T_PlannedOrders[Part Name]=$A279)*(T_PlannedOrders[WeekIndex]=86)*(T_PlannedOrders[EffectiveQty]&gt;0)*T_PlannedOrders[Order_Month])),"m月")&amp;"発注)")</f>
        <v/>
      </c>
      <c r="CL323">
        <f>IF(SUMIFS(T_PlannedOrders[EffectiveQty],T_PlannedOrders[Part Name],$A279,T_PlannedOrders[WeekIndex],87)=0,"",SUMIFS(T_PlannedOrders[EffectiveQty],T_PlannedOrders[Part Name],$A279,T_PlannedOrders[WeekIndex],87)&amp;" ("&amp;TEXT(SUMPRODUCT(MAX((T_PlannedOrders[Part Name]=$A279)*(T_PlannedOrders[WeekIndex]=87)*(T_PlannedOrders[EffectiveQty]&gt;0)*T_PlannedOrders[Order_Month])),"m月")&amp;"発注)")</f>
        <v/>
      </c>
      <c r="CM323">
        <f>IF(SUMIFS(T_PlannedOrders[EffectiveQty],T_PlannedOrders[Part Name],$A279,T_PlannedOrders[WeekIndex],88)=0,"",SUMIFS(T_PlannedOrders[EffectiveQty],T_PlannedOrders[Part Name],$A279,T_PlannedOrders[WeekIndex],88)&amp;" ("&amp;TEXT(SUMPRODUCT(MAX((T_PlannedOrders[Part Name]=$A279)*(T_PlannedOrders[WeekIndex]=88)*(T_PlannedOrders[EffectiveQty]&gt;0)*T_PlannedOrders[Order_Month])),"m月")&amp;"発注)")</f>
        <v/>
      </c>
      <c r="CN323">
        <f>IF(SUMIFS(T_PlannedOrders[EffectiveQty],T_PlannedOrders[Part Name],$A279,T_PlannedOrders[WeekIndex],89)=0,"",SUMIFS(T_PlannedOrders[EffectiveQty],T_PlannedOrders[Part Name],$A279,T_PlannedOrders[WeekIndex],89)&amp;" ("&amp;TEXT(SUMPRODUCT(MAX((T_PlannedOrders[Part Name]=$A279)*(T_PlannedOrders[WeekIndex]=89)*(T_PlannedOrders[EffectiveQty]&gt;0)*T_PlannedOrders[Order_Month])),"m月")&amp;"発注)")</f>
        <v/>
      </c>
      <c r="CO323">
        <f>IF(SUMIFS(T_PlannedOrders[EffectiveQty],T_PlannedOrders[Part Name],$A279,T_PlannedOrders[WeekIndex],90)=0,"",SUMIFS(T_PlannedOrders[EffectiveQty],T_PlannedOrders[Part Name],$A279,T_PlannedOrders[WeekIndex],90)&amp;" ("&amp;TEXT(SUMPRODUCT(MAX((T_PlannedOrders[Part Name]=$A279)*(T_PlannedOrders[WeekIndex]=90)*(T_PlannedOrders[EffectiveQty]&gt;0)*T_PlannedOrders[Order_Month])),"m月")&amp;"発注)")</f>
        <v/>
      </c>
      <c r="CP323">
        <f>IF(SUMIFS(T_PlannedOrders[EffectiveQty],T_PlannedOrders[Part Name],$A279,T_PlannedOrders[WeekIndex],91)=0,"",SUMIFS(T_PlannedOrders[EffectiveQty],T_PlannedOrders[Part Name],$A279,T_PlannedOrders[WeekIndex],91)&amp;" ("&amp;TEXT(SUMPRODUCT(MAX((T_PlannedOrders[Part Name]=$A279)*(T_PlannedOrders[WeekIndex]=91)*(T_PlannedOrders[EffectiveQty]&gt;0)*T_PlannedOrders[Order_Month])),"m月")&amp;"発注)")</f>
        <v/>
      </c>
      <c r="CQ323">
        <f>IF(SUMIFS(T_PlannedOrders[EffectiveQty],T_PlannedOrders[Part Name],$A279,T_PlannedOrders[WeekIndex],92)=0,"",SUMIFS(T_PlannedOrders[EffectiveQty],T_PlannedOrders[Part Name],$A279,T_PlannedOrders[WeekIndex],92)&amp;" ("&amp;TEXT(SUMPRODUCT(MAX((T_PlannedOrders[Part Name]=$A279)*(T_PlannedOrders[WeekIndex]=92)*(T_PlannedOrders[EffectiveQty]&gt;0)*T_PlannedOrders[Order_Month])),"m月")&amp;"発注)")</f>
        <v/>
      </c>
      <c r="CR323">
        <f>IF(SUMIFS(T_PlannedOrders[EffectiveQty],T_PlannedOrders[Part Name],$A279,T_PlannedOrders[WeekIndex],93)=0,"",SUMIFS(T_PlannedOrders[EffectiveQty],T_PlannedOrders[Part Name],$A279,T_PlannedOrders[WeekIndex],93)&amp;" ("&amp;TEXT(SUMPRODUCT(MAX((T_PlannedOrders[Part Name]=$A279)*(T_PlannedOrders[WeekIndex]=93)*(T_PlannedOrders[EffectiveQty]&gt;0)*T_PlannedOrders[Order_Month])),"m月")&amp;"発注)")</f>
        <v/>
      </c>
      <c r="CS323">
        <f>IF(SUMIFS(T_PlannedOrders[EffectiveQty],T_PlannedOrders[Part Name],$A279,T_PlannedOrders[WeekIndex],94)=0,"",SUMIFS(T_PlannedOrders[EffectiveQty],T_PlannedOrders[Part Name],$A279,T_PlannedOrders[WeekIndex],94)&amp;" ("&amp;TEXT(SUMPRODUCT(MAX((T_PlannedOrders[Part Name]=$A279)*(T_PlannedOrders[WeekIndex]=94)*(T_PlannedOrders[EffectiveQty]&gt;0)*T_PlannedOrders[Order_Month])),"m月")&amp;"発注)")</f>
        <v/>
      </c>
      <c r="CT323">
        <f>IF(SUMIFS(T_PlannedOrders[EffectiveQty],T_PlannedOrders[Part Name],$A279,T_PlannedOrders[WeekIndex],95)=0,"",SUMIFS(T_PlannedOrders[EffectiveQty],T_PlannedOrders[Part Name],$A279,T_PlannedOrders[WeekIndex],95)&amp;" ("&amp;TEXT(SUMPRODUCT(MAX((T_PlannedOrders[Part Name]=$A279)*(T_PlannedOrders[WeekIndex]=95)*(T_PlannedOrders[EffectiveQty]&gt;0)*T_PlannedOrders[Order_Month])),"m月")&amp;"発注)")</f>
        <v/>
      </c>
      <c r="CU323">
        <f>IF(SUMIFS(T_PlannedOrders[EffectiveQty],T_PlannedOrders[Part Name],$A279,T_PlannedOrders[WeekIndex],96)=0,"",SUMIFS(T_PlannedOrders[EffectiveQty],T_PlannedOrders[Part Name],$A279,T_PlannedOrders[WeekIndex],96)&amp;" ("&amp;TEXT(SUMPRODUCT(MAX((T_PlannedOrders[Part Name]=$A279)*(T_PlannedOrders[WeekIndex]=96)*(T_PlannedOrders[EffectiveQty]&gt;0)*T_PlannedOrders[Order_Month])),"m月")&amp;"発注)")</f>
        <v/>
      </c>
      <c r="CV323">
        <f>IF(SUMIFS(T_PlannedOrders[EffectiveQty],T_PlannedOrders[Part Name],$A279,T_PlannedOrders[WeekIndex],97)=0,"",SUMIFS(T_PlannedOrders[EffectiveQty],T_PlannedOrders[Part Name],$A279,T_PlannedOrders[WeekIndex],97)&amp;" ("&amp;TEXT(SUMPRODUCT(MAX((T_PlannedOrders[Part Name]=$A279)*(T_PlannedOrders[WeekIndex]=97)*(T_PlannedOrders[EffectiveQty]&gt;0)*T_PlannedOrders[Order_Month])),"m月")&amp;"発注)")</f>
        <v/>
      </c>
      <c r="CW323">
        <f>IF(SUMIFS(T_PlannedOrders[EffectiveQty],T_PlannedOrders[Part Name],$A279,T_PlannedOrders[WeekIndex],98)=0,"",SUMIFS(T_PlannedOrders[EffectiveQty],T_PlannedOrders[Part Name],$A279,T_PlannedOrders[WeekIndex],98)&amp;" ("&amp;TEXT(SUMPRODUCT(MAX((T_PlannedOrders[Part Name]=$A279)*(T_PlannedOrders[WeekIndex]=98)*(T_PlannedOrders[EffectiveQty]&gt;0)*T_PlannedOrders[Order_Month])),"m月")&amp;"発注)")</f>
        <v/>
      </c>
      <c r="CX323">
        <f>IF(SUMIFS(T_PlannedOrders[EffectiveQty],T_PlannedOrders[Part Name],$A279,T_PlannedOrders[WeekIndex],99)=0,"",SUMIFS(T_PlannedOrders[EffectiveQty],T_PlannedOrders[Part Name],$A279,T_PlannedOrders[WeekIndex],99)&amp;" ("&amp;TEXT(SUMPRODUCT(MAX((T_PlannedOrders[Part Name]=$A279)*(T_PlannedOrders[WeekIndex]=99)*(T_PlannedOrders[EffectiveQty]&gt;0)*T_PlannedOrders[Order_Month])),"m月")&amp;"発注)")</f>
        <v/>
      </c>
      <c r="CY323">
        <f>IF(SUMIFS(T_PlannedOrders[EffectiveQty],T_PlannedOrders[Part Name],$A279,T_PlannedOrders[WeekIndex],100)=0,"",SUMIFS(T_PlannedOrders[EffectiveQty],T_PlannedOrders[Part Name],$A279,T_PlannedOrders[WeekIndex],100)&amp;" ("&amp;TEXT(SUMPRODUCT(MAX((T_PlannedOrders[Part Name]=$A279)*(T_PlannedOrders[WeekIndex]=100)*(T_PlannedOrders[EffectiveQty]&gt;0)*T_PlannedOrders[Order_Month])),"m月")&amp;"発注)")</f>
        <v/>
      </c>
      <c r="CZ323">
        <f>IF(SUMIFS(T_PlannedOrders[EffectiveQty],T_PlannedOrders[Part Name],$A279,T_PlannedOrders[WeekIndex],101)=0,"",SUMIFS(T_PlannedOrders[EffectiveQty],T_PlannedOrders[Part Name],$A279,T_PlannedOrders[WeekIndex],101)&amp;" ("&amp;TEXT(SUMPRODUCT(MAX((T_PlannedOrders[Part Name]=$A279)*(T_PlannedOrders[WeekIndex]=101)*(T_PlannedOrders[EffectiveQty]&gt;0)*T_PlannedOrders[Order_Month])),"m月")&amp;"発注)")</f>
        <v/>
      </c>
      <c r="DA323">
        <f>IF(SUMIFS(T_PlannedOrders[EffectiveQty],T_PlannedOrders[Part Name],$A279,T_PlannedOrders[WeekIndex],102)=0,"",SUMIFS(T_PlannedOrders[EffectiveQty],T_PlannedOrders[Part Name],$A279,T_PlannedOrders[WeekIndex],102)&amp;" ("&amp;TEXT(SUMPRODUCT(MAX((T_PlannedOrders[Part Name]=$A279)*(T_PlannedOrders[WeekIndex]=102)*(T_PlannedOrders[EffectiveQty]&gt;0)*T_PlannedOrders[Order_Month])),"m月")&amp;"発注)")</f>
        <v/>
      </c>
      <c r="DB323">
        <f>IF(SUMIFS(T_PlannedOrders[EffectiveQty],T_PlannedOrders[Part Name],$A279,T_PlannedOrders[WeekIndex],103)=0,"",SUMIFS(T_PlannedOrders[EffectiveQty],T_PlannedOrders[Part Name],$A279,T_PlannedOrders[WeekIndex],103)&amp;" ("&amp;TEXT(SUMPRODUCT(MAX((T_PlannedOrders[Part Name]=$A279)*(T_PlannedOrders[WeekIndex]=103)*(T_PlannedOrders[EffectiveQty]&gt;0)*T_PlannedOrders[Order_Month])),"m月")&amp;"発注)")</f>
        <v/>
      </c>
      <c r="DC323">
        <f>IF(SUMIFS(T_PlannedOrders[EffectiveQty],T_PlannedOrders[Part Name],$A279,T_PlannedOrders[WeekIndex],104)=0,"",SUMIFS(T_PlannedOrders[EffectiveQty],T_PlannedOrders[Part Name],$A279,T_PlannedOrders[WeekIndex],104)&amp;" ("&amp;TEXT(SUMPRODUCT(MAX((T_PlannedOrders[Part Name]=$A279)*(T_PlannedOrders[WeekIndex]=104)*(T_PlannedOrders[EffectiveQty]&gt;0)*T_PlannedOrders[Order_Month])),"m月")&amp;"発注)")</f>
        <v/>
      </c>
    </row>
    <row r="324">
      <c r="B324" s="5" t="inlineStr">
        <is>
          <t>合計在庫(週末時点,kg)</t>
        </is>
      </c>
      <c r="D324">
        <f>'Grid_Stock'!B40</f>
        <v/>
      </c>
      <c r="E324">
        <f>'Grid_Stock'!C40</f>
        <v/>
      </c>
      <c r="F324">
        <f>'Grid_Stock'!D40</f>
        <v/>
      </c>
      <c r="G324">
        <f>'Grid_Stock'!E40</f>
        <v/>
      </c>
      <c r="H324">
        <f>'Grid_Stock'!F40</f>
        <v/>
      </c>
      <c r="I324">
        <f>'Grid_Stock'!G40</f>
        <v/>
      </c>
      <c r="J324">
        <f>'Grid_Stock'!H40</f>
        <v/>
      </c>
      <c r="K324">
        <f>'Grid_Stock'!I40</f>
        <v/>
      </c>
      <c r="L324">
        <f>'Grid_Stock'!J40</f>
        <v/>
      </c>
      <c r="M324">
        <f>'Grid_Stock'!K40</f>
        <v/>
      </c>
      <c r="N324">
        <f>'Grid_Stock'!L40</f>
        <v/>
      </c>
      <c r="O324">
        <f>'Grid_Stock'!M40</f>
        <v/>
      </c>
      <c r="P324">
        <f>'Grid_Stock'!N40</f>
        <v/>
      </c>
      <c r="Q324">
        <f>'Grid_Stock'!O40</f>
        <v/>
      </c>
      <c r="R324">
        <f>'Grid_Stock'!P40</f>
        <v/>
      </c>
      <c r="S324">
        <f>'Grid_Stock'!Q40</f>
        <v/>
      </c>
      <c r="T324">
        <f>'Grid_Stock'!R40</f>
        <v/>
      </c>
      <c r="U324">
        <f>'Grid_Stock'!S40</f>
        <v/>
      </c>
      <c r="V324">
        <f>'Grid_Stock'!T40</f>
        <v/>
      </c>
      <c r="W324">
        <f>'Grid_Stock'!U40</f>
        <v/>
      </c>
      <c r="X324">
        <f>'Grid_Stock'!V40</f>
        <v/>
      </c>
      <c r="Y324">
        <f>'Grid_Stock'!W40</f>
        <v/>
      </c>
      <c r="Z324">
        <f>'Grid_Stock'!X40</f>
        <v/>
      </c>
      <c r="AA324">
        <f>'Grid_Stock'!Y40</f>
        <v/>
      </c>
      <c r="AB324">
        <f>'Grid_Stock'!Z40</f>
        <v/>
      </c>
      <c r="AC324">
        <f>'Grid_Stock'!AA40</f>
        <v/>
      </c>
      <c r="AD324">
        <f>'Grid_Stock'!AB40</f>
        <v/>
      </c>
      <c r="AE324">
        <f>'Grid_Stock'!AC40</f>
        <v/>
      </c>
      <c r="AF324">
        <f>'Grid_Stock'!AD40</f>
        <v/>
      </c>
      <c r="AG324">
        <f>'Grid_Stock'!AE40</f>
        <v/>
      </c>
      <c r="AH324">
        <f>'Grid_Stock'!AF40</f>
        <v/>
      </c>
      <c r="AI324">
        <f>'Grid_Stock'!AG40</f>
        <v/>
      </c>
      <c r="AJ324">
        <f>'Grid_Stock'!AH40</f>
        <v/>
      </c>
      <c r="AK324">
        <f>'Grid_Stock'!AI40</f>
        <v/>
      </c>
      <c r="AL324">
        <f>'Grid_Stock'!AJ40</f>
        <v/>
      </c>
      <c r="AM324">
        <f>'Grid_Stock'!AK40</f>
        <v/>
      </c>
      <c r="AN324">
        <f>'Grid_Stock'!AL40</f>
        <v/>
      </c>
      <c r="AO324">
        <f>'Grid_Stock'!AM40</f>
        <v/>
      </c>
      <c r="AP324">
        <f>'Grid_Stock'!AN40</f>
        <v/>
      </c>
      <c r="AQ324">
        <f>'Grid_Stock'!AO40</f>
        <v/>
      </c>
      <c r="AR324">
        <f>'Grid_Stock'!AP40</f>
        <v/>
      </c>
      <c r="AS324">
        <f>'Grid_Stock'!AQ40</f>
        <v/>
      </c>
      <c r="AT324">
        <f>'Grid_Stock'!AR40</f>
        <v/>
      </c>
      <c r="AU324">
        <f>'Grid_Stock'!AS40</f>
        <v/>
      </c>
      <c r="AV324">
        <f>'Grid_Stock'!AT40</f>
        <v/>
      </c>
      <c r="AW324">
        <f>'Grid_Stock'!AU40</f>
        <v/>
      </c>
      <c r="AX324">
        <f>'Grid_Stock'!AV40</f>
        <v/>
      </c>
      <c r="AY324">
        <f>'Grid_Stock'!AW40</f>
        <v/>
      </c>
      <c r="AZ324">
        <f>'Grid_Stock'!AX40</f>
        <v/>
      </c>
      <c r="BA324">
        <f>'Grid_Stock'!AY40</f>
        <v/>
      </c>
      <c r="BB324">
        <f>'Grid_Stock'!AZ40</f>
        <v/>
      </c>
      <c r="BC324">
        <f>'Grid_Stock'!BA40</f>
        <v/>
      </c>
      <c r="BD324">
        <f>'Grid_Stock'!BB40</f>
        <v/>
      </c>
      <c r="BE324">
        <f>'Grid_Stock'!BC40</f>
        <v/>
      </c>
      <c r="BF324">
        <f>'Grid_Stock'!BD40</f>
        <v/>
      </c>
      <c r="BG324">
        <f>'Grid_Stock'!BE40</f>
        <v/>
      </c>
      <c r="BH324">
        <f>'Grid_Stock'!BF40</f>
        <v/>
      </c>
      <c r="BI324">
        <f>'Grid_Stock'!BG40</f>
        <v/>
      </c>
      <c r="BJ324">
        <f>'Grid_Stock'!BH40</f>
        <v/>
      </c>
      <c r="BK324">
        <f>'Grid_Stock'!BI40</f>
        <v/>
      </c>
      <c r="BL324">
        <f>'Grid_Stock'!BJ40</f>
        <v/>
      </c>
      <c r="BM324">
        <f>'Grid_Stock'!BK40</f>
        <v/>
      </c>
      <c r="BN324">
        <f>'Grid_Stock'!BL40</f>
        <v/>
      </c>
      <c r="BO324">
        <f>'Grid_Stock'!BM40</f>
        <v/>
      </c>
      <c r="BP324">
        <f>'Grid_Stock'!BN40</f>
        <v/>
      </c>
      <c r="BQ324">
        <f>'Grid_Stock'!BO40</f>
        <v/>
      </c>
      <c r="BR324">
        <f>'Grid_Stock'!BP40</f>
        <v/>
      </c>
      <c r="BS324">
        <f>'Grid_Stock'!BQ40</f>
        <v/>
      </c>
      <c r="BT324">
        <f>'Grid_Stock'!BR40</f>
        <v/>
      </c>
      <c r="BU324">
        <f>'Grid_Stock'!BS40</f>
        <v/>
      </c>
      <c r="BV324">
        <f>'Grid_Stock'!BT40</f>
        <v/>
      </c>
      <c r="BW324">
        <f>'Grid_Stock'!BU40</f>
        <v/>
      </c>
      <c r="BX324">
        <f>'Grid_Stock'!BV40</f>
        <v/>
      </c>
      <c r="BY324">
        <f>'Grid_Stock'!BW40</f>
        <v/>
      </c>
      <c r="BZ324">
        <f>'Grid_Stock'!BX40</f>
        <v/>
      </c>
      <c r="CA324">
        <f>'Grid_Stock'!BY40</f>
        <v/>
      </c>
      <c r="CB324">
        <f>'Grid_Stock'!BZ40</f>
        <v/>
      </c>
      <c r="CC324">
        <f>'Grid_Stock'!CA40</f>
        <v/>
      </c>
      <c r="CD324">
        <f>'Grid_Stock'!CB40</f>
        <v/>
      </c>
      <c r="CE324">
        <f>'Grid_Stock'!CC40</f>
        <v/>
      </c>
      <c r="CF324">
        <f>'Grid_Stock'!CD40</f>
        <v/>
      </c>
      <c r="CG324">
        <f>'Grid_Stock'!CE40</f>
        <v/>
      </c>
      <c r="CH324">
        <f>'Grid_Stock'!CF40</f>
        <v/>
      </c>
      <c r="CI324">
        <f>'Grid_Stock'!CG40</f>
        <v/>
      </c>
      <c r="CJ324">
        <f>'Grid_Stock'!CH40</f>
        <v/>
      </c>
      <c r="CK324">
        <f>'Grid_Stock'!CI40</f>
        <v/>
      </c>
      <c r="CL324">
        <f>'Grid_Stock'!CJ40</f>
        <v/>
      </c>
      <c r="CM324">
        <f>'Grid_Stock'!CK40</f>
        <v/>
      </c>
      <c r="CN324">
        <f>'Grid_Stock'!CL40</f>
        <v/>
      </c>
      <c r="CO324">
        <f>'Grid_Stock'!CM40</f>
        <v/>
      </c>
      <c r="CP324">
        <f>'Grid_Stock'!CN40</f>
        <v/>
      </c>
      <c r="CQ324">
        <f>'Grid_Stock'!CO40</f>
        <v/>
      </c>
      <c r="CR324">
        <f>'Grid_Stock'!CP40</f>
        <v/>
      </c>
      <c r="CS324">
        <f>'Grid_Stock'!CQ40</f>
        <v/>
      </c>
      <c r="CT324">
        <f>'Grid_Stock'!CR40</f>
        <v/>
      </c>
      <c r="CU324">
        <f>'Grid_Stock'!CS40</f>
        <v/>
      </c>
      <c r="CV324">
        <f>'Grid_Stock'!CT40</f>
        <v/>
      </c>
      <c r="CW324">
        <f>'Grid_Stock'!CU40</f>
        <v/>
      </c>
      <c r="CX324">
        <f>'Grid_Stock'!CV40</f>
        <v/>
      </c>
      <c r="CY324">
        <f>'Grid_Stock'!CW40</f>
        <v/>
      </c>
      <c r="CZ324">
        <f>'Grid_Stock'!CX40</f>
        <v/>
      </c>
      <c r="DA324">
        <f>'Grid_Stock'!CY40</f>
        <v/>
      </c>
      <c r="DB324">
        <f>'Grid_Stock'!CZ40</f>
        <v/>
      </c>
      <c r="DC324">
        <f>'Grid_Stock'!DA40</f>
        <v/>
      </c>
    </row>
    <row r="325">
      <c r="B325" s="23" t="inlineStr">
        <is>
          <t>（発注の目安はDashboardの基準在庫[下限/上限]と色分けを参照）</t>
        </is>
      </c>
    </row>
    <row r="327">
      <c r="A327" s="21" t="inlineStr">
        <is>
          <t>CHEM-1770</t>
        </is>
      </c>
      <c r="B327" s="21" t="inlineStr">
        <is>
          <t>RCT39</t>
        </is>
      </c>
      <c r="C327" s="22" t="n"/>
      <c r="D327" s="21" t="n"/>
      <c r="E327" s="21" t="n"/>
      <c r="F327" s="21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  <c r="AA327" s="21" t="n"/>
      <c r="AB327" s="21" t="n"/>
      <c r="AC327" s="21" t="n"/>
      <c r="AD327" s="21" t="n"/>
      <c r="AE327" s="21" t="n"/>
      <c r="AF327" s="21" t="n"/>
      <c r="AG327" s="21" t="n"/>
      <c r="AH327" s="21" t="n"/>
      <c r="AI327" s="21" t="n"/>
      <c r="AJ327" s="21" t="n"/>
      <c r="AK327" s="21" t="n"/>
      <c r="AL327" s="21" t="n"/>
      <c r="AM327" s="21" t="n"/>
      <c r="AN327" s="21" t="n"/>
      <c r="AO327" s="21" t="n"/>
      <c r="AP327" s="21" t="n"/>
      <c r="AQ327" s="21" t="n"/>
      <c r="AR327" s="21" t="n"/>
      <c r="AS327" s="21" t="n"/>
      <c r="AT327" s="21" t="n"/>
      <c r="AU327" s="21" t="n"/>
      <c r="AV327" s="21" t="n"/>
      <c r="AW327" s="21" t="n"/>
      <c r="AX327" s="21" t="n"/>
      <c r="AY327" s="21" t="n"/>
      <c r="AZ327" s="21" t="n"/>
      <c r="BA327" s="21" t="n"/>
      <c r="BB327" s="21" t="n"/>
      <c r="BC327" s="21" t="n"/>
      <c r="BD327" s="21" t="n"/>
      <c r="BE327" s="21" t="n"/>
      <c r="BF327" s="21" t="n"/>
      <c r="BG327" s="21" t="n"/>
      <c r="BH327" s="21" t="n"/>
      <c r="BI327" s="21" t="n"/>
      <c r="BJ327" s="21" t="n"/>
      <c r="BK327" s="21" t="n"/>
      <c r="BL327" s="21" t="n"/>
      <c r="BM327" s="21" t="n"/>
      <c r="BN327" s="21" t="n"/>
      <c r="BO327" s="21" t="n"/>
      <c r="BP327" s="21" t="n"/>
      <c r="BQ327" s="21" t="n"/>
      <c r="BR327" s="21" t="n"/>
      <c r="BS327" s="21" t="n"/>
      <c r="BT327" s="21" t="n"/>
      <c r="BU327" s="21" t="n"/>
      <c r="BV327" s="21" t="n"/>
      <c r="BW327" s="21" t="n"/>
      <c r="BX327" s="21" t="n"/>
      <c r="BY327" s="21" t="n"/>
      <c r="BZ327" s="21" t="n"/>
      <c r="CA327" s="21" t="n"/>
      <c r="CB327" s="21" t="n"/>
      <c r="CC327" s="21" t="n"/>
      <c r="CD327" s="21" t="n"/>
      <c r="CE327" s="21" t="n"/>
      <c r="CF327" s="21" t="n"/>
      <c r="CG327" s="21" t="n"/>
      <c r="CH327" s="21" t="n"/>
      <c r="CI327" s="21" t="n"/>
      <c r="CJ327" s="21" t="n"/>
      <c r="CK327" s="21" t="n"/>
      <c r="CL327" s="21" t="n"/>
      <c r="CM327" s="21" t="n"/>
      <c r="CN327" s="21" t="n"/>
      <c r="CO327" s="21" t="n"/>
      <c r="CP327" s="21" t="n"/>
      <c r="CQ327" s="21" t="n"/>
      <c r="CR327" s="21" t="n"/>
      <c r="CS327" s="21" t="n"/>
      <c r="CT327" s="21" t="n"/>
      <c r="CU327" s="21" t="n"/>
      <c r="CV327" s="21" t="n"/>
      <c r="CW327" s="21" t="n"/>
      <c r="CX327" s="21" t="n"/>
      <c r="CY327" s="21" t="n"/>
      <c r="CZ327" s="21" t="n"/>
      <c r="DA327" s="21" t="n"/>
      <c r="DB327" s="21" t="n"/>
      <c r="DC327" s="21" t="n"/>
    </row>
    <row r="328">
      <c r="B328" t="inlineStr">
        <is>
          <t>TPP-635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12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Name],$A327)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TSP-903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12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Name],$A327)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s="5" t="inlineStr">
        <is>
          <t>合計使用量(kg)/週</t>
        </is>
      </c>
      <c r="D332">
        <f>'Grid_Requirement'!B45</f>
        <v/>
      </c>
      <c r="E332">
        <f>'Grid_Requirement'!C45</f>
        <v/>
      </c>
      <c r="F332">
        <f>'Grid_Requirement'!D45</f>
        <v/>
      </c>
      <c r="G332">
        <f>'Grid_Requirement'!E45</f>
        <v/>
      </c>
      <c r="H332">
        <f>'Grid_Requirement'!F45</f>
        <v/>
      </c>
      <c r="I332">
        <f>'Grid_Requirement'!G45</f>
        <v/>
      </c>
      <c r="J332">
        <f>'Grid_Requirement'!H45</f>
        <v/>
      </c>
      <c r="K332">
        <f>'Grid_Requirement'!I45</f>
        <v/>
      </c>
      <c r="L332">
        <f>'Grid_Requirement'!J45</f>
        <v/>
      </c>
      <c r="M332">
        <f>'Grid_Requirement'!K45</f>
        <v/>
      </c>
      <c r="N332">
        <f>'Grid_Requirement'!L45</f>
        <v/>
      </c>
      <c r="O332">
        <f>'Grid_Requirement'!M45</f>
        <v/>
      </c>
      <c r="P332">
        <f>'Grid_Requirement'!N45</f>
        <v/>
      </c>
      <c r="Q332">
        <f>'Grid_Requirement'!O45</f>
        <v/>
      </c>
      <c r="R332">
        <f>'Grid_Requirement'!P45</f>
        <v/>
      </c>
      <c r="S332">
        <f>'Grid_Requirement'!Q45</f>
        <v/>
      </c>
      <c r="T332">
        <f>'Grid_Requirement'!R45</f>
        <v/>
      </c>
      <c r="U332">
        <f>'Grid_Requirement'!S45</f>
        <v/>
      </c>
      <c r="V332">
        <f>'Grid_Requirement'!T45</f>
        <v/>
      </c>
      <c r="W332">
        <f>'Grid_Requirement'!U45</f>
        <v/>
      </c>
      <c r="X332">
        <f>'Grid_Requirement'!V45</f>
        <v/>
      </c>
      <c r="Y332">
        <f>'Grid_Requirement'!W45</f>
        <v/>
      </c>
      <c r="Z332">
        <f>'Grid_Requirement'!X45</f>
        <v/>
      </c>
      <c r="AA332">
        <f>'Grid_Requirement'!Y45</f>
        <v/>
      </c>
      <c r="AB332">
        <f>'Grid_Requirement'!Z45</f>
        <v/>
      </c>
      <c r="AC332">
        <f>'Grid_Requirement'!AA45</f>
        <v/>
      </c>
      <c r="AD332">
        <f>'Grid_Requirement'!AB45</f>
        <v/>
      </c>
      <c r="AE332">
        <f>'Grid_Requirement'!AC45</f>
        <v/>
      </c>
      <c r="AF332">
        <f>'Grid_Requirement'!AD45</f>
        <v/>
      </c>
      <c r="AG332">
        <f>'Grid_Requirement'!AE45</f>
        <v/>
      </c>
      <c r="AH332">
        <f>'Grid_Requirement'!AF45</f>
        <v/>
      </c>
      <c r="AI332">
        <f>'Grid_Requirement'!AG45</f>
        <v/>
      </c>
      <c r="AJ332">
        <f>'Grid_Requirement'!AH45</f>
        <v/>
      </c>
      <c r="AK332">
        <f>'Grid_Requirement'!AI45</f>
        <v/>
      </c>
      <c r="AL332">
        <f>'Grid_Requirement'!AJ45</f>
        <v/>
      </c>
      <c r="AM332">
        <f>'Grid_Requirement'!AK45</f>
        <v/>
      </c>
      <c r="AN332">
        <f>'Grid_Requirement'!AL45</f>
        <v/>
      </c>
      <c r="AO332">
        <f>'Grid_Requirement'!AM45</f>
        <v/>
      </c>
      <c r="AP332">
        <f>'Grid_Requirement'!AN45</f>
        <v/>
      </c>
      <c r="AQ332">
        <f>'Grid_Requirement'!AO45</f>
        <v/>
      </c>
      <c r="AR332">
        <f>'Grid_Requirement'!AP45</f>
        <v/>
      </c>
      <c r="AS332">
        <f>'Grid_Requirement'!AQ45</f>
        <v/>
      </c>
      <c r="AT332">
        <f>'Grid_Requirement'!AR45</f>
        <v/>
      </c>
      <c r="AU332">
        <f>'Grid_Requirement'!AS45</f>
        <v/>
      </c>
      <c r="AV332">
        <f>'Grid_Requirement'!AT45</f>
        <v/>
      </c>
      <c r="AW332">
        <f>'Grid_Requirement'!AU45</f>
        <v/>
      </c>
      <c r="AX332">
        <f>'Grid_Requirement'!AV45</f>
        <v/>
      </c>
      <c r="AY332">
        <f>'Grid_Requirement'!AW45</f>
        <v/>
      </c>
      <c r="AZ332">
        <f>'Grid_Requirement'!AX45</f>
        <v/>
      </c>
      <c r="BA332">
        <f>'Grid_Requirement'!AY45</f>
        <v/>
      </c>
      <c r="BB332">
        <f>'Grid_Requirement'!AZ45</f>
        <v/>
      </c>
      <c r="BC332">
        <f>'Grid_Requirement'!BA45</f>
        <v/>
      </c>
      <c r="BD332">
        <f>'Grid_Requirement'!BB45</f>
        <v/>
      </c>
      <c r="BE332">
        <f>'Grid_Requirement'!BC45</f>
        <v/>
      </c>
      <c r="BF332">
        <f>'Grid_Requirement'!BD45</f>
        <v/>
      </c>
      <c r="BG332">
        <f>'Grid_Requirement'!BE45</f>
        <v/>
      </c>
      <c r="BH332">
        <f>'Grid_Requirement'!BF45</f>
        <v/>
      </c>
      <c r="BI332">
        <f>'Grid_Requirement'!BG45</f>
        <v/>
      </c>
      <c r="BJ332">
        <f>'Grid_Requirement'!BH45</f>
        <v/>
      </c>
      <c r="BK332">
        <f>'Grid_Requirement'!BI45</f>
        <v/>
      </c>
      <c r="BL332">
        <f>'Grid_Requirement'!BJ45</f>
        <v/>
      </c>
      <c r="BM332">
        <f>'Grid_Requirement'!BK45</f>
        <v/>
      </c>
      <c r="BN332">
        <f>'Grid_Requirement'!BL45</f>
        <v/>
      </c>
      <c r="BO332">
        <f>'Grid_Requirement'!BM45</f>
        <v/>
      </c>
      <c r="BP332">
        <f>'Grid_Requirement'!BN45</f>
        <v/>
      </c>
      <c r="BQ332">
        <f>'Grid_Requirement'!BO45</f>
        <v/>
      </c>
      <c r="BR332">
        <f>'Grid_Requirement'!BP45</f>
        <v/>
      </c>
      <c r="BS332">
        <f>'Grid_Requirement'!BQ45</f>
        <v/>
      </c>
      <c r="BT332">
        <f>'Grid_Requirement'!BR45</f>
        <v/>
      </c>
      <c r="BU332">
        <f>'Grid_Requirement'!BS45</f>
        <v/>
      </c>
      <c r="BV332">
        <f>'Grid_Requirement'!BT45</f>
        <v/>
      </c>
      <c r="BW332">
        <f>'Grid_Requirement'!BU45</f>
        <v/>
      </c>
      <c r="BX332">
        <f>'Grid_Requirement'!BV45</f>
        <v/>
      </c>
      <c r="BY332">
        <f>'Grid_Requirement'!BW45</f>
        <v/>
      </c>
      <c r="BZ332">
        <f>'Grid_Requirement'!BX45</f>
        <v/>
      </c>
      <c r="CA332">
        <f>'Grid_Requirement'!BY45</f>
        <v/>
      </c>
      <c r="CB332">
        <f>'Grid_Requirement'!BZ45</f>
        <v/>
      </c>
      <c r="CC332">
        <f>'Grid_Requirement'!CA45</f>
        <v/>
      </c>
      <c r="CD332">
        <f>'Grid_Requirement'!CB45</f>
        <v/>
      </c>
      <c r="CE332">
        <f>'Grid_Requirement'!CC45</f>
        <v/>
      </c>
      <c r="CF332">
        <f>'Grid_Requirement'!CD45</f>
        <v/>
      </c>
      <c r="CG332">
        <f>'Grid_Requirement'!CE45</f>
        <v/>
      </c>
      <c r="CH332">
        <f>'Grid_Requirement'!CF45</f>
        <v/>
      </c>
      <c r="CI332">
        <f>'Grid_Requirement'!CG45</f>
        <v/>
      </c>
      <c r="CJ332">
        <f>'Grid_Requirement'!CH45</f>
        <v/>
      </c>
      <c r="CK332">
        <f>'Grid_Requirement'!CI45</f>
        <v/>
      </c>
      <c r="CL332">
        <f>'Grid_Requirement'!CJ45</f>
        <v/>
      </c>
      <c r="CM332">
        <f>'Grid_Requirement'!CK45</f>
        <v/>
      </c>
      <c r="CN332">
        <f>'Grid_Requirement'!CL45</f>
        <v/>
      </c>
      <c r="CO332">
        <f>'Grid_Requirement'!CM45</f>
        <v/>
      </c>
      <c r="CP332">
        <f>'Grid_Requirement'!CN45</f>
        <v/>
      </c>
      <c r="CQ332">
        <f>'Grid_Requirement'!CO45</f>
        <v/>
      </c>
      <c r="CR332">
        <f>'Grid_Requirement'!CP45</f>
        <v/>
      </c>
      <c r="CS332">
        <f>'Grid_Requirement'!CQ45</f>
        <v/>
      </c>
      <c r="CT332">
        <f>'Grid_Requirement'!CR45</f>
        <v/>
      </c>
      <c r="CU332">
        <f>'Grid_Requirement'!CS45</f>
        <v/>
      </c>
      <c r="CV332">
        <f>'Grid_Requirement'!CT45</f>
        <v/>
      </c>
      <c r="CW332">
        <f>'Grid_Requirement'!CU45</f>
        <v/>
      </c>
      <c r="CX332">
        <f>'Grid_Requirement'!CV45</f>
        <v/>
      </c>
      <c r="CY332">
        <f>'Grid_Requirement'!CW45</f>
        <v/>
      </c>
      <c r="CZ332">
        <f>'Grid_Requirement'!CX45</f>
        <v/>
      </c>
      <c r="DA332">
        <f>'Grid_Requirement'!CY45</f>
        <v/>
      </c>
      <c r="DB332">
        <f>'Grid_Requirement'!CZ45</f>
        <v/>
      </c>
      <c r="DC332">
        <f>'Grid_Requirement'!DA45</f>
        <v/>
      </c>
    </row>
    <row r="333">
      <c r="B333" t="inlineStr">
        <is>
          <t>TTAF在庫(実績,kg)</t>
        </is>
      </c>
      <c r="D333">
        <f>'T_TTAFStock'!B49</f>
        <v/>
      </c>
      <c r="E333">
        <f>'T_TTAFStock'!C49</f>
        <v/>
      </c>
      <c r="F333">
        <f>'T_TTAFStock'!D49</f>
        <v/>
      </c>
      <c r="G333">
        <f>'T_TTAFStock'!E49</f>
        <v/>
      </c>
      <c r="H333">
        <f>'T_TTAFStock'!F49</f>
        <v/>
      </c>
      <c r="I333">
        <f>'T_TTAFStock'!G49</f>
        <v/>
      </c>
      <c r="J333">
        <f>'T_TTAFStock'!H49</f>
        <v/>
      </c>
      <c r="K333">
        <f>'T_TTAFStock'!I49</f>
        <v/>
      </c>
      <c r="L333">
        <f>'T_TTAFStock'!J49</f>
        <v/>
      </c>
      <c r="M333">
        <f>'T_TTAFStock'!K49</f>
        <v/>
      </c>
      <c r="N333">
        <f>'T_TTAFStock'!L49</f>
        <v/>
      </c>
      <c r="O333">
        <f>'T_TTAFStock'!M49</f>
        <v/>
      </c>
      <c r="P333">
        <f>'T_TTAFStock'!N49</f>
        <v/>
      </c>
      <c r="Q333">
        <f>'T_TTAFStock'!O49</f>
        <v/>
      </c>
      <c r="R333">
        <f>'T_TTAFStock'!P49</f>
        <v/>
      </c>
      <c r="S333">
        <f>'T_TTAFStock'!Q49</f>
        <v/>
      </c>
      <c r="T333">
        <f>'T_TTAFStock'!R49</f>
        <v/>
      </c>
      <c r="U333">
        <f>'T_TTAFStock'!S49</f>
        <v/>
      </c>
      <c r="V333">
        <f>'T_TTAFStock'!T49</f>
        <v/>
      </c>
      <c r="W333">
        <f>'T_TTAFStock'!U49</f>
        <v/>
      </c>
      <c r="X333">
        <f>'T_TTAFStock'!V49</f>
        <v/>
      </c>
      <c r="Y333">
        <f>'T_TTAFStock'!W49</f>
        <v/>
      </c>
      <c r="Z333">
        <f>'T_TTAFStock'!X49</f>
        <v/>
      </c>
      <c r="AA333">
        <f>'T_TTAFStock'!Y49</f>
        <v/>
      </c>
      <c r="AB333">
        <f>'T_TTAFStock'!Z49</f>
        <v/>
      </c>
      <c r="AC333">
        <f>'T_TTAFStock'!AA49</f>
        <v/>
      </c>
      <c r="AD333">
        <f>'T_TTAFStock'!AB49</f>
        <v/>
      </c>
      <c r="AE333">
        <f>'T_TTAFStock'!AC49</f>
        <v/>
      </c>
      <c r="AF333">
        <f>'T_TTAFStock'!AD49</f>
        <v/>
      </c>
      <c r="AG333">
        <f>'T_TTAFStock'!AE49</f>
        <v/>
      </c>
      <c r="AH333">
        <f>'T_TTAFStock'!AF49</f>
        <v/>
      </c>
      <c r="AI333">
        <f>'T_TTAFStock'!AG49</f>
        <v/>
      </c>
      <c r="AJ333">
        <f>'T_TTAFStock'!AH49</f>
        <v/>
      </c>
      <c r="AK333">
        <f>'T_TTAFStock'!AI49</f>
        <v/>
      </c>
      <c r="AL333">
        <f>'T_TTAFStock'!AJ49</f>
        <v/>
      </c>
      <c r="AM333">
        <f>'T_TTAFStock'!AK49</f>
        <v/>
      </c>
      <c r="AN333">
        <f>'T_TTAFStock'!AL49</f>
        <v/>
      </c>
      <c r="AO333">
        <f>'T_TTAFStock'!AM49</f>
        <v/>
      </c>
      <c r="AP333">
        <f>'T_TTAFStock'!AN49</f>
        <v/>
      </c>
      <c r="AQ333">
        <f>'T_TTAFStock'!AO49</f>
        <v/>
      </c>
      <c r="AR333">
        <f>'T_TTAFStock'!AP49</f>
        <v/>
      </c>
      <c r="AS333">
        <f>'T_TTAFStock'!AQ49</f>
        <v/>
      </c>
      <c r="AT333">
        <f>'T_TTAFStock'!AR49</f>
        <v/>
      </c>
      <c r="AU333">
        <f>'T_TTAFStock'!AS49</f>
        <v/>
      </c>
      <c r="AV333">
        <f>'T_TTAFStock'!AT49</f>
        <v/>
      </c>
      <c r="AW333">
        <f>'T_TTAFStock'!AU49</f>
        <v/>
      </c>
      <c r="AX333">
        <f>'T_TTAFStock'!AV49</f>
        <v/>
      </c>
      <c r="AY333">
        <f>'T_TTAFStock'!AW49</f>
        <v/>
      </c>
      <c r="AZ333">
        <f>'T_TTAFStock'!AX49</f>
        <v/>
      </c>
      <c r="BA333">
        <f>'T_TTAFStock'!AY49</f>
        <v/>
      </c>
      <c r="BB333">
        <f>'T_TTAFStock'!AZ49</f>
        <v/>
      </c>
      <c r="BC333">
        <f>'T_TTAFStock'!BA49</f>
        <v/>
      </c>
      <c r="BD333">
        <f>'T_TTAFStock'!BB49</f>
        <v/>
      </c>
      <c r="BE333">
        <f>'T_TTAFStock'!BC49</f>
        <v/>
      </c>
      <c r="BF333">
        <f>'T_TTAFStock'!BD49</f>
        <v/>
      </c>
      <c r="BG333">
        <f>'T_TTAFStock'!BE49</f>
        <v/>
      </c>
      <c r="BH333">
        <f>'T_TTAFStock'!BF49</f>
        <v/>
      </c>
      <c r="BI333">
        <f>'T_TTAFStock'!BG49</f>
        <v/>
      </c>
      <c r="BJ333">
        <f>'T_TTAFStock'!BH49</f>
        <v/>
      </c>
      <c r="BK333">
        <f>'T_TTAFStock'!BI49</f>
        <v/>
      </c>
      <c r="BL333">
        <f>'T_TTAFStock'!BJ49</f>
        <v/>
      </c>
      <c r="BM333">
        <f>'T_TTAFStock'!BK49</f>
        <v/>
      </c>
      <c r="BN333">
        <f>'T_TTAFStock'!BL49</f>
        <v/>
      </c>
      <c r="BO333">
        <f>'T_TTAFStock'!BM49</f>
        <v/>
      </c>
      <c r="BP333">
        <f>'T_TTAFStock'!BN49</f>
        <v/>
      </c>
      <c r="BQ333">
        <f>'T_TTAFStock'!BO49</f>
        <v/>
      </c>
      <c r="BR333">
        <f>'T_TTAFStock'!BP49</f>
        <v/>
      </c>
      <c r="BS333">
        <f>'T_TTAFStock'!BQ49</f>
        <v/>
      </c>
      <c r="BT333">
        <f>'T_TTAFStock'!BR49</f>
        <v/>
      </c>
      <c r="BU333">
        <f>'T_TTAFStock'!BS49</f>
        <v/>
      </c>
      <c r="BV333">
        <f>'T_TTAFStock'!BT49</f>
        <v/>
      </c>
      <c r="BW333">
        <f>'T_TTAFStock'!BU49</f>
        <v/>
      </c>
      <c r="BX333">
        <f>'T_TTAFStock'!BV49</f>
        <v/>
      </c>
      <c r="BY333">
        <f>'T_TTAFStock'!BW49</f>
        <v/>
      </c>
      <c r="BZ333">
        <f>'T_TTAFStock'!BX49</f>
        <v/>
      </c>
      <c r="CA333">
        <f>'T_TTAFStock'!BY49</f>
        <v/>
      </c>
      <c r="CB333">
        <f>'T_TTAFStock'!BZ49</f>
        <v/>
      </c>
      <c r="CC333">
        <f>'T_TTAFStock'!CA49</f>
        <v/>
      </c>
      <c r="CD333">
        <f>'T_TTAFStock'!CB49</f>
        <v/>
      </c>
      <c r="CE333">
        <f>'T_TTAFStock'!CC49</f>
        <v/>
      </c>
      <c r="CF333">
        <f>'T_TTAFStock'!CD49</f>
        <v/>
      </c>
      <c r="CG333">
        <f>'T_TTAFStock'!CE49</f>
        <v/>
      </c>
      <c r="CH333">
        <f>'T_TTAFStock'!CF49</f>
        <v/>
      </c>
      <c r="CI333">
        <f>'T_TTAFStock'!CG49</f>
        <v/>
      </c>
      <c r="CJ333">
        <f>'T_TTAFStock'!CH49</f>
        <v/>
      </c>
      <c r="CK333">
        <f>'T_TTAFStock'!CI49</f>
        <v/>
      </c>
      <c r="CL333">
        <f>'T_TTAFStock'!CJ49</f>
        <v/>
      </c>
      <c r="CM333">
        <f>'T_TTAFStock'!CK49</f>
        <v/>
      </c>
      <c r="CN333">
        <f>'T_TTAFStock'!CL49</f>
        <v/>
      </c>
      <c r="CO333">
        <f>'T_TTAFStock'!CM49</f>
        <v/>
      </c>
      <c r="CP333">
        <f>'T_TTAFStock'!CN49</f>
        <v/>
      </c>
      <c r="CQ333">
        <f>'T_TTAFStock'!CO49</f>
        <v/>
      </c>
      <c r="CR333">
        <f>'T_TTAFStock'!CP49</f>
        <v/>
      </c>
      <c r="CS333">
        <f>'T_TTAFStock'!CQ49</f>
        <v/>
      </c>
      <c r="CT333">
        <f>'T_TTAFStock'!CR49</f>
        <v/>
      </c>
      <c r="CU333">
        <f>'T_TTAFStock'!CS49</f>
        <v/>
      </c>
      <c r="CV333">
        <f>'T_TTAFStock'!CT49</f>
        <v/>
      </c>
      <c r="CW333">
        <f>'T_TTAFStock'!CU49</f>
        <v/>
      </c>
      <c r="CX333">
        <f>'T_TTAFStock'!CV49</f>
        <v/>
      </c>
      <c r="CY333">
        <f>'T_TTAFStock'!CW49</f>
        <v/>
      </c>
      <c r="CZ333">
        <f>'T_TTAFStock'!CX49</f>
        <v/>
      </c>
      <c r="DA333">
        <f>'T_TTAFStock'!CY49</f>
        <v/>
      </c>
      <c r="DB333">
        <f>'T_TTAFStock'!CZ49</f>
        <v/>
      </c>
      <c r="DC333">
        <f>'T_TTAFStock'!DA49</f>
        <v/>
      </c>
    </row>
    <row r="334">
      <c r="B334" t="inlineStr">
        <is>
          <t>自社在庫(実績,kg)</t>
        </is>
      </c>
      <c r="D334">
        <f>'T_SelfStock'!B49</f>
        <v/>
      </c>
      <c r="E334">
        <f>'T_SelfStock'!C49</f>
        <v/>
      </c>
      <c r="F334">
        <f>'T_SelfStock'!D49</f>
        <v/>
      </c>
      <c r="G334">
        <f>'T_SelfStock'!E49</f>
        <v/>
      </c>
      <c r="H334">
        <f>'T_SelfStock'!F49</f>
        <v/>
      </c>
      <c r="I334">
        <f>'T_SelfStock'!G49</f>
        <v/>
      </c>
      <c r="J334">
        <f>'T_SelfStock'!H49</f>
        <v/>
      </c>
      <c r="K334">
        <f>'T_SelfStock'!I49</f>
        <v/>
      </c>
      <c r="L334">
        <f>'T_SelfStock'!J49</f>
        <v/>
      </c>
      <c r="M334">
        <f>'T_SelfStock'!K49</f>
        <v/>
      </c>
      <c r="N334">
        <f>'T_SelfStock'!L49</f>
        <v/>
      </c>
      <c r="O334">
        <f>'T_SelfStock'!M49</f>
        <v/>
      </c>
      <c r="P334">
        <f>'T_SelfStock'!N49</f>
        <v/>
      </c>
      <c r="Q334">
        <f>'T_SelfStock'!O49</f>
        <v/>
      </c>
      <c r="R334">
        <f>'T_SelfStock'!P49</f>
        <v/>
      </c>
      <c r="S334">
        <f>'T_SelfStock'!Q49</f>
        <v/>
      </c>
      <c r="T334">
        <f>'T_SelfStock'!R49</f>
        <v/>
      </c>
      <c r="U334">
        <f>'T_SelfStock'!S49</f>
        <v/>
      </c>
      <c r="V334">
        <f>'T_SelfStock'!T49</f>
        <v/>
      </c>
      <c r="W334">
        <f>'T_SelfStock'!U49</f>
        <v/>
      </c>
      <c r="X334">
        <f>'T_SelfStock'!V49</f>
        <v/>
      </c>
      <c r="Y334">
        <f>'T_SelfStock'!W49</f>
        <v/>
      </c>
      <c r="Z334">
        <f>'T_SelfStock'!X49</f>
        <v/>
      </c>
      <c r="AA334">
        <f>'T_SelfStock'!Y49</f>
        <v/>
      </c>
      <c r="AB334">
        <f>'T_SelfStock'!Z49</f>
        <v/>
      </c>
      <c r="AC334">
        <f>'T_SelfStock'!AA49</f>
        <v/>
      </c>
      <c r="AD334">
        <f>'T_SelfStock'!AB49</f>
        <v/>
      </c>
      <c r="AE334">
        <f>'T_SelfStock'!AC49</f>
        <v/>
      </c>
      <c r="AF334">
        <f>'T_SelfStock'!AD49</f>
        <v/>
      </c>
      <c r="AG334">
        <f>'T_SelfStock'!AE49</f>
        <v/>
      </c>
      <c r="AH334">
        <f>'T_SelfStock'!AF49</f>
        <v/>
      </c>
      <c r="AI334">
        <f>'T_SelfStock'!AG49</f>
        <v/>
      </c>
      <c r="AJ334">
        <f>'T_SelfStock'!AH49</f>
        <v/>
      </c>
      <c r="AK334">
        <f>'T_SelfStock'!AI49</f>
        <v/>
      </c>
      <c r="AL334">
        <f>'T_SelfStock'!AJ49</f>
        <v/>
      </c>
      <c r="AM334">
        <f>'T_SelfStock'!AK49</f>
        <v/>
      </c>
      <c r="AN334">
        <f>'T_SelfStock'!AL49</f>
        <v/>
      </c>
      <c r="AO334">
        <f>'T_SelfStock'!AM49</f>
        <v/>
      </c>
      <c r="AP334">
        <f>'T_SelfStock'!AN49</f>
        <v/>
      </c>
      <c r="AQ334">
        <f>'T_SelfStock'!AO49</f>
        <v/>
      </c>
      <c r="AR334">
        <f>'T_SelfStock'!AP49</f>
        <v/>
      </c>
      <c r="AS334">
        <f>'T_SelfStock'!AQ49</f>
        <v/>
      </c>
      <c r="AT334">
        <f>'T_SelfStock'!AR49</f>
        <v/>
      </c>
      <c r="AU334">
        <f>'T_SelfStock'!AS49</f>
        <v/>
      </c>
      <c r="AV334">
        <f>'T_SelfStock'!AT49</f>
        <v/>
      </c>
      <c r="AW334">
        <f>'T_SelfStock'!AU49</f>
        <v/>
      </c>
      <c r="AX334">
        <f>'T_SelfStock'!AV49</f>
        <v/>
      </c>
      <c r="AY334">
        <f>'T_SelfStock'!AW49</f>
        <v/>
      </c>
      <c r="AZ334">
        <f>'T_SelfStock'!AX49</f>
        <v/>
      </c>
      <c r="BA334">
        <f>'T_SelfStock'!AY49</f>
        <v/>
      </c>
      <c r="BB334">
        <f>'T_SelfStock'!AZ49</f>
        <v/>
      </c>
      <c r="BC334">
        <f>'T_SelfStock'!BA49</f>
        <v/>
      </c>
      <c r="BD334">
        <f>'T_SelfStock'!BB49</f>
        <v/>
      </c>
      <c r="BE334">
        <f>'T_SelfStock'!BC49</f>
        <v/>
      </c>
      <c r="BF334">
        <f>'T_SelfStock'!BD49</f>
        <v/>
      </c>
      <c r="BG334">
        <f>'T_SelfStock'!BE49</f>
        <v/>
      </c>
      <c r="BH334">
        <f>'T_SelfStock'!BF49</f>
        <v/>
      </c>
      <c r="BI334">
        <f>'T_SelfStock'!BG49</f>
        <v/>
      </c>
      <c r="BJ334">
        <f>'T_SelfStock'!BH49</f>
        <v/>
      </c>
      <c r="BK334">
        <f>'T_SelfStock'!BI49</f>
        <v/>
      </c>
      <c r="BL334">
        <f>'T_SelfStock'!BJ49</f>
        <v/>
      </c>
      <c r="BM334">
        <f>'T_SelfStock'!BK49</f>
        <v/>
      </c>
      <c r="BN334">
        <f>'T_SelfStock'!BL49</f>
        <v/>
      </c>
      <c r="BO334">
        <f>'T_SelfStock'!BM49</f>
        <v/>
      </c>
      <c r="BP334">
        <f>'T_SelfStock'!BN49</f>
        <v/>
      </c>
      <c r="BQ334">
        <f>'T_SelfStock'!BO49</f>
        <v/>
      </c>
      <c r="BR334">
        <f>'T_SelfStock'!BP49</f>
        <v/>
      </c>
      <c r="BS334">
        <f>'T_SelfStock'!BQ49</f>
        <v/>
      </c>
      <c r="BT334">
        <f>'T_SelfStock'!BR49</f>
        <v/>
      </c>
      <c r="BU334">
        <f>'T_SelfStock'!BS49</f>
        <v/>
      </c>
      <c r="BV334">
        <f>'T_SelfStock'!BT49</f>
        <v/>
      </c>
      <c r="BW334">
        <f>'T_SelfStock'!BU49</f>
        <v/>
      </c>
      <c r="BX334">
        <f>'T_SelfStock'!BV49</f>
        <v/>
      </c>
      <c r="BY334">
        <f>'T_SelfStock'!BW49</f>
        <v/>
      </c>
      <c r="BZ334">
        <f>'T_SelfStock'!BX49</f>
        <v/>
      </c>
      <c r="CA334">
        <f>'T_SelfStock'!BY49</f>
        <v/>
      </c>
      <c r="CB334">
        <f>'T_SelfStock'!BZ49</f>
        <v/>
      </c>
      <c r="CC334">
        <f>'T_SelfStock'!CA49</f>
        <v/>
      </c>
      <c r="CD334">
        <f>'T_SelfStock'!CB49</f>
        <v/>
      </c>
      <c r="CE334">
        <f>'T_SelfStock'!CC49</f>
        <v/>
      </c>
      <c r="CF334">
        <f>'T_SelfStock'!CD49</f>
        <v/>
      </c>
      <c r="CG334">
        <f>'T_SelfStock'!CE49</f>
        <v/>
      </c>
      <c r="CH334">
        <f>'T_SelfStock'!CF49</f>
        <v/>
      </c>
      <c r="CI334">
        <f>'T_SelfStock'!CG49</f>
        <v/>
      </c>
      <c r="CJ334">
        <f>'T_SelfStock'!CH49</f>
        <v/>
      </c>
      <c r="CK334">
        <f>'T_SelfStock'!CI49</f>
        <v/>
      </c>
      <c r="CL334">
        <f>'T_SelfStock'!CJ49</f>
        <v/>
      </c>
      <c r="CM334">
        <f>'T_SelfStock'!CK49</f>
        <v/>
      </c>
      <c r="CN334">
        <f>'T_SelfStock'!CL49</f>
        <v/>
      </c>
      <c r="CO334">
        <f>'T_SelfStock'!CM49</f>
        <v/>
      </c>
      <c r="CP334">
        <f>'T_SelfStock'!CN49</f>
        <v/>
      </c>
      <c r="CQ334">
        <f>'T_SelfStock'!CO49</f>
        <v/>
      </c>
      <c r="CR334">
        <f>'T_SelfStock'!CP49</f>
        <v/>
      </c>
      <c r="CS334">
        <f>'T_SelfStock'!CQ49</f>
        <v/>
      </c>
      <c r="CT334">
        <f>'T_SelfStock'!CR49</f>
        <v/>
      </c>
      <c r="CU334">
        <f>'T_SelfStock'!CS49</f>
        <v/>
      </c>
      <c r="CV334">
        <f>'T_SelfStock'!CT49</f>
        <v/>
      </c>
      <c r="CW334">
        <f>'T_SelfStock'!CU49</f>
        <v/>
      </c>
      <c r="CX334">
        <f>'T_SelfStock'!CV49</f>
        <v/>
      </c>
      <c r="CY334">
        <f>'T_SelfStock'!CW49</f>
        <v/>
      </c>
      <c r="CZ334">
        <f>'T_SelfStock'!CX49</f>
        <v/>
      </c>
      <c r="DA334">
        <f>'T_SelfStock'!CY49</f>
        <v/>
      </c>
      <c r="DB334">
        <f>'T_SelfStock'!CZ49</f>
        <v/>
      </c>
      <c r="DC334">
        <f>'T_SelfStock'!DA49</f>
        <v/>
      </c>
    </row>
    <row r="335">
      <c r="B335" t="inlineStr">
        <is>
          <t>Order(発注予定,kg)</t>
        </is>
      </c>
      <c r="D335">
        <f>IF(SUMIFS(T_PlannedOrders[EffectiveQty],T_PlannedOrders[Part Name],$A327,T_PlannedOrders[WeekIndex],1)=0,"",SUMIFS(T_PlannedOrders[EffectiveQty],T_PlannedOrders[Part Name],$A327,T_PlannedOrders[WeekIndex],1)&amp;" ("&amp;TEXT(SUMPRODUCT(MAX((T_PlannedOrders[Part Name]=$A327)*(T_PlannedOrders[WeekIndex]=1)*(T_PlannedOrders[EffectiveQty]&gt;0)*T_PlannedOrders[Order_Month])),"m月")&amp;"発注)")</f>
        <v/>
      </c>
      <c r="E335">
        <f>IF(SUMIFS(T_PlannedOrders[EffectiveQty],T_PlannedOrders[Part Name],$A327,T_PlannedOrders[WeekIndex],2)=0,"",SUMIFS(T_PlannedOrders[EffectiveQty],T_PlannedOrders[Part Name],$A327,T_PlannedOrders[WeekIndex],2)&amp;" ("&amp;TEXT(SUMPRODUCT(MAX((T_PlannedOrders[Part Name]=$A327)*(T_PlannedOrders[WeekIndex]=2)*(T_PlannedOrders[EffectiveQty]&gt;0)*T_PlannedOrders[Order_Month])),"m月")&amp;"発注)")</f>
        <v/>
      </c>
      <c r="F335">
        <f>IF(SUMIFS(T_PlannedOrders[EffectiveQty],T_PlannedOrders[Part Name],$A327,T_PlannedOrders[WeekIndex],3)=0,"",SUMIFS(T_PlannedOrders[EffectiveQty],T_PlannedOrders[Part Name],$A327,T_PlannedOrders[WeekIndex],3)&amp;" ("&amp;TEXT(SUMPRODUCT(MAX((T_PlannedOrders[Part Name]=$A327)*(T_PlannedOrders[WeekIndex]=3)*(T_PlannedOrders[EffectiveQty]&gt;0)*T_PlannedOrders[Order_Month])),"m月")&amp;"発注)")</f>
        <v/>
      </c>
      <c r="G335">
        <f>IF(SUMIFS(T_PlannedOrders[EffectiveQty],T_PlannedOrders[Part Name],$A327,T_PlannedOrders[WeekIndex],4)=0,"",SUMIFS(T_PlannedOrders[EffectiveQty],T_PlannedOrders[Part Name],$A327,T_PlannedOrders[WeekIndex],4)&amp;" ("&amp;TEXT(SUMPRODUCT(MAX((T_PlannedOrders[Part Name]=$A327)*(T_PlannedOrders[WeekIndex]=4)*(T_PlannedOrders[EffectiveQty]&gt;0)*T_PlannedOrders[Order_Month])),"m月")&amp;"発注)")</f>
        <v/>
      </c>
      <c r="H335">
        <f>IF(SUMIFS(T_PlannedOrders[EffectiveQty],T_PlannedOrders[Part Name],$A327,T_PlannedOrders[WeekIndex],5)=0,"",SUMIFS(T_PlannedOrders[EffectiveQty],T_PlannedOrders[Part Name],$A327,T_PlannedOrders[WeekIndex],5)&amp;" ("&amp;TEXT(SUMPRODUCT(MAX((T_PlannedOrders[Part Name]=$A327)*(T_PlannedOrders[WeekIndex]=5)*(T_PlannedOrders[EffectiveQty]&gt;0)*T_PlannedOrders[Order_Month])),"m月")&amp;"発注)")</f>
        <v/>
      </c>
      <c r="I335">
        <f>IF(SUMIFS(T_PlannedOrders[EffectiveQty],T_PlannedOrders[Part Name],$A327,T_PlannedOrders[WeekIndex],6)=0,"",SUMIFS(T_PlannedOrders[EffectiveQty],T_PlannedOrders[Part Name],$A327,T_PlannedOrders[WeekIndex],6)&amp;" ("&amp;TEXT(SUMPRODUCT(MAX((T_PlannedOrders[Part Name]=$A327)*(T_PlannedOrders[WeekIndex]=6)*(T_PlannedOrders[EffectiveQty]&gt;0)*T_PlannedOrders[Order_Month])),"m月")&amp;"発注)")</f>
        <v/>
      </c>
      <c r="J335">
        <f>IF(SUMIFS(T_PlannedOrders[EffectiveQty],T_PlannedOrders[Part Name],$A327,T_PlannedOrders[WeekIndex],7)=0,"",SUMIFS(T_PlannedOrders[EffectiveQty],T_PlannedOrders[Part Name],$A327,T_PlannedOrders[WeekIndex],7)&amp;" ("&amp;TEXT(SUMPRODUCT(MAX((T_PlannedOrders[Part Name]=$A327)*(T_PlannedOrders[WeekIndex]=7)*(T_PlannedOrders[EffectiveQty]&gt;0)*T_PlannedOrders[Order_Month])),"m月")&amp;"発注)")</f>
        <v/>
      </c>
      <c r="K335">
        <f>IF(SUMIFS(T_PlannedOrders[EffectiveQty],T_PlannedOrders[Part Name],$A327,T_PlannedOrders[WeekIndex],8)=0,"",SUMIFS(T_PlannedOrders[EffectiveQty],T_PlannedOrders[Part Name],$A327,T_PlannedOrders[WeekIndex],8)&amp;" ("&amp;TEXT(SUMPRODUCT(MAX((T_PlannedOrders[Part Name]=$A327)*(T_PlannedOrders[WeekIndex]=8)*(T_PlannedOrders[EffectiveQty]&gt;0)*T_PlannedOrders[Order_Month])),"m月")&amp;"発注)")</f>
        <v/>
      </c>
      <c r="L335">
        <f>IF(SUMIFS(T_PlannedOrders[EffectiveQty],T_PlannedOrders[Part Name],$A327,T_PlannedOrders[WeekIndex],9)=0,"",SUMIFS(T_PlannedOrders[EffectiveQty],T_PlannedOrders[Part Name],$A327,T_PlannedOrders[WeekIndex],9)&amp;" ("&amp;TEXT(SUMPRODUCT(MAX((T_PlannedOrders[Part Name]=$A327)*(T_PlannedOrders[WeekIndex]=9)*(T_PlannedOrders[EffectiveQty]&gt;0)*T_PlannedOrders[Order_Month])),"m月")&amp;"発注)")</f>
        <v/>
      </c>
      <c r="M335">
        <f>IF(SUMIFS(T_PlannedOrders[EffectiveQty],T_PlannedOrders[Part Name],$A327,T_PlannedOrders[WeekIndex],10)=0,"",SUMIFS(T_PlannedOrders[EffectiveQty],T_PlannedOrders[Part Name],$A327,T_PlannedOrders[WeekIndex],10)&amp;" ("&amp;TEXT(SUMPRODUCT(MAX((T_PlannedOrders[Part Name]=$A327)*(T_PlannedOrders[WeekIndex]=10)*(T_PlannedOrders[EffectiveQty]&gt;0)*T_PlannedOrders[Order_Month])),"m月")&amp;"発注)")</f>
        <v/>
      </c>
      <c r="N335">
        <f>IF(SUMIFS(T_PlannedOrders[EffectiveQty],T_PlannedOrders[Part Name],$A327,T_PlannedOrders[WeekIndex],11)=0,"",SUMIFS(T_PlannedOrders[EffectiveQty],T_PlannedOrders[Part Name],$A327,T_PlannedOrders[WeekIndex],11)&amp;" ("&amp;TEXT(SUMPRODUCT(MAX((T_PlannedOrders[Part Name]=$A327)*(T_PlannedOrders[WeekIndex]=11)*(T_PlannedOrders[EffectiveQty]&gt;0)*T_PlannedOrders[Order_Month])),"m月")&amp;"発注)")</f>
        <v/>
      </c>
      <c r="O335">
        <f>IF(SUMIFS(T_PlannedOrders[EffectiveQty],T_PlannedOrders[Part Name],$A327,T_PlannedOrders[WeekIndex],12)=0,"",SUMIFS(T_PlannedOrders[EffectiveQty],T_PlannedOrders[Part Name],$A327,T_PlannedOrders[WeekIndex],12)&amp;" ("&amp;TEXT(SUMPRODUCT(MAX((T_PlannedOrders[Part Name]=$A327)*(T_PlannedOrders[WeekIndex]=12)*(T_PlannedOrders[EffectiveQty]&gt;0)*T_PlannedOrders[Order_Month])),"m月")&amp;"発注)")</f>
        <v/>
      </c>
      <c r="P335">
        <f>IF(SUMIFS(T_PlannedOrders[EffectiveQty],T_PlannedOrders[Part Name],$A327,T_PlannedOrders[WeekIndex],13)=0,"",SUMIFS(T_PlannedOrders[EffectiveQty],T_PlannedOrders[Part Name],$A327,T_PlannedOrders[WeekIndex],13)&amp;" ("&amp;TEXT(SUMPRODUCT(MAX((T_PlannedOrders[Part Name]=$A327)*(T_PlannedOrders[WeekIndex]=13)*(T_PlannedOrders[EffectiveQty]&gt;0)*T_PlannedOrders[Order_Month])),"m月")&amp;"発注)")</f>
        <v/>
      </c>
      <c r="Q335">
        <f>IF(SUMIFS(T_PlannedOrders[EffectiveQty],T_PlannedOrders[Part Name],$A327,T_PlannedOrders[WeekIndex],14)=0,"",SUMIFS(T_PlannedOrders[EffectiveQty],T_PlannedOrders[Part Name],$A327,T_PlannedOrders[WeekIndex],14)&amp;" ("&amp;TEXT(SUMPRODUCT(MAX((T_PlannedOrders[Part Name]=$A327)*(T_PlannedOrders[WeekIndex]=14)*(T_PlannedOrders[EffectiveQty]&gt;0)*T_PlannedOrders[Order_Month])),"m月")&amp;"発注)")</f>
        <v/>
      </c>
      <c r="R335">
        <f>IF(SUMIFS(T_PlannedOrders[EffectiveQty],T_PlannedOrders[Part Name],$A327,T_PlannedOrders[WeekIndex],15)=0,"",SUMIFS(T_PlannedOrders[EffectiveQty],T_PlannedOrders[Part Name],$A327,T_PlannedOrders[WeekIndex],15)&amp;" ("&amp;TEXT(SUMPRODUCT(MAX((T_PlannedOrders[Part Name]=$A327)*(T_PlannedOrders[WeekIndex]=15)*(T_PlannedOrders[EffectiveQty]&gt;0)*T_PlannedOrders[Order_Month])),"m月")&amp;"発注)")</f>
        <v/>
      </c>
      <c r="S335">
        <f>IF(SUMIFS(T_PlannedOrders[EffectiveQty],T_PlannedOrders[Part Name],$A327,T_PlannedOrders[WeekIndex],16)=0,"",SUMIFS(T_PlannedOrders[EffectiveQty],T_PlannedOrders[Part Name],$A327,T_PlannedOrders[WeekIndex],16)&amp;" ("&amp;TEXT(SUMPRODUCT(MAX((T_PlannedOrders[Part Name]=$A327)*(T_PlannedOrders[WeekIndex]=16)*(T_PlannedOrders[EffectiveQty]&gt;0)*T_PlannedOrders[Order_Month])),"m月")&amp;"発注)")</f>
        <v/>
      </c>
      <c r="T335">
        <f>IF(SUMIFS(T_PlannedOrders[EffectiveQty],T_PlannedOrders[Part Name],$A327,T_PlannedOrders[WeekIndex],17)=0,"",SUMIFS(T_PlannedOrders[EffectiveQty],T_PlannedOrders[Part Name],$A327,T_PlannedOrders[WeekIndex],17)&amp;" ("&amp;TEXT(SUMPRODUCT(MAX((T_PlannedOrders[Part Name]=$A327)*(T_PlannedOrders[WeekIndex]=17)*(T_PlannedOrders[EffectiveQty]&gt;0)*T_PlannedOrders[Order_Month])),"m月")&amp;"発注)")</f>
        <v/>
      </c>
      <c r="U335">
        <f>IF(SUMIFS(T_PlannedOrders[EffectiveQty],T_PlannedOrders[Part Name],$A327,T_PlannedOrders[WeekIndex],18)=0,"",SUMIFS(T_PlannedOrders[EffectiveQty],T_PlannedOrders[Part Name],$A327,T_PlannedOrders[WeekIndex],18)&amp;" ("&amp;TEXT(SUMPRODUCT(MAX((T_PlannedOrders[Part Name]=$A327)*(T_PlannedOrders[WeekIndex]=18)*(T_PlannedOrders[EffectiveQty]&gt;0)*T_PlannedOrders[Order_Month])),"m月")&amp;"発注)")</f>
        <v/>
      </c>
      <c r="V335">
        <f>IF(SUMIFS(T_PlannedOrders[EffectiveQty],T_PlannedOrders[Part Name],$A327,T_PlannedOrders[WeekIndex],19)=0,"",SUMIFS(T_PlannedOrders[EffectiveQty],T_PlannedOrders[Part Name],$A327,T_PlannedOrders[WeekIndex],19)&amp;" ("&amp;TEXT(SUMPRODUCT(MAX((T_PlannedOrders[Part Name]=$A327)*(T_PlannedOrders[WeekIndex]=19)*(T_PlannedOrders[EffectiveQty]&gt;0)*T_PlannedOrders[Order_Month])),"m月")&amp;"発注)")</f>
        <v/>
      </c>
      <c r="W335">
        <f>IF(SUMIFS(T_PlannedOrders[EffectiveQty],T_PlannedOrders[Part Name],$A327,T_PlannedOrders[WeekIndex],20)=0,"",SUMIFS(T_PlannedOrders[EffectiveQty],T_PlannedOrders[Part Name],$A327,T_PlannedOrders[WeekIndex],20)&amp;" ("&amp;TEXT(SUMPRODUCT(MAX((T_PlannedOrders[Part Name]=$A327)*(T_PlannedOrders[WeekIndex]=20)*(T_PlannedOrders[EffectiveQty]&gt;0)*T_PlannedOrders[Order_Month])),"m月")&amp;"発注)")</f>
        <v/>
      </c>
      <c r="X335">
        <f>IF(SUMIFS(T_PlannedOrders[EffectiveQty],T_PlannedOrders[Part Name],$A327,T_PlannedOrders[WeekIndex],21)=0,"",SUMIFS(T_PlannedOrders[EffectiveQty],T_PlannedOrders[Part Name],$A327,T_PlannedOrders[WeekIndex],21)&amp;" ("&amp;TEXT(SUMPRODUCT(MAX((T_PlannedOrders[Part Name]=$A327)*(T_PlannedOrders[WeekIndex]=21)*(T_PlannedOrders[EffectiveQty]&gt;0)*T_PlannedOrders[Order_Month])),"m月")&amp;"発注)")</f>
        <v/>
      </c>
      <c r="Y335">
        <f>IF(SUMIFS(T_PlannedOrders[EffectiveQty],T_PlannedOrders[Part Name],$A327,T_PlannedOrders[WeekIndex],22)=0,"",SUMIFS(T_PlannedOrders[EffectiveQty],T_PlannedOrders[Part Name],$A327,T_PlannedOrders[WeekIndex],22)&amp;" ("&amp;TEXT(SUMPRODUCT(MAX((T_PlannedOrders[Part Name]=$A327)*(T_PlannedOrders[WeekIndex]=22)*(T_PlannedOrders[EffectiveQty]&gt;0)*T_PlannedOrders[Order_Month])),"m月")&amp;"発注)")</f>
        <v/>
      </c>
      <c r="Z335">
        <f>IF(SUMIFS(T_PlannedOrders[EffectiveQty],T_PlannedOrders[Part Name],$A327,T_PlannedOrders[WeekIndex],23)=0,"",SUMIFS(T_PlannedOrders[EffectiveQty],T_PlannedOrders[Part Name],$A327,T_PlannedOrders[WeekIndex],23)&amp;" ("&amp;TEXT(SUMPRODUCT(MAX((T_PlannedOrders[Part Name]=$A327)*(T_PlannedOrders[WeekIndex]=23)*(T_PlannedOrders[EffectiveQty]&gt;0)*T_PlannedOrders[Order_Month])),"m月")&amp;"発注)")</f>
        <v/>
      </c>
      <c r="AA335">
        <f>IF(SUMIFS(T_PlannedOrders[EffectiveQty],T_PlannedOrders[Part Name],$A327,T_PlannedOrders[WeekIndex],24)=0,"",SUMIFS(T_PlannedOrders[EffectiveQty],T_PlannedOrders[Part Name],$A327,T_PlannedOrders[WeekIndex],24)&amp;" ("&amp;TEXT(SUMPRODUCT(MAX((T_PlannedOrders[Part Name]=$A327)*(T_PlannedOrders[WeekIndex]=24)*(T_PlannedOrders[EffectiveQty]&gt;0)*T_PlannedOrders[Order_Month])),"m月")&amp;"発注)")</f>
        <v/>
      </c>
      <c r="AB335">
        <f>IF(SUMIFS(T_PlannedOrders[EffectiveQty],T_PlannedOrders[Part Name],$A327,T_PlannedOrders[WeekIndex],25)=0,"",SUMIFS(T_PlannedOrders[EffectiveQty],T_PlannedOrders[Part Name],$A327,T_PlannedOrders[WeekIndex],25)&amp;" ("&amp;TEXT(SUMPRODUCT(MAX((T_PlannedOrders[Part Name]=$A327)*(T_PlannedOrders[WeekIndex]=25)*(T_PlannedOrders[EffectiveQty]&gt;0)*T_PlannedOrders[Order_Month])),"m月")&amp;"発注)")</f>
        <v/>
      </c>
      <c r="AC335">
        <f>IF(SUMIFS(T_PlannedOrders[EffectiveQty],T_PlannedOrders[Part Name],$A327,T_PlannedOrders[WeekIndex],26)=0,"",SUMIFS(T_PlannedOrders[EffectiveQty],T_PlannedOrders[Part Name],$A327,T_PlannedOrders[WeekIndex],26)&amp;" ("&amp;TEXT(SUMPRODUCT(MAX((T_PlannedOrders[Part Name]=$A327)*(T_PlannedOrders[WeekIndex]=26)*(T_PlannedOrders[EffectiveQty]&gt;0)*T_PlannedOrders[Order_Month])),"m月")&amp;"発注)")</f>
        <v/>
      </c>
      <c r="AD335">
        <f>IF(SUMIFS(T_PlannedOrders[EffectiveQty],T_PlannedOrders[Part Name],$A327,T_PlannedOrders[WeekIndex],27)=0,"",SUMIFS(T_PlannedOrders[EffectiveQty],T_PlannedOrders[Part Name],$A327,T_PlannedOrders[WeekIndex],27)&amp;" ("&amp;TEXT(SUMPRODUCT(MAX((T_PlannedOrders[Part Name]=$A327)*(T_PlannedOrders[WeekIndex]=27)*(T_PlannedOrders[EffectiveQty]&gt;0)*T_PlannedOrders[Order_Month])),"m月")&amp;"発注)")</f>
        <v/>
      </c>
      <c r="AE335">
        <f>IF(SUMIFS(T_PlannedOrders[EffectiveQty],T_PlannedOrders[Part Name],$A327,T_PlannedOrders[WeekIndex],28)=0,"",SUMIFS(T_PlannedOrders[EffectiveQty],T_PlannedOrders[Part Name],$A327,T_PlannedOrders[WeekIndex],28)&amp;" ("&amp;TEXT(SUMPRODUCT(MAX((T_PlannedOrders[Part Name]=$A327)*(T_PlannedOrders[WeekIndex]=28)*(T_PlannedOrders[EffectiveQty]&gt;0)*T_PlannedOrders[Order_Month])),"m月")&amp;"発注)")</f>
        <v/>
      </c>
      <c r="AF335">
        <f>IF(SUMIFS(T_PlannedOrders[EffectiveQty],T_PlannedOrders[Part Name],$A327,T_PlannedOrders[WeekIndex],29)=0,"",SUMIFS(T_PlannedOrders[EffectiveQty],T_PlannedOrders[Part Name],$A327,T_PlannedOrders[WeekIndex],29)&amp;" ("&amp;TEXT(SUMPRODUCT(MAX((T_PlannedOrders[Part Name]=$A327)*(T_PlannedOrders[WeekIndex]=29)*(T_PlannedOrders[EffectiveQty]&gt;0)*T_PlannedOrders[Order_Month])),"m月")&amp;"発注)")</f>
        <v/>
      </c>
      <c r="AG335">
        <f>IF(SUMIFS(T_PlannedOrders[EffectiveQty],T_PlannedOrders[Part Name],$A327,T_PlannedOrders[WeekIndex],30)=0,"",SUMIFS(T_PlannedOrders[EffectiveQty],T_PlannedOrders[Part Name],$A327,T_PlannedOrders[WeekIndex],30)&amp;" ("&amp;TEXT(SUMPRODUCT(MAX((T_PlannedOrders[Part Name]=$A327)*(T_PlannedOrders[WeekIndex]=30)*(T_PlannedOrders[EffectiveQty]&gt;0)*T_PlannedOrders[Order_Month])),"m月")&amp;"発注)")</f>
        <v/>
      </c>
      <c r="AH335">
        <f>IF(SUMIFS(T_PlannedOrders[EffectiveQty],T_PlannedOrders[Part Name],$A327,T_PlannedOrders[WeekIndex],31)=0,"",SUMIFS(T_PlannedOrders[EffectiveQty],T_PlannedOrders[Part Name],$A327,T_PlannedOrders[WeekIndex],31)&amp;" ("&amp;TEXT(SUMPRODUCT(MAX((T_PlannedOrders[Part Name]=$A327)*(T_PlannedOrders[WeekIndex]=31)*(T_PlannedOrders[EffectiveQty]&gt;0)*T_PlannedOrders[Order_Month])),"m月")&amp;"発注)")</f>
        <v/>
      </c>
      <c r="AI335">
        <f>IF(SUMIFS(T_PlannedOrders[EffectiveQty],T_PlannedOrders[Part Name],$A327,T_PlannedOrders[WeekIndex],32)=0,"",SUMIFS(T_PlannedOrders[EffectiveQty],T_PlannedOrders[Part Name],$A327,T_PlannedOrders[WeekIndex],32)&amp;" ("&amp;TEXT(SUMPRODUCT(MAX((T_PlannedOrders[Part Name]=$A327)*(T_PlannedOrders[WeekIndex]=32)*(T_PlannedOrders[EffectiveQty]&gt;0)*T_PlannedOrders[Order_Month])),"m月")&amp;"発注)")</f>
        <v/>
      </c>
      <c r="AJ335">
        <f>IF(SUMIFS(T_PlannedOrders[EffectiveQty],T_PlannedOrders[Part Name],$A327,T_PlannedOrders[WeekIndex],33)=0,"",SUMIFS(T_PlannedOrders[EffectiveQty],T_PlannedOrders[Part Name],$A327,T_PlannedOrders[WeekIndex],33)&amp;" ("&amp;TEXT(SUMPRODUCT(MAX((T_PlannedOrders[Part Name]=$A327)*(T_PlannedOrders[WeekIndex]=33)*(T_PlannedOrders[EffectiveQty]&gt;0)*T_PlannedOrders[Order_Month])),"m月")&amp;"発注)")</f>
        <v/>
      </c>
      <c r="AK335">
        <f>IF(SUMIFS(T_PlannedOrders[EffectiveQty],T_PlannedOrders[Part Name],$A327,T_PlannedOrders[WeekIndex],34)=0,"",SUMIFS(T_PlannedOrders[EffectiveQty],T_PlannedOrders[Part Name],$A327,T_PlannedOrders[WeekIndex],34)&amp;" ("&amp;TEXT(SUMPRODUCT(MAX((T_PlannedOrders[Part Name]=$A327)*(T_PlannedOrders[WeekIndex]=34)*(T_PlannedOrders[EffectiveQty]&gt;0)*T_PlannedOrders[Order_Month])),"m月")&amp;"発注)")</f>
        <v/>
      </c>
      <c r="AL335">
        <f>IF(SUMIFS(T_PlannedOrders[EffectiveQty],T_PlannedOrders[Part Name],$A327,T_PlannedOrders[WeekIndex],35)=0,"",SUMIFS(T_PlannedOrders[EffectiveQty],T_PlannedOrders[Part Name],$A327,T_PlannedOrders[WeekIndex],35)&amp;" ("&amp;TEXT(SUMPRODUCT(MAX((T_PlannedOrders[Part Name]=$A327)*(T_PlannedOrders[WeekIndex]=35)*(T_PlannedOrders[EffectiveQty]&gt;0)*T_PlannedOrders[Order_Month])),"m月")&amp;"発注)")</f>
        <v/>
      </c>
      <c r="AM335">
        <f>IF(SUMIFS(T_PlannedOrders[EffectiveQty],T_PlannedOrders[Part Name],$A327,T_PlannedOrders[WeekIndex],36)=0,"",SUMIFS(T_PlannedOrders[EffectiveQty],T_PlannedOrders[Part Name],$A327,T_PlannedOrders[WeekIndex],36)&amp;" ("&amp;TEXT(SUMPRODUCT(MAX((T_PlannedOrders[Part Name]=$A327)*(T_PlannedOrders[WeekIndex]=36)*(T_PlannedOrders[EffectiveQty]&gt;0)*T_PlannedOrders[Order_Month])),"m月")&amp;"発注)")</f>
        <v/>
      </c>
      <c r="AN335">
        <f>IF(SUMIFS(T_PlannedOrders[EffectiveQty],T_PlannedOrders[Part Name],$A327,T_PlannedOrders[WeekIndex],37)=0,"",SUMIFS(T_PlannedOrders[EffectiveQty],T_PlannedOrders[Part Name],$A327,T_PlannedOrders[WeekIndex],37)&amp;" ("&amp;TEXT(SUMPRODUCT(MAX((T_PlannedOrders[Part Name]=$A327)*(T_PlannedOrders[WeekIndex]=37)*(T_PlannedOrders[EffectiveQty]&gt;0)*T_PlannedOrders[Order_Month])),"m月")&amp;"発注)")</f>
        <v/>
      </c>
      <c r="AO335">
        <f>IF(SUMIFS(T_PlannedOrders[EffectiveQty],T_PlannedOrders[Part Name],$A327,T_PlannedOrders[WeekIndex],38)=0,"",SUMIFS(T_PlannedOrders[EffectiveQty],T_PlannedOrders[Part Name],$A327,T_PlannedOrders[WeekIndex],38)&amp;" ("&amp;TEXT(SUMPRODUCT(MAX((T_PlannedOrders[Part Name]=$A327)*(T_PlannedOrders[WeekIndex]=38)*(T_PlannedOrders[EffectiveQty]&gt;0)*T_PlannedOrders[Order_Month])),"m月")&amp;"発注)")</f>
        <v/>
      </c>
      <c r="AP335">
        <f>IF(SUMIFS(T_PlannedOrders[EffectiveQty],T_PlannedOrders[Part Name],$A327,T_PlannedOrders[WeekIndex],39)=0,"",SUMIFS(T_PlannedOrders[EffectiveQty],T_PlannedOrders[Part Name],$A327,T_PlannedOrders[WeekIndex],39)&amp;" ("&amp;TEXT(SUMPRODUCT(MAX((T_PlannedOrders[Part Name]=$A327)*(T_PlannedOrders[WeekIndex]=39)*(T_PlannedOrders[EffectiveQty]&gt;0)*T_PlannedOrders[Order_Month])),"m月")&amp;"発注)")</f>
        <v/>
      </c>
      <c r="AQ335">
        <f>IF(SUMIFS(T_PlannedOrders[EffectiveQty],T_PlannedOrders[Part Name],$A327,T_PlannedOrders[WeekIndex],40)=0,"",SUMIFS(T_PlannedOrders[EffectiveQty],T_PlannedOrders[Part Name],$A327,T_PlannedOrders[WeekIndex],40)&amp;" ("&amp;TEXT(SUMPRODUCT(MAX((T_PlannedOrders[Part Name]=$A327)*(T_PlannedOrders[WeekIndex]=40)*(T_PlannedOrders[EffectiveQty]&gt;0)*T_PlannedOrders[Order_Month])),"m月")&amp;"発注)")</f>
        <v/>
      </c>
      <c r="AR335">
        <f>IF(SUMIFS(T_PlannedOrders[EffectiveQty],T_PlannedOrders[Part Name],$A327,T_PlannedOrders[WeekIndex],41)=0,"",SUMIFS(T_PlannedOrders[EffectiveQty],T_PlannedOrders[Part Name],$A327,T_PlannedOrders[WeekIndex],41)&amp;" ("&amp;TEXT(SUMPRODUCT(MAX((T_PlannedOrders[Part Name]=$A327)*(T_PlannedOrders[WeekIndex]=41)*(T_PlannedOrders[EffectiveQty]&gt;0)*T_PlannedOrders[Order_Month])),"m月")&amp;"発注)")</f>
        <v/>
      </c>
      <c r="AS335">
        <f>IF(SUMIFS(T_PlannedOrders[EffectiveQty],T_PlannedOrders[Part Name],$A327,T_PlannedOrders[WeekIndex],42)=0,"",SUMIFS(T_PlannedOrders[EffectiveQty],T_PlannedOrders[Part Name],$A327,T_PlannedOrders[WeekIndex],42)&amp;" ("&amp;TEXT(SUMPRODUCT(MAX((T_PlannedOrders[Part Name]=$A327)*(T_PlannedOrders[WeekIndex]=42)*(T_PlannedOrders[EffectiveQty]&gt;0)*T_PlannedOrders[Order_Month])),"m月")&amp;"発注)")</f>
        <v/>
      </c>
      <c r="AT335">
        <f>IF(SUMIFS(T_PlannedOrders[EffectiveQty],T_PlannedOrders[Part Name],$A327,T_PlannedOrders[WeekIndex],43)=0,"",SUMIFS(T_PlannedOrders[EffectiveQty],T_PlannedOrders[Part Name],$A327,T_PlannedOrders[WeekIndex],43)&amp;" ("&amp;TEXT(SUMPRODUCT(MAX((T_PlannedOrders[Part Name]=$A327)*(T_PlannedOrders[WeekIndex]=43)*(T_PlannedOrders[EffectiveQty]&gt;0)*T_PlannedOrders[Order_Month])),"m月")&amp;"発注)")</f>
        <v/>
      </c>
      <c r="AU335">
        <f>IF(SUMIFS(T_PlannedOrders[EffectiveQty],T_PlannedOrders[Part Name],$A327,T_PlannedOrders[WeekIndex],44)=0,"",SUMIFS(T_PlannedOrders[EffectiveQty],T_PlannedOrders[Part Name],$A327,T_PlannedOrders[WeekIndex],44)&amp;" ("&amp;TEXT(SUMPRODUCT(MAX((T_PlannedOrders[Part Name]=$A327)*(T_PlannedOrders[WeekIndex]=44)*(T_PlannedOrders[EffectiveQty]&gt;0)*T_PlannedOrders[Order_Month])),"m月")&amp;"発注)")</f>
        <v/>
      </c>
      <c r="AV335">
        <f>IF(SUMIFS(T_PlannedOrders[EffectiveQty],T_PlannedOrders[Part Name],$A327,T_PlannedOrders[WeekIndex],45)=0,"",SUMIFS(T_PlannedOrders[EffectiveQty],T_PlannedOrders[Part Name],$A327,T_PlannedOrders[WeekIndex],45)&amp;" ("&amp;TEXT(SUMPRODUCT(MAX((T_PlannedOrders[Part Name]=$A327)*(T_PlannedOrders[WeekIndex]=45)*(T_PlannedOrders[EffectiveQty]&gt;0)*T_PlannedOrders[Order_Month])),"m月")&amp;"発注)")</f>
        <v/>
      </c>
      <c r="AW335">
        <f>IF(SUMIFS(T_PlannedOrders[EffectiveQty],T_PlannedOrders[Part Name],$A327,T_PlannedOrders[WeekIndex],46)=0,"",SUMIFS(T_PlannedOrders[EffectiveQty],T_PlannedOrders[Part Name],$A327,T_PlannedOrders[WeekIndex],46)&amp;" ("&amp;TEXT(SUMPRODUCT(MAX((T_PlannedOrders[Part Name]=$A327)*(T_PlannedOrders[WeekIndex]=46)*(T_PlannedOrders[EffectiveQty]&gt;0)*T_PlannedOrders[Order_Month])),"m月")&amp;"発注)")</f>
        <v/>
      </c>
      <c r="AX335">
        <f>IF(SUMIFS(T_PlannedOrders[EffectiveQty],T_PlannedOrders[Part Name],$A327,T_PlannedOrders[WeekIndex],47)=0,"",SUMIFS(T_PlannedOrders[EffectiveQty],T_PlannedOrders[Part Name],$A327,T_PlannedOrders[WeekIndex],47)&amp;" ("&amp;TEXT(SUMPRODUCT(MAX((T_PlannedOrders[Part Name]=$A327)*(T_PlannedOrders[WeekIndex]=47)*(T_PlannedOrders[EffectiveQty]&gt;0)*T_PlannedOrders[Order_Month])),"m月")&amp;"発注)")</f>
        <v/>
      </c>
      <c r="AY335">
        <f>IF(SUMIFS(T_PlannedOrders[EffectiveQty],T_PlannedOrders[Part Name],$A327,T_PlannedOrders[WeekIndex],48)=0,"",SUMIFS(T_PlannedOrders[EffectiveQty],T_PlannedOrders[Part Name],$A327,T_PlannedOrders[WeekIndex],48)&amp;" ("&amp;TEXT(SUMPRODUCT(MAX((T_PlannedOrders[Part Name]=$A327)*(T_PlannedOrders[WeekIndex]=48)*(T_PlannedOrders[EffectiveQty]&gt;0)*T_PlannedOrders[Order_Month])),"m月")&amp;"発注)")</f>
        <v/>
      </c>
      <c r="AZ335">
        <f>IF(SUMIFS(T_PlannedOrders[EffectiveQty],T_PlannedOrders[Part Name],$A327,T_PlannedOrders[WeekIndex],49)=0,"",SUMIFS(T_PlannedOrders[EffectiveQty],T_PlannedOrders[Part Name],$A327,T_PlannedOrders[WeekIndex],49)&amp;" ("&amp;TEXT(SUMPRODUCT(MAX((T_PlannedOrders[Part Name]=$A327)*(T_PlannedOrders[WeekIndex]=49)*(T_PlannedOrders[EffectiveQty]&gt;0)*T_PlannedOrders[Order_Month])),"m月")&amp;"発注)")</f>
        <v/>
      </c>
      <c r="BA335">
        <f>IF(SUMIFS(T_PlannedOrders[EffectiveQty],T_PlannedOrders[Part Name],$A327,T_PlannedOrders[WeekIndex],50)=0,"",SUMIFS(T_PlannedOrders[EffectiveQty],T_PlannedOrders[Part Name],$A327,T_PlannedOrders[WeekIndex],50)&amp;" ("&amp;TEXT(SUMPRODUCT(MAX((T_PlannedOrders[Part Name]=$A327)*(T_PlannedOrders[WeekIndex]=50)*(T_PlannedOrders[EffectiveQty]&gt;0)*T_PlannedOrders[Order_Month])),"m月")&amp;"発注)")</f>
        <v/>
      </c>
      <c r="BB335">
        <f>IF(SUMIFS(T_PlannedOrders[EffectiveQty],T_PlannedOrders[Part Name],$A327,T_PlannedOrders[WeekIndex],51)=0,"",SUMIFS(T_PlannedOrders[EffectiveQty],T_PlannedOrders[Part Name],$A327,T_PlannedOrders[WeekIndex],51)&amp;" ("&amp;TEXT(SUMPRODUCT(MAX((T_PlannedOrders[Part Name]=$A327)*(T_PlannedOrders[WeekIndex]=51)*(T_PlannedOrders[EffectiveQty]&gt;0)*T_PlannedOrders[Order_Month])),"m月")&amp;"発注)")</f>
        <v/>
      </c>
      <c r="BC335">
        <f>IF(SUMIFS(T_PlannedOrders[EffectiveQty],T_PlannedOrders[Part Name],$A327,T_PlannedOrders[WeekIndex],52)=0,"",SUMIFS(T_PlannedOrders[EffectiveQty],T_PlannedOrders[Part Name],$A327,T_PlannedOrders[WeekIndex],52)&amp;" ("&amp;TEXT(SUMPRODUCT(MAX((T_PlannedOrders[Part Name]=$A327)*(T_PlannedOrders[WeekIndex]=52)*(T_PlannedOrders[EffectiveQty]&gt;0)*T_PlannedOrders[Order_Month])),"m月")&amp;"発注)")</f>
        <v/>
      </c>
      <c r="BD335">
        <f>IF(SUMIFS(T_PlannedOrders[EffectiveQty],T_PlannedOrders[Part Name],$A327,T_PlannedOrders[WeekIndex],53)=0,"",SUMIFS(T_PlannedOrders[EffectiveQty],T_PlannedOrders[Part Name],$A327,T_PlannedOrders[WeekIndex],53)&amp;" ("&amp;TEXT(SUMPRODUCT(MAX((T_PlannedOrders[Part Name]=$A327)*(T_PlannedOrders[WeekIndex]=53)*(T_PlannedOrders[EffectiveQty]&gt;0)*T_PlannedOrders[Order_Month])),"m月")&amp;"発注)")</f>
        <v/>
      </c>
      <c r="BE335">
        <f>IF(SUMIFS(T_PlannedOrders[EffectiveQty],T_PlannedOrders[Part Name],$A327,T_PlannedOrders[WeekIndex],54)=0,"",SUMIFS(T_PlannedOrders[EffectiveQty],T_PlannedOrders[Part Name],$A327,T_PlannedOrders[WeekIndex],54)&amp;" ("&amp;TEXT(SUMPRODUCT(MAX((T_PlannedOrders[Part Name]=$A327)*(T_PlannedOrders[WeekIndex]=54)*(T_PlannedOrders[EffectiveQty]&gt;0)*T_PlannedOrders[Order_Month])),"m月")&amp;"発注)")</f>
        <v/>
      </c>
      <c r="BF335">
        <f>IF(SUMIFS(T_PlannedOrders[EffectiveQty],T_PlannedOrders[Part Name],$A327,T_PlannedOrders[WeekIndex],55)=0,"",SUMIFS(T_PlannedOrders[EffectiveQty],T_PlannedOrders[Part Name],$A327,T_PlannedOrders[WeekIndex],55)&amp;" ("&amp;TEXT(SUMPRODUCT(MAX((T_PlannedOrders[Part Name]=$A327)*(T_PlannedOrders[WeekIndex]=55)*(T_PlannedOrders[EffectiveQty]&gt;0)*T_PlannedOrders[Order_Month])),"m月")&amp;"発注)")</f>
        <v/>
      </c>
      <c r="BG335">
        <f>IF(SUMIFS(T_PlannedOrders[EffectiveQty],T_PlannedOrders[Part Name],$A327,T_PlannedOrders[WeekIndex],56)=0,"",SUMIFS(T_PlannedOrders[EffectiveQty],T_PlannedOrders[Part Name],$A327,T_PlannedOrders[WeekIndex],56)&amp;" ("&amp;TEXT(SUMPRODUCT(MAX((T_PlannedOrders[Part Name]=$A327)*(T_PlannedOrders[WeekIndex]=56)*(T_PlannedOrders[EffectiveQty]&gt;0)*T_PlannedOrders[Order_Month])),"m月")&amp;"発注)")</f>
        <v/>
      </c>
      <c r="BH335">
        <f>IF(SUMIFS(T_PlannedOrders[EffectiveQty],T_PlannedOrders[Part Name],$A327,T_PlannedOrders[WeekIndex],57)=0,"",SUMIFS(T_PlannedOrders[EffectiveQty],T_PlannedOrders[Part Name],$A327,T_PlannedOrders[WeekIndex],57)&amp;" ("&amp;TEXT(SUMPRODUCT(MAX((T_PlannedOrders[Part Name]=$A327)*(T_PlannedOrders[WeekIndex]=57)*(T_PlannedOrders[EffectiveQty]&gt;0)*T_PlannedOrders[Order_Month])),"m月")&amp;"発注)")</f>
        <v/>
      </c>
      <c r="BI335">
        <f>IF(SUMIFS(T_PlannedOrders[EffectiveQty],T_PlannedOrders[Part Name],$A327,T_PlannedOrders[WeekIndex],58)=0,"",SUMIFS(T_PlannedOrders[EffectiveQty],T_PlannedOrders[Part Name],$A327,T_PlannedOrders[WeekIndex],58)&amp;" ("&amp;TEXT(SUMPRODUCT(MAX((T_PlannedOrders[Part Name]=$A327)*(T_PlannedOrders[WeekIndex]=58)*(T_PlannedOrders[EffectiveQty]&gt;0)*T_PlannedOrders[Order_Month])),"m月")&amp;"発注)")</f>
        <v/>
      </c>
      <c r="BJ335">
        <f>IF(SUMIFS(T_PlannedOrders[EffectiveQty],T_PlannedOrders[Part Name],$A327,T_PlannedOrders[WeekIndex],59)=0,"",SUMIFS(T_PlannedOrders[EffectiveQty],T_PlannedOrders[Part Name],$A327,T_PlannedOrders[WeekIndex],59)&amp;" ("&amp;TEXT(SUMPRODUCT(MAX((T_PlannedOrders[Part Name]=$A327)*(T_PlannedOrders[WeekIndex]=59)*(T_PlannedOrders[EffectiveQty]&gt;0)*T_PlannedOrders[Order_Month])),"m月")&amp;"発注)")</f>
        <v/>
      </c>
      <c r="BK335">
        <f>IF(SUMIFS(T_PlannedOrders[EffectiveQty],T_PlannedOrders[Part Name],$A327,T_PlannedOrders[WeekIndex],60)=0,"",SUMIFS(T_PlannedOrders[EffectiveQty],T_PlannedOrders[Part Name],$A327,T_PlannedOrders[WeekIndex],60)&amp;" ("&amp;TEXT(SUMPRODUCT(MAX((T_PlannedOrders[Part Name]=$A327)*(T_PlannedOrders[WeekIndex]=60)*(T_PlannedOrders[EffectiveQty]&gt;0)*T_PlannedOrders[Order_Month])),"m月")&amp;"発注)")</f>
        <v/>
      </c>
      <c r="BL335">
        <f>IF(SUMIFS(T_PlannedOrders[EffectiveQty],T_PlannedOrders[Part Name],$A327,T_PlannedOrders[WeekIndex],61)=0,"",SUMIFS(T_PlannedOrders[EffectiveQty],T_PlannedOrders[Part Name],$A327,T_PlannedOrders[WeekIndex],61)&amp;" ("&amp;TEXT(SUMPRODUCT(MAX((T_PlannedOrders[Part Name]=$A327)*(T_PlannedOrders[WeekIndex]=61)*(T_PlannedOrders[EffectiveQty]&gt;0)*T_PlannedOrders[Order_Month])),"m月")&amp;"発注)")</f>
        <v/>
      </c>
      <c r="BM335">
        <f>IF(SUMIFS(T_PlannedOrders[EffectiveQty],T_PlannedOrders[Part Name],$A327,T_PlannedOrders[WeekIndex],62)=0,"",SUMIFS(T_PlannedOrders[EffectiveQty],T_PlannedOrders[Part Name],$A327,T_PlannedOrders[WeekIndex],62)&amp;" ("&amp;TEXT(SUMPRODUCT(MAX((T_PlannedOrders[Part Name]=$A327)*(T_PlannedOrders[WeekIndex]=62)*(T_PlannedOrders[EffectiveQty]&gt;0)*T_PlannedOrders[Order_Month])),"m月")&amp;"発注)")</f>
        <v/>
      </c>
      <c r="BN335">
        <f>IF(SUMIFS(T_PlannedOrders[EffectiveQty],T_PlannedOrders[Part Name],$A327,T_PlannedOrders[WeekIndex],63)=0,"",SUMIFS(T_PlannedOrders[EffectiveQty],T_PlannedOrders[Part Name],$A327,T_PlannedOrders[WeekIndex],63)&amp;" ("&amp;TEXT(SUMPRODUCT(MAX((T_PlannedOrders[Part Name]=$A327)*(T_PlannedOrders[WeekIndex]=63)*(T_PlannedOrders[EffectiveQty]&gt;0)*T_PlannedOrders[Order_Month])),"m月")&amp;"発注)")</f>
        <v/>
      </c>
      <c r="BO335">
        <f>IF(SUMIFS(T_PlannedOrders[EffectiveQty],T_PlannedOrders[Part Name],$A327,T_PlannedOrders[WeekIndex],64)=0,"",SUMIFS(T_PlannedOrders[EffectiveQty],T_PlannedOrders[Part Name],$A327,T_PlannedOrders[WeekIndex],64)&amp;" ("&amp;TEXT(SUMPRODUCT(MAX((T_PlannedOrders[Part Name]=$A327)*(T_PlannedOrders[WeekIndex]=64)*(T_PlannedOrders[EffectiveQty]&gt;0)*T_PlannedOrders[Order_Month])),"m月")&amp;"発注)")</f>
        <v/>
      </c>
      <c r="BP335">
        <f>IF(SUMIFS(T_PlannedOrders[EffectiveQty],T_PlannedOrders[Part Name],$A327,T_PlannedOrders[WeekIndex],65)=0,"",SUMIFS(T_PlannedOrders[EffectiveQty],T_PlannedOrders[Part Name],$A327,T_PlannedOrders[WeekIndex],65)&amp;" ("&amp;TEXT(SUMPRODUCT(MAX((T_PlannedOrders[Part Name]=$A327)*(T_PlannedOrders[WeekIndex]=65)*(T_PlannedOrders[EffectiveQty]&gt;0)*T_PlannedOrders[Order_Month])),"m月")&amp;"発注)")</f>
        <v/>
      </c>
      <c r="BQ335">
        <f>IF(SUMIFS(T_PlannedOrders[EffectiveQty],T_PlannedOrders[Part Name],$A327,T_PlannedOrders[WeekIndex],66)=0,"",SUMIFS(T_PlannedOrders[EffectiveQty],T_PlannedOrders[Part Name],$A327,T_PlannedOrders[WeekIndex],66)&amp;" ("&amp;TEXT(SUMPRODUCT(MAX((T_PlannedOrders[Part Name]=$A327)*(T_PlannedOrders[WeekIndex]=66)*(T_PlannedOrders[EffectiveQty]&gt;0)*T_PlannedOrders[Order_Month])),"m月")&amp;"発注)")</f>
        <v/>
      </c>
      <c r="BR335">
        <f>IF(SUMIFS(T_PlannedOrders[EffectiveQty],T_PlannedOrders[Part Name],$A327,T_PlannedOrders[WeekIndex],67)=0,"",SUMIFS(T_PlannedOrders[EffectiveQty],T_PlannedOrders[Part Name],$A327,T_PlannedOrders[WeekIndex],67)&amp;" ("&amp;TEXT(SUMPRODUCT(MAX((T_PlannedOrders[Part Name]=$A327)*(T_PlannedOrders[WeekIndex]=67)*(T_PlannedOrders[EffectiveQty]&gt;0)*T_PlannedOrders[Order_Month])),"m月")&amp;"発注)")</f>
        <v/>
      </c>
      <c r="BS335">
        <f>IF(SUMIFS(T_PlannedOrders[EffectiveQty],T_PlannedOrders[Part Name],$A327,T_PlannedOrders[WeekIndex],68)=0,"",SUMIFS(T_PlannedOrders[EffectiveQty],T_PlannedOrders[Part Name],$A327,T_PlannedOrders[WeekIndex],68)&amp;" ("&amp;TEXT(SUMPRODUCT(MAX((T_PlannedOrders[Part Name]=$A327)*(T_PlannedOrders[WeekIndex]=68)*(T_PlannedOrders[EffectiveQty]&gt;0)*T_PlannedOrders[Order_Month])),"m月")&amp;"発注)")</f>
        <v/>
      </c>
      <c r="BT335">
        <f>IF(SUMIFS(T_PlannedOrders[EffectiveQty],T_PlannedOrders[Part Name],$A327,T_PlannedOrders[WeekIndex],69)=0,"",SUMIFS(T_PlannedOrders[EffectiveQty],T_PlannedOrders[Part Name],$A327,T_PlannedOrders[WeekIndex],69)&amp;" ("&amp;TEXT(SUMPRODUCT(MAX((T_PlannedOrders[Part Name]=$A327)*(T_PlannedOrders[WeekIndex]=69)*(T_PlannedOrders[EffectiveQty]&gt;0)*T_PlannedOrders[Order_Month])),"m月")&amp;"発注)")</f>
        <v/>
      </c>
      <c r="BU335">
        <f>IF(SUMIFS(T_PlannedOrders[EffectiveQty],T_PlannedOrders[Part Name],$A327,T_PlannedOrders[WeekIndex],70)=0,"",SUMIFS(T_PlannedOrders[EffectiveQty],T_PlannedOrders[Part Name],$A327,T_PlannedOrders[WeekIndex],70)&amp;" ("&amp;TEXT(SUMPRODUCT(MAX((T_PlannedOrders[Part Name]=$A327)*(T_PlannedOrders[WeekIndex]=70)*(T_PlannedOrders[EffectiveQty]&gt;0)*T_PlannedOrders[Order_Month])),"m月")&amp;"発注)")</f>
        <v/>
      </c>
      <c r="BV335">
        <f>IF(SUMIFS(T_PlannedOrders[EffectiveQty],T_PlannedOrders[Part Name],$A327,T_PlannedOrders[WeekIndex],71)=0,"",SUMIFS(T_PlannedOrders[EffectiveQty],T_PlannedOrders[Part Name],$A327,T_PlannedOrders[WeekIndex],71)&amp;" ("&amp;TEXT(SUMPRODUCT(MAX((T_PlannedOrders[Part Name]=$A327)*(T_PlannedOrders[WeekIndex]=71)*(T_PlannedOrders[EffectiveQty]&gt;0)*T_PlannedOrders[Order_Month])),"m月")&amp;"発注)")</f>
        <v/>
      </c>
      <c r="BW335">
        <f>IF(SUMIFS(T_PlannedOrders[EffectiveQty],T_PlannedOrders[Part Name],$A327,T_PlannedOrders[WeekIndex],72)=0,"",SUMIFS(T_PlannedOrders[EffectiveQty],T_PlannedOrders[Part Name],$A327,T_PlannedOrders[WeekIndex],72)&amp;" ("&amp;TEXT(SUMPRODUCT(MAX((T_PlannedOrders[Part Name]=$A327)*(T_PlannedOrders[WeekIndex]=72)*(T_PlannedOrders[EffectiveQty]&gt;0)*T_PlannedOrders[Order_Month])),"m月")&amp;"発注)")</f>
        <v/>
      </c>
      <c r="BX335">
        <f>IF(SUMIFS(T_PlannedOrders[EffectiveQty],T_PlannedOrders[Part Name],$A327,T_PlannedOrders[WeekIndex],73)=0,"",SUMIFS(T_PlannedOrders[EffectiveQty],T_PlannedOrders[Part Name],$A327,T_PlannedOrders[WeekIndex],73)&amp;" ("&amp;TEXT(SUMPRODUCT(MAX((T_PlannedOrders[Part Name]=$A327)*(T_PlannedOrders[WeekIndex]=73)*(T_PlannedOrders[EffectiveQty]&gt;0)*T_PlannedOrders[Order_Month])),"m月")&amp;"発注)")</f>
        <v/>
      </c>
      <c r="BY335">
        <f>IF(SUMIFS(T_PlannedOrders[EffectiveQty],T_PlannedOrders[Part Name],$A327,T_PlannedOrders[WeekIndex],74)=0,"",SUMIFS(T_PlannedOrders[EffectiveQty],T_PlannedOrders[Part Name],$A327,T_PlannedOrders[WeekIndex],74)&amp;" ("&amp;TEXT(SUMPRODUCT(MAX((T_PlannedOrders[Part Name]=$A327)*(T_PlannedOrders[WeekIndex]=74)*(T_PlannedOrders[EffectiveQty]&gt;0)*T_PlannedOrders[Order_Month])),"m月")&amp;"発注)")</f>
        <v/>
      </c>
      <c r="BZ335">
        <f>IF(SUMIFS(T_PlannedOrders[EffectiveQty],T_PlannedOrders[Part Name],$A327,T_PlannedOrders[WeekIndex],75)=0,"",SUMIFS(T_PlannedOrders[EffectiveQty],T_PlannedOrders[Part Name],$A327,T_PlannedOrders[WeekIndex],75)&amp;" ("&amp;TEXT(SUMPRODUCT(MAX((T_PlannedOrders[Part Name]=$A327)*(T_PlannedOrders[WeekIndex]=75)*(T_PlannedOrders[EffectiveQty]&gt;0)*T_PlannedOrders[Order_Month])),"m月")&amp;"発注)")</f>
        <v/>
      </c>
      <c r="CA335">
        <f>IF(SUMIFS(T_PlannedOrders[EffectiveQty],T_PlannedOrders[Part Name],$A327,T_PlannedOrders[WeekIndex],76)=0,"",SUMIFS(T_PlannedOrders[EffectiveQty],T_PlannedOrders[Part Name],$A327,T_PlannedOrders[WeekIndex],76)&amp;" ("&amp;TEXT(SUMPRODUCT(MAX((T_PlannedOrders[Part Name]=$A327)*(T_PlannedOrders[WeekIndex]=76)*(T_PlannedOrders[EffectiveQty]&gt;0)*T_PlannedOrders[Order_Month])),"m月")&amp;"発注)")</f>
        <v/>
      </c>
      <c r="CB335">
        <f>IF(SUMIFS(T_PlannedOrders[EffectiveQty],T_PlannedOrders[Part Name],$A327,T_PlannedOrders[WeekIndex],77)=0,"",SUMIFS(T_PlannedOrders[EffectiveQty],T_PlannedOrders[Part Name],$A327,T_PlannedOrders[WeekIndex],77)&amp;" ("&amp;TEXT(SUMPRODUCT(MAX((T_PlannedOrders[Part Name]=$A327)*(T_PlannedOrders[WeekIndex]=77)*(T_PlannedOrders[EffectiveQty]&gt;0)*T_PlannedOrders[Order_Month])),"m月")&amp;"発注)")</f>
        <v/>
      </c>
      <c r="CC335">
        <f>IF(SUMIFS(T_PlannedOrders[EffectiveQty],T_PlannedOrders[Part Name],$A327,T_PlannedOrders[WeekIndex],78)=0,"",SUMIFS(T_PlannedOrders[EffectiveQty],T_PlannedOrders[Part Name],$A327,T_PlannedOrders[WeekIndex],78)&amp;" ("&amp;TEXT(SUMPRODUCT(MAX((T_PlannedOrders[Part Name]=$A327)*(T_PlannedOrders[WeekIndex]=78)*(T_PlannedOrders[EffectiveQty]&gt;0)*T_PlannedOrders[Order_Month])),"m月")&amp;"発注)")</f>
        <v/>
      </c>
      <c r="CD335">
        <f>IF(SUMIFS(T_PlannedOrders[EffectiveQty],T_PlannedOrders[Part Name],$A327,T_PlannedOrders[WeekIndex],79)=0,"",SUMIFS(T_PlannedOrders[EffectiveQty],T_PlannedOrders[Part Name],$A327,T_PlannedOrders[WeekIndex],79)&amp;" ("&amp;TEXT(SUMPRODUCT(MAX((T_PlannedOrders[Part Name]=$A327)*(T_PlannedOrders[WeekIndex]=79)*(T_PlannedOrders[EffectiveQty]&gt;0)*T_PlannedOrders[Order_Month])),"m月")&amp;"発注)")</f>
        <v/>
      </c>
      <c r="CE335">
        <f>IF(SUMIFS(T_PlannedOrders[EffectiveQty],T_PlannedOrders[Part Name],$A327,T_PlannedOrders[WeekIndex],80)=0,"",SUMIFS(T_PlannedOrders[EffectiveQty],T_PlannedOrders[Part Name],$A327,T_PlannedOrders[WeekIndex],80)&amp;" ("&amp;TEXT(SUMPRODUCT(MAX((T_PlannedOrders[Part Name]=$A327)*(T_PlannedOrders[WeekIndex]=80)*(T_PlannedOrders[EffectiveQty]&gt;0)*T_PlannedOrders[Order_Month])),"m月")&amp;"発注)")</f>
        <v/>
      </c>
      <c r="CF335">
        <f>IF(SUMIFS(T_PlannedOrders[EffectiveQty],T_PlannedOrders[Part Name],$A327,T_PlannedOrders[WeekIndex],81)=0,"",SUMIFS(T_PlannedOrders[EffectiveQty],T_PlannedOrders[Part Name],$A327,T_PlannedOrders[WeekIndex],81)&amp;" ("&amp;TEXT(SUMPRODUCT(MAX((T_PlannedOrders[Part Name]=$A327)*(T_PlannedOrders[WeekIndex]=81)*(T_PlannedOrders[EffectiveQty]&gt;0)*T_PlannedOrders[Order_Month])),"m月")&amp;"発注)")</f>
        <v/>
      </c>
      <c r="CG335">
        <f>IF(SUMIFS(T_PlannedOrders[EffectiveQty],T_PlannedOrders[Part Name],$A327,T_PlannedOrders[WeekIndex],82)=0,"",SUMIFS(T_PlannedOrders[EffectiveQty],T_PlannedOrders[Part Name],$A327,T_PlannedOrders[WeekIndex],82)&amp;" ("&amp;TEXT(SUMPRODUCT(MAX((T_PlannedOrders[Part Name]=$A327)*(T_PlannedOrders[WeekIndex]=82)*(T_PlannedOrders[EffectiveQty]&gt;0)*T_PlannedOrders[Order_Month])),"m月")&amp;"発注)")</f>
        <v/>
      </c>
      <c r="CH335">
        <f>IF(SUMIFS(T_PlannedOrders[EffectiveQty],T_PlannedOrders[Part Name],$A327,T_PlannedOrders[WeekIndex],83)=0,"",SUMIFS(T_PlannedOrders[EffectiveQty],T_PlannedOrders[Part Name],$A327,T_PlannedOrders[WeekIndex],83)&amp;" ("&amp;TEXT(SUMPRODUCT(MAX((T_PlannedOrders[Part Name]=$A327)*(T_PlannedOrders[WeekIndex]=83)*(T_PlannedOrders[EffectiveQty]&gt;0)*T_PlannedOrders[Order_Month])),"m月")&amp;"発注)")</f>
        <v/>
      </c>
      <c r="CI335">
        <f>IF(SUMIFS(T_PlannedOrders[EffectiveQty],T_PlannedOrders[Part Name],$A327,T_PlannedOrders[WeekIndex],84)=0,"",SUMIFS(T_PlannedOrders[EffectiveQty],T_PlannedOrders[Part Name],$A327,T_PlannedOrders[WeekIndex],84)&amp;" ("&amp;TEXT(SUMPRODUCT(MAX((T_PlannedOrders[Part Name]=$A327)*(T_PlannedOrders[WeekIndex]=84)*(T_PlannedOrders[EffectiveQty]&gt;0)*T_PlannedOrders[Order_Month])),"m月")&amp;"発注)")</f>
        <v/>
      </c>
      <c r="CJ335">
        <f>IF(SUMIFS(T_PlannedOrders[EffectiveQty],T_PlannedOrders[Part Name],$A327,T_PlannedOrders[WeekIndex],85)=0,"",SUMIFS(T_PlannedOrders[EffectiveQty],T_PlannedOrders[Part Name],$A327,T_PlannedOrders[WeekIndex],85)&amp;" ("&amp;TEXT(SUMPRODUCT(MAX((T_PlannedOrders[Part Name]=$A327)*(T_PlannedOrders[WeekIndex]=85)*(T_PlannedOrders[EffectiveQty]&gt;0)*T_PlannedOrders[Order_Month])),"m月")&amp;"発注)")</f>
        <v/>
      </c>
      <c r="CK335">
        <f>IF(SUMIFS(T_PlannedOrders[EffectiveQty],T_PlannedOrders[Part Name],$A327,T_PlannedOrders[WeekIndex],86)=0,"",SUMIFS(T_PlannedOrders[EffectiveQty],T_PlannedOrders[Part Name],$A327,T_PlannedOrders[WeekIndex],86)&amp;" ("&amp;TEXT(SUMPRODUCT(MAX((T_PlannedOrders[Part Name]=$A327)*(T_PlannedOrders[WeekIndex]=86)*(T_PlannedOrders[EffectiveQty]&gt;0)*T_PlannedOrders[Order_Month])),"m月")&amp;"発注)")</f>
        <v/>
      </c>
      <c r="CL335">
        <f>IF(SUMIFS(T_PlannedOrders[EffectiveQty],T_PlannedOrders[Part Name],$A327,T_PlannedOrders[WeekIndex],87)=0,"",SUMIFS(T_PlannedOrders[EffectiveQty],T_PlannedOrders[Part Name],$A327,T_PlannedOrders[WeekIndex],87)&amp;" ("&amp;TEXT(SUMPRODUCT(MAX((T_PlannedOrders[Part Name]=$A327)*(T_PlannedOrders[WeekIndex]=87)*(T_PlannedOrders[EffectiveQty]&gt;0)*T_PlannedOrders[Order_Month])),"m月")&amp;"発注)")</f>
        <v/>
      </c>
      <c r="CM335">
        <f>IF(SUMIFS(T_PlannedOrders[EffectiveQty],T_PlannedOrders[Part Name],$A327,T_PlannedOrders[WeekIndex],88)=0,"",SUMIFS(T_PlannedOrders[EffectiveQty],T_PlannedOrders[Part Name],$A327,T_PlannedOrders[WeekIndex],88)&amp;" ("&amp;TEXT(SUMPRODUCT(MAX((T_PlannedOrders[Part Name]=$A327)*(T_PlannedOrders[WeekIndex]=88)*(T_PlannedOrders[EffectiveQty]&gt;0)*T_PlannedOrders[Order_Month])),"m月")&amp;"発注)")</f>
        <v/>
      </c>
      <c r="CN335">
        <f>IF(SUMIFS(T_PlannedOrders[EffectiveQty],T_PlannedOrders[Part Name],$A327,T_PlannedOrders[WeekIndex],89)=0,"",SUMIFS(T_PlannedOrders[EffectiveQty],T_PlannedOrders[Part Name],$A327,T_PlannedOrders[WeekIndex],89)&amp;" ("&amp;TEXT(SUMPRODUCT(MAX((T_PlannedOrders[Part Name]=$A327)*(T_PlannedOrders[WeekIndex]=89)*(T_PlannedOrders[EffectiveQty]&gt;0)*T_PlannedOrders[Order_Month])),"m月")&amp;"発注)")</f>
        <v/>
      </c>
      <c r="CO335">
        <f>IF(SUMIFS(T_PlannedOrders[EffectiveQty],T_PlannedOrders[Part Name],$A327,T_PlannedOrders[WeekIndex],90)=0,"",SUMIFS(T_PlannedOrders[EffectiveQty],T_PlannedOrders[Part Name],$A327,T_PlannedOrders[WeekIndex],90)&amp;" ("&amp;TEXT(SUMPRODUCT(MAX((T_PlannedOrders[Part Name]=$A327)*(T_PlannedOrders[WeekIndex]=90)*(T_PlannedOrders[EffectiveQty]&gt;0)*T_PlannedOrders[Order_Month])),"m月")&amp;"発注)")</f>
        <v/>
      </c>
      <c r="CP335">
        <f>IF(SUMIFS(T_PlannedOrders[EffectiveQty],T_PlannedOrders[Part Name],$A327,T_PlannedOrders[WeekIndex],91)=0,"",SUMIFS(T_PlannedOrders[EffectiveQty],T_PlannedOrders[Part Name],$A327,T_PlannedOrders[WeekIndex],91)&amp;" ("&amp;TEXT(SUMPRODUCT(MAX((T_PlannedOrders[Part Name]=$A327)*(T_PlannedOrders[WeekIndex]=91)*(T_PlannedOrders[EffectiveQty]&gt;0)*T_PlannedOrders[Order_Month])),"m月")&amp;"発注)")</f>
        <v/>
      </c>
      <c r="CQ335">
        <f>IF(SUMIFS(T_PlannedOrders[EffectiveQty],T_PlannedOrders[Part Name],$A327,T_PlannedOrders[WeekIndex],92)=0,"",SUMIFS(T_PlannedOrders[EffectiveQty],T_PlannedOrders[Part Name],$A327,T_PlannedOrders[WeekIndex],92)&amp;" ("&amp;TEXT(SUMPRODUCT(MAX((T_PlannedOrders[Part Name]=$A327)*(T_PlannedOrders[WeekIndex]=92)*(T_PlannedOrders[EffectiveQty]&gt;0)*T_PlannedOrders[Order_Month])),"m月")&amp;"発注)")</f>
        <v/>
      </c>
      <c r="CR335">
        <f>IF(SUMIFS(T_PlannedOrders[EffectiveQty],T_PlannedOrders[Part Name],$A327,T_PlannedOrders[WeekIndex],93)=0,"",SUMIFS(T_PlannedOrders[EffectiveQty],T_PlannedOrders[Part Name],$A327,T_PlannedOrders[WeekIndex],93)&amp;" ("&amp;TEXT(SUMPRODUCT(MAX((T_PlannedOrders[Part Name]=$A327)*(T_PlannedOrders[WeekIndex]=93)*(T_PlannedOrders[EffectiveQty]&gt;0)*T_PlannedOrders[Order_Month])),"m月")&amp;"発注)")</f>
        <v/>
      </c>
      <c r="CS335">
        <f>IF(SUMIFS(T_PlannedOrders[EffectiveQty],T_PlannedOrders[Part Name],$A327,T_PlannedOrders[WeekIndex],94)=0,"",SUMIFS(T_PlannedOrders[EffectiveQty],T_PlannedOrders[Part Name],$A327,T_PlannedOrders[WeekIndex],94)&amp;" ("&amp;TEXT(SUMPRODUCT(MAX((T_PlannedOrders[Part Name]=$A327)*(T_PlannedOrders[WeekIndex]=94)*(T_PlannedOrders[EffectiveQty]&gt;0)*T_PlannedOrders[Order_Month])),"m月")&amp;"発注)")</f>
        <v/>
      </c>
      <c r="CT335">
        <f>IF(SUMIFS(T_PlannedOrders[EffectiveQty],T_PlannedOrders[Part Name],$A327,T_PlannedOrders[WeekIndex],95)=0,"",SUMIFS(T_PlannedOrders[EffectiveQty],T_PlannedOrders[Part Name],$A327,T_PlannedOrders[WeekIndex],95)&amp;" ("&amp;TEXT(SUMPRODUCT(MAX((T_PlannedOrders[Part Name]=$A327)*(T_PlannedOrders[WeekIndex]=95)*(T_PlannedOrders[EffectiveQty]&gt;0)*T_PlannedOrders[Order_Month])),"m月")&amp;"発注)")</f>
        <v/>
      </c>
      <c r="CU335">
        <f>IF(SUMIFS(T_PlannedOrders[EffectiveQty],T_PlannedOrders[Part Name],$A327,T_PlannedOrders[WeekIndex],96)=0,"",SUMIFS(T_PlannedOrders[EffectiveQty],T_PlannedOrders[Part Name],$A327,T_PlannedOrders[WeekIndex],96)&amp;" ("&amp;TEXT(SUMPRODUCT(MAX((T_PlannedOrders[Part Name]=$A327)*(T_PlannedOrders[WeekIndex]=96)*(T_PlannedOrders[EffectiveQty]&gt;0)*T_PlannedOrders[Order_Month])),"m月")&amp;"発注)")</f>
        <v/>
      </c>
      <c r="CV335">
        <f>IF(SUMIFS(T_PlannedOrders[EffectiveQty],T_PlannedOrders[Part Name],$A327,T_PlannedOrders[WeekIndex],97)=0,"",SUMIFS(T_PlannedOrders[EffectiveQty],T_PlannedOrders[Part Name],$A327,T_PlannedOrders[WeekIndex],97)&amp;" ("&amp;TEXT(SUMPRODUCT(MAX((T_PlannedOrders[Part Name]=$A327)*(T_PlannedOrders[WeekIndex]=97)*(T_PlannedOrders[EffectiveQty]&gt;0)*T_PlannedOrders[Order_Month])),"m月")&amp;"発注)")</f>
        <v/>
      </c>
      <c r="CW335">
        <f>IF(SUMIFS(T_PlannedOrders[EffectiveQty],T_PlannedOrders[Part Name],$A327,T_PlannedOrders[WeekIndex],98)=0,"",SUMIFS(T_PlannedOrders[EffectiveQty],T_PlannedOrders[Part Name],$A327,T_PlannedOrders[WeekIndex],98)&amp;" ("&amp;TEXT(SUMPRODUCT(MAX((T_PlannedOrders[Part Name]=$A327)*(T_PlannedOrders[WeekIndex]=98)*(T_PlannedOrders[EffectiveQty]&gt;0)*T_PlannedOrders[Order_Month])),"m月")&amp;"発注)")</f>
        <v/>
      </c>
      <c r="CX335">
        <f>IF(SUMIFS(T_PlannedOrders[EffectiveQty],T_PlannedOrders[Part Name],$A327,T_PlannedOrders[WeekIndex],99)=0,"",SUMIFS(T_PlannedOrders[EffectiveQty],T_PlannedOrders[Part Name],$A327,T_PlannedOrders[WeekIndex],99)&amp;" ("&amp;TEXT(SUMPRODUCT(MAX((T_PlannedOrders[Part Name]=$A327)*(T_PlannedOrders[WeekIndex]=99)*(T_PlannedOrders[EffectiveQty]&gt;0)*T_PlannedOrders[Order_Month])),"m月")&amp;"発注)")</f>
        <v/>
      </c>
      <c r="CY335">
        <f>IF(SUMIFS(T_PlannedOrders[EffectiveQty],T_PlannedOrders[Part Name],$A327,T_PlannedOrders[WeekIndex],100)=0,"",SUMIFS(T_PlannedOrders[EffectiveQty],T_PlannedOrders[Part Name],$A327,T_PlannedOrders[WeekIndex],100)&amp;" ("&amp;TEXT(SUMPRODUCT(MAX((T_PlannedOrders[Part Name]=$A327)*(T_PlannedOrders[WeekIndex]=100)*(T_PlannedOrders[EffectiveQty]&gt;0)*T_PlannedOrders[Order_Month])),"m月")&amp;"発注)")</f>
        <v/>
      </c>
      <c r="CZ335">
        <f>IF(SUMIFS(T_PlannedOrders[EffectiveQty],T_PlannedOrders[Part Name],$A327,T_PlannedOrders[WeekIndex],101)=0,"",SUMIFS(T_PlannedOrders[EffectiveQty],T_PlannedOrders[Part Name],$A327,T_PlannedOrders[WeekIndex],101)&amp;" ("&amp;TEXT(SUMPRODUCT(MAX((T_PlannedOrders[Part Name]=$A327)*(T_PlannedOrders[WeekIndex]=101)*(T_PlannedOrders[EffectiveQty]&gt;0)*T_PlannedOrders[Order_Month])),"m月")&amp;"発注)")</f>
        <v/>
      </c>
      <c r="DA335">
        <f>IF(SUMIFS(T_PlannedOrders[EffectiveQty],T_PlannedOrders[Part Name],$A327,T_PlannedOrders[WeekIndex],102)=0,"",SUMIFS(T_PlannedOrders[EffectiveQty],T_PlannedOrders[Part Name],$A327,T_PlannedOrders[WeekIndex],102)&amp;" ("&amp;TEXT(SUMPRODUCT(MAX((T_PlannedOrders[Part Name]=$A327)*(T_PlannedOrders[WeekIndex]=102)*(T_PlannedOrders[EffectiveQty]&gt;0)*T_PlannedOrders[Order_Month])),"m月")&amp;"発注)")</f>
        <v/>
      </c>
      <c r="DB335">
        <f>IF(SUMIFS(T_PlannedOrders[EffectiveQty],T_PlannedOrders[Part Name],$A327,T_PlannedOrders[WeekIndex],103)=0,"",SUMIFS(T_PlannedOrders[EffectiveQty],T_PlannedOrders[Part Name],$A327,T_PlannedOrders[WeekIndex],103)&amp;" ("&amp;TEXT(SUMPRODUCT(MAX((T_PlannedOrders[Part Name]=$A327)*(T_PlannedOrders[WeekIndex]=103)*(T_PlannedOrders[EffectiveQty]&gt;0)*T_PlannedOrders[Order_Month])),"m月")&amp;"発注)")</f>
        <v/>
      </c>
      <c r="DC335">
        <f>IF(SUMIFS(T_PlannedOrders[EffectiveQty],T_PlannedOrders[Part Name],$A327,T_PlannedOrders[WeekIndex],104)=0,"",SUMIFS(T_PlannedOrders[EffectiveQty],T_PlannedOrders[Part Name],$A327,T_PlannedOrders[WeekIndex],104)&amp;" ("&amp;TEXT(SUMPRODUCT(MAX((T_PlannedOrders[Part Name]=$A327)*(T_PlannedOrders[WeekIndex]=104)*(T_PlannedOrders[EffectiveQty]&gt;0)*T_PlannedOrders[Order_Month])),"m月")&amp;"発注)")</f>
        <v/>
      </c>
    </row>
    <row r="336">
      <c r="B336" s="5" t="inlineStr">
        <is>
          <t>合計在庫(週末時点,kg)</t>
        </is>
      </c>
      <c r="D336">
        <f>'Grid_Stock'!B45</f>
        <v/>
      </c>
      <c r="E336">
        <f>'Grid_Stock'!C45</f>
        <v/>
      </c>
      <c r="F336">
        <f>'Grid_Stock'!D45</f>
        <v/>
      </c>
      <c r="G336">
        <f>'Grid_Stock'!E45</f>
        <v/>
      </c>
      <c r="H336">
        <f>'Grid_Stock'!F45</f>
        <v/>
      </c>
      <c r="I336">
        <f>'Grid_Stock'!G45</f>
        <v/>
      </c>
      <c r="J336">
        <f>'Grid_Stock'!H45</f>
        <v/>
      </c>
      <c r="K336">
        <f>'Grid_Stock'!I45</f>
        <v/>
      </c>
      <c r="L336">
        <f>'Grid_Stock'!J45</f>
        <v/>
      </c>
      <c r="M336">
        <f>'Grid_Stock'!K45</f>
        <v/>
      </c>
      <c r="N336">
        <f>'Grid_Stock'!L45</f>
        <v/>
      </c>
      <c r="O336">
        <f>'Grid_Stock'!M45</f>
        <v/>
      </c>
      <c r="P336">
        <f>'Grid_Stock'!N45</f>
        <v/>
      </c>
      <c r="Q336">
        <f>'Grid_Stock'!O45</f>
        <v/>
      </c>
      <c r="R336">
        <f>'Grid_Stock'!P45</f>
        <v/>
      </c>
      <c r="S336">
        <f>'Grid_Stock'!Q45</f>
        <v/>
      </c>
      <c r="T336">
        <f>'Grid_Stock'!R45</f>
        <v/>
      </c>
      <c r="U336">
        <f>'Grid_Stock'!S45</f>
        <v/>
      </c>
      <c r="V336">
        <f>'Grid_Stock'!T45</f>
        <v/>
      </c>
      <c r="W336">
        <f>'Grid_Stock'!U45</f>
        <v/>
      </c>
      <c r="X336">
        <f>'Grid_Stock'!V45</f>
        <v/>
      </c>
      <c r="Y336">
        <f>'Grid_Stock'!W45</f>
        <v/>
      </c>
      <c r="Z336">
        <f>'Grid_Stock'!X45</f>
        <v/>
      </c>
      <c r="AA336">
        <f>'Grid_Stock'!Y45</f>
        <v/>
      </c>
      <c r="AB336">
        <f>'Grid_Stock'!Z45</f>
        <v/>
      </c>
      <c r="AC336">
        <f>'Grid_Stock'!AA45</f>
        <v/>
      </c>
      <c r="AD336">
        <f>'Grid_Stock'!AB45</f>
        <v/>
      </c>
      <c r="AE336">
        <f>'Grid_Stock'!AC45</f>
        <v/>
      </c>
      <c r="AF336">
        <f>'Grid_Stock'!AD45</f>
        <v/>
      </c>
      <c r="AG336">
        <f>'Grid_Stock'!AE45</f>
        <v/>
      </c>
      <c r="AH336">
        <f>'Grid_Stock'!AF45</f>
        <v/>
      </c>
      <c r="AI336">
        <f>'Grid_Stock'!AG45</f>
        <v/>
      </c>
      <c r="AJ336">
        <f>'Grid_Stock'!AH45</f>
        <v/>
      </c>
      <c r="AK336">
        <f>'Grid_Stock'!AI45</f>
        <v/>
      </c>
      <c r="AL336">
        <f>'Grid_Stock'!AJ45</f>
        <v/>
      </c>
      <c r="AM336">
        <f>'Grid_Stock'!AK45</f>
        <v/>
      </c>
      <c r="AN336">
        <f>'Grid_Stock'!AL45</f>
        <v/>
      </c>
      <c r="AO336">
        <f>'Grid_Stock'!AM45</f>
        <v/>
      </c>
      <c r="AP336">
        <f>'Grid_Stock'!AN45</f>
        <v/>
      </c>
      <c r="AQ336">
        <f>'Grid_Stock'!AO45</f>
        <v/>
      </c>
      <c r="AR336">
        <f>'Grid_Stock'!AP45</f>
        <v/>
      </c>
      <c r="AS336">
        <f>'Grid_Stock'!AQ45</f>
        <v/>
      </c>
      <c r="AT336">
        <f>'Grid_Stock'!AR45</f>
        <v/>
      </c>
      <c r="AU336">
        <f>'Grid_Stock'!AS45</f>
        <v/>
      </c>
      <c r="AV336">
        <f>'Grid_Stock'!AT45</f>
        <v/>
      </c>
      <c r="AW336">
        <f>'Grid_Stock'!AU45</f>
        <v/>
      </c>
      <c r="AX336">
        <f>'Grid_Stock'!AV45</f>
        <v/>
      </c>
      <c r="AY336">
        <f>'Grid_Stock'!AW45</f>
        <v/>
      </c>
      <c r="AZ336">
        <f>'Grid_Stock'!AX45</f>
        <v/>
      </c>
      <c r="BA336">
        <f>'Grid_Stock'!AY45</f>
        <v/>
      </c>
      <c r="BB336">
        <f>'Grid_Stock'!AZ45</f>
        <v/>
      </c>
      <c r="BC336">
        <f>'Grid_Stock'!BA45</f>
        <v/>
      </c>
      <c r="BD336">
        <f>'Grid_Stock'!BB45</f>
        <v/>
      </c>
      <c r="BE336">
        <f>'Grid_Stock'!BC45</f>
        <v/>
      </c>
      <c r="BF336">
        <f>'Grid_Stock'!BD45</f>
        <v/>
      </c>
      <c r="BG336">
        <f>'Grid_Stock'!BE45</f>
        <v/>
      </c>
      <c r="BH336">
        <f>'Grid_Stock'!BF45</f>
        <v/>
      </c>
      <c r="BI336">
        <f>'Grid_Stock'!BG45</f>
        <v/>
      </c>
      <c r="BJ336">
        <f>'Grid_Stock'!BH45</f>
        <v/>
      </c>
      <c r="BK336">
        <f>'Grid_Stock'!BI45</f>
        <v/>
      </c>
      <c r="BL336">
        <f>'Grid_Stock'!BJ45</f>
        <v/>
      </c>
      <c r="BM336">
        <f>'Grid_Stock'!BK45</f>
        <v/>
      </c>
      <c r="BN336">
        <f>'Grid_Stock'!BL45</f>
        <v/>
      </c>
      <c r="BO336">
        <f>'Grid_Stock'!BM45</f>
        <v/>
      </c>
      <c r="BP336">
        <f>'Grid_Stock'!BN45</f>
        <v/>
      </c>
      <c r="BQ336">
        <f>'Grid_Stock'!BO45</f>
        <v/>
      </c>
      <c r="BR336">
        <f>'Grid_Stock'!BP45</f>
        <v/>
      </c>
      <c r="BS336">
        <f>'Grid_Stock'!BQ45</f>
        <v/>
      </c>
      <c r="BT336">
        <f>'Grid_Stock'!BR45</f>
        <v/>
      </c>
      <c r="BU336">
        <f>'Grid_Stock'!BS45</f>
        <v/>
      </c>
      <c r="BV336">
        <f>'Grid_Stock'!BT45</f>
        <v/>
      </c>
      <c r="BW336">
        <f>'Grid_Stock'!BU45</f>
        <v/>
      </c>
      <c r="BX336">
        <f>'Grid_Stock'!BV45</f>
        <v/>
      </c>
      <c r="BY336">
        <f>'Grid_Stock'!BW45</f>
        <v/>
      </c>
      <c r="BZ336">
        <f>'Grid_Stock'!BX45</f>
        <v/>
      </c>
      <c r="CA336">
        <f>'Grid_Stock'!BY45</f>
        <v/>
      </c>
      <c r="CB336">
        <f>'Grid_Stock'!BZ45</f>
        <v/>
      </c>
      <c r="CC336">
        <f>'Grid_Stock'!CA45</f>
        <v/>
      </c>
      <c r="CD336">
        <f>'Grid_Stock'!CB45</f>
        <v/>
      </c>
      <c r="CE336">
        <f>'Grid_Stock'!CC45</f>
        <v/>
      </c>
      <c r="CF336">
        <f>'Grid_Stock'!CD45</f>
        <v/>
      </c>
      <c r="CG336">
        <f>'Grid_Stock'!CE45</f>
        <v/>
      </c>
      <c r="CH336">
        <f>'Grid_Stock'!CF45</f>
        <v/>
      </c>
      <c r="CI336">
        <f>'Grid_Stock'!CG45</f>
        <v/>
      </c>
      <c r="CJ336">
        <f>'Grid_Stock'!CH45</f>
        <v/>
      </c>
      <c r="CK336">
        <f>'Grid_Stock'!CI45</f>
        <v/>
      </c>
      <c r="CL336">
        <f>'Grid_Stock'!CJ45</f>
        <v/>
      </c>
      <c r="CM336">
        <f>'Grid_Stock'!CK45</f>
        <v/>
      </c>
      <c r="CN336">
        <f>'Grid_Stock'!CL45</f>
        <v/>
      </c>
      <c r="CO336">
        <f>'Grid_Stock'!CM45</f>
        <v/>
      </c>
      <c r="CP336">
        <f>'Grid_Stock'!CN45</f>
        <v/>
      </c>
      <c r="CQ336">
        <f>'Grid_Stock'!CO45</f>
        <v/>
      </c>
      <c r="CR336">
        <f>'Grid_Stock'!CP45</f>
        <v/>
      </c>
      <c r="CS336">
        <f>'Grid_Stock'!CQ45</f>
        <v/>
      </c>
      <c r="CT336">
        <f>'Grid_Stock'!CR45</f>
        <v/>
      </c>
      <c r="CU336">
        <f>'Grid_Stock'!CS45</f>
        <v/>
      </c>
      <c r="CV336">
        <f>'Grid_Stock'!CT45</f>
        <v/>
      </c>
      <c r="CW336">
        <f>'Grid_Stock'!CU45</f>
        <v/>
      </c>
      <c r="CX336">
        <f>'Grid_Stock'!CV45</f>
        <v/>
      </c>
      <c r="CY336">
        <f>'Grid_Stock'!CW45</f>
        <v/>
      </c>
      <c r="CZ336">
        <f>'Grid_Stock'!CX45</f>
        <v/>
      </c>
      <c r="DA336">
        <f>'Grid_Stock'!CY45</f>
        <v/>
      </c>
      <c r="DB336">
        <f>'Grid_Stock'!CZ45</f>
        <v/>
      </c>
      <c r="DC336">
        <f>'Grid_Stock'!DA45</f>
        <v/>
      </c>
    </row>
    <row r="337">
      <c r="B337" s="23" t="inlineStr">
        <is>
          <t>（発注の目安はDashboardの基準在庫[下限/上限]と色分けを参照）</t>
        </is>
      </c>
    </row>
    <row r="339">
      <c r="A339" s="21" t="inlineStr">
        <is>
          <t>CHEM-1530</t>
        </is>
      </c>
      <c r="B339" s="21" t="inlineStr">
        <is>
          <t>JCK-97</t>
        </is>
      </c>
      <c r="C339" s="22" t="n"/>
      <c r="D339" s="21" t="n"/>
      <c r="E339" s="21" t="n"/>
      <c r="F339" s="21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  <c r="AA339" s="21" t="n"/>
      <c r="AB339" s="21" t="n"/>
      <c r="AC339" s="21" t="n"/>
      <c r="AD339" s="21" t="n"/>
      <c r="AE339" s="21" t="n"/>
      <c r="AF339" s="21" t="n"/>
      <c r="AG339" s="21" t="n"/>
      <c r="AH339" s="21" t="n"/>
      <c r="AI339" s="21" t="n"/>
      <c r="AJ339" s="21" t="n"/>
      <c r="AK339" s="21" t="n"/>
      <c r="AL339" s="21" t="n"/>
      <c r="AM339" s="21" t="n"/>
      <c r="AN339" s="21" t="n"/>
      <c r="AO339" s="21" t="n"/>
      <c r="AP339" s="21" t="n"/>
      <c r="AQ339" s="21" t="n"/>
      <c r="AR339" s="21" t="n"/>
      <c r="AS339" s="21" t="n"/>
      <c r="AT339" s="21" t="n"/>
      <c r="AU339" s="21" t="n"/>
      <c r="AV339" s="21" t="n"/>
      <c r="AW339" s="21" t="n"/>
      <c r="AX339" s="21" t="n"/>
      <c r="AY339" s="21" t="n"/>
      <c r="AZ339" s="21" t="n"/>
      <c r="BA339" s="21" t="n"/>
      <c r="BB339" s="21" t="n"/>
      <c r="BC339" s="21" t="n"/>
      <c r="BD339" s="21" t="n"/>
      <c r="BE339" s="21" t="n"/>
      <c r="BF339" s="21" t="n"/>
      <c r="BG339" s="21" t="n"/>
      <c r="BH339" s="21" t="n"/>
      <c r="BI339" s="21" t="n"/>
      <c r="BJ339" s="21" t="n"/>
      <c r="BK339" s="21" t="n"/>
      <c r="BL339" s="21" t="n"/>
      <c r="BM339" s="21" t="n"/>
      <c r="BN339" s="21" t="n"/>
      <c r="BO339" s="21" t="n"/>
      <c r="BP339" s="21" t="n"/>
      <c r="BQ339" s="21" t="n"/>
      <c r="BR339" s="21" t="n"/>
      <c r="BS339" s="21" t="n"/>
      <c r="BT339" s="21" t="n"/>
      <c r="BU339" s="21" t="n"/>
      <c r="BV339" s="21" t="n"/>
      <c r="BW339" s="21" t="n"/>
      <c r="BX339" s="21" t="n"/>
      <c r="BY339" s="21" t="n"/>
      <c r="BZ339" s="21" t="n"/>
      <c r="CA339" s="21" t="n"/>
      <c r="CB339" s="21" t="n"/>
      <c r="CC339" s="21" t="n"/>
      <c r="CD339" s="21" t="n"/>
      <c r="CE339" s="21" t="n"/>
      <c r="CF339" s="21" t="n"/>
      <c r="CG339" s="21" t="n"/>
      <c r="CH339" s="21" t="n"/>
      <c r="CI339" s="21" t="n"/>
      <c r="CJ339" s="21" t="n"/>
      <c r="CK339" s="21" t="n"/>
      <c r="CL339" s="21" t="n"/>
      <c r="CM339" s="21" t="n"/>
      <c r="CN339" s="21" t="n"/>
      <c r="CO339" s="21" t="n"/>
      <c r="CP339" s="21" t="n"/>
      <c r="CQ339" s="21" t="n"/>
      <c r="CR339" s="21" t="n"/>
      <c r="CS339" s="21" t="n"/>
      <c r="CT339" s="21" t="n"/>
      <c r="CU339" s="21" t="n"/>
      <c r="CV339" s="21" t="n"/>
      <c r="CW339" s="21" t="n"/>
      <c r="CX339" s="21" t="n"/>
      <c r="CY339" s="21" t="n"/>
      <c r="CZ339" s="21" t="n"/>
      <c r="DA339" s="21" t="n"/>
      <c r="DB339" s="21" t="n"/>
      <c r="DC339" s="21" t="n"/>
    </row>
    <row r="340">
      <c r="B340" t="inlineStr">
        <is>
          <t>TPP-650</t>
        </is>
      </c>
      <c r="C340" t="inlineStr">
        <is>
          <t>No. of batches</t>
        </is>
      </c>
      <c r="D340">
        <f>IFERROR(INDEX(PP_Grid[#Data],$DD340,2),0)</f>
        <v/>
      </c>
      <c r="E340">
        <f>IFERROR(INDEX(PP_Grid[#Data],$DD340,3),0)</f>
        <v/>
      </c>
      <c r="F340">
        <f>IFERROR(INDEX(PP_Grid[#Data],$DD340,4),0)</f>
        <v/>
      </c>
      <c r="G340">
        <f>IFERROR(INDEX(PP_Grid[#Data],$DD340,5),0)</f>
        <v/>
      </c>
      <c r="H340">
        <f>IFERROR(INDEX(PP_Grid[#Data],$DD340,6),0)</f>
        <v/>
      </c>
      <c r="I340">
        <f>IFERROR(INDEX(PP_Grid[#Data],$DD340,7),0)</f>
        <v/>
      </c>
      <c r="J340">
        <f>IFERROR(INDEX(PP_Grid[#Data],$DD340,8),0)</f>
        <v/>
      </c>
      <c r="K340">
        <f>IFERROR(INDEX(PP_Grid[#Data],$DD340,9),0)</f>
        <v/>
      </c>
      <c r="L340">
        <f>IFERROR(INDEX(PP_Grid[#Data],$DD340,10),0)</f>
        <v/>
      </c>
      <c r="M340">
        <f>IFERROR(INDEX(PP_Grid[#Data],$DD340,11),0)</f>
        <v/>
      </c>
      <c r="N340">
        <f>IFERROR(INDEX(PP_Grid[#Data],$DD340,12),0)</f>
        <v/>
      </c>
      <c r="O340">
        <f>IFERROR(INDEX(PP_Grid[#Data],$DD340,13),0)</f>
        <v/>
      </c>
      <c r="P340">
        <f>IFERROR(INDEX(PP_Grid[#Data],$DD340,14),0)</f>
        <v/>
      </c>
      <c r="Q340">
        <f>IFERROR(INDEX(PP_Grid[#Data],$DD340,15),0)</f>
        <v/>
      </c>
      <c r="R340">
        <f>IFERROR(INDEX(PP_Grid[#Data],$DD340,16),0)</f>
        <v/>
      </c>
      <c r="S340">
        <f>IFERROR(INDEX(PP_Grid[#Data],$DD340,17),0)</f>
        <v/>
      </c>
      <c r="T340">
        <f>IFERROR(INDEX(PP_Grid[#Data],$DD340,18),0)</f>
        <v/>
      </c>
      <c r="U340">
        <f>IFERROR(INDEX(PP_Grid[#Data],$DD340,19),0)</f>
        <v/>
      </c>
      <c r="V340">
        <f>IFERROR(INDEX(PP_Grid[#Data],$DD340,20),0)</f>
        <v/>
      </c>
      <c r="W340">
        <f>IFERROR(INDEX(PP_Grid[#Data],$DD340,21),0)</f>
        <v/>
      </c>
      <c r="X340">
        <f>IFERROR(INDEX(PP_Grid[#Data],$DD340,22),0)</f>
        <v/>
      </c>
      <c r="Y340">
        <f>IFERROR(INDEX(PP_Grid[#Data],$DD340,23),0)</f>
        <v/>
      </c>
      <c r="Z340">
        <f>IFERROR(INDEX(PP_Grid[#Data],$DD340,24),0)</f>
        <v/>
      </c>
      <c r="AA340">
        <f>IFERROR(INDEX(PP_Grid[#Data],$DD340,25),0)</f>
        <v/>
      </c>
      <c r="AB340">
        <f>IFERROR(INDEX(PP_Grid[#Data],$DD340,26),0)</f>
        <v/>
      </c>
      <c r="AC340">
        <f>IFERROR(INDEX(PP_Grid[#Data],$DD340,27),0)</f>
        <v/>
      </c>
      <c r="AD340">
        <f>IFERROR(INDEX(PP_Grid[#Data],$DD340,28),0)</f>
        <v/>
      </c>
      <c r="AE340">
        <f>IFERROR(INDEX(PP_Grid[#Data],$DD340,29),0)</f>
        <v/>
      </c>
      <c r="AF340">
        <f>IFERROR(INDEX(PP_Grid[#Data],$DD340,30),0)</f>
        <v/>
      </c>
      <c r="AG340">
        <f>IFERROR(INDEX(PP_Grid[#Data],$DD340,31),0)</f>
        <v/>
      </c>
      <c r="AH340">
        <f>IFERROR(INDEX(PP_Grid[#Data],$DD340,32),0)</f>
        <v/>
      </c>
      <c r="AI340">
        <f>IFERROR(INDEX(PP_Grid[#Data],$DD340,33),0)</f>
        <v/>
      </c>
      <c r="AJ340">
        <f>IFERROR(INDEX(PP_Grid[#Data],$DD340,34),0)</f>
        <v/>
      </c>
      <c r="AK340">
        <f>IFERROR(INDEX(PP_Grid[#Data],$DD340,35),0)</f>
        <v/>
      </c>
      <c r="AL340">
        <f>IFERROR(INDEX(PP_Grid[#Data],$DD340,36),0)</f>
        <v/>
      </c>
      <c r="AM340">
        <f>IFERROR(INDEX(PP_Grid[#Data],$DD340,37),0)</f>
        <v/>
      </c>
      <c r="AN340">
        <f>IFERROR(INDEX(PP_Grid[#Data],$DD340,38),0)</f>
        <v/>
      </c>
      <c r="AO340">
        <f>IFERROR(INDEX(PP_Grid[#Data],$DD340,39),0)</f>
        <v/>
      </c>
      <c r="AP340">
        <f>IFERROR(INDEX(PP_Grid[#Data],$DD340,40),0)</f>
        <v/>
      </c>
      <c r="AQ340">
        <f>IFERROR(INDEX(PP_Grid[#Data],$DD340,41),0)</f>
        <v/>
      </c>
      <c r="AR340">
        <f>IFERROR(INDEX(PP_Grid[#Data],$DD340,42),0)</f>
        <v/>
      </c>
      <c r="AS340">
        <f>IFERROR(INDEX(PP_Grid[#Data],$DD340,43),0)</f>
        <v/>
      </c>
      <c r="AT340">
        <f>IFERROR(INDEX(PP_Grid[#Data],$DD340,44),0)</f>
        <v/>
      </c>
      <c r="AU340">
        <f>IFERROR(INDEX(PP_Grid[#Data],$DD340,45),0)</f>
        <v/>
      </c>
      <c r="AV340">
        <f>IFERROR(INDEX(PP_Grid[#Data],$DD340,46),0)</f>
        <v/>
      </c>
      <c r="AW340">
        <f>IFERROR(INDEX(PP_Grid[#Data],$DD340,47),0)</f>
        <v/>
      </c>
      <c r="AX340">
        <f>IFERROR(INDEX(PP_Grid[#Data],$DD340,48),0)</f>
        <v/>
      </c>
      <c r="AY340">
        <f>IFERROR(INDEX(PP_Grid[#Data],$DD340,49),0)</f>
        <v/>
      </c>
      <c r="AZ340">
        <f>IFERROR(INDEX(PP_Grid[#Data],$DD340,50),0)</f>
        <v/>
      </c>
      <c r="BA340">
        <f>IFERROR(INDEX(PP_Grid[#Data],$DD340,51),0)</f>
        <v/>
      </c>
      <c r="BB340">
        <f>IFERROR(INDEX(PP_Grid[#Data],$DD340,52),0)</f>
        <v/>
      </c>
      <c r="BC340">
        <f>IFERROR(INDEX(PP_Grid[#Data],$DD340,53),0)</f>
        <v/>
      </c>
      <c r="BD340">
        <f>IFERROR(INDEX(PP_Grid[#Data],$DD340,54),0)</f>
        <v/>
      </c>
      <c r="BE340">
        <f>IFERROR(INDEX(PP_Grid[#Data],$DD340,55),0)</f>
        <v/>
      </c>
      <c r="BF340">
        <f>IFERROR(INDEX(PP_Grid[#Data],$DD340,56),0)</f>
        <v/>
      </c>
      <c r="BG340">
        <f>IFERROR(INDEX(PP_Grid[#Data],$DD340,57),0)</f>
        <v/>
      </c>
      <c r="BH340">
        <f>IFERROR(INDEX(PP_Grid[#Data],$DD340,58),0)</f>
        <v/>
      </c>
      <c r="BI340">
        <f>IFERROR(INDEX(PP_Grid[#Data],$DD340,59),0)</f>
        <v/>
      </c>
      <c r="BJ340">
        <f>IFERROR(INDEX(PP_Grid[#Data],$DD340,60),0)</f>
        <v/>
      </c>
      <c r="BK340">
        <f>IFERROR(INDEX(PP_Grid[#Data],$DD340,61),0)</f>
        <v/>
      </c>
      <c r="BL340">
        <f>IFERROR(INDEX(PP_Grid[#Data],$DD340,62),0)</f>
        <v/>
      </c>
      <c r="BM340">
        <f>IFERROR(INDEX(PP_Grid[#Data],$DD340,63),0)</f>
        <v/>
      </c>
      <c r="BN340">
        <f>IFERROR(INDEX(PP_Grid[#Data],$DD340,64),0)</f>
        <v/>
      </c>
      <c r="BO340">
        <f>IFERROR(INDEX(PP_Grid[#Data],$DD340,65),0)</f>
        <v/>
      </c>
      <c r="BP340">
        <f>IFERROR(INDEX(PP_Grid[#Data],$DD340,66),0)</f>
        <v/>
      </c>
      <c r="BQ340">
        <f>IFERROR(INDEX(PP_Grid[#Data],$DD340,67),0)</f>
        <v/>
      </c>
      <c r="BR340">
        <f>IFERROR(INDEX(PP_Grid[#Data],$DD340,68),0)</f>
        <v/>
      </c>
      <c r="BS340">
        <f>IFERROR(INDEX(PP_Grid[#Data],$DD340,69),0)</f>
        <v/>
      </c>
      <c r="BT340">
        <f>IFERROR(INDEX(PP_Grid[#Data],$DD340,70),0)</f>
        <v/>
      </c>
      <c r="BU340">
        <f>IFERROR(INDEX(PP_Grid[#Data],$DD340,71),0)</f>
        <v/>
      </c>
      <c r="BV340">
        <f>IFERROR(INDEX(PP_Grid[#Data],$DD340,72),0)</f>
        <v/>
      </c>
      <c r="BW340">
        <f>IFERROR(INDEX(PP_Grid[#Data],$DD340,73),0)</f>
        <v/>
      </c>
      <c r="BX340">
        <f>IFERROR(INDEX(PP_Grid[#Data],$DD340,74),0)</f>
        <v/>
      </c>
      <c r="BY340">
        <f>IFERROR(INDEX(PP_Grid[#Data],$DD340,75),0)</f>
        <v/>
      </c>
      <c r="BZ340">
        <f>IFERROR(INDEX(PP_Grid[#Data],$DD340,76),0)</f>
        <v/>
      </c>
      <c r="CA340">
        <f>IFERROR(INDEX(PP_Grid[#Data],$DD340,77),0)</f>
        <v/>
      </c>
      <c r="CB340">
        <f>IFERROR(INDEX(PP_Grid[#Data],$DD340,78),0)</f>
        <v/>
      </c>
      <c r="CC340">
        <f>IFERROR(INDEX(PP_Grid[#Data],$DD340,79),0)</f>
        <v/>
      </c>
      <c r="CD340">
        <f>IFERROR(INDEX(PP_Grid[#Data],$DD340,80),0)</f>
        <v/>
      </c>
      <c r="CE340">
        <f>IFERROR(INDEX(PP_Grid[#Data],$DD340,81),0)</f>
        <v/>
      </c>
      <c r="CF340">
        <f>IFERROR(INDEX(PP_Grid[#Data],$DD340,82),0)</f>
        <v/>
      </c>
      <c r="CG340">
        <f>IFERROR(INDEX(PP_Grid[#Data],$DD340,83),0)</f>
        <v/>
      </c>
      <c r="CH340">
        <f>IFERROR(INDEX(PP_Grid[#Data],$DD340,84),0)</f>
        <v/>
      </c>
      <c r="CI340">
        <f>IFERROR(INDEX(PP_Grid[#Data],$DD340,85),0)</f>
        <v/>
      </c>
      <c r="CJ340">
        <f>IFERROR(INDEX(PP_Grid[#Data],$DD340,86),0)</f>
        <v/>
      </c>
      <c r="CK340">
        <f>IFERROR(INDEX(PP_Grid[#Data],$DD340,87),0)</f>
        <v/>
      </c>
      <c r="CL340">
        <f>IFERROR(INDEX(PP_Grid[#Data],$DD340,88),0)</f>
        <v/>
      </c>
      <c r="CM340">
        <f>IFERROR(INDEX(PP_Grid[#Data],$DD340,89),0)</f>
        <v/>
      </c>
      <c r="CN340">
        <f>IFERROR(INDEX(PP_Grid[#Data],$DD340,90),0)</f>
        <v/>
      </c>
      <c r="CO340">
        <f>IFERROR(INDEX(PP_Grid[#Data],$DD340,91),0)</f>
        <v/>
      </c>
      <c r="CP340">
        <f>IFERROR(INDEX(PP_Grid[#Data],$DD340,92),0)</f>
        <v/>
      </c>
      <c r="CQ340">
        <f>IFERROR(INDEX(PP_Grid[#Data],$DD340,93),0)</f>
        <v/>
      </c>
      <c r="CR340">
        <f>IFERROR(INDEX(PP_Grid[#Data],$DD340,94),0)</f>
        <v/>
      </c>
      <c r="CS340">
        <f>IFERROR(INDEX(PP_Grid[#Data],$DD340,95),0)</f>
        <v/>
      </c>
      <c r="CT340">
        <f>IFERROR(INDEX(PP_Grid[#Data],$DD340,96),0)</f>
        <v/>
      </c>
      <c r="CU340">
        <f>IFERROR(INDEX(PP_Grid[#Data],$DD340,97),0)</f>
        <v/>
      </c>
      <c r="CV340">
        <f>IFERROR(INDEX(PP_Grid[#Data],$DD340,98),0)</f>
        <v/>
      </c>
      <c r="CW340">
        <f>IFERROR(INDEX(PP_Grid[#Data],$DD340,99),0)</f>
        <v/>
      </c>
      <c r="CX340">
        <f>IFERROR(INDEX(PP_Grid[#Data],$DD340,100),0)</f>
        <v/>
      </c>
      <c r="CY340">
        <f>IFERROR(INDEX(PP_Grid[#Data],$DD340,101),0)</f>
        <v/>
      </c>
      <c r="CZ340">
        <f>IFERROR(INDEX(PP_Grid[#Data],$DD340,102),0)</f>
        <v/>
      </c>
      <c r="DA340">
        <f>IFERROR(INDEX(PP_Grid[#Data],$DD340,103),0)</f>
        <v/>
      </c>
      <c r="DB340">
        <f>IFERROR(INDEX(PP_Grid[#Data],$DD340,104),0)</f>
        <v/>
      </c>
      <c r="DC340">
        <f>IFERROR(INDEX(PP_Grid[#Data],$DD340,105),0)</f>
        <v/>
      </c>
      <c r="DD340" s="12">
        <f>IFERROR(MATCH($B340,PP_Grid[Intermediate],0),99999)</f>
        <v/>
      </c>
    </row>
    <row r="341">
      <c r="B341" t="inlineStr">
        <is>
          <t>使用量(kg)</t>
        </is>
      </c>
      <c r="C341">
        <f>SUMIFS(M_BOM[RM_Qty_Per_Batch],M_BOM[Intermediate],$B340,M_BOM[Part Name],$A339)</f>
        <v/>
      </c>
      <c r="D341">
        <f>$C341*D340</f>
        <v/>
      </c>
      <c r="E341">
        <f>$C341*E340</f>
        <v/>
      </c>
      <c r="F341">
        <f>$C341*F340</f>
        <v/>
      </c>
      <c r="G341">
        <f>$C341*G340</f>
        <v/>
      </c>
      <c r="H341">
        <f>$C341*H340</f>
        <v/>
      </c>
      <c r="I341">
        <f>$C341*I340</f>
        <v/>
      </c>
      <c r="J341">
        <f>$C341*J340</f>
        <v/>
      </c>
      <c r="K341">
        <f>$C341*K340</f>
        <v/>
      </c>
      <c r="L341">
        <f>$C341*L340</f>
        <v/>
      </c>
      <c r="M341">
        <f>$C341*M340</f>
        <v/>
      </c>
      <c r="N341">
        <f>$C341*N340</f>
        <v/>
      </c>
      <c r="O341">
        <f>$C341*O340</f>
        <v/>
      </c>
      <c r="P341">
        <f>$C341*P340</f>
        <v/>
      </c>
      <c r="Q341">
        <f>$C341*Q340</f>
        <v/>
      </c>
      <c r="R341">
        <f>$C341*R340</f>
        <v/>
      </c>
      <c r="S341">
        <f>$C341*S340</f>
        <v/>
      </c>
      <c r="T341">
        <f>$C341*T340</f>
        <v/>
      </c>
      <c r="U341">
        <f>$C341*U340</f>
        <v/>
      </c>
      <c r="V341">
        <f>$C341*V340</f>
        <v/>
      </c>
      <c r="W341">
        <f>$C341*W340</f>
        <v/>
      </c>
      <c r="X341">
        <f>$C341*X340</f>
        <v/>
      </c>
      <c r="Y341">
        <f>$C341*Y340</f>
        <v/>
      </c>
      <c r="Z341">
        <f>$C341*Z340</f>
        <v/>
      </c>
      <c r="AA341">
        <f>$C341*AA340</f>
        <v/>
      </c>
      <c r="AB341">
        <f>$C341*AB340</f>
        <v/>
      </c>
      <c r="AC341">
        <f>$C341*AC340</f>
        <v/>
      </c>
      <c r="AD341">
        <f>$C341*AD340</f>
        <v/>
      </c>
      <c r="AE341">
        <f>$C341*AE340</f>
        <v/>
      </c>
      <c r="AF341">
        <f>$C341*AF340</f>
        <v/>
      </c>
      <c r="AG341">
        <f>$C341*AG340</f>
        <v/>
      </c>
      <c r="AH341">
        <f>$C341*AH340</f>
        <v/>
      </c>
      <c r="AI341">
        <f>$C341*AI340</f>
        <v/>
      </c>
      <c r="AJ341">
        <f>$C341*AJ340</f>
        <v/>
      </c>
      <c r="AK341">
        <f>$C341*AK340</f>
        <v/>
      </c>
      <c r="AL341">
        <f>$C341*AL340</f>
        <v/>
      </c>
      <c r="AM341">
        <f>$C341*AM340</f>
        <v/>
      </c>
      <c r="AN341">
        <f>$C341*AN340</f>
        <v/>
      </c>
      <c r="AO341">
        <f>$C341*AO340</f>
        <v/>
      </c>
      <c r="AP341">
        <f>$C341*AP340</f>
        <v/>
      </c>
      <c r="AQ341">
        <f>$C341*AQ340</f>
        <v/>
      </c>
      <c r="AR341">
        <f>$C341*AR340</f>
        <v/>
      </c>
      <c r="AS341">
        <f>$C341*AS340</f>
        <v/>
      </c>
      <c r="AT341">
        <f>$C341*AT340</f>
        <v/>
      </c>
      <c r="AU341">
        <f>$C341*AU340</f>
        <v/>
      </c>
      <c r="AV341">
        <f>$C341*AV340</f>
        <v/>
      </c>
      <c r="AW341">
        <f>$C341*AW340</f>
        <v/>
      </c>
      <c r="AX341">
        <f>$C341*AX340</f>
        <v/>
      </c>
      <c r="AY341">
        <f>$C341*AY340</f>
        <v/>
      </c>
      <c r="AZ341">
        <f>$C341*AZ340</f>
        <v/>
      </c>
      <c r="BA341">
        <f>$C341*BA340</f>
        <v/>
      </c>
      <c r="BB341">
        <f>$C341*BB340</f>
        <v/>
      </c>
      <c r="BC341">
        <f>$C341*BC340</f>
        <v/>
      </c>
      <c r="BD341">
        <f>$C341*BD340</f>
        <v/>
      </c>
      <c r="BE341">
        <f>$C341*BE340</f>
        <v/>
      </c>
      <c r="BF341">
        <f>$C341*BF340</f>
        <v/>
      </c>
      <c r="BG341">
        <f>$C341*BG340</f>
        <v/>
      </c>
      <c r="BH341">
        <f>$C341*BH340</f>
        <v/>
      </c>
      <c r="BI341">
        <f>$C341*BI340</f>
        <v/>
      </c>
      <c r="BJ341">
        <f>$C341*BJ340</f>
        <v/>
      </c>
      <c r="BK341">
        <f>$C341*BK340</f>
        <v/>
      </c>
      <c r="BL341">
        <f>$C341*BL340</f>
        <v/>
      </c>
      <c r="BM341">
        <f>$C341*BM340</f>
        <v/>
      </c>
      <c r="BN341">
        <f>$C341*BN340</f>
        <v/>
      </c>
      <c r="BO341">
        <f>$C341*BO340</f>
        <v/>
      </c>
      <c r="BP341">
        <f>$C341*BP340</f>
        <v/>
      </c>
      <c r="BQ341">
        <f>$C341*BQ340</f>
        <v/>
      </c>
      <c r="BR341">
        <f>$C341*BR340</f>
        <v/>
      </c>
      <c r="BS341">
        <f>$C341*BS340</f>
        <v/>
      </c>
      <c r="BT341">
        <f>$C341*BT340</f>
        <v/>
      </c>
      <c r="BU341">
        <f>$C341*BU340</f>
        <v/>
      </c>
      <c r="BV341">
        <f>$C341*BV340</f>
        <v/>
      </c>
      <c r="BW341">
        <f>$C341*BW340</f>
        <v/>
      </c>
      <c r="BX341">
        <f>$C341*BX340</f>
        <v/>
      </c>
      <c r="BY341">
        <f>$C341*BY340</f>
        <v/>
      </c>
      <c r="BZ341">
        <f>$C341*BZ340</f>
        <v/>
      </c>
      <c r="CA341">
        <f>$C341*CA340</f>
        <v/>
      </c>
      <c r="CB341">
        <f>$C341*CB340</f>
        <v/>
      </c>
      <c r="CC341">
        <f>$C341*CC340</f>
        <v/>
      </c>
      <c r="CD341">
        <f>$C341*CD340</f>
        <v/>
      </c>
      <c r="CE341">
        <f>$C341*CE340</f>
        <v/>
      </c>
      <c r="CF341">
        <f>$C341*CF340</f>
        <v/>
      </c>
      <c r="CG341">
        <f>$C341*CG340</f>
        <v/>
      </c>
      <c r="CH341">
        <f>$C341*CH340</f>
        <v/>
      </c>
      <c r="CI341">
        <f>$C341*CI340</f>
        <v/>
      </c>
      <c r="CJ341">
        <f>$C341*CJ340</f>
        <v/>
      </c>
      <c r="CK341">
        <f>$C341*CK340</f>
        <v/>
      </c>
      <c r="CL341">
        <f>$C341*CL340</f>
        <v/>
      </c>
      <c r="CM341">
        <f>$C341*CM340</f>
        <v/>
      </c>
      <c r="CN341">
        <f>$C341*CN340</f>
        <v/>
      </c>
      <c r="CO341">
        <f>$C341*CO340</f>
        <v/>
      </c>
      <c r="CP341">
        <f>$C341*CP340</f>
        <v/>
      </c>
      <c r="CQ341">
        <f>$C341*CQ340</f>
        <v/>
      </c>
      <c r="CR341">
        <f>$C341*CR340</f>
        <v/>
      </c>
      <c r="CS341">
        <f>$C341*CS340</f>
        <v/>
      </c>
      <c r="CT341">
        <f>$C341*CT340</f>
        <v/>
      </c>
      <c r="CU341">
        <f>$C341*CU340</f>
        <v/>
      </c>
      <c r="CV341">
        <f>$C341*CV340</f>
        <v/>
      </c>
      <c r="CW341">
        <f>$C341*CW340</f>
        <v/>
      </c>
      <c r="CX341">
        <f>$C341*CX340</f>
        <v/>
      </c>
      <c r="CY341">
        <f>$C341*CY340</f>
        <v/>
      </c>
      <c r="CZ341">
        <f>$C341*CZ340</f>
        <v/>
      </c>
      <c r="DA341">
        <f>$C341*DA340</f>
        <v/>
      </c>
      <c r="DB341">
        <f>$C341*DB340</f>
        <v/>
      </c>
      <c r="DC341">
        <f>$C341*DC340</f>
        <v/>
      </c>
    </row>
    <row r="342">
      <c r="B342" t="inlineStr">
        <is>
          <t>TSP-1499</t>
        </is>
      </c>
      <c r="C342" t="inlineStr">
        <is>
          <t>No. of batches</t>
        </is>
      </c>
      <c r="D342">
        <f>IFERROR(INDEX(PP_Grid[#Data],$DD342,2),0)</f>
        <v/>
      </c>
      <c r="E342">
        <f>IFERROR(INDEX(PP_Grid[#Data],$DD342,3),0)</f>
        <v/>
      </c>
      <c r="F342">
        <f>IFERROR(INDEX(PP_Grid[#Data],$DD342,4),0)</f>
        <v/>
      </c>
      <c r="G342">
        <f>IFERROR(INDEX(PP_Grid[#Data],$DD342,5),0)</f>
        <v/>
      </c>
      <c r="H342">
        <f>IFERROR(INDEX(PP_Grid[#Data],$DD342,6),0)</f>
        <v/>
      </c>
      <c r="I342">
        <f>IFERROR(INDEX(PP_Grid[#Data],$DD342,7),0)</f>
        <v/>
      </c>
      <c r="J342">
        <f>IFERROR(INDEX(PP_Grid[#Data],$DD342,8),0)</f>
        <v/>
      </c>
      <c r="K342">
        <f>IFERROR(INDEX(PP_Grid[#Data],$DD342,9),0)</f>
        <v/>
      </c>
      <c r="L342">
        <f>IFERROR(INDEX(PP_Grid[#Data],$DD342,10),0)</f>
        <v/>
      </c>
      <c r="M342">
        <f>IFERROR(INDEX(PP_Grid[#Data],$DD342,11),0)</f>
        <v/>
      </c>
      <c r="N342">
        <f>IFERROR(INDEX(PP_Grid[#Data],$DD342,12),0)</f>
        <v/>
      </c>
      <c r="O342">
        <f>IFERROR(INDEX(PP_Grid[#Data],$DD342,13),0)</f>
        <v/>
      </c>
      <c r="P342">
        <f>IFERROR(INDEX(PP_Grid[#Data],$DD342,14),0)</f>
        <v/>
      </c>
      <c r="Q342">
        <f>IFERROR(INDEX(PP_Grid[#Data],$DD342,15),0)</f>
        <v/>
      </c>
      <c r="R342">
        <f>IFERROR(INDEX(PP_Grid[#Data],$DD342,16),0)</f>
        <v/>
      </c>
      <c r="S342">
        <f>IFERROR(INDEX(PP_Grid[#Data],$DD342,17),0)</f>
        <v/>
      </c>
      <c r="T342">
        <f>IFERROR(INDEX(PP_Grid[#Data],$DD342,18),0)</f>
        <v/>
      </c>
      <c r="U342">
        <f>IFERROR(INDEX(PP_Grid[#Data],$DD342,19),0)</f>
        <v/>
      </c>
      <c r="V342">
        <f>IFERROR(INDEX(PP_Grid[#Data],$DD342,20),0)</f>
        <v/>
      </c>
      <c r="W342">
        <f>IFERROR(INDEX(PP_Grid[#Data],$DD342,21),0)</f>
        <v/>
      </c>
      <c r="X342">
        <f>IFERROR(INDEX(PP_Grid[#Data],$DD342,22),0)</f>
        <v/>
      </c>
      <c r="Y342">
        <f>IFERROR(INDEX(PP_Grid[#Data],$DD342,23),0)</f>
        <v/>
      </c>
      <c r="Z342">
        <f>IFERROR(INDEX(PP_Grid[#Data],$DD342,24),0)</f>
        <v/>
      </c>
      <c r="AA342">
        <f>IFERROR(INDEX(PP_Grid[#Data],$DD342,25),0)</f>
        <v/>
      </c>
      <c r="AB342">
        <f>IFERROR(INDEX(PP_Grid[#Data],$DD342,26),0)</f>
        <v/>
      </c>
      <c r="AC342">
        <f>IFERROR(INDEX(PP_Grid[#Data],$DD342,27),0)</f>
        <v/>
      </c>
      <c r="AD342">
        <f>IFERROR(INDEX(PP_Grid[#Data],$DD342,28),0)</f>
        <v/>
      </c>
      <c r="AE342">
        <f>IFERROR(INDEX(PP_Grid[#Data],$DD342,29),0)</f>
        <v/>
      </c>
      <c r="AF342">
        <f>IFERROR(INDEX(PP_Grid[#Data],$DD342,30),0)</f>
        <v/>
      </c>
      <c r="AG342">
        <f>IFERROR(INDEX(PP_Grid[#Data],$DD342,31),0)</f>
        <v/>
      </c>
      <c r="AH342">
        <f>IFERROR(INDEX(PP_Grid[#Data],$DD342,32),0)</f>
        <v/>
      </c>
      <c r="AI342">
        <f>IFERROR(INDEX(PP_Grid[#Data],$DD342,33),0)</f>
        <v/>
      </c>
      <c r="AJ342">
        <f>IFERROR(INDEX(PP_Grid[#Data],$DD342,34),0)</f>
        <v/>
      </c>
      <c r="AK342">
        <f>IFERROR(INDEX(PP_Grid[#Data],$DD342,35),0)</f>
        <v/>
      </c>
      <c r="AL342">
        <f>IFERROR(INDEX(PP_Grid[#Data],$DD342,36),0)</f>
        <v/>
      </c>
      <c r="AM342">
        <f>IFERROR(INDEX(PP_Grid[#Data],$DD342,37),0)</f>
        <v/>
      </c>
      <c r="AN342">
        <f>IFERROR(INDEX(PP_Grid[#Data],$DD342,38),0)</f>
        <v/>
      </c>
      <c r="AO342">
        <f>IFERROR(INDEX(PP_Grid[#Data],$DD342,39),0)</f>
        <v/>
      </c>
      <c r="AP342">
        <f>IFERROR(INDEX(PP_Grid[#Data],$DD342,40),0)</f>
        <v/>
      </c>
      <c r="AQ342">
        <f>IFERROR(INDEX(PP_Grid[#Data],$DD342,41),0)</f>
        <v/>
      </c>
      <c r="AR342">
        <f>IFERROR(INDEX(PP_Grid[#Data],$DD342,42),0)</f>
        <v/>
      </c>
      <c r="AS342">
        <f>IFERROR(INDEX(PP_Grid[#Data],$DD342,43),0)</f>
        <v/>
      </c>
      <c r="AT342">
        <f>IFERROR(INDEX(PP_Grid[#Data],$DD342,44),0)</f>
        <v/>
      </c>
      <c r="AU342">
        <f>IFERROR(INDEX(PP_Grid[#Data],$DD342,45),0)</f>
        <v/>
      </c>
      <c r="AV342">
        <f>IFERROR(INDEX(PP_Grid[#Data],$DD342,46),0)</f>
        <v/>
      </c>
      <c r="AW342">
        <f>IFERROR(INDEX(PP_Grid[#Data],$DD342,47),0)</f>
        <v/>
      </c>
      <c r="AX342">
        <f>IFERROR(INDEX(PP_Grid[#Data],$DD342,48),0)</f>
        <v/>
      </c>
      <c r="AY342">
        <f>IFERROR(INDEX(PP_Grid[#Data],$DD342,49),0)</f>
        <v/>
      </c>
      <c r="AZ342">
        <f>IFERROR(INDEX(PP_Grid[#Data],$DD342,50),0)</f>
        <v/>
      </c>
      <c r="BA342">
        <f>IFERROR(INDEX(PP_Grid[#Data],$DD342,51),0)</f>
        <v/>
      </c>
      <c r="BB342">
        <f>IFERROR(INDEX(PP_Grid[#Data],$DD342,52),0)</f>
        <v/>
      </c>
      <c r="BC342">
        <f>IFERROR(INDEX(PP_Grid[#Data],$DD342,53),0)</f>
        <v/>
      </c>
      <c r="BD342">
        <f>IFERROR(INDEX(PP_Grid[#Data],$DD342,54),0)</f>
        <v/>
      </c>
      <c r="BE342">
        <f>IFERROR(INDEX(PP_Grid[#Data],$DD342,55),0)</f>
        <v/>
      </c>
      <c r="BF342">
        <f>IFERROR(INDEX(PP_Grid[#Data],$DD342,56),0)</f>
        <v/>
      </c>
      <c r="BG342">
        <f>IFERROR(INDEX(PP_Grid[#Data],$DD342,57),0)</f>
        <v/>
      </c>
      <c r="BH342">
        <f>IFERROR(INDEX(PP_Grid[#Data],$DD342,58),0)</f>
        <v/>
      </c>
      <c r="BI342">
        <f>IFERROR(INDEX(PP_Grid[#Data],$DD342,59),0)</f>
        <v/>
      </c>
      <c r="BJ342">
        <f>IFERROR(INDEX(PP_Grid[#Data],$DD342,60),0)</f>
        <v/>
      </c>
      <c r="BK342">
        <f>IFERROR(INDEX(PP_Grid[#Data],$DD342,61),0)</f>
        <v/>
      </c>
      <c r="BL342">
        <f>IFERROR(INDEX(PP_Grid[#Data],$DD342,62),0)</f>
        <v/>
      </c>
      <c r="BM342">
        <f>IFERROR(INDEX(PP_Grid[#Data],$DD342,63),0)</f>
        <v/>
      </c>
      <c r="BN342">
        <f>IFERROR(INDEX(PP_Grid[#Data],$DD342,64),0)</f>
        <v/>
      </c>
      <c r="BO342">
        <f>IFERROR(INDEX(PP_Grid[#Data],$DD342,65),0)</f>
        <v/>
      </c>
      <c r="BP342">
        <f>IFERROR(INDEX(PP_Grid[#Data],$DD342,66),0)</f>
        <v/>
      </c>
      <c r="BQ342">
        <f>IFERROR(INDEX(PP_Grid[#Data],$DD342,67),0)</f>
        <v/>
      </c>
      <c r="BR342">
        <f>IFERROR(INDEX(PP_Grid[#Data],$DD342,68),0)</f>
        <v/>
      </c>
      <c r="BS342">
        <f>IFERROR(INDEX(PP_Grid[#Data],$DD342,69),0)</f>
        <v/>
      </c>
      <c r="BT342">
        <f>IFERROR(INDEX(PP_Grid[#Data],$DD342,70),0)</f>
        <v/>
      </c>
      <c r="BU342">
        <f>IFERROR(INDEX(PP_Grid[#Data],$DD342,71),0)</f>
        <v/>
      </c>
      <c r="BV342">
        <f>IFERROR(INDEX(PP_Grid[#Data],$DD342,72),0)</f>
        <v/>
      </c>
      <c r="BW342">
        <f>IFERROR(INDEX(PP_Grid[#Data],$DD342,73),0)</f>
        <v/>
      </c>
      <c r="BX342">
        <f>IFERROR(INDEX(PP_Grid[#Data],$DD342,74),0)</f>
        <v/>
      </c>
      <c r="BY342">
        <f>IFERROR(INDEX(PP_Grid[#Data],$DD342,75),0)</f>
        <v/>
      </c>
      <c r="BZ342">
        <f>IFERROR(INDEX(PP_Grid[#Data],$DD342,76),0)</f>
        <v/>
      </c>
      <c r="CA342">
        <f>IFERROR(INDEX(PP_Grid[#Data],$DD342,77),0)</f>
        <v/>
      </c>
      <c r="CB342">
        <f>IFERROR(INDEX(PP_Grid[#Data],$DD342,78),0)</f>
        <v/>
      </c>
      <c r="CC342">
        <f>IFERROR(INDEX(PP_Grid[#Data],$DD342,79),0)</f>
        <v/>
      </c>
      <c r="CD342">
        <f>IFERROR(INDEX(PP_Grid[#Data],$DD342,80),0)</f>
        <v/>
      </c>
      <c r="CE342">
        <f>IFERROR(INDEX(PP_Grid[#Data],$DD342,81),0)</f>
        <v/>
      </c>
      <c r="CF342">
        <f>IFERROR(INDEX(PP_Grid[#Data],$DD342,82),0)</f>
        <v/>
      </c>
      <c r="CG342">
        <f>IFERROR(INDEX(PP_Grid[#Data],$DD342,83),0)</f>
        <v/>
      </c>
      <c r="CH342">
        <f>IFERROR(INDEX(PP_Grid[#Data],$DD342,84),0)</f>
        <v/>
      </c>
      <c r="CI342">
        <f>IFERROR(INDEX(PP_Grid[#Data],$DD342,85),0)</f>
        <v/>
      </c>
      <c r="CJ342">
        <f>IFERROR(INDEX(PP_Grid[#Data],$DD342,86),0)</f>
        <v/>
      </c>
      <c r="CK342">
        <f>IFERROR(INDEX(PP_Grid[#Data],$DD342,87),0)</f>
        <v/>
      </c>
      <c r="CL342">
        <f>IFERROR(INDEX(PP_Grid[#Data],$DD342,88),0)</f>
        <v/>
      </c>
      <c r="CM342">
        <f>IFERROR(INDEX(PP_Grid[#Data],$DD342,89),0)</f>
        <v/>
      </c>
      <c r="CN342">
        <f>IFERROR(INDEX(PP_Grid[#Data],$DD342,90),0)</f>
        <v/>
      </c>
      <c r="CO342">
        <f>IFERROR(INDEX(PP_Grid[#Data],$DD342,91),0)</f>
        <v/>
      </c>
      <c r="CP342">
        <f>IFERROR(INDEX(PP_Grid[#Data],$DD342,92),0)</f>
        <v/>
      </c>
      <c r="CQ342">
        <f>IFERROR(INDEX(PP_Grid[#Data],$DD342,93),0)</f>
        <v/>
      </c>
      <c r="CR342">
        <f>IFERROR(INDEX(PP_Grid[#Data],$DD342,94),0)</f>
        <v/>
      </c>
      <c r="CS342">
        <f>IFERROR(INDEX(PP_Grid[#Data],$DD342,95),0)</f>
        <v/>
      </c>
      <c r="CT342">
        <f>IFERROR(INDEX(PP_Grid[#Data],$DD342,96),0)</f>
        <v/>
      </c>
      <c r="CU342">
        <f>IFERROR(INDEX(PP_Grid[#Data],$DD342,97),0)</f>
        <v/>
      </c>
      <c r="CV342">
        <f>IFERROR(INDEX(PP_Grid[#Data],$DD342,98),0)</f>
        <v/>
      </c>
      <c r="CW342">
        <f>IFERROR(INDEX(PP_Grid[#Data],$DD342,99),0)</f>
        <v/>
      </c>
      <c r="CX342">
        <f>IFERROR(INDEX(PP_Grid[#Data],$DD342,100),0)</f>
        <v/>
      </c>
      <c r="CY342">
        <f>IFERROR(INDEX(PP_Grid[#Data],$DD342,101),0)</f>
        <v/>
      </c>
      <c r="CZ342">
        <f>IFERROR(INDEX(PP_Grid[#Data],$DD342,102),0)</f>
        <v/>
      </c>
      <c r="DA342">
        <f>IFERROR(INDEX(PP_Grid[#Data],$DD342,103),0)</f>
        <v/>
      </c>
      <c r="DB342">
        <f>IFERROR(INDEX(PP_Grid[#Data],$DD342,104),0)</f>
        <v/>
      </c>
      <c r="DC342">
        <f>IFERROR(INDEX(PP_Grid[#Data],$DD342,105),0)</f>
        <v/>
      </c>
      <c r="DD342" s="12">
        <f>IFERROR(MATCH($B342,PP_Grid[Intermediate],0),99999)</f>
        <v/>
      </c>
    </row>
    <row r="343">
      <c r="B343" t="inlineStr">
        <is>
          <t>使用量(kg)</t>
        </is>
      </c>
      <c r="C343">
        <f>SUMIFS(M_BOM[RM_Qty_Per_Batch],M_BOM[Intermediate],$B342,M_BOM[Part Name],$A339)</f>
        <v/>
      </c>
      <c r="D343">
        <f>$C343*D342</f>
        <v/>
      </c>
      <c r="E343">
        <f>$C343*E342</f>
        <v/>
      </c>
      <c r="F343">
        <f>$C343*F342</f>
        <v/>
      </c>
      <c r="G343">
        <f>$C343*G342</f>
        <v/>
      </c>
      <c r="H343">
        <f>$C343*H342</f>
        <v/>
      </c>
      <c r="I343">
        <f>$C343*I342</f>
        <v/>
      </c>
      <c r="J343">
        <f>$C343*J342</f>
        <v/>
      </c>
      <c r="K343">
        <f>$C343*K342</f>
        <v/>
      </c>
      <c r="L343">
        <f>$C343*L342</f>
        <v/>
      </c>
      <c r="M343">
        <f>$C343*M342</f>
        <v/>
      </c>
      <c r="N343">
        <f>$C343*N342</f>
        <v/>
      </c>
      <c r="O343">
        <f>$C343*O342</f>
        <v/>
      </c>
      <c r="P343">
        <f>$C343*P342</f>
        <v/>
      </c>
      <c r="Q343">
        <f>$C343*Q342</f>
        <v/>
      </c>
      <c r="R343">
        <f>$C343*R342</f>
        <v/>
      </c>
      <c r="S343">
        <f>$C343*S342</f>
        <v/>
      </c>
      <c r="T343">
        <f>$C343*T342</f>
        <v/>
      </c>
      <c r="U343">
        <f>$C343*U342</f>
        <v/>
      </c>
      <c r="V343">
        <f>$C343*V342</f>
        <v/>
      </c>
      <c r="W343">
        <f>$C343*W342</f>
        <v/>
      </c>
      <c r="X343">
        <f>$C343*X342</f>
        <v/>
      </c>
      <c r="Y343">
        <f>$C343*Y342</f>
        <v/>
      </c>
      <c r="Z343">
        <f>$C343*Z342</f>
        <v/>
      </c>
      <c r="AA343">
        <f>$C343*AA342</f>
        <v/>
      </c>
      <c r="AB343">
        <f>$C343*AB342</f>
        <v/>
      </c>
      <c r="AC343">
        <f>$C343*AC342</f>
        <v/>
      </c>
      <c r="AD343">
        <f>$C343*AD342</f>
        <v/>
      </c>
      <c r="AE343">
        <f>$C343*AE342</f>
        <v/>
      </c>
      <c r="AF343">
        <f>$C343*AF342</f>
        <v/>
      </c>
      <c r="AG343">
        <f>$C343*AG342</f>
        <v/>
      </c>
      <c r="AH343">
        <f>$C343*AH342</f>
        <v/>
      </c>
      <c r="AI343">
        <f>$C343*AI342</f>
        <v/>
      </c>
      <c r="AJ343">
        <f>$C343*AJ342</f>
        <v/>
      </c>
      <c r="AK343">
        <f>$C343*AK342</f>
        <v/>
      </c>
      <c r="AL343">
        <f>$C343*AL342</f>
        <v/>
      </c>
      <c r="AM343">
        <f>$C343*AM342</f>
        <v/>
      </c>
      <c r="AN343">
        <f>$C343*AN342</f>
        <v/>
      </c>
      <c r="AO343">
        <f>$C343*AO342</f>
        <v/>
      </c>
      <c r="AP343">
        <f>$C343*AP342</f>
        <v/>
      </c>
      <c r="AQ343">
        <f>$C343*AQ342</f>
        <v/>
      </c>
      <c r="AR343">
        <f>$C343*AR342</f>
        <v/>
      </c>
      <c r="AS343">
        <f>$C343*AS342</f>
        <v/>
      </c>
      <c r="AT343">
        <f>$C343*AT342</f>
        <v/>
      </c>
      <c r="AU343">
        <f>$C343*AU342</f>
        <v/>
      </c>
      <c r="AV343">
        <f>$C343*AV342</f>
        <v/>
      </c>
      <c r="AW343">
        <f>$C343*AW342</f>
        <v/>
      </c>
      <c r="AX343">
        <f>$C343*AX342</f>
        <v/>
      </c>
      <c r="AY343">
        <f>$C343*AY342</f>
        <v/>
      </c>
      <c r="AZ343">
        <f>$C343*AZ342</f>
        <v/>
      </c>
      <c r="BA343">
        <f>$C343*BA342</f>
        <v/>
      </c>
      <c r="BB343">
        <f>$C343*BB342</f>
        <v/>
      </c>
      <c r="BC343">
        <f>$C343*BC342</f>
        <v/>
      </c>
      <c r="BD343">
        <f>$C343*BD342</f>
        <v/>
      </c>
      <c r="BE343">
        <f>$C343*BE342</f>
        <v/>
      </c>
      <c r="BF343">
        <f>$C343*BF342</f>
        <v/>
      </c>
      <c r="BG343">
        <f>$C343*BG342</f>
        <v/>
      </c>
      <c r="BH343">
        <f>$C343*BH342</f>
        <v/>
      </c>
      <c r="BI343">
        <f>$C343*BI342</f>
        <v/>
      </c>
      <c r="BJ343">
        <f>$C343*BJ342</f>
        <v/>
      </c>
      <c r="BK343">
        <f>$C343*BK342</f>
        <v/>
      </c>
      <c r="BL343">
        <f>$C343*BL342</f>
        <v/>
      </c>
      <c r="BM343">
        <f>$C343*BM342</f>
        <v/>
      </c>
      <c r="BN343">
        <f>$C343*BN342</f>
        <v/>
      </c>
      <c r="BO343">
        <f>$C343*BO342</f>
        <v/>
      </c>
      <c r="BP343">
        <f>$C343*BP342</f>
        <v/>
      </c>
      <c r="BQ343">
        <f>$C343*BQ342</f>
        <v/>
      </c>
      <c r="BR343">
        <f>$C343*BR342</f>
        <v/>
      </c>
      <c r="BS343">
        <f>$C343*BS342</f>
        <v/>
      </c>
      <c r="BT343">
        <f>$C343*BT342</f>
        <v/>
      </c>
      <c r="BU343">
        <f>$C343*BU342</f>
        <v/>
      </c>
      <c r="BV343">
        <f>$C343*BV342</f>
        <v/>
      </c>
      <c r="BW343">
        <f>$C343*BW342</f>
        <v/>
      </c>
      <c r="BX343">
        <f>$C343*BX342</f>
        <v/>
      </c>
      <c r="BY343">
        <f>$C343*BY342</f>
        <v/>
      </c>
      <c r="BZ343">
        <f>$C343*BZ342</f>
        <v/>
      </c>
      <c r="CA343">
        <f>$C343*CA342</f>
        <v/>
      </c>
      <c r="CB343">
        <f>$C343*CB342</f>
        <v/>
      </c>
      <c r="CC343">
        <f>$C343*CC342</f>
        <v/>
      </c>
      <c r="CD343">
        <f>$C343*CD342</f>
        <v/>
      </c>
      <c r="CE343">
        <f>$C343*CE342</f>
        <v/>
      </c>
      <c r="CF343">
        <f>$C343*CF342</f>
        <v/>
      </c>
      <c r="CG343">
        <f>$C343*CG342</f>
        <v/>
      </c>
      <c r="CH343">
        <f>$C343*CH342</f>
        <v/>
      </c>
      <c r="CI343">
        <f>$C343*CI342</f>
        <v/>
      </c>
      <c r="CJ343">
        <f>$C343*CJ342</f>
        <v/>
      </c>
      <c r="CK343">
        <f>$C343*CK342</f>
        <v/>
      </c>
      <c r="CL343">
        <f>$C343*CL342</f>
        <v/>
      </c>
      <c r="CM343">
        <f>$C343*CM342</f>
        <v/>
      </c>
      <c r="CN343">
        <f>$C343*CN342</f>
        <v/>
      </c>
      <c r="CO343">
        <f>$C343*CO342</f>
        <v/>
      </c>
      <c r="CP343">
        <f>$C343*CP342</f>
        <v/>
      </c>
      <c r="CQ343">
        <f>$C343*CQ342</f>
        <v/>
      </c>
      <c r="CR343">
        <f>$C343*CR342</f>
        <v/>
      </c>
      <c r="CS343">
        <f>$C343*CS342</f>
        <v/>
      </c>
      <c r="CT343">
        <f>$C343*CT342</f>
        <v/>
      </c>
      <c r="CU343">
        <f>$C343*CU342</f>
        <v/>
      </c>
      <c r="CV343">
        <f>$C343*CV342</f>
        <v/>
      </c>
      <c r="CW343">
        <f>$C343*CW342</f>
        <v/>
      </c>
      <c r="CX343">
        <f>$C343*CX342</f>
        <v/>
      </c>
      <c r="CY343">
        <f>$C343*CY342</f>
        <v/>
      </c>
      <c r="CZ343">
        <f>$C343*CZ342</f>
        <v/>
      </c>
      <c r="DA343">
        <f>$C343*DA342</f>
        <v/>
      </c>
      <c r="DB343">
        <f>$C343*DB342</f>
        <v/>
      </c>
      <c r="DC343">
        <f>$C343*DC342</f>
        <v/>
      </c>
    </row>
    <row r="344">
      <c r="B344" t="inlineStr">
        <is>
          <t>TSP-1555</t>
        </is>
      </c>
      <c r="C344" t="inlineStr">
        <is>
          <t>No. of batches</t>
        </is>
      </c>
      <c r="D344">
        <f>IFERROR(INDEX(PP_Grid[#Data],$DD344,2),0)</f>
        <v/>
      </c>
      <c r="E344">
        <f>IFERROR(INDEX(PP_Grid[#Data],$DD344,3),0)</f>
        <v/>
      </c>
      <c r="F344">
        <f>IFERROR(INDEX(PP_Grid[#Data],$DD344,4),0)</f>
        <v/>
      </c>
      <c r="G344">
        <f>IFERROR(INDEX(PP_Grid[#Data],$DD344,5),0)</f>
        <v/>
      </c>
      <c r="H344">
        <f>IFERROR(INDEX(PP_Grid[#Data],$DD344,6),0)</f>
        <v/>
      </c>
      <c r="I344">
        <f>IFERROR(INDEX(PP_Grid[#Data],$DD344,7),0)</f>
        <v/>
      </c>
      <c r="J344">
        <f>IFERROR(INDEX(PP_Grid[#Data],$DD344,8),0)</f>
        <v/>
      </c>
      <c r="K344">
        <f>IFERROR(INDEX(PP_Grid[#Data],$DD344,9),0)</f>
        <v/>
      </c>
      <c r="L344">
        <f>IFERROR(INDEX(PP_Grid[#Data],$DD344,10),0)</f>
        <v/>
      </c>
      <c r="M344">
        <f>IFERROR(INDEX(PP_Grid[#Data],$DD344,11),0)</f>
        <v/>
      </c>
      <c r="N344">
        <f>IFERROR(INDEX(PP_Grid[#Data],$DD344,12),0)</f>
        <v/>
      </c>
      <c r="O344">
        <f>IFERROR(INDEX(PP_Grid[#Data],$DD344,13),0)</f>
        <v/>
      </c>
      <c r="P344">
        <f>IFERROR(INDEX(PP_Grid[#Data],$DD344,14),0)</f>
        <v/>
      </c>
      <c r="Q344">
        <f>IFERROR(INDEX(PP_Grid[#Data],$DD344,15),0)</f>
        <v/>
      </c>
      <c r="R344">
        <f>IFERROR(INDEX(PP_Grid[#Data],$DD344,16),0)</f>
        <v/>
      </c>
      <c r="S344">
        <f>IFERROR(INDEX(PP_Grid[#Data],$DD344,17),0)</f>
        <v/>
      </c>
      <c r="T344">
        <f>IFERROR(INDEX(PP_Grid[#Data],$DD344,18),0)</f>
        <v/>
      </c>
      <c r="U344">
        <f>IFERROR(INDEX(PP_Grid[#Data],$DD344,19),0)</f>
        <v/>
      </c>
      <c r="V344">
        <f>IFERROR(INDEX(PP_Grid[#Data],$DD344,20),0)</f>
        <v/>
      </c>
      <c r="W344">
        <f>IFERROR(INDEX(PP_Grid[#Data],$DD344,21),0)</f>
        <v/>
      </c>
      <c r="X344">
        <f>IFERROR(INDEX(PP_Grid[#Data],$DD344,22),0)</f>
        <v/>
      </c>
      <c r="Y344">
        <f>IFERROR(INDEX(PP_Grid[#Data],$DD344,23),0)</f>
        <v/>
      </c>
      <c r="Z344">
        <f>IFERROR(INDEX(PP_Grid[#Data],$DD344,24),0)</f>
        <v/>
      </c>
      <c r="AA344">
        <f>IFERROR(INDEX(PP_Grid[#Data],$DD344,25),0)</f>
        <v/>
      </c>
      <c r="AB344">
        <f>IFERROR(INDEX(PP_Grid[#Data],$DD344,26),0)</f>
        <v/>
      </c>
      <c r="AC344">
        <f>IFERROR(INDEX(PP_Grid[#Data],$DD344,27),0)</f>
        <v/>
      </c>
      <c r="AD344">
        <f>IFERROR(INDEX(PP_Grid[#Data],$DD344,28),0)</f>
        <v/>
      </c>
      <c r="AE344">
        <f>IFERROR(INDEX(PP_Grid[#Data],$DD344,29),0)</f>
        <v/>
      </c>
      <c r="AF344">
        <f>IFERROR(INDEX(PP_Grid[#Data],$DD344,30),0)</f>
        <v/>
      </c>
      <c r="AG344">
        <f>IFERROR(INDEX(PP_Grid[#Data],$DD344,31),0)</f>
        <v/>
      </c>
      <c r="AH344">
        <f>IFERROR(INDEX(PP_Grid[#Data],$DD344,32),0)</f>
        <v/>
      </c>
      <c r="AI344">
        <f>IFERROR(INDEX(PP_Grid[#Data],$DD344,33),0)</f>
        <v/>
      </c>
      <c r="AJ344">
        <f>IFERROR(INDEX(PP_Grid[#Data],$DD344,34),0)</f>
        <v/>
      </c>
      <c r="AK344">
        <f>IFERROR(INDEX(PP_Grid[#Data],$DD344,35),0)</f>
        <v/>
      </c>
      <c r="AL344">
        <f>IFERROR(INDEX(PP_Grid[#Data],$DD344,36),0)</f>
        <v/>
      </c>
      <c r="AM344">
        <f>IFERROR(INDEX(PP_Grid[#Data],$DD344,37),0)</f>
        <v/>
      </c>
      <c r="AN344">
        <f>IFERROR(INDEX(PP_Grid[#Data],$DD344,38),0)</f>
        <v/>
      </c>
      <c r="AO344">
        <f>IFERROR(INDEX(PP_Grid[#Data],$DD344,39),0)</f>
        <v/>
      </c>
      <c r="AP344">
        <f>IFERROR(INDEX(PP_Grid[#Data],$DD344,40),0)</f>
        <v/>
      </c>
      <c r="AQ344">
        <f>IFERROR(INDEX(PP_Grid[#Data],$DD344,41),0)</f>
        <v/>
      </c>
      <c r="AR344">
        <f>IFERROR(INDEX(PP_Grid[#Data],$DD344,42),0)</f>
        <v/>
      </c>
      <c r="AS344">
        <f>IFERROR(INDEX(PP_Grid[#Data],$DD344,43),0)</f>
        <v/>
      </c>
      <c r="AT344">
        <f>IFERROR(INDEX(PP_Grid[#Data],$DD344,44),0)</f>
        <v/>
      </c>
      <c r="AU344">
        <f>IFERROR(INDEX(PP_Grid[#Data],$DD344,45),0)</f>
        <v/>
      </c>
      <c r="AV344">
        <f>IFERROR(INDEX(PP_Grid[#Data],$DD344,46),0)</f>
        <v/>
      </c>
      <c r="AW344">
        <f>IFERROR(INDEX(PP_Grid[#Data],$DD344,47),0)</f>
        <v/>
      </c>
      <c r="AX344">
        <f>IFERROR(INDEX(PP_Grid[#Data],$DD344,48),0)</f>
        <v/>
      </c>
      <c r="AY344">
        <f>IFERROR(INDEX(PP_Grid[#Data],$DD344,49),0)</f>
        <v/>
      </c>
      <c r="AZ344">
        <f>IFERROR(INDEX(PP_Grid[#Data],$DD344,50),0)</f>
        <v/>
      </c>
      <c r="BA344">
        <f>IFERROR(INDEX(PP_Grid[#Data],$DD344,51),0)</f>
        <v/>
      </c>
      <c r="BB344">
        <f>IFERROR(INDEX(PP_Grid[#Data],$DD344,52),0)</f>
        <v/>
      </c>
      <c r="BC344">
        <f>IFERROR(INDEX(PP_Grid[#Data],$DD344,53),0)</f>
        <v/>
      </c>
      <c r="BD344">
        <f>IFERROR(INDEX(PP_Grid[#Data],$DD344,54),0)</f>
        <v/>
      </c>
      <c r="BE344">
        <f>IFERROR(INDEX(PP_Grid[#Data],$DD344,55),0)</f>
        <v/>
      </c>
      <c r="BF344">
        <f>IFERROR(INDEX(PP_Grid[#Data],$DD344,56),0)</f>
        <v/>
      </c>
      <c r="BG344">
        <f>IFERROR(INDEX(PP_Grid[#Data],$DD344,57),0)</f>
        <v/>
      </c>
      <c r="BH344">
        <f>IFERROR(INDEX(PP_Grid[#Data],$DD344,58),0)</f>
        <v/>
      </c>
      <c r="BI344">
        <f>IFERROR(INDEX(PP_Grid[#Data],$DD344,59),0)</f>
        <v/>
      </c>
      <c r="BJ344">
        <f>IFERROR(INDEX(PP_Grid[#Data],$DD344,60),0)</f>
        <v/>
      </c>
      <c r="BK344">
        <f>IFERROR(INDEX(PP_Grid[#Data],$DD344,61),0)</f>
        <v/>
      </c>
      <c r="BL344">
        <f>IFERROR(INDEX(PP_Grid[#Data],$DD344,62),0)</f>
        <v/>
      </c>
      <c r="BM344">
        <f>IFERROR(INDEX(PP_Grid[#Data],$DD344,63),0)</f>
        <v/>
      </c>
      <c r="BN344">
        <f>IFERROR(INDEX(PP_Grid[#Data],$DD344,64),0)</f>
        <v/>
      </c>
      <c r="BO344">
        <f>IFERROR(INDEX(PP_Grid[#Data],$DD344,65),0)</f>
        <v/>
      </c>
      <c r="BP344">
        <f>IFERROR(INDEX(PP_Grid[#Data],$DD344,66),0)</f>
        <v/>
      </c>
      <c r="BQ344">
        <f>IFERROR(INDEX(PP_Grid[#Data],$DD344,67),0)</f>
        <v/>
      </c>
      <c r="BR344">
        <f>IFERROR(INDEX(PP_Grid[#Data],$DD344,68),0)</f>
        <v/>
      </c>
      <c r="BS344">
        <f>IFERROR(INDEX(PP_Grid[#Data],$DD344,69),0)</f>
        <v/>
      </c>
      <c r="BT344">
        <f>IFERROR(INDEX(PP_Grid[#Data],$DD344,70),0)</f>
        <v/>
      </c>
      <c r="BU344">
        <f>IFERROR(INDEX(PP_Grid[#Data],$DD344,71),0)</f>
        <v/>
      </c>
      <c r="BV344">
        <f>IFERROR(INDEX(PP_Grid[#Data],$DD344,72),0)</f>
        <v/>
      </c>
      <c r="BW344">
        <f>IFERROR(INDEX(PP_Grid[#Data],$DD344,73),0)</f>
        <v/>
      </c>
      <c r="BX344">
        <f>IFERROR(INDEX(PP_Grid[#Data],$DD344,74),0)</f>
        <v/>
      </c>
      <c r="BY344">
        <f>IFERROR(INDEX(PP_Grid[#Data],$DD344,75),0)</f>
        <v/>
      </c>
      <c r="BZ344">
        <f>IFERROR(INDEX(PP_Grid[#Data],$DD344,76),0)</f>
        <v/>
      </c>
      <c r="CA344">
        <f>IFERROR(INDEX(PP_Grid[#Data],$DD344,77),0)</f>
        <v/>
      </c>
      <c r="CB344">
        <f>IFERROR(INDEX(PP_Grid[#Data],$DD344,78),0)</f>
        <v/>
      </c>
      <c r="CC344">
        <f>IFERROR(INDEX(PP_Grid[#Data],$DD344,79),0)</f>
        <v/>
      </c>
      <c r="CD344">
        <f>IFERROR(INDEX(PP_Grid[#Data],$DD344,80),0)</f>
        <v/>
      </c>
      <c r="CE344">
        <f>IFERROR(INDEX(PP_Grid[#Data],$DD344,81),0)</f>
        <v/>
      </c>
      <c r="CF344">
        <f>IFERROR(INDEX(PP_Grid[#Data],$DD344,82),0)</f>
        <v/>
      </c>
      <c r="CG344">
        <f>IFERROR(INDEX(PP_Grid[#Data],$DD344,83),0)</f>
        <v/>
      </c>
      <c r="CH344">
        <f>IFERROR(INDEX(PP_Grid[#Data],$DD344,84),0)</f>
        <v/>
      </c>
      <c r="CI344">
        <f>IFERROR(INDEX(PP_Grid[#Data],$DD344,85),0)</f>
        <v/>
      </c>
      <c r="CJ344">
        <f>IFERROR(INDEX(PP_Grid[#Data],$DD344,86),0)</f>
        <v/>
      </c>
      <c r="CK344">
        <f>IFERROR(INDEX(PP_Grid[#Data],$DD344,87),0)</f>
        <v/>
      </c>
      <c r="CL344">
        <f>IFERROR(INDEX(PP_Grid[#Data],$DD344,88),0)</f>
        <v/>
      </c>
      <c r="CM344">
        <f>IFERROR(INDEX(PP_Grid[#Data],$DD344,89),0)</f>
        <v/>
      </c>
      <c r="CN344">
        <f>IFERROR(INDEX(PP_Grid[#Data],$DD344,90),0)</f>
        <v/>
      </c>
      <c r="CO344">
        <f>IFERROR(INDEX(PP_Grid[#Data],$DD344,91),0)</f>
        <v/>
      </c>
      <c r="CP344">
        <f>IFERROR(INDEX(PP_Grid[#Data],$DD344,92),0)</f>
        <v/>
      </c>
      <c r="CQ344">
        <f>IFERROR(INDEX(PP_Grid[#Data],$DD344,93),0)</f>
        <v/>
      </c>
      <c r="CR344">
        <f>IFERROR(INDEX(PP_Grid[#Data],$DD344,94),0)</f>
        <v/>
      </c>
      <c r="CS344">
        <f>IFERROR(INDEX(PP_Grid[#Data],$DD344,95),0)</f>
        <v/>
      </c>
      <c r="CT344">
        <f>IFERROR(INDEX(PP_Grid[#Data],$DD344,96),0)</f>
        <v/>
      </c>
      <c r="CU344">
        <f>IFERROR(INDEX(PP_Grid[#Data],$DD344,97),0)</f>
        <v/>
      </c>
      <c r="CV344">
        <f>IFERROR(INDEX(PP_Grid[#Data],$DD344,98),0)</f>
        <v/>
      </c>
      <c r="CW344">
        <f>IFERROR(INDEX(PP_Grid[#Data],$DD344,99),0)</f>
        <v/>
      </c>
      <c r="CX344">
        <f>IFERROR(INDEX(PP_Grid[#Data],$DD344,100),0)</f>
        <v/>
      </c>
      <c r="CY344">
        <f>IFERROR(INDEX(PP_Grid[#Data],$DD344,101),0)</f>
        <v/>
      </c>
      <c r="CZ344">
        <f>IFERROR(INDEX(PP_Grid[#Data],$DD344,102),0)</f>
        <v/>
      </c>
      <c r="DA344">
        <f>IFERROR(INDEX(PP_Grid[#Data],$DD344,103),0)</f>
        <v/>
      </c>
      <c r="DB344">
        <f>IFERROR(INDEX(PP_Grid[#Data],$DD344,104),0)</f>
        <v/>
      </c>
      <c r="DC344">
        <f>IFERROR(INDEX(PP_Grid[#Data],$DD344,105),0)</f>
        <v/>
      </c>
      <c r="DD344" s="12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SUMIFS(M_BOM[RM_Qty_Per_Batch],M_BOM[Intermediate],$B344,M_BOM[Part Name],$A339)</f>
        <v/>
      </c>
      <c r="D345">
        <f>$C345*D344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</row>
    <row r="346">
      <c r="B346" t="inlineStr">
        <is>
          <t>TSP-402</t>
        </is>
      </c>
      <c r="C346" t="inlineStr">
        <is>
          <t>No. of batches</t>
        </is>
      </c>
      <c r="D346">
        <f>IFERROR(INDEX(PP_Grid[#Data],$DD346,2),0)</f>
        <v/>
      </c>
      <c r="E346">
        <f>IFERROR(INDEX(PP_Grid[#Data],$DD346,3),0)</f>
        <v/>
      </c>
      <c r="F346">
        <f>IFERROR(INDEX(PP_Grid[#Data],$DD346,4),0)</f>
        <v/>
      </c>
      <c r="G346">
        <f>IFERROR(INDEX(PP_Grid[#Data],$DD346,5),0)</f>
        <v/>
      </c>
      <c r="H346">
        <f>IFERROR(INDEX(PP_Grid[#Data],$DD346,6),0)</f>
        <v/>
      </c>
      <c r="I346">
        <f>IFERROR(INDEX(PP_Grid[#Data],$DD346,7),0)</f>
        <v/>
      </c>
      <c r="J346">
        <f>IFERROR(INDEX(PP_Grid[#Data],$DD346,8),0)</f>
        <v/>
      </c>
      <c r="K346">
        <f>IFERROR(INDEX(PP_Grid[#Data],$DD346,9),0)</f>
        <v/>
      </c>
      <c r="L346">
        <f>IFERROR(INDEX(PP_Grid[#Data],$DD346,10),0)</f>
        <v/>
      </c>
      <c r="M346">
        <f>IFERROR(INDEX(PP_Grid[#Data],$DD346,11),0)</f>
        <v/>
      </c>
      <c r="N346">
        <f>IFERROR(INDEX(PP_Grid[#Data],$DD346,12),0)</f>
        <v/>
      </c>
      <c r="O346">
        <f>IFERROR(INDEX(PP_Grid[#Data],$DD346,13),0)</f>
        <v/>
      </c>
      <c r="P346">
        <f>IFERROR(INDEX(PP_Grid[#Data],$DD346,14),0)</f>
        <v/>
      </c>
      <c r="Q346">
        <f>IFERROR(INDEX(PP_Grid[#Data],$DD346,15),0)</f>
        <v/>
      </c>
      <c r="R346">
        <f>IFERROR(INDEX(PP_Grid[#Data],$DD346,16),0)</f>
        <v/>
      </c>
      <c r="S346">
        <f>IFERROR(INDEX(PP_Grid[#Data],$DD346,17),0)</f>
        <v/>
      </c>
      <c r="T346">
        <f>IFERROR(INDEX(PP_Grid[#Data],$DD346,18),0)</f>
        <v/>
      </c>
      <c r="U346">
        <f>IFERROR(INDEX(PP_Grid[#Data],$DD346,19),0)</f>
        <v/>
      </c>
      <c r="V346">
        <f>IFERROR(INDEX(PP_Grid[#Data],$DD346,20),0)</f>
        <v/>
      </c>
      <c r="W346">
        <f>IFERROR(INDEX(PP_Grid[#Data],$DD346,21),0)</f>
        <v/>
      </c>
      <c r="X346">
        <f>IFERROR(INDEX(PP_Grid[#Data],$DD346,22),0)</f>
        <v/>
      </c>
      <c r="Y346">
        <f>IFERROR(INDEX(PP_Grid[#Data],$DD346,23),0)</f>
        <v/>
      </c>
      <c r="Z346">
        <f>IFERROR(INDEX(PP_Grid[#Data],$DD346,24),0)</f>
        <v/>
      </c>
      <c r="AA346">
        <f>IFERROR(INDEX(PP_Grid[#Data],$DD346,25),0)</f>
        <v/>
      </c>
      <c r="AB346">
        <f>IFERROR(INDEX(PP_Grid[#Data],$DD346,26),0)</f>
        <v/>
      </c>
      <c r="AC346">
        <f>IFERROR(INDEX(PP_Grid[#Data],$DD346,27),0)</f>
        <v/>
      </c>
      <c r="AD346">
        <f>IFERROR(INDEX(PP_Grid[#Data],$DD346,28),0)</f>
        <v/>
      </c>
      <c r="AE346">
        <f>IFERROR(INDEX(PP_Grid[#Data],$DD346,29),0)</f>
        <v/>
      </c>
      <c r="AF346">
        <f>IFERROR(INDEX(PP_Grid[#Data],$DD346,30),0)</f>
        <v/>
      </c>
      <c r="AG346">
        <f>IFERROR(INDEX(PP_Grid[#Data],$DD346,31),0)</f>
        <v/>
      </c>
      <c r="AH346">
        <f>IFERROR(INDEX(PP_Grid[#Data],$DD346,32),0)</f>
        <v/>
      </c>
      <c r="AI346">
        <f>IFERROR(INDEX(PP_Grid[#Data],$DD346,33),0)</f>
        <v/>
      </c>
      <c r="AJ346">
        <f>IFERROR(INDEX(PP_Grid[#Data],$DD346,34),0)</f>
        <v/>
      </c>
      <c r="AK346">
        <f>IFERROR(INDEX(PP_Grid[#Data],$DD346,35),0)</f>
        <v/>
      </c>
      <c r="AL346">
        <f>IFERROR(INDEX(PP_Grid[#Data],$DD346,36),0)</f>
        <v/>
      </c>
      <c r="AM346">
        <f>IFERROR(INDEX(PP_Grid[#Data],$DD346,37),0)</f>
        <v/>
      </c>
      <c r="AN346">
        <f>IFERROR(INDEX(PP_Grid[#Data],$DD346,38),0)</f>
        <v/>
      </c>
      <c r="AO346">
        <f>IFERROR(INDEX(PP_Grid[#Data],$DD346,39),0)</f>
        <v/>
      </c>
      <c r="AP346">
        <f>IFERROR(INDEX(PP_Grid[#Data],$DD346,40),0)</f>
        <v/>
      </c>
      <c r="AQ346">
        <f>IFERROR(INDEX(PP_Grid[#Data],$DD346,41),0)</f>
        <v/>
      </c>
      <c r="AR346">
        <f>IFERROR(INDEX(PP_Grid[#Data],$DD346,42),0)</f>
        <v/>
      </c>
      <c r="AS346">
        <f>IFERROR(INDEX(PP_Grid[#Data],$DD346,43),0)</f>
        <v/>
      </c>
      <c r="AT346">
        <f>IFERROR(INDEX(PP_Grid[#Data],$DD346,44),0)</f>
        <v/>
      </c>
      <c r="AU346">
        <f>IFERROR(INDEX(PP_Grid[#Data],$DD346,45),0)</f>
        <v/>
      </c>
      <c r="AV346">
        <f>IFERROR(INDEX(PP_Grid[#Data],$DD346,46),0)</f>
        <v/>
      </c>
      <c r="AW346">
        <f>IFERROR(INDEX(PP_Grid[#Data],$DD346,47),0)</f>
        <v/>
      </c>
      <c r="AX346">
        <f>IFERROR(INDEX(PP_Grid[#Data],$DD346,48),0)</f>
        <v/>
      </c>
      <c r="AY346">
        <f>IFERROR(INDEX(PP_Grid[#Data],$DD346,49),0)</f>
        <v/>
      </c>
      <c r="AZ346">
        <f>IFERROR(INDEX(PP_Grid[#Data],$DD346,50),0)</f>
        <v/>
      </c>
      <c r="BA346">
        <f>IFERROR(INDEX(PP_Grid[#Data],$DD346,51),0)</f>
        <v/>
      </c>
      <c r="BB346">
        <f>IFERROR(INDEX(PP_Grid[#Data],$DD346,52),0)</f>
        <v/>
      </c>
      <c r="BC346">
        <f>IFERROR(INDEX(PP_Grid[#Data],$DD346,53),0)</f>
        <v/>
      </c>
      <c r="BD346">
        <f>IFERROR(INDEX(PP_Grid[#Data],$DD346,54),0)</f>
        <v/>
      </c>
      <c r="BE346">
        <f>IFERROR(INDEX(PP_Grid[#Data],$DD346,55),0)</f>
        <v/>
      </c>
      <c r="BF346">
        <f>IFERROR(INDEX(PP_Grid[#Data],$DD346,56),0)</f>
        <v/>
      </c>
      <c r="BG346">
        <f>IFERROR(INDEX(PP_Grid[#Data],$DD346,57),0)</f>
        <v/>
      </c>
      <c r="BH346">
        <f>IFERROR(INDEX(PP_Grid[#Data],$DD346,58),0)</f>
        <v/>
      </c>
      <c r="BI346">
        <f>IFERROR(INDEX(PP_Grid[#Data],$DD346,59),0)</f>
        <v/>
      </c>
      <c r="BJ346">
        <f>IFERROR(INDEX(PP_Grid[#Data],$DD346,60),0)</f>
        <v/>
      </c>
      <c r="BK346">
        <f>IFERROR(INDEX(PP_Grid[#Data],$DD346,61),0)</f>
        <v/>
      </c>
      <c r="BL346">
        <f>IFERROR(INDEX(PP_Grid[#Data],$DD346,62),0)</f>
        <v/>
      </c>
      <c r="BM346">
        <f>IFERROR(INDEX(PP_Grid[#Data],$DD346,63),0)</f>
        <v/>
      </c>
      <c r="BN346">
        <f>IFERROR(INDEX(PP_Grid[#Data],$DD346,64),0)</f>
        <v/>
      </c>
      <c r="BO346">
        <f>IFERROR(INDEX(PP_Grid[#Data],$DD346,65),0)</f>
        <v/>
      </c>
      <c r="BP346">
        <f>IFERROR(INDEX(PP_Grid[#Data],$DD346,66),0)</f>
        <v/>
      </c>
      <c r="BQ346">
        <f>IFERROR(INDEX(PP_Grid[#Data],$DD346,67),0)</f>
        <v/>
      </c>
      <c r="BR346">
        <f>IFERROR(INDEX(PP_Grid[#Data],$DD346,68),0)</f>
        <v/>
      </c>
      <c r="BS346">
        <f>IFERROR(INDEX(PP_Grid[#Data],$DD346,69),0)</f>
        <v/>
      </c>
      <c r="BT346">
        <f>IFERROR(INDEX(PP_Grid[#Data],$DD346,70),0)</f>
        <v/>
      </c>
      <c r="BU346">
        <f>IFERROR(INDEX(PP_Grid[#Data],$DD346,71),0)</f>
        <v/>
      </c>
      <c r="BV346">
        <f>IFERROR(INDEX(PP_Grid[#Data],$DD346,72),0)</f>
        <v/>
      </c>
      <c r="BW346">
        <f>IFERROR(INDEX(PP_Grid[#Data],$DD346,73),0)</f>
        <v/>
      </c>
      <c r="BX346">
        <f>IFERROR(INDEX(PP_Grid[#Data],$DD346,74),0)</f>
        <v/>
      </c>
      <c r="BY346">
        <f>IFERROR(INDEX(PP_Grid[#Data],$DD346,75),0)</f>
        <v/>
      </c>
      <c r="BZ346">
        <f>IFERROR(INDEX(PP_Grid[#Data],$DD346,76),0)</f>
        <v/>
      </c>
      <c r="CA346">
        <f>IFERROR(INDEX(PP_Grid[#Data],$DD346,77),0)</f>
        <v/>
      </c>
      <c r="CB346">
        <f>IFERROR(INDEX(PP_Grid[#Data],$DD346,78),0)</f>
        <v/>
      </c>
      <c r="CC346">
        <f>IFERROR(INDEX(PP_Grid[#Data],$DD346,79),0)</f>
        <v/>
      </c>
      <c r="CD346">
        <f>IFERROR(INDEX(PP_Grid[#Data],$DD346,80),0)</f>
        <v/>
      </c>
      <c r="CE346">
        <f>IFERROR(INDEX(PP_Grid[#Data],$DD346,81),0)</f>
        <v/>
      </c>
      <c r="CF346">
        <f>IFERROR(INDEX(PP_Grid[#Data],$DD346,82),0)</f>
        <v/>
      </c>
      <c r="CG346">
        <f>IFERROR(INDEX(PP_Grid[#Data],$DD346,83),0)</f>
        <v/>
      </c>
      <c r="CH346">
        <f>IFERROR(INDEX(PP_Grid[#Data],$DD346,84),0)</f>
        <v/>
      </c>
      <c r="CI346">
        <f>IFERROR(INDEX(PP_Grid[#Data],$DD346,85),0)</f>
        <v/>
      </c>
      <c r="CJ346">
        <f>IFERROR(INDEX(PP_Grid[#Data],$DD346,86),0)</f>
        <v/>
      </c>
      <c r="CK346">
        <f>IFERROR(INDEX(PP_Grid[#Data],$DD346,87),0)</f>
        <v/>
      </c>
      <c r="CL346">
        <f>IFERROR(INDEX(PP_Grid[#Data],$DD346,88),0)</f>
        <v/>
      </c>
      <c r="CM346">
        <f>IFERROR(INDEX(PP_Grid[#Data],$DD346,89),0)</f>
        <v/>
      </c>
      <c r="CN346">
        <f>IFERROR(INDEX(PP_Grid[#Data],$DD346,90),0)</f>
        <v/>
      </c>
      <c r="CO346">
        <f>IFERROR(INDEX(PP_Grid[#Data],$DD346,91),0)</f>
        <v/>
      </c>
      <c r="CP346">
        <f>IFERROR(INDEX(PP_Grid[#Data],$DD346,92),0)</f>
        <v/>
      </c>
      <c r="CQ346">
        <f>IFERROR(INDEX(PP_Grid[#Data],$DD346,93),0)</f>
        <v/>
      </c>
      <c r="CR346">
        <f>IFERROR(INDEX(PP_Grid[#Data],$DD346,94),0)</f>
        <v/>
      </c>
      <c r="CS346">
        <f>IFERROR(INDEX(PP_Grid[#Data],$DD346,95),0)</f>
        <v/>
      </c>
      <c r="CT346">
        <f>IFERROR(INDEX(PP_Grid[#Data],$DD346,96),0)</f>
        <v/>
      </c>
      <c r="CU346">
        <f>IFERROR(INDEX(PP_Grid[#Data],$DD346,97),0)</f>
        <v/>
      </c>
      <c r="CV346">
        <f>IFERROR(INDEX(PP_Grid[#Data],$DD346,98),0)</f>
        <v/>
      </c>
      <c r="CW346">
        <f>IFERROR(INDEX(PP_Grid[#Data],$DD346,99),0)</f>
        <v/>
      </c>
      <c r="CX346">
        <f>IFERROR(INDEX(PP_Grid[#Data],$DD346,100),0)</f>
        <v/>
      </c>
      <c r="CY346">
        <f>IFERROR(INDEX(PP_Grid[#Data],$DD346,101),0)</f>
        <v/>
      </c>
      <c r="CZ346">
        <f>IFERROR(INDEX(PP_Grid[#Data],$DD346,102),0)</f>
        <v/>
      </c>
      <c r="DA346">
        <f>IFERROR(INDEX(PP_Grid[#Data],$DD346,103),0)</f>
        <v/>
      </c>
      <c r="DB346">
        <f>IFERROR(INDEX(PP_Grid[#Data],$DD346,104),0)</f>
        <v/>
      </c>
      <c r="DC346">
        <f>IFERROR(INDEX(PP_Grid[#Data],$DD346,105),0)</f>
        <v/>
      </c>
      <c r="DD346" s="12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SUMIFS(M_BOM[RM_Qty_Per_Batch],M_BOM[Intermediate],$B346,M_BOM[Part Name],$A339)</f>
        <v/>
      </c>
      <c r="D347">
        <f>$C347*D346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</row>
    <row r="348">
      <c r="B348" t="inlineStr">
        <is>
          <t>TSP-403</t>
        </is>
      </c>
      <c r="C348" t="inlineStr">
        <is>
          <t>No. of batches</t>
        </is>
      </c>
      <c r="D348">
        <f>IFERROR(INDEX(PP_Grid[#Data],$DD348,2),0)</f>
        <v/>
      </c>
      <c r="E348">
        <f>IFERROR(INDEX(PP_Grid[#Data],$DD348,3),0)</f>
        <v/>
      </c>
      <c r="F348">
        <f>IFERROR(INDEX(PP_Grid[#Data],$DD348,4),0)</f>
        <v/>
      </c>
      <c r="G348">
        <f>IFERROR(INDEX(PP_Grid[#Data],$DD348,5),0)</f>
        <v/>
      </c>
      <c r="H348">
        <f>IFERROR(INDEX(PP_Grid[#Data],$DD348,6),0)</f>
        <v/>
      </c>
      <c r="I348">
        <f>IFERROR(INDEX(PP_Grid[#Data],$DD348,7),0)</f>
        <v/>
      </c>
      <c r="J348">
        <f>IFERROR(INDEX(PP_Grid[#Data],$DD348,8),0)</f>
        <v/>
      </c>
      <c r="K348">
        <f>IFERROR(INDEX(PP_Grid[#Data],$DD348,9),0)</f>
        <v/>
      </c>
      <c r="L348">
        <f>IFERROR(INDEX(PP_Grid[#Data],$DD348,10),0)</f>
        <v/>
      </c>
      <c r="M348">
        <f>IFERROR(INDEX(PP_Grid[#Data],$DD348,11),0)</f>
        <v/>
      </c>
      <c r="N348">
        <f>IFERROR(INDEX(PP_Grid[#Data],$DD348,12),0)</f>
        <v/>
      </c>
      <c r="O348">
        <f>IFERROR(INDEX(PP_Grid[#Data],$DD348,13),0)</f>
        <v/>
      </c>
      <c r="P348">
        <f>IFERROR(INDEX(PP_Grid[#Data],$DD348,14),0)</f>
        <v/>
      </c>
      <c r="Q348">
        <f>IFERROR(INDEX(PP_Grid[#Data],$DD348,15),0)</f>
        <v/>
      </c>
      <c r="R348">
        <f>IFERROR(INDEX(PP_Grid[#Data],$DD348,16),0)</f>
        <v/>
      </c>
      <c r="S348">
        <f>IFERROR(INDEX(PP_Grid[#Data],$DD348,17),0)</f>
        <v/>
      </c>
      <c r="T348">
        <f>IFERROR(INDEX(PP_Grid[#Data],$DD348,18),0)</f>
        <v/>
      </c>
      <c r="U348">
        <f>IFERROR(INDEX(PP_Grid[#Data],$DD348,19),0)</f>
        <v/>
      </c>
      <c r="V348">
        <f>IFERROR(INDEX(PP_Grid[#Data],$DD348,20),0)</f>
        <v/>
      </c>
      <c r="W348">
        <f>IFERROR(INDEX(PP_Grid[#Data],$DD348,21),0)</f>
        <v/>
      </c>
      <c r="X348">
        <f>IFERROR(INDEX(PP_Grid[#Data],$DD348,22),0)</f>
        <v/>
      </c>
      <c r="Y348">
        <f>IFERROR(INDEX(PP_Grid[#Data],$DD348,23),0)</f>
        <v/>
      </c>
      <c r="Z348">
        <f>IFERROR(INDEX(PP_Grid[#Data],$DD348,24),0)</f>
        <v/>
      </c>
      <c r="AA348">
        <f>IFERROR(INDEX(PP_Grid[#Data],$DD348,25),0)</f>
        <v/>
      </c>
      <c r="AB348">
        <f>IFERROR(INDEX(PP_Grid[#Data],$DD348,26),0)</f>
        <v/>
      </c>
      <c r="AC348">
        <f>IFERROR(INDEX(PP_Grid[#Data],$DD348,27),0)</f>
        <v/>
      </c>
      <c r="AD348">
        <f>IFERROR(INDEX(PP_Grid[#Data],$DD348,28),0)</f>
        <v/>
      </c>
      <c r="AE348">
        <f>IFERROR(INDEX(PP_Grid[#Data],$DD348,29),0)</f>
        <v/>
      </c>
      <c r="AF348">
        <f>IFERROR(INDEX(PP_Grid[#Data],$DD348,30),0)</f>
        <v/>
      </c>
      <c r="AG348">
        <f>IFERROR(INDEX(PP_Grid[#Data],$DD348,31),0)</f>
        <v/>
      </c>
      <c r="AH348">
        <f>IFERROR(INDEX(PP_Grid[#Data],$DD348,32),0)</f>
        <v/>
      </c>
      <c r="AI348">
        <f>IFERROR(INDEX(PP_Grid[#Data],$DD348,33),0)</f>
        <v/>
      </c>
      <c r="AJ348">
        <f>IFERROR(INDEX(PP_Grid[#Data],$DD348,34),0)</f>
        <v/>
      </c>
      <c r="AK348">
        <f>IFERROR(INDEX(PP_Grid[#Data],$DD348,35),0)</f>
        <v/>
      </c>
      <c r="AL348">
        <f>IFERROR(INDEX(PP_Grid[#Data],$DD348,36),0)</f>
        <v/>
      </c>
      <c r="AM348">
        <f>IFERROR(INDEX(PP_Grid[#Data],$DD348,37),0)</f>
        <v/>
      </c>
      <c r="AN348">
        <f>IFERROR(INDEX(PP_Grid[#Data],$DD348,38),0)</f>
        <v/>
      </c>
      <c r="AO348">
        <f>IFERROR(INDEX(PP_Grid[#Data],$DD348,39),0)</f>
        <v/>
      </c>
      <c r="AP348">
        <f>IFERROR(INDEX(PP_Grid[#Data],$DD348,40),0)</f>
        <v/>
      </c>
      <c r="AQ348">
        <f>IFERROR(INDEX(PP_Grid[#Data],$DD348,41),0)</f>
        <v/>
      </c>
      <c r="AR348">
        <f>IFERROR(INDEX(PP_Grid[#Data],$DD348,42),0)</f>
        <v/>
      </c>
      <c r="AS348">
        <f>IFERROR(INDEX(PP_Grid[#Data],$DD348,43),0)</f>
        <v/>
      </c>
      <c r="AT348">
        <f>IFERROR(INDEX(PP_Grid[#Data],$DD348,44),0)</f>
        <v/>
      </c>
      <c r="AU348">
        <f>IFERROR(INDEX(PP_Grid[#Data],$DD348,45),0)</f>
        <v/>
      </c>
      <c r="AV348">
        <f>IFERROR(INDEX(PP_Grid[#Data],$DD348,46),0)</f>
        <v/>
      </c>
      <c r="AW348">
        <f>IFERROR(INDEX(PP_Grid[#Data],$DD348,47),0)</f>
        <v/>
      </c>
      <c r="AX348">
        <f>IFERROR(INDEX(PP_Grid[#Data],$DD348,48),0)</f>
        <v/>
      </c>
      <c r="AY348">
        <f>IFERROR(INDEX(PP_Grid[#Data],$DD348,49),0)</f>
        <v/>
      </c>
      <c r="AZ348">
        <f>IFERROR(INDEX(PP_Grid[#Data],$DD348,50),0)</f>
        <v/>
      </c>
      <c r="BA348">
        <f>IFERROR(INDEX(PP_Grid[#Data],$DD348,51),0)</f>
        <v/>
      </c>
      <c r="BB348">
        <f>IFERROR(INDEX(PP_Grid[#Data],$DD348,52),0)</f>
        <v/>
      </c>
      <c r="BC348">
        <f>IFERROR(INDEX(PP_Grid[#Data],$DD348,53),0)</f>
        <v/>
      </c>
      <c r="BD348">
        <f>IFERROR(INDEX(PP_Grid[#Data],$DD348,54),0)</f>
        <v/>
      </c>
      <c r="BE348">
        <f>IFERROR(INDEX(PP_Grid[#Data],$DD348,55),0)</f>
        <v/>
      </c>
      <c r="BF348">
        <f>IFERROR(INDEX(PP_Grid[#Data],$DD348,56),0)</f>
        <v/>
      </c>
      <c r="BG348">
        <f>IFERROR(INDEX(PP_Grid[#Data],$DD348,57),0)</f>
        <v/>
      </c>
      <c r="BH348">
        <f>IFERROR(INDEX(PP_Grid[#Data],$DD348,58),0)</f>
        <v/>
      </c>
      <c r="BI348">
        <f>IFERROR(INDEX(PP_Grid[#Data],$DD348,59),0)</f>
        <v/>
      </c>
      <c r="BJ348">
        <f>IFERROR(INDEX(PP_Grid[#Data],$DD348,60),0)</f>
        <v/>
      </c>
      <c r="BK348">
        <f>IFERROR(INDEX(PP_Grid[#Data],$DD348,61),0)</f>
        <v/>
      </c>
      <c r="BL348">
        <f>IFERROR(INDEX(PP_Grid[#Data],$DD348,62),0)</f>
        <v/>
      </c>
      <c r="BM348">
        <f>IFERROR(INDEX(PP_Grid[#Data],$DD348,63),0)</f>
        <v/>
      </c>
      <c r="BN348">
        <f>IFERROR(INDEX(PP_Grid[#Data],$DD348,64),0)</f>
        <v/>
      </c>
      <c r="BO348">
        <f>IFERROR(INDEX(PP_Grid[#Data],$DD348,65),0)</f>
        <v/>
      </c>
      <c r="BP348">
        <f>IFERROR(INDEX(PP_Grid[#Data],$DD348,66),0)</f>
        <v/>
      </c>
      <c r="BQ348">
        <f>IFERROR(INDEX(PP_Grid[#Data],$DD348,67),0)</f>
        <v/>
      </c>
      <c r="BR348">
        <f>IFERROR(INDEX(PP_Grid[#Data],$DD348,68),0)</f>
        <v/>
      </c>
      <c r="BS348">
        <f>IFERROR(INDEX(PP_Grid[#Data],$DD348,69),0)</f>
        <v/>
      </c>
      <c r="BT348">
        <f>IFERROR(INDEX(PP_Grid[#Data],$DD348,70),0)</f>
        <v/>
      </c>
      <c r="BU348">
        <f>IFERROR(INDEX(PP_Grid[#Data],$DD348,71),0)</f>
        <v/>
      </c>
      <c r="BV348">
        <f>IFERROR(INDEX(PP_Grid[#Data],$DD348,72),0)</f>
        <v/>
      </c>
      <c r="BW348">
        <f>IFERROR(INDEX(PP_Grid[#Data],$DD348,73),0)</f>
        <v/>
      </c>
      <c r="BX348">
        <f>IFERROR(INDEX(PP_Grid[#Data],$DD348,74),0)</f>
        <v/>
      </c>
      <c r="BY348">
        <f>IFERROR(INDEX(PP_Grid[#Data],$DD348,75),0)</f>
        <v/>
      </c>
      <c r="BZ348">
        <f>IFERROR(INDEX(PP_Grid[#Data],$DD348,76),0)</f>
        <v/>
      </c>
      <c r="CA348">
        <f>IFERROR(INDEX(PP_Grid[#Data],$DD348,77),0)</f>
        <v/>
      </c>
      <c r="CB348">
        <f>IFERROR(INDEX(PP_Grid[#Data],$DD348,78),0)</f>
        <v/>
      </c>
      <c r="CC348">
        <f>IFERROR(INDEX(PP_Grid[#Data],$DD348,79),0)</f>
        <v/>
      </c>
      <c r="CD348">
        <f>IFERROR(INDEX(PP_Grid[#Data],$DD348,80),0)</f>
        <v/>
      </c>
      <c r="CE348">
        <f>IFERROR(INDEX(PP_Grid[#Data],$DD348,81),0)</f>
        <v/>
      </c>
      <c r="CF348">
        <f>IFERROR(INDEX(PP_Grid[#Data],$DD348,82),0)</f>
        <v/>
      </c>
      <c r="CG348">
        <f>IFERROR(INDEX(PP_Grid[#Data],$DD348,83),0)</f>
        <v/>
      </c>
      <c r="CH348">
        <f>IFERROR(INDEX(PP_Grid[#Data],$DD348,84),0)</f>
        <v/>
      </c>
      <c r="CI348">
        <f>IFERROR(INDEX(PP_Grid[#Data],$DD348,85),0)</f>
        <v/>
      </c>
      <c r="CJ348">
        <f>IFERROR(INDEX(PP_Grid[#Data],$DD348,86),0)</f>
        <v/>
      </c>
      <c r="CK348">
        <f>IFERROR(INDEX(PP_Grid[#Data],$DD348,87),0)</f>
        <v/>
      </c>
      <c r="CL348">
        <f>IFERROR(INDEX(PP_Grid[#Data],$DD348,88),0)</f>
        <v/>
      </c>
      <c r="CM348">
        <f>IFERROR(INDEX(PP_Grid[#Data],$DD348,89),0)</f>
        <v/>
      </c>
      <c r="CN348">
        <f>IFERROR(INDEX(PP_Grid[#Data],$DD348,90),0)</f>
        <v/>
      </c>
      <c r="CO348">
        <f>IFERROR(INDEX(PP_Grid[#Data],$DD348,91),0)</f>
        <v/>
      </c>
      <c r="CP348">
        <f>IFERROR(INDEX(PP_Grid[#Data],$DD348,92),0)</f>
        <v/>
      </c>
      <c r="CQ348">
        <f>IFERROR(INDEX(PP_Grid[#Data],$DD348,93),0)</f>
        <v/>
      </c>
      <c r="CR348">
        <f>IFERROR(INDEX(PP_Grid[#Data],$DD348,94),0)</f>
        <v/>
      </c>
      <c r="CS348">
        <f>IFERROR(INDEX(PP_Grid[#Data],$DD348,95),0)</f>
        <v/>
      </c>
      <c r="CT348">
        <f>IFERROR(INDEX(PP_Grid[#Data],$DD348,96),0)</f>
        <v/>
      </c>
      <c r="CU348">
        <f>IFERROR(INDEX(PP_Grid[#Data],$DD348,97),0)</f>
        <v/>
      </c>
      <c r="CV348">
        <f>IFERROR(INDEX(PP_Grid[#Data],$DD348,98),0)</f>
        <v/>
      </c>
      <c r="CW348">
        <f>IFERROR(INDEX(PP_Grid[#Data],$DD348,99),0)</f>
        <v/>
      </c>
      <c r="CX348">
        <f>IFERROR(INDEX(PP_Grid[#Data],$DD348,100),0)</f>
        <v/>
      </c>
      <c r="CY348">
        <f>IFERROR(INDEX(PP_Grid[#Data],$DD348,101),0)</f>
        <v/>
      </c>
      <c r="CZ348">
        <f>IFERROR(INDEX(PP_Grid[#Data],$DD348,102),0)</f>
        <v/>
      </c>
      <c r="DA348">
        <f>IFERROR(INDEX(PP_Grid[#Data],$DD348,103),0)</f>
        <v/>
      </c>
      <c r="DB348">
        <f>IFERROR(INDEX(PP_Grid[#Data],$DD348,104),0)</f>
        <v/>
      </c>
      <c r="DC348">
        <f>IFERROR(INDEX(PP_Grid[#Data],$DD348,105),0)</f>
        <v/>
      </c>
      <c r="DD348" s="12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SUMIFS(M_BOM[RM_Qty_Per_Batch],M_BOM[Intermediate],$B348,M_BOM[Part Name],$A339)</f>
        <v/>
      </c>
      <c r="D349">
        <f>$C349*D348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</row>
    <row r="350">
      <c r="B350" t="inlineStr">
        <is>
          <t>TSP-404</t>
        </is>
      </c>
      <c r="C350" t="inlineStr">
        <is>
          <t>No. of batches</t>
        </is>
      </c>
      <c r="D350">
        <f>IFERROR(INDEX(PP_Grid[#Data],$DD350,2),0)</f>
        <v/>
      </c>
      <c r="E350">
        <f>IFERROR(INDEX(PP_Grid[#Data],$DD350,3),0)</f>
        <v/>
      </c>
      <c r="F350">
        <f>IFERROR(INDEX(PP_Grid[#Data],$DD350,4),0)</f>
        <v/>
      </c>
      <c r="G350">
        <f>IFERROR(INDEX(PP_Grid[#Data],$DD350,5),0)</f>
        <v/>
      </c>
      <c r="H350">
        <f>IFERROR(INDEX(PP_Grid[#Data],$DD350,6),0)</f>
        <v/>
      </c>
      <c r="I350">
        <f>IFERROR(INDEX(PP_Grid[#Data],$DD350,7),0)</f>
        <v/>
      </c>
      <c r="J350">
        <f>IFERROR(INDEX(PP_Grid[#Data],$DD350,8),0)</f>
        <v/>
      </c>
      <c r="K350">
        <f>IFERROR(INDEX(PP_Grid[#Data],$DD350,9),0)</f>
        <v/>
      </c>
      <c r="L350">
        <f>IFERROR(INDEX(PP_Grid[#Data],$DD350,10),0)</f>
        <v/>
      </c>
      <c r="M350">
        <f>IFERROR(INDEX(PP_Grid[#Data],$DD350,11),0)</f>
        <v/>
      </c>
      <c r="N350">
        <f>IFERROR(INDEX(PP_Grid[#Data],$DD350,12),0)</f>
        <v/>
      </c>
      <c r="O350">
        <f>IFERROR(INDEX(PP_Grid[#Data],$DD350,13),0)</f>
        <v/>
      </c>
      <c r="P350">
        <f>IFERROR(INDEX(PP_Grid[#Data],$DD350,14),0)</f>
        <v/>
      </c>
      <c r="Q350">
        <f>IFERROR(INDEX(PP_Grid[#Data],$DD350,15),0)</f>
        <v/>
      </c>
      <c r="R350">
        <f>IFERROR(INDEX(PP_Grid[#Data],$DD350,16),0)</f>
        <v/>
      </c>
      <c r="S350">
        <f>IFERROR(INDEX(PP_Grid[#Data],$DD350,17),0)</f>
        <v/>
      </c>
      <c r="T350">
        <f>IFERROR(INDEX(PP_Grid[#Data],$DD350,18),0)</f>
        <v/>
      </c>
      <c r="U350">
        <f>IFERROR(INDEX(PP_Grid[#Data],$DD350,19),0)</f>
        <v/>
      </c>
      <c r="V350">
        <f>IFERROR(INDEX(PP_Grid[#Data],$DD350,20),0)</f>
        <v/>
      </c>
      <c r="W350">
        <f>IFERROR(INDEX(PP_Grid[#Data],$DD350,21),0)</f>
        <v/>
      </c>
      <c r="X350">
        <f>IFERROR(INDEX(PP_Grid[#Data],$DD350,22),0)</f>
        <v/>
      </c>
      <c r="Y350">
        <f>IFERROR(INDEX(PP_Grid[#Data],$DD350,23),0)</f>
        <v/>
      </c>
      <c r="Z350">
        <f>IFERROR(INDEX(PP_Grid[#Data],$DD350,24),0)</f>
        <v/>
      </c>
      <c r="AA350">
        <f>IFERROR(INDEX(PP_Grid[#Data],$DD350,25),0)</f>
        <v/>
      </c>
      <c r="AB350">
        <f>IFERROR(INDEX(PP_Grid[#Data],$DD350,26),0)</f>
        <v/>
      </c>
      <c r="AC350">
        <f>IFERROR(INDEX(PP_Grid[#Data],$DD350,27),0)</f>
        <v/>
      </c>
      <c r="AD350">
        <f>IFERROR(INDEX(PP_Grid[#Data],$DD350,28),0)</f>
        <v/>
      </c>
      <c r="AE350">
        <f>IFERROR(INDEX(PP_Grid[#Data],$DD350,29),0)</f>
        <v/>
      </c>
      <c r="AF350">
        <f>IFERROR(INDEX(PP_Grid[#Data],$DD350,30),0)</f>
        <v/>
      </c>
      <c r="AG350">
        <f>IFERROR(INDEX(PP_Grid[#Data],$DD350,31),0)</f>
        <v/>
      </c>
      <c r="AH350">
        <f>IFERROR(INDEX(PP_Grid[#Data],$DD350,32),0)</f>
        <v/>
      </c>
      <c r="AI350">
        <f>IFERROR(INDEX(PP_Grid[#Data],$DD350,33),0)</f>
        <v/>
      </c>
      <c r="AJ350">
        <f>IFERROR(INDEX(PP_Grid[#Data],$DD350,34),0)</f>
        <v/>
      </c>
      <c r="AK350">
        <f>IFERROR(INDEX(PP_Grid[#Data],$DD350,35),0)</f>
        <v/>
      </c>
      <c r="AL350">
        <f>IFERROR(INDEX(PP_Grid[#Data],$DD350,36),0)</f>
        <v/>
      </c>
      <c r="AM350">
        <f>IFERROR(INDEX(PP_Grid[#Data],$DD350,37),0)</f>
        <v/>
      </c>
      <c r="AN350">
        <f>IFERROR(INDEX(PP_Grid[#Data],$DD350,38),0)</f>
        <v/>
      </c>
      <c r="AO350">
        <f>IFERROR(INDEX(PP_Grid[#Data],$DD350,39),0)</f>
        <v/>
      </c>
      <c r="AP350">
        <f>IFERROR(INDEX(PP_Grid[#Data],$DD350,40),0)</f>
        <v/>
      </c>
      <c r="AQ350">
        <f>IFERROR(INDEX(PP_Grid[#Data],$DD350,41),0)</f>
        <v/>
      </c>
      <c r="AR350">
        <f>IFERROR(INDEX(PP_Grid[#Data],$DD350,42),0)</f>
        <v/>
      </c>
      <c r="AS350">
        <f>IFERROR(INDEX(PP_Grid[#Data],$DD350,43),0)</f>
        <v/>
      </c>
      <c r="AT350">
        <f>IFERROR(INDEX(PP_Grid[#Data],$DD350,44),0)</f>
        <v/>
      </c>
      <c r="AU350">
        <f>IFERROR(INDEX(PP_Grid[#Data],$DD350,45),0)</f>
        <v/>
      </c>
      <c r="AV350">
        <f>IFERROR(INDEX(PP_Grid[#Data],$DD350,46),0)</f>
        <v/>
      </c>
      <c r="AW350">
        <f>IFERROR(INDEX(PP_Grid[#Data],$DD350,47),0)</f>
        <v/>
      </c>
      <c r="AX350">
        <f>IFERROR(INDEX(PP_Grid[#Data],$DD350,48),0)</f>
        <v/>
      </c>
      <c r="AY350">
        <f>IFERROR(INDEX(PP_Grid[#Data],$DD350,49),0)</f>
        <v/>
      </c>
      <c r="AZ350">
        <f>IFERROR(INDEX(PP_Grid[#Data],$DD350,50),0)</f>
        <v/>
      </c>
      <c r="BA350">
        <f>IFERROR(INDEX(PP_Grid[#Data],$DD350,51),0)</f>
        <v/>
      </c>
      <c r="BB350">
        <f>IFERROR(INDEX(PP_Grid[#Data],$DD350,52),0)</f>
        <v/>
      </c>
      <c r="BC350">
        <f>IFERROR(INDEX(PP_Grid[#Data],$DD350,53),0)</f>
        <v/>
      </c>
      <c r="BD350">
        <f>IFERROR(INDEX(PP_Grid[#Data],$DD350,54),0)</f>
        <v/>
      </c>
      <c r="BE350">
        <f>IFERROR(INDEX(PP_Grid[#Data],$DD350,55),0)</f>
        <v/>
      </c>
      <c r="BF350">
        <f>IFERROR(INDEX(PP_Grid[#Data],$DD350,56),0)</f>
        <v/>
      </c>
      <c r="BG350">
        <f>IFERROR(INDEX(PP_Grid[#Data],$DD350,57),0)</f>
        <v/>
      </c>
      <c r="BH350">
        <f>IFERROR(INDEX(PP_Grid[#Data],$DD350,58),0)</f>
        <v/>
      </c>
      <c r="BI350">
        <f>IFERROR(INDEX(PP_Grid[#Data],$DD350,59),0)</f>
        <v/>
      </c>
      <c r="BJ350">
        <f>IFERROR(INDEX(PP_Grid[#Data],$DD350,60),0)</f>
        <v/>
      </c>
      <c r="BK350">
        <f>IFERROR(INDEX(PP_Grid[#Data],$DD350,61),0)</f>
        <v/>
      </c>
      <c r="BL350">
        <f>IFERROR(INDEX(PP_Grid[#Data],$DD350,62),0)</f>
        <v/>
      </c>
      <c r="BM350">
        <f>IFERROR(INDEX(PP_Grid[#Data],$DD350,63),0)</f>
        <v/>
      </c>
      <c r="BN350">
        <f>IFERROR(INDEX(PP_Grid[#Data],$DD350,64),0)</f>
        <v/>
      </c>
      <c r="BO350">
        <f>IFERROR(INDEX(PP_Grid[#Data],$DD350,65),0)</f>
        <v/>
      </c>
      <c r="BP350">
        <f>IFERROR(INDEX(PP_Grid[#Data],$DD350,66),0)</f>
        <v/>
      </c>
      <c r="BQ350">
        <f>IFERROR(INDEX(PP_Grid[#Data],$DD350,67),0)</f>
        <v/>
      </c>
      <c r="BR350">
        <f>IFERROR(INDEX(PP_Grid[#Data],$DD350,68),0)</f>
        <v/>
      </c>
      <c r="BS350">
        <f>IFERROR(INDEX(PP_Grid[#Data],$DD350,69),0)</f>
        <v/>
      </c>
      <c r="BT350">
        <f>IFERROR(INDEX(PP_Grid[#Data],$DD350,70),0)</f>
        <v/>
      </c>
      <c r="BU350">
        <f>IFERROR(INDEX(PP_Grid[#Data],$DD350,71),0)</f>
        <v/>
      </c>
      <c r="BV350">
        <f>IFERROR(INDEX(PP_Grid[#Data],$DD350,72),0)</f>
        <v/>
      </c>
      <c r="BW350">
        <f>IFERROR(INDEX(PP_Grid[#Data],$DD350,73),0)</f>
        <v/>
      </c>
      <c r="BX350">
        <f>IFERROR(INDEX(PP_Grid[#Data],$DD350,74),0)</f>
        <v/>
      </c>
      <c r="BY350">
        <f>IFERROR(INDEX(PP_Grid[#Data],$DD350,75),0)</f>
        <v/>
      </c>
      <c r="BZ350">
        <f>IFERROR(INDEX(PP_Grid[#Data],$DD350,76),0)</f>
        <v/>
      </c>
      <c r="CA350">
        <f>IFERROR(INDEX(PP_Grid[#Data],$DD350,77),0)</f>
        <v/>
      </c>
      <c r="CB350">
        <f>IFERROR(INDEX(PP_Grid[#Data],$DD350,78),0)</f>
        <v/>
      </c>
      <c r="CC350">
        <f>IFERROR(INDEX(PP_Grid[#Data],$DD350,79),0)</f>
        <v/>
      </c>
      <c r="CD350">
        <f>IFERROR(INDEX(PP_Grid[#Data],$DD350,80),0)</f>
        <v/>
      </c>
      <c r="CE350">
        <f>IFERROR(INDEX(PP_Grid[#Data],$DD350,81),0)</f>
        <v/>
      </c>
      <c r="CF350">
        <f>IFERROR(INDEX(PP_Grid[#Data],$DD350,82),0)</f>
        <v/>
      </c>
      <c r="CG350">
        <f>IFERROR(INDEX(PP_Grid[#Data],$DD350,83),0)</f>
        <v/>
      </c>
      <c r="CH350">
        <f>IFERROR(INDEX(PP_Grid[#Data],$DD350,84),0)</f>
        <v/>
      </c>
      <c r="CI350">
        <f>IFERROR(INDEX(PP_Grid[#Data],$DD350,85),0)</f>
        <v/>
      </c>
      <c r="CJ350">
        <f>IFERROR(INDEX(PP_Grid[#Data],$DD350,86),0)</f>
        <v/>
      </c>
      <c r="CK350">
        <f>IFERROR(INDEX(PP_Grid[#Data],$DD350,87),0)</f>
        <v/>
      </c>
      <c r="CL350">
        <f>IFERROR(INDEX(PP_Grid[#Data],$DD350,88),0)</f>
        <v/>
      </c>
      <c r="CM350">
        <f>IFERROR(INDEX(PP_Grid[#Data],$DD350,89),0)</f>
        <v/>
      </c>
      <c r="CN350">
        <f>IFERROR(INDEX(PP_Grid[#Data],$DD350,90),0)</f>
        <v/>
      </c>
      <c r="CO350">
        <f>IFERROR(INDEX(PP_Grid[#Data],$DD350,91),0)</f>
        <v/>
      </c>
      <c r="CP350">
        <f>IFERROR(INDEX(PP_Grid[#Data],$DD350,92),0)</f>
        <v/>
      </c>
      <c r="CQ350">
        <f>IFERROR(INDEX(PP_Grid[#Data],$DD350,93),0)</f>
        <v/>
      </c>
      <c r="CR350">
        <f>IFERROR(INDEX(PP_Grid[#Data],$DD350,94),0)</f>
        <v/>
      </c>
      <c r="CS350">
        <f>IFERROR(INDEX(PP_Grid[#Data],$DD350,95),0)</f>
        <v/>
      </c>
      <c r="CT350">
        <f>IFERROR(INDEX(PP_Grid[#Data],$DD350,96),0)</f>
        <v/>
      </c>
      <c r="CU350">
        <f>IFERROR(INDEX(PP_Grid[#Data],$DD350,97),0)</f>
        <v/>
      </c>
      <c r="CV350">
        <f>IFERROR(INDEX(PP_Grid[#Data],$DD350,98),0)</f>
        <v/>
      </c>
      <c r="CW350">
        <f>IFERROR(INDEX(PP_Grid[#Data],$DD350,99),0)</f>
        <v/>
      </c>
      <c r="CX350">
        <f>IFERROR(INDEX(PP_Grid[#Data],$DD350,100),0)</f>
        <v/>
      </c>
      <c r="CY350">
        <f>IFERROR(INDEX(PP_Grid[#Data],$DD350,101),0)</f>
        <v/>
      </c>
      <c r="CZ350">
        <f>IFERROR(INDEX(PP_Grid[#Data],$DD350,102),0)</f>
        <v/>
      </c>
      <c r="DA350">
        <f>IFERROR(INDEX(PP_Grid[#Data],$DD350,103),0)</f>
        <v/>
      </c>
      <c r="DB350">
        <f>IFERROR(INDEX(PP_Grid[#Data],$DD350,104),0)</f>
        <v/>
      </c>
      <c r="DC350">
        <f>IFERROR(INDEX(PP_Grid[#Data],$DD350,105),0)</f>
        <v/>
      </c>
      <c r="DD350" s="12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SUMIFS(M_BOM[RM_Qty_Per_Batch],M_BOM[Intermediate],$B350,M_BOM[Part Name],$A339)</f>
        <v/>
      </c>
      <c r="D351">
        <f>$C351*D350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</row>
    <row r="352">
      <c r="B352" t="inlineStr">
        <is>
          <t>TSP-405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Name],$A339)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TSP-655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Name],$A339)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TSP-656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Name],$A339)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TSP-903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Name],$A339)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t="inlineStr">
        <is>
          <t>TSP-959</t>
        </is>
      </c>
      <c r="C360" t="inlineStr">
        <is>
          <t>No. of batches</t>
        </is>
      </c>
      <c r="D360">
        <f>IFERROR(INDEX(PP_Grid[#Data],$DD360,2),0)</f>
        <v/>
      </c>
      <c r="E360">
        <f>IFERROR(INDEX(PP_Grid[#Data],$DD360,3),0)</f>
        <v/>
      </c>
      <c r="F360">
        <f>IFERROR(INDEX(PP_Grid[#Data],$DD360,4),0)</f>
        <v/>
      </c>
      <c r="G360">
        <f>IFERROR(INDEX(PP_Grid[#Data],$DD360,5),0)</f>
        <v/>
      </c>
      <c r="H360">
        <f>IFERROR(INDEX(PP_Grid[#Data],$DD360,6),0)</f>
        <v/>
      </c>
      <c r="I360">
        <f>IFERROR(INDEX(PP_Grid[#Data],$DD360,7),0)</f>
        <v/>
      </c>
      <c r="J360">
        <f>IFERROR(INDEX(PP_Grid[#Data],$DD360,8),0)</f>
        <v/>
      </c>
      <c r="K360">
        <f>IFERROR(INDEX(PP_Grid[#Data],$DD360,9),0)</f>
        <v/>
      </c>
      <c r="L360">
        <f>IFERROR(INDEX(PP_Grid[#Data],$DD360,10),0)</f>
        <v/>
      </c>
      <c r="M360">
        <f>IFERROR(INDEX(PP_Grid[#Data],$DD360,11),0)</f>
        <v/>
      </c>
      <c r="N360">
        <f>IFERROR(INDEX(PP_Grid[#Data],$DD360,12),0)</f>
        <v/>
      </c>
      <c r="O360">
        <f>IFERROR(INDEX(PP_Grid[#Data],$DD360,13),0)</f>
        <v/>
      </c>
      <c r="P360">
        <f>IFERROR(INDEX(PP_Grid[#Data],$DD360,14),0)</f>
        <v/>
      </c>
      <c r="Q360">
        <f>IFERROR(INDEX(PP_Grid[#Data],$DD360,15),0)</f>
        <v/>
      </c>
      <c r="R360">
        <f>IFERROR(INDEX(PP_Grid[#Data],$DD360,16),0)</f>
        <v/>
      </c>
      <c r="S360">
        <f>IFERROR(INDEX(PP_Grid[#Data],$DD360,17),0)</f>
        <v/>
      </c>
      <c r="T360">
        <f>IFERROR(INDEX(PP_Grid[#Data],$DD360,18),0)</f>
        <v/>
      </c>
      <c r="U360">
        <f>IFERROR(INDEX(PP_Grid[#Data],$DD360,19),0)</f>
        <v/>
      </c>
      <c r="V360">
        <f>IFERROR(INDEX(PP_Grid[#Data],$DD360,20),0)</f>
        <v/>
      </c>
      <c r="W360">
        <f>IFERROR(INDEX(PP_Grid[#Data],$DD360,21),0)</f>
        <v/>
      </c>
      <c r="X360">
        <f>IFERROR(INDEX(PP_Grid[#Data],$DD360,22),0)</f>
        <v/>
      </c>
      <c r="Y360">
        <f>IFERROR(INDEX(PP_Grid[#Data],$DD360,23),0)</f>
        <v/>
      </c>
      <c r="Z360">
        <f>IFERROR(INDEX(PP_Grid[#Data],$DD360,24),0)</f>
        <v/>
      </c>
      <c r="AA360">
        <f>IFERROR(INDEX(PP_Grid[#Data],$DD360,25),0)</f>
        <v/>
      </c>
      <c r="AB360">
        <f>IFERROR(INDEX(PP_Grid[#Data],$DD360,26),0)</f>
        <v/>
      </c>
      <c r="AC360">
        <f>IFERROR(INDEX(PP_Grid[#Data],$DD360,27),0)</f>
        <v/>
      </c>
      <c r="AD360">
        <f>IFERROR(INDEX(PP_Grid[#Data],$DD360,28),0)</f>
        <v/>
      </c>
      <c r="AE360">
        <f>IFERROR(INDEX(PP_Grid[#Data],$DD360,29),0)</f>
        <v/>
      </c>
      <c r="AF360">
        <f>IFERROR(INDEX(PP_Grid[#Data],$DD360,30),0)</f>
        <v/>
      </c>
      <c r="AG360">
        <f>IFERROR(INDEX(PP_Grid[#Data],$DD360,31),0)</f>
        <v/>
      </c>
      <c r="AH360">
        <f>IFERROR(INDEX(PP_Grid[#Data],$DD360,32),0)</f>
        <v/>
      </c>
      <c r="AI360">
        <f>IFERROR(INDEX(PP_Grid[#Data],$DD360,33),0)</f>
        <v/>
      </c>
      <c r="AJ360">
        <f>IFERROR(INDEX(PP_Grid[#Data],$DD360,34),0)</f>
        <v/>
      </c>
      <c r="AK360">
        <f>IFERROR(INDEX(PP_Grid[#Data],$DD360,35),0)</f>
        <v/>
      </c>
      <c r="AL360">
        <f>IFERROR(INDEX(PP_Grid[#Data],$DD360,36),0)</f>
        <v/>
      </c>
      <c r="AM360">
        <f>IFERROR(INDEX(PP_Grid[#Data],$DD360,37),0)</f>
        <v/>
      </c>
      <c r="AN360">
        <f>IFERROR(INDEX(PP_Grid[#Data],$DD360,38),0)</f>
        <v/>
      </c>
      <c r="AO360">
        <f>IFERROR(INDEX(PP_Grid[#Data],$DD360,39),0)</f>
        <v/>
      </c>
      <c r="AP360">
        <f>IFERROR(INDEX(PP_Grid[#Data],$DD360,40),0)</f>
        <v/>
      </c>
      <c r="AQ360">
        <f>IFERROR(INDEX(PP_Grid[#Data],$DD360,41),0)</f>
        <v/>
      </c>
      <c r="AR360">
        <f>IFERROR(INDEX(PP_Grid[#Data],$DD360,42),0)</f>
        <v/>
      </c>
      <c r="AS360">
        <f>IFERROR(INDEX(PP_Grid[#Data],$DD360,43),0)</f>
        <v/>
      </c>
      <c r="AT360">
        <f>IFERROR(INDEX(PP_Grid[#Data],$DD360,44),0)</f>
        <v/>
      </c>
      <c r="AU360">
        <f>IFERROR(INDEX(PP_Grid[#Data],$DD360,45),0)</f>
        <v/>
      </c>
      <c r="AV360">
        <f>IFERROR(INDEX(PP_Grid[#Data],$DD360,46),0)</f>
        <v/>
      </c>
      <c r="AW360">
        <f>IFERROR(INDEX(PP_Grid[#Data],$DD360,47),0)</f>
        <v/>
      </c>
      <c r="AX360">
        <f>IFERROR(INDEX(PP_Grid[#Data],$DD360,48),0)</f>
        <v/>
      </c>
      <c r="AY360">
        <f>IFERROR(INDEX(PP_Grid[#Data],$DD360,49),0)</f>
        <v/>
      </c>
      <c r="AZ360">
        <f>IFERROR(INDEX(PP_Grid[#Data],$DD360,50),0)</f>
        <v/>
      </c>
      <c r="BA360">
        <f>IFERROR(INDEX(PP_Grid[#Data],$DD360,51),0)</f>
        <v/>
      </c>
      <c r="BB360">
        <f>IFERROR(INDEX(PP_Grid[#Data],$DD360,52),0)</f>
        <v/>
      </c>
      <c r="BC360">
        <f>IFERROR(INDEX(PP_Grid[#Data],$DD360,53),0)</f>
        <v/>
      </c>
      <c r="BD360">
        <f>IFERROR(INDEX(PP_Grid[#Data],$DD360,54),0)</f>
        <v/>
      </c>
      <c r="BE360">
        <f>IFERROR(INDEX(PP_Grid[#Data],$DD360,55),0)</f>
        <v/>
      </c>
      <c r="BF360">
        <f>IFERROR(INDEX(PP_Grid[#Data],$DD360,56),0)</f>
        <v/>
      </c>
      <c r="BG360">
        <f>IFERROR(INDEX(PP_Grid[#Data],$DD360,57),0)</f>
        <v/>
      </c>
      <c r="BH360">
        <f>IFERROR(INDEX(PP_Grid[#Data],$DD360,58),0)</f>
        <v/>
      </c>
      <c r="BI360">
        <f>IFERROR(INDEX(PP_Grid[#Data],$DD360,59),0)</f>
        <v/>
      </c>
      <c r="BJ360">
        <f>IFERROR(INDEX(PP_Grid[#Data],$DD360,60),0)</f>
        <v/>
      </c>
      <c r="BK360">
        <f>IFERROR(INDEX(PP_Grid[#Data],$DD360,61),0)</f>
        <v/>
      </c>
      <c r="BL360">
        <f>IFERROR(INDEX(PP_Grid[#Data],$DD360,62),0)</f>
        <v/>
      </c>
      <c r="BM360">
        <f>IFERROR(INDEX(PP_Grid[#Data],$DD360,63),0)</f>
        <v/>
      </c>
      <c r="BN360">
        <f>IFERROR(INDEX(PP_Grid[#Data],$DD360,64),0)</f>
        <v/>
      </c>
      <c r="BO360">
        <f>IFERROR(INDEX(PP_Grid[#Data],$DD360,65),0)</f>
        <v/>
      </c>
      <c r="BP360">
        <f>IFERROR(INDEX(PP_Grid[#Data],$DD360,66),0)</f>
        <v/>
      </c>
      <c r="BQ360">
        <f>IFERROR(INDEX(PP_Grid[#Data],$DD360,67),0)</f>
        <v/>
      </c>
      <c r="BR360">
        <f>IFERROR(INDEX(PP_Grid[#Data],$DD360,68),0)</f>
        <v/>
      </c>
      <c r="BS360">
        <f>IFERROR(INDEX(PP_Grid[#Data],$DD360,69),0)</f>
        <v/>
      </c>
      <c r="BT360">
        <f>IFERROR(INDEX(PP_Grid[#Data],$DD360,70),0)</f>
        <v/>
      </c>
      <c r="BU360">
        <f>IFERROR(INDEX(PP_Grid[#Data],$DD360,71),0)</f>
        <v/>
      </c>
      <c r="BV360">
        <f>IFERROR(INDEX(PP_Grid[#Data],$DD360,72),0)</f>
        <v/>
      </c>
      <c r="BW360">
        <f>IFERROR(INDEX(PP_Grid[#Data],$DD360,73),0)</f>
        <v/>
      </c>
      <c r="BX360">
        <f>IFERROR(INDEX(PP_Grid[#Data],$DD360,74),0)</f>
        <v/>
      </c>
      <c r="BY360">
        <f>IFERROR(INDEX(PP_Grid[#Data],$DD360,75),0)</f>
        <v/>
      </c>
      <c r="BZ360">
        <f>IFERROR(INDEX(PP_Grid[#Data],$DD360,76),0)</f>
        <v/>
      </c>
      <c r="CA360">
        <f>IFERROR(INDEX(PP_Grid[#Data],$DD360,77),0)</f>
        <v/>
      </c>
      <c r="CB360">
        <f>IFERROR(INDEX(PP_Grid[#Data],$DD360,78),0)</f>
        <v/>
      </c>
      <c r="CC360">
        <f>IFERROR(INDEX(PP_Grid[#Data],$DD360,79),0)</f>
        <v/>
      </c>
      <c r="CD360">
        <f>IFERROR(INDEX(PP_Grid[#Data],$DD360,80),0)</f>
        <v/>
      </c>
      <c r="CE360">
        <f>IFERROR(INDEX(PP_Grid[#Data],$DD360,81),0)</f>
        <v/>
      </c>
      <c r="CF360">
        <f>IFERROR(INDEX(PP_Grid[#Data],$DD360,82),0)</f>
        <v/>
      </c>
      <c r="CG360">
        <f>IFERROR(INDEX(PP_Grid[#Data],$DD360,83),0)</f>
        <v/>
      </c>
      <c r="CH360">
        <f>IFERROR(INDEX(PP_Grid[#Data],$DD360,84),0)</f>
        <v/>
      </c>
      <c r="CI360">
        <f>IFERROR(INDEX(PP_Grid[#Data],$DD360,85),0)</f>
        <v/>
      </c>
      <c r="CJ360">
        <f>IFERROR(INDEX(PP_Grid[#Data],$DD360,86),0)</f>
        <v/>
      </c>
      <c r="CK360">
        <f>IFERROR(INDEX(PP_Grid[#Data],$DD360,87),0)</f>
        <v/>
      </c>
      <c r="CL360">
        <f>IFERROR(INDEX(PP_Grid[#Data],$DD360,88),0)</f>
        <v/>
      </c>
      <c r="CM360">
        <f>IFERROR(INDEX(PP_Grid[#Data],$DD360,89),0)</f>
        <v/>
      </c>
      <c r="CN360">
        <f>IFERROR(INDEX(PP_Grid[#Data],$DD360,90),0)</f>
        <v/>
      </c>
      <c r="CO360">
        <f>IFERROR(INDEX(PP_Grid[#Data],$DD360,91),0)</f>
        <v/>
      </c>
      <c r="CP360">
        <f>IFERROR(INDEX(PP_Grid[#Data],$DD360,92),0)</f>
        <v/>
      </c>
      <c r="CQ360">
        <f>IFERROR(INDEX(PP_Grid[#Data],$DD360,93),0)</f>
        <v/>
      </c>
      <c r="CR360">
        <f>IFERROR(INDEX(PP_Grid[#Data],$DD360,94),0)</f>
        <v/>
      </c>
      <c r="CS360">
        <f>IFERROR(INDEX(PP_Grid[#Data],$DD360,95),0)</f>
        <v/>
      </c>
      <c r="CT360">
        <f>IFERROR(INDEX(PP_Grid[#Data],$DD360,96),0)</f>
        <v/>
      </c>
      <c r="CU360">
        <f>IFERROR(INDEX(PP_Grid[#Data],$DD360,97),0)</f>
        <v/>
      </c>
      <c r="CV360">
        <f>IFERROR(INDEX(PP_Grid[#Data],$DD360,98),0)</f>
        <v/>
      </c>
      <c r="CW360">
        <f>IFERROR(INDEX(PP_Grid[#Data],$DD360,99),0)</f>
        <v/>
      </c>
      <c r="CX360">
        <f>IFERROR(INDEX(PP_Grid[#Data],$DD360,100),0)</f>
        <v/>
      </c>
      <c r="CY360">
        <f>IFERROR(INDEX(PP_Grid[#Data],$DD360,101),0)</f>
        <v/>
      </c>
      <c r="CZ360">
        <f>IFERROR(INDEX(PP_Grid[#Data],$DD360,102),0)</f>
        <v/>
      </c>
      <c r="DA360">
        <f>IFERROR(INDEX(PP_Grid[#Data],$DD360,103),0)</f>
        <v/>
      </c>
      <c r="DB360">
        <f>IFERROR(INDEX(PP_Grid[#Data],$DD360,104),0)</f>
        <v/>
      </c>
      <c r="DC360">
        <f>IFERROR(INDEX(PP_Grid[#Data],$DD360,105),0)</f>
        <v/>
      </c>
      <c r="DD360" s="12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SUMIFS(M_BOM[RM_Qty_Per_Batch],M_BOM[Intermediate],$B360,M_BOM[Part Name],$A339)</f>
        <v/>
      </c>
      <c r="D361">
        <f>$C361*D360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</row>
    <row r="362">
      <c r="B362" t="inlineStr">
        <is>
          <t>VSP-602</t>
        </is>
      </c>
      <c r="C362" t="inlineStr">
        <is>
          <t>No. of batches</t>
        </is>
      </c>
      <c r="D362">
        <f>IFERROR(INDEX(PP_Grid[#Data],$DD362,2),0)</f>
        <v/>
      </c>
      <c r="E362">
        <f>IFERROR(INDEX(PP_Grid[#Data],$DD362,3),0)</f>
        <v/>
      </c>
      <c r="F362">
        <f>IFERROR(INDEX(PP_Grid[#Data],$DD362,4),0)</f>
        <v/>
      </c>
      <c r="G362">
        <f>IFERROR(INDEX(PP_Grid[#Data],$DD362,5),0)</f>
        <v/>
      </c>
      <c r="H362">
        <f>IFERROR(INDEX(PP_Grid[#Data],$DD362,6),0)</f>
        <v/>
      </c>
      <c r="I362">
        <f>IFERROR(INDEX(PP_Grid[#Data],$DD362,7),0)</f>
        <v/>
      </c>
      <c r="J362">
        <f>IFERROR(INDEX(PP_Grid[#Data],$DD362,8),0)</f>
        <v/>
      </c>
      <c r="K362">
        <f>IFERROR(INDEX(PP_Grid[#Data],$DD362,9),0)</f>
        <v/>
      </c>
      <c r="L362">
        <f>IFERROR(INDEX(PP_Grid[#Data],$DD362,10),0)</f>
        <v/>
      </c>
      <c r="M362">
        <f>IFERROR(INDEX(PP_Grid[#Data],$DD362,11),0)</f>
        <v/>
      </c>
      <c r="N362">
        <f>IFERROR(INDEX(PP_Grid[#Data],$DD362,12),0)</f>
        <v/>
      </c>
      <c r="O362">
        <f>IFERROR(INDEX(PP_Grid[#Data],$DD362,13),0)</f>
        <v/>
      </c>
      <c r="P362">
        <f>IFERROR(INDEX(PP_Grid[#Data],$DD362,14),0)</f>
        <v/>
      </c>
      <c r="Q362">
        <f>IFERROR(INDEX(PP_Grid[#Data],$DD362,15),0)</f>
        <v/>
      </c>
      <c r="R362">
        <f>IFERROR(INDEX(PP_Grid[#Data],$DD362,16),0)</f>
        <v/>
      </c>
      <c r="S362">
        <f>IFERROR(INDEX(PP_Grid[#Data],$DD362,17),0)</f>
        <v/>
      </c>
      <c r="T362">
        <f>IFERROR(INDEX(PP_Grid[#Data],$DD362,18),0)</f>
        <v/>
      </c>
      <c r="U362">
        <f>IFERROR(INDEX(PP_Grid[#Data],$DD362,19),0)</f>
        <v/>
      </c>
      <c r="V362">
        <f>IFERROR(INDEX(PP_Grid[#Data],$DD362,20),0)</f>
        <v/>
      </c>
      <c r="W362">
        <f>IFERROR(INDEX(PP_Grid[#Data],$DD362,21),0)</f>
        <v/>
      </c>
      <c r="X362">
        <f>IFERROR(INDEX(PP_Grid[#Data],$DD362,22),0)</f>
        <v/>
      </c>
      <c r="Y362">
        <f>IFERROR(INDEX(PP_Grid[#Data],$DD362,23),0)</f>
        <v/>
      </c>
      <c r="Z362">
        <f>IFERROR(INDEX(PP_Grid[#Data],$DD362,24),0)</f>
        <v/>
      </c>
      <c r="AA362">
        <f>IFERROR(INDEX(PP_Grid[#Data],$DD362,25),0)</f>
        <v/>
      </c>
      <c r="AB362">
        <f>IFERROR(INDEX(PP_Grid[#Data],$DD362,26),0)</f>
        <v/>
      </c>
      <c r="AC362">
        <f>IFERROR(INDEX(PP_Grid[#Data],$DD362,27),0)</f>
        <v/>
      </c>
      <c r="AD362">
        <f>IFERROR(INDEX(PP_Grid[#Data],$DD362,28),0)</f>
        <v/>
      </c>
      <c r="AE362">
        <f>IFERROR(INDEX(PP_Grid[#Data],$DD362,29),0)</f>
        <v/>
      </c>
      <c r="AF362">
        <f>IFERROR(INDEX(PP_Grid[#Data],$DD362,30),0)</f>
        <v/>
      </c>
      <c r="AG362">
        <f>IFERROR(INDEX(PP_Grid[#Data],$DD362,31),0)</f>
        <v/>
      </c>
      <c r="AH362">
        <f>IFERROR(INDEX(PP_Grid[#Data],$DD362,32),0)</f>
        <v/>
      </c>
      <c r="AI362">
        <f>IFERROR(INDEX(PP_Grid[#Data],$DD362,33),0)</f>
        <v/>
      </c>
      <c r="AJ362">
        <f>IFERROR(INDEX(PP_Grid[#Data],$DD362,34),0)</f>
        <v/>
      </c>
      <c r="AK362">
        <f>IFERROR(INDEX(PP_Grid[#Data],$DD362,35),0)</f>
        <v/>
      </c>
      <c r="AL362">
        <f>IFERROR(INDEX(PP_Grid[#Data],$DD362,36),0)</f>
        <v/>
      </c>
      <c r="AM362">
        <f>IFERROR(INDEX(PP_Grid[#Data],$DD362,37),0)</f>
        <v/>
      </c>
      <c r="AN362">
        <f>IFERROR(INDEX(PP_Grid[#Data],$DD362,38),0)</f>
        <v/>
      </c>
      <c r="AO362">
        <f>IFERROR(INDEX(PP_Grid[#Data],$DD362,39),0)</f>
        <v/>
      </c>
      <c r="AP362">
        <f>IFERROR(INDEX(PP_Grid[#Data],$DD362,40),0)</f>
        <v/>
      </c>
      <c r="AQ362">
        <f>IFERROR(INDEX(PP_Grid[#Data],$DD362,41),0)</f>
        <v/>
      </c>
      <c r="AR362">
        <f>IFERROR(INDEX(PP_Grid[#Data],$DD362,42),0)</f>
        <v/>
      </c>
      <c r="AS362">
        <f>IFERROR(INDEX(PP_Grid[#Data],$DD362,43),0)</f>
        <v/>
      </c>
      <c r="AT362">
        <f>IFERROR(INDEX(PP_Grid[#Data],$DD362,44),0)</f>
        <v/>
      </c>
      <c r="AU362">
        <f>IFERROR(INDEX(PP_Grid[#Data],$DD362,45),0)</f>
        <v/>
      </c>
      <c r="AV362">
        <f>IFERROR(INDEX(PP_Grid[#Data],$DD362,46),0)</f>
        <v/>
      </c>
      <c r="AW362">
        <f>IFERROR(INDEX(PP_Grid[#Data],$DD362,47),0)</f>
        <v/>
      </c>
      <c r="AX362">
        <f>IFERROR(INDEX(PP_Grid[#Data],$DD362,48),0)</f>
        <v/>
      </c>
      <c r="AY362">
        <f>IFERROR(INDEX(PP_Grid[#Data],$DD362,49),0)</f>
        <v/>
      </c>
      <c r="AZ362">
        <f>IFERROR(INDEX(PP_Grid[#Data],$DD362,50),0)</f>
        <v/>
      </c>
      <c r="BA362">
        <f>IFERROR(INDEX(PP_Grid[#Data],$DD362,51),0)</f>
        <v/>
      </c>
      <c r="BB362">
        <f>IFERROR(INDEX(PP_Grid[#Data],$DD362,52),0)</f>
        <v/>
      </c>
      <c r="BC362">
        <f>IFERROR(INDEX(PP_Grid[#Data],$DD362,53),0)</f>
        <v/>
      </c>
      <c r="BD362">
        <f>IFERROR(INDEX(PP_Grid[#Data],$DD362,54),0)</f>
        <v/>
      </c>
      <c r="BE362">
        <f>IFERROR(INDEX(PP_Grid[#Data],$DD362,55),0)</f>
        <v/>
      </c>
      <c r="BF362">
        <f>IFERROR(INDEX(PP_Grid[#Data],$DD362,56),0)</f>
        <v/>
      </c>
      <c r="BG362">
        <f>IFERROR(INDEX(PP_Grid[#Data],$DD362,57),0)</f>
        <v/>
      </c>
      <c r="BH362">
        <f>IFERROR(INDEX(PP_Grid[#Data],$DD362,58),0)</f>
        <v/>
      </c>
      <c r="BI362">
        <f>IFERROR(INDEX(PP_Grid[#Data],$DD362,59),0)</f>
        <v/>
      </c>
      <c r="BJ362">
        <f>IFERROR(INDEX(PP_Grid[#Data],$DD362,60),0)</f>
        <v/>
      </c>
      <c r="BK362">
        <f>IFERROR(INDEX(PP_Grid[#Data],$DD362,61),0)</f>
        <v/>
      </c>
      <c r="BL362">
        <f>IFERROR(INDEX(PP_Grid[#Data],$DD362,62),0)</f>
        <v/>
      </c>
      <c r="BM362">
        <f>IFERROR(INDEX(PP_Grid[#Data],$DD362,63),0)</f>
        <v/>
      </c>
      <c r="BN362">
        <f>IFERROR(INDEX(PP_Grid[#Data],$DD362,64),0)</f>
        <v/>
      </c>
      <c r="BO362">
        <f>IFERROR(INDEX(PP_Grid[#Data],$DD362,65),0)</f>
        <v/>
      </c>
      <c r="BP362">
        <f>IFERROR(INDEX(PP_Grid[#Data],$DD362,66),0)</f>
        <v/>
      </c>
      <c r="BQ362">
        <f>IFERROR(INDEX(PP_Grid[#Data],$DD362,67),0)</f>
        <v/>
      </c>
      <c r="BR362">
        <f>IFERROR(INDEX(PP_Grid[#Data],$DD362,68),0)</f>
        <v/>
      </c>
      <c r="BS362">
        <f>IFERROR(INDEX(PP_Grid[#Data],$DD362,69),0)</f>
        <v/>
      </c>
      <c r="BT362">
        <f>IFERROR(INDEX(PP_Grid[#Data],$DD362,70),0)</f>
        <v/>
      </c>
      <c r="BU362">
        <f>IFERROR(INDEX(PP_Grid[#Data],$DD362,71),0)</f>
        <v/>
      </c>
      <c r="BV362">
        <f>IFERROR(INDEX(PP_Grid[#Data],$DD362,72),0)</f>
        <v/>
      </c>
      <c r="BW362">
        <f>IFERROR(INDEX(PP_Grid[#Data],$DD362,73),0)</f>
        <v/>
      </c>
      <c r="BX362">
        <f>IFERROR(INDEX(PP_Grid[#Data],$DD362,74),0)</f>
        <v/>
      </c>
      <c r="BY362">
        <f>IFERROR(INDEX(PP_Grid[#Data],$DD362,75),0)</f>
        <v/>
      </c>
      <c r="BZ362">
        <f>IFERROR(INDEX(PP_Grid[#Data],$DD362,76),0)</f>
        <v/>
      </c>
      <c r="CA362">
        <f>IFERROR(INDEX(PP_Grid[#Data],$DD362,77),0)</f>
        <v/>
      </c>
      <c r="CB362">
        <f>IFERROR(INDEX(PP_Grid[#Data],$DD362,78),0)</f>
        <v/>
      </c>
      <c r="CC362">
        <f>IFERROR(INDEX(PP_Grid[#Data],$DD362,79),0)</f>
        <v/>
      </c>
      <c r="CD362">
        <f>IFERROR(INDEX(PP_Grid[#Data],$DD362,80),0)</f>
        <v/>
      </c>
      <c r="CE362">
        <f>IFERROR(INDEX(PP_Grid[#Data],$DD362,81),0)</f>
        <v/>
      </c>
      <c r="CF362">
        <f>IFERROR(INDEX(PP_Grid[#Data],$DD362,82),0)</f>
        <v/>
      </c>
      <c r="CG362">
        <f>IFERROR(INDEX(PP_Grid[#Data],$DD362,83),0)</f>
        <v/>
      </c>
      <c r="CH362">
        <f>IFERROR(INDEX(PP_Grid[#Data],$DD362,84),0)</f>
        <v/>
      </c>
      <c r="CI362">
        <f>IFERROR(INDEX(PP_Grid[#Data],$DD362,85),0)</f>
        <v/>
      </c>
      <c r="CJ362">
        <f>IFERROR(INDEX(PP_Grid[#Data],$DD362,86),0)</f>
        <v/>
      </c>
      <c r="CK362">
        <f>IFERROR(INDEX(PP_Grid[#Data],$DD362,87),0)</f>
        <v/>
      </c>
      <c r="CL362">
        <f>IFERROR(INDEX(PP_Grid[#Data],$DD362,88),0)</f>
        <v/>
      </c>
      <c r="CM362">
        <f>IFERROR(INDEX(PP_Grid[#Data],$DD362,89),0)</f>
        <v/>
      </c>
      <c r="CN362">
        <f>IFERROR(INDEX(PP_Grid[#Data],$DD362,90),0)</f>
        <v/>
      </c>
      <c r="CO362">
        <f>IFERROR(INDEX(PP_Grid[#Data],$DD362,91),0)</f>
        <v/>
      </c>
      <c r="CP362">
        <f>IFERROR(INDEX(PP_Grid[#Data],$DD362,92),0)</f>
        <v/>
      </c>
      <c r="CQ362">
        <f>IFERROR(INDEX(PP_Grid[#Data],$DD362,93),0)</f>
        <v/>
      </c>
      <c r="CR362">
        <f>IFERROR(INDEX(PP_Grid[#Data],$DD362,94),0)</f>
        <v/>
      </c>
      <c r="CS362">
        <f>IFERROR(INDEX(PP_Grid[#Data],$DD362,95),0)</f>
        <v/>
      </c>
      <c r="CT362">
        <f>IFERROR(INDEX(PP_Grid[#Data],$DD362,96),0)</f>
        <v/>
      </c>
      <c r="CU362">
        <f>IFERROR(INDEX(PP_Grid[#Data],$DD362,97),0)</f>
        <v/>
      </c>
      <c r="CV362">
        <f>IFERROR(INDEX(PP_Grid[#Data],$DD362,98),0)</f>
        <v/>
      </c>
      <c r="CW362">
        <f>IFERROR(INDEX(PP_Grid[#Data],$DD362,99),0)</f>
        <v/>
      </c>
      <c r="CX362">
        <f>IFERROR(INDEX(PP_Grid[#Data],$DD362,100),0)</f>
        <v/>
      </c>
      <c r="CY362">
        <f>IFERROR(INDEX(PP_Grid[#Data],$DD362,101),0)</f>
        <v/>
      </c>
      <c r="CZ362">
        <f>IFERROR(INDEX(PP_Grid[#Data],$DD362,102),0)</f>
        <v/>
      </c>
      <c r="DA362">
        <f>IFERROR(INDEX(PP_Grid[#Data],$DD362,103),0)</f>
        <v/>
      </c>
      <c r="DB362">
        <f>IFERROR(INDEX(PP_Grid[#Data],$DD362,104),0)</f>
        <v/>
      </c>
      <c r="DC362">
        <f>IFERROR(INDEX(PP_Grid[#Data],$DD362,105),0)</f>
        <v/>
      </c>
      <c r="DD362" s="12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SUMIFS(M_BOM[RM_Qty_Per_Batch],M_BOM[Intermediate],$B362,M_BOM[Part Name],$A339)</f>
        <v/>
      </c>
      <c r="D363">
        <f>$C363*D362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</row>
    <row r="364">
      <c r="B364" t="inlineStr">
        <is>
          <t>VSP-822</t>
        </is>
      </c>
      <c r="C364" t="inlineStr">
        <is>
          <t>No. of batches</t>
        </is>
      </c>
      <c r="D364">
        <f>IFERROR(INDEX(PP_Grid[#Data],$DD364,2),0)</f>
        <v/>
      </c>
      <c r="E364">
        <f>IFERROR(INDEX(PP_Grid[#Data],$DD364,3),0)</f>
        <v/>
      </c>
      <c r="F364">
        <f>IFERROR(INDEX(PP_Grid[#Data],$DD364,4),0)</f>
        <v/>
      </c>
      <c r="G364">
        <f>IFERROR(INDEX(PP_Grid[#Data],$DD364,5),0)</f>
        <v/>
      </c>
      <c r="H364">
        <f>IFERROR(INDEX(PP_Grid[#Data],$DD364,6),0)</f>
        <v/>
      </c>
      <c r="I364">
        <f>IFERROR(INDEX(PP_Grid[#Data],$DD364,7),0)</f>
        <v/>
      </c>
      <c r="J364">
        <f>IFERROR(INDEX(PP_Grid[#Data],$DD364,8),0)</f>
        <v/>
      </c>
      <c r="K364">
        <f>IFERROR(INDEX(PP_Grid[#Data],$DD364,9),0)</f>
        <v/>
      </c>
      <c r="L364">
        <f>IFERROR(INDEX(PP_Grid[#Data],$DD364,10),0)</f>
        <v/>
      </c>
      <c r="M364">
        <f>IFERROR(INDEX(PP_Grid[#Data],$DD364,11),0)</f>
        <v/>
      </c>
      <c r="N364">
        <f>IFERROR(INDEX(PP_Grid[#Data],$DD364,12),0)</f>
        <v/>
      </c>
      <c r="O364">
        <f>IFERROR(INDEX(PP_Grid[#Data],$DD364,13),0)</f>
        <v/>
      </c>
      <c r="P364">
        <f>IFERROR(INDEX(PP_Grid[#Data],$DD364,14),0)</f>
        <v/>
      </c>
      <c r="Q364">
        <f>IFERROR(INDEX(PP_Grid[#Data],$DD364,15),0)</f>
        <v/>
      </c>
      <c r="R364">
        <f>IFERROR(INDEX(PP_Grid[#Data],$DD364,16),0)</f>
        <v/>
      </c>
      <c r="S364">
        <f>IFERROR(INDEX(PP_Grid[#Data],$DD364,17),0)</f>
        <v/>
      </c>
      <c r="T364">
        <f>IFERROR(INDEX(PP_Grid[#Data],$DD364,18),0)</f>
        <v/>
      </c>
      <c r="U364">
        <f>IFERROR(INDEX(PP_Grid[#Data],$DD364,19),0)</f>
        <v/>
      </c>
      <c r="V364">
        <f>IFERROR(INDEX(PP_Grid[#Data],$DD364,20),0)</f>
        <v/>
      </c>
      <c r="W364">
        <f>IFERROR(INDEX(PP_Grid[#Data],$DD364,21),0)</f>
        <v/>
      </c>
      <c r="X364">
        <f>IFERROR(INDEX(PP_Grid[#Data],$DD364,22),0)</f>
        <v/>
      </c>
      <c r="Y364">
        <f>IFERROR(INDEX(PP_Grid[#Data],$DD364,23),0)</f>
        <v/>
      </c>
      <c r="Z364">
        <f>IFERROR(INDEX(PP_Grid[#Data],$DD364,24),0)</f>
        <v/>
      </c>
      <c r="AA364">
        <f>IFERROR(INDEX(PP_Grid[#Data],$DD364,25),0)</f>
        <v/>
      </c>
      <c r="AB364">
        <f>IFERROR(INDEX(PP_Grid[#Data],$DD364,26),0)</f>
        <v/>
      </c>
      <c r="AC364">
        <f>IFERROR(INDEX(PP_Grid[#Data],$DD364,27),0)</f>
        <v/>
      </c>
      <c r="AD364">
        <f>IFERROR(INDEX(PP_Grid[#Data],$DD364,28),0)</f>
        <v/>
      </c>
      <c r="AE364">
        <f>IFERROR(INDEX(PP_Grid[#Data],$DD364,29),0)</f>
        <v/>
      </c>
      <c r="AF364">
        <f>IFERROR(INDEX(PP_Grid[#Data],$DD364,30),0)</f>
        <v/>
      </c>
      <c r="AG364">
        <f>IFERROR(INDEX(PP_Grid[#Data],$DD364,31),0)</f>
        <v/>
      </c>
      <c r="AH364">
        <f>IFERROR(INDEX(PP_Grid[#Data],$DD364,32),0)</f>
        <v/>
      </c>
      <c r="AI364">
        <f>IFERROR(INDEX(PP_Grid[#Data],$DD364,33),0)</f>
        <v/>
      </c>
      <c r="AJ364">
        <f>IFERROR(INDEX(PP_Grid[#Data],$DD364,34),0)</f>
        <v/>
      </c>
      <c r="AK364">
        <f>IFERROR(INDEX(PP_Grid[#Data],$DD364,35),0)</f>
        <v/>
      </c>
      <c r="AL364">
        <f>IFERROR(INDEX(PP_Grid[#Data],$DD364,36),0)</f>
        <v/>
      </c>
      <c r="AM364">
        <f>IFERROR(INDEX(PP_Grid[#Data],$DD364,37),0)</f>
        <v/>
      </c>
      <c r="AN364">
        <f>IFERROR(INDEX(PP_Grid[#Data],$DD364,38),0)</f>
        <v/>
      </c>
      <c r="AO364">
        <f>IFERROR(INDEX(PP_Grid[#Data],$DD364,39),0)</f>
        <v/>
      </c>
      <c r="AP364">
        <f>IFERROR(INDEX(PP_Grid[#Data],$DD364,40),0)</f>
        <v/>
      </c>
      <c r="AQ364">
        <f>IFERROR(INDEX(PP_Grid[#Data],$DD364,41),0)</f>
        <v/>
      </c>
      <c r="AR364">
        <f>IFERROR(INDEX(PP_Grid[#Data],$DD364,42),0)</f>
        <v/>
      </c>
      <c r="AS364">
        <f>IFERROR(INDEX(PP_Grid[#Data],$DD364,43),0)</f>
        <v/>
      </c>
      <c r="AT364">
        <f>IFERROR(INDEX(PP_Grid[#Data],$DD364,44),0)</f>
        <v/>
      </c>
      <c r="AU364">
        <f>IFERROR(INDEX(PP_Grid[#Data],$DD364,45),0)</f>
        <v/>
      </c>
      <c r="AV364">
        <f>IFERROR(INDEX(PP_Grid[#Data],$DD364,46),0)</f>
        <v/>
      </c>
      <c r="AW364">
        <f>IFERROR(INDEX(PP_Grid[#Data],$DD364,47),0)</f>
        <v/>
      </c>
      <c r="AX364">
        <f>IFERROR(INDEX(PP_Grid[#Data],$DD364,48),0)</f>
        <v/>
      </c>
      <c r="AY364">
        <f>IFERROR(INDEX(PP_Grid[#Data],$DD364,49),0)</f>
        <v/>
      </c>
      <c r="AZ364">
        <f>IFERROR(INDEX(PP_Grid[#Data],$DD364,50),0)</f>
        <v/>
      </c>
      <c r="BA364">
        <f>IFERROR(INDEX(PP_Grid[#Data],$DD364,51),0)</f>
        <v/>
      </c>
      <c r="BB364">
        <f>IFERROR(INDEX(PP_Grid[#Data],$DD364,52),0)</f>
        <v/>
      </c>
      <c r="BC364">
        <f>IFERROR(INDEX(PP_Grid[#Data],$DD364,53),0)</f>
        <v/>
      </c>
      <c r="BD364">
        <f>IFERROR(INDEX(PP_Grid[#Data],$DD364,54),0)</f>
        <v/>
      </c>
      <c r="BE364">
        <f>IFERROR(INDEX(PP_Grid[#Data],$DD364,55),0)</f>
        <v/>
      </c>
      <c r="BF364">
        <f>IFERROR(INDEX(PP_Grid[#Data],$DD364,56),0)</f>
        <v/>
      </c>
      <c r="BG364">
        <f>IFERROR(INDEX(PP_Grid[#Data],$DD364,57),0)</f>
        <v/>
      </c>
      <c r="BH364">
        <f>IFERROR(INDEX(PP_Grid[#Data],$DD364,58),0)</f>
        <v/>
      </c>
      <c r="BI364">
        <f>IFERROR(INDEX(PP_Grid[#Data],$DD364,59),0)</f>
        <v/>
      </c>
      <c r="BJ364">
        <f>IFERROR(INDEX(PP_Grid[#Data],$DD364,60),0)</f>
        <v/>
      </c>
      <c r="BK364">
        <f>IFERROR(INDEX(PP_Grid[#Data],$DD364,61),0)</f>
        <v/>
      </c>
      <c r="BL364">
        <f>IFERROR(INDEX(PP_Grid[#Data],$DD364,62),0)</f>
        <v/>
      </c>
      <c r="BM364">
        <f>IFERROR(INDEX(PP_Grid[#Data],$DD364,63),0)</f>
        <v/>
      </c>
      <c r="BN364">
        <f>IFERROR(INDEX(PP_Grid[#Data],$DD364,64),0)</f>
        <v/>
      </c>
      <c r="BO364">
        <f>IFERROR(INDEX(PP_Grid[#Data],$DD364,65),0)</f>
        <v/>
      </c>
      <c r="BP364">
        <f>IFERROR(INDEX(PP_Grid[#Data],$DD364,66),0)</f>
        <v/>
      </c>
      <c r="BQ364">
        <f>IFERROR(INDEX(PP_Grid[#Data],$DD364,67),0)</f>
        <v/>
      </c>
      <c r="BR364">
        <f>IFERROR(INDEX(PP_Grid[#Data],$DD364,68),0)</f>
        <v/>
      </c>
      <c r="BS364">
        <f>IFERROR(INDEX(PP_Grid[#Data],$DD364,69),0)</f>
        <v/>
      </c>
      <c r="BT364">
        <f>IFERROR(INDEX(PP_Grid[#Data],$DD364,70),0)</f>
        <v/>
      </c>
      <c r="BU364">
        <f>IFERROR(INDEX(PP_Grid[#Data],$DD364,71),0)</f>
        <v/>
      </c>
      <c r="BV364">
        <f>IFERROR(INDEX(PP_Grid[#Data],$DD364,72),0)</f>
        <v/>
      </c>
      <c r="BW364">
        <f>IFERROR(INDEX(PP_Grid[#Data],$DD364,73),0)</f>
        <v/>
      </c>
      <c r="BX364">
        <f>IFERROR(INDEX(PP_Grid[#Data],$DD364,74),0)</f>
        <v/>
      </c>
      <c r="BY364">
        <f>IFERROR(INDEX(PP_Grid[#Data],$DD364,75),0)</f>
        <v/>
      </c>
      <c r="BZ364">
        <f>IFERROR(INDEX(PP_Grid[#Data],$DD364,76),0)</f>
        <v/>
      </c>
      <c r="CA364">
        <f>IFERROR(INDEX(PP_Grid[#Data],$DD364,77),0)</f>
        <v/>
      </c>
      <c r="CB364">
        <f>IFERROR(INDEX(PP_Grid[#Data],$DD364,78),0)</f>
        <v/>
      </c>
      <c r="CC364">
        <f>IFERROR(INDEX(PP_Grid[#Data],$DD364,79),0)</f>
        <v/>
      </c>
      <c r="CD364">
        <f>IFERROR(INDEX(PP_Grid[#Data],$DD364,80),0)</f>
        <v/>
      </c>
      <c r="CE364">
        <f>IFERROR(INDEX(PP_Grid[#Data],$DD364,81),0)</f>
        <v/>
      </c>
      <c r="CF364">
        <f>IFERROR(INDEX(PP_Grid[#Data],$DD364,82),0)</f>
        <v/>
      </c>
      <c r="CG364">
        <f>IFERROR(INDEX(PP_Grid[#Data],$DD364,83),0)</f>
        <v/>
      </c>
      <c r="CH364">
        <f>IFERROR(INDEX(PP_Grid[#Data],$DD364,84),0)</f>
        <v/>
      </c>
      <c r="CI364">
        <f>IFERROR(INDEX(PP_Grid[#Data],$DD364,85),0)</f>
        <v/>
      </c>
      <c r="CJ364">
        <f>IFERROR(INDEX(PP_Grid[#Data],$DD364,86),0)</f>
        <v/>
      </c>
      <c r="CK364">
        <f>IFERROR(INDEX(PP_Grid[#Data],$DD364,87),0)</f>
        <v/>
      </c>
      <c r="CL364">
        <f>IFERROR(INDEX(PP_Grid[#Data],$DD364,88),0)</f>
        <v/>
      </c>
      <c r="CM364">
        <f>IFERROR(INDEX(PP_Grid[#Data],$DD364,89),0)</f>
        <v/>
      </c>
      <c r="CN364">
        <f>IFERROR(INDEX(PP_Grid[#Data],$DD364,90),0)</f>
        <v/>
      </c>
      <c r="CO364">
        <f>IFERROR(INDEX(PP_Grid[#Data],$DD364,91),0)</f>
        <v/>
      </c>
      <c r="CP364">
        <f>IFERROR(INDEX(PP_Grid[#Data],$DD364,92),0)</f>
        <v/>
      </c>
      <c r="CQ364">
        <f>IFERROR(INDEX(PP_Grid[#Data],$DD364,93),0)</f>
        <v/>
      </c>
      <c r="CR364">
        <f>IFERROR(INDEX(PP_Grid[#Data],$DD364,94),0)</f>
        <v/>
      </c>
      <c r="CS364">
        <f>IFERROR(INDEX(PP_Grid[#Data],$DD364,95),0)</f>
        <v/>
      </c>
      <c r="CT364">
        <f>IFERROR(INDEX(PP_Grid[#Data],$DD364,96),0)</f>
        <v/>
      </c>
      <c r="CU364">
        <f>IFERROR(INDEX(PP_Grid[#Data],$DD364,97),0)</f>
        <v/>
      </c>
      <c r="CV364">
        <f>IFERROR(INDEX(PP_Grid[#Data],$DD364,98),0)</f>
        <v/>
      </c>
      <c r="CW364">
        <f>IFERROR(INDEX(PP_Grid[#Data],$DD364,99),0)</f>
        <v/>
      </c>
      <c r="CX364">
        <f>IFERROR(INDEX(PP_Grid[#Data],$DD364,100),0)</f>
        <v/>
      </c>
      <c r="CY364">
        <f>IFERROR(INDEX(PP_Grid[#Data],$DD364,101),0)</f>
        <v/>
      </c>
      <c r="CZ364">
        <f>IFERROR(INDEX(PP_Grid[#Data],$DD364,102),0)</f>
        <v/>
      </c>
      <c r="DA364">
        <f>IFERROR(INDEX(PP_Grid[#Data],$DD364,103),0)</f>
        <v/>
      </c>
      <c r="DB364">
        <f>IFERROR(INDEX(PP_Grid[#Data],$DD364,104),0)</f>
        <v/>
      </c>
      <c r="DC364">
        <f>IFERROR(INDEX(PP_Grid[#Data],$DD364,105),0)</f>
        <v/>
      </c>
      <c r="DD364" s="12">
        <f>IFERROR(MATCH($B364,PP_Grid[Intermediate],0),99999)</f>
        <v/>
      </c>
    </row>
    <row r="365">
      <c r="B365" t="inlineStr">
        <is>
          <t>使用量(kg)</t>
        </is>
      </c>
      <c r="C365">
        <f>SUMIFS(M_BOM[RM_Qty_Per_Batch],M_BOM[Intermediate],$B364,M_BOM[Part Name],$A339)</f>
        <v/>
      </c>
      <c r="D365">
        <f>$C365*D364</f>
        <v/>
      </c>
      <c r="E365">
        <f>$C365*E364</f>
        <v/>
      </c>
      <c r="F365">
        <f>$C365*F364</f>
        <v/>
      </c>
      <c r="G365">
        <f>$C365*G364</f>
        <v/>
      </c>
      <c r="H365">
        <f>$C365*H364</f>
        <v/>
      </c>
      <c r="I365">
        <f>$C365*I364</f>
        <v/>
      </c>
      <c r="J365">
        <f>$C365*J364</f>
        <v/>
      </c>
      <c r="K365">
        <f>$C365*K364</f>
        <v/>
      </c>
      <c r="L365">
        <f>$C365*L364</f>
        <v/>
      </c>
      <c r="M365">
        <f>$C365*M364</f>
        <v/>
      </c>
      <c r="N365">
        <f>$C365*N364</f>
        <v/>
      </c>
      <c r="O365">
        <f>$C365*O364</f>
        <v/>
      </c>
      <c r="P365">
        <f>$C365*P364</f>
        <v/>
      </c>
      <c r="Q365">
        <f>$C365*Q364</f>
        <v/>
      </c>
      <c r="R365">
        <f>$C365*R364</f>
        <v/>
      </c>
      <c r="S365">
        <f>$C365*S364</f>
        <v/>
      </c>
      <c r="T365">
        <f>$C365*T364</f>
        <v/>
      </c>
      <c r="U365">
        <f>$C365*U364</f>
        <v/>
      </c>
      <c r="V365">
        <f>$C365*V364</f>
        <v/>
      </c>
      <c r="W365">
        <f>$C365*W364</f>
        <v/>
      </c>
      <c r="X365">
        <f>$C365*X364</f>
        <v/>
      </c>
      <c r="Y365">
        <f>$C365*Y364</f>
        <v/>
      </c>
      <c r="Z365">
        <f>$C365*Z364</f>
        <v/>
      </c>
      <c r="AA365">
        <f>$C365*AA364</f>
        <v/>
      </c>
      <c r="AB365">
        <f>$C365*AB364</f>
        <v/>
      </c>
      <c r="AC365">
        <f>$C365*AC364</f>
        <v/>
      </c>
      <c r="AD365">
        <f>$C365*AD364</f>
        <v/>
      </c>
      <c r="AE365">
        <f>$C365*AE364</f>
        <v/>
      </c>
      <c r="AF365">
        <f>$C365*AF364</f>
        <v/>
      </c>
      <c r="AG365">
        <f>$C365*AG364</f>
        <v/>
      </c>
      <c r="AH365">
        <f>$C365*AH364</f>
        <v/>
      </c>
      <c r="AI365">
        <f>$C365*AI364</f>
        <v/>
      </c>
      <c r="AJ365">
        <f>$C365*AJ364</f>
        <v/>
      </c>
      <c r="AK365">
        <f>$C365*AK364</f>
        <v/>
      </c>
      <c r="AL365">
        <f>$C365*AL364</f>
        <v/>
      </c>
      <c r="AM365">
        <f>$C365*AM364</f>
        <v/>
      </c>
      <c r="AN365">
        <f>$C365*AN364</f>
        <v/>
      </c>
      <c r="AO365">
        <f>$C365*AO364</f>
        <v/>
      </c>
      <c r="AP365">
        <f>$C365*AP364</f>
        <v/>
      </c>
      <c r="AQ365">
        <f>$C365*AQ364</f>
        <v/>
      </c>
      <c r="AR365">
        <f>$C365*AR364</f>
        <v/>
      </c>
      <c r="AS365">
        <f>$C365*AS364</f>
        <v/>
      </c>
      <c r="AT365">
        <f>$C365*AT364</f>
        <v/>
      </c>
      <c r="AU365">
        <f>$C365*AU364</f>
        <v/>
      </c>
      <c r="AV365">
        <f>$C365*AV364</f>
        <v/>
      </c>
      <c r="AW365">
        <f>$C365*AW364</f>
        <v/>
      </c>
      <c r="AX365">
        <f>$C365*AX364</f>
        <v/>
      </c>
      <c r="AY365">
        <f>$C365*AY364</f>
        <v/>
      </c>
      <c r="AZ365">
        <f>$C365*AZ364</f>
        <v/>
      </c>
      <c r="BA365">
        <f>$C365*BA364</f>
        <v/>
      </c>
      <c r="BB365">
        <f>$C365*BB364</f>
        <v/>
      </c>
      <c r="BC365">
        <f>$C365*BC364</f>
        <v/>
      </c>
      <c r="BD365">
        <f>$C365*BD364</f>
        <v/>
      </c>
      <c r="BE365">
        <f>$C365*BE364</f>
        <v/>
      </c>
      <c r="BF365">
        <f>$C365*BF364</f>
        <v/>
      </c>
      <c r="BG365">
        <f>$C365*BG364</f>
        <v/>
      </c>
      <c r="BH365">
        <f>$C365*BH364</f>
        <v/>
      </c>
      <c r="BI365">
        <f>$C365*BI364</f>
        <v/>
      </c>
      <c r="BJ365">
        <f>$C365*BJ364</f>
        <v/>
      </c>
      <c r="BK365">
        <f>$C365*BK364</f>
        <v/>
      </c>
      <c r="BL365">
        <f>$C365*BL364</f>
        <v/>
      </c>
      <c r="BM365">
        <f>$C365*BM364</f>
        <v/>
      </c>
      <c r="BN365">
        <f>$C365*BN364</f>
        <v/>
      </c>
      <c r="BO365">
        <f>$C365*BO364</f>
        <v/>
      </c>
      <c r="BP365">
        <f>$C365*BP364</f>
        <v/>
      </c>
      <c r="BQ365">
        <f>$C365*BQ364</f>
        <v/>
      </c>
      <c r="BR365">
        <f>$C365*BR364</f>
        <v/>
      </c>
      <c r="BS365">
        <f>$C365*BS364</f>
        <v/>
      </c>
      <c r="BT365">
        <f>$C365*BT364</f>
        <v/>
      </c>
      <c r="BU365">
        <f>$C365*BU364</f>
        <v/>
      </c>
      <c r="BV365">
        <f>$C365*BV364</f>
        <v/>
      </c>
      <c r="BW365">
        <f>$C365*BW364</f>
        <v/>
      </c>
      <c r="BX365">
        <f>$C365*BX364</f>
        <v/>
      </c>
      <c r="BY365">
        <f>$C365*BY364</f>
        <v/>
      </c>
      <c r="BZ365">
        <f>$C365*BZ364</f>
        <v/>
      </c>
      <c r="CA365">
        <f>$C365*CA364</f>
        <v/>
      </c>
      <c r="CB365">
        <f>$C365*CB364</f>
        <v/>
      </c>
      <c r="CC365">
        <f>$C365*CC364</f>
        <v/>
      </c>
      <c r="CD365">
        <f>$C365*CD364</f>
        <v/>
      </c>
      <c r="CE365">
        <f>$C365*CE364</f>
        <v/>
      </c>
      <c r="CF365">
        <f>$C365*CF364</f>
        <v/>
      </c>
      <c r="CG365">
        <f>$C365*CG364</f>
        <v/>
      </c>
      <c r="CH365">
        <f>$C365*CH364</f>
        <v/>
      </c>
      <c r="CI365">
        <f>$C365*CI364</f>
        <v/>
      </c>
      <c r="CJ365">
        <f>$C365*CJ364</f>
        <v/>
      </c>
      <c r="CK365">
        <f>$C365*CK364</f>
        <v/>
      </c>
      <c r="CL365">
        <f>$C365*CL364</f>
        <v/>
      </c>
      <c r="CM365">
        <f>$C365*CM364</f>
        <v/>
      </c>
      <c r="CN365">
        <f>$C365*CN364</f>
        <v/>
      </c>
      <c r="CO365">
        <f>$C365*CO364</f>
        <v/>
      </c>
      <c r="CP365">
        <f>$C365*CP364</f>
        <v/>
      </c>
      <c r="CQ365">
        <f>$C365*CQ364</f>
        <v/>
      </c>
      <c r="CR365">
        <f>$C365*CR364</f>
        <v/>
      </c>
      <c r="CS365">
        <f>$C365*CS364</f>
        <v/>
      </c>
      <c r="CT365">
        <f>$C365*CT364</f>
        <v/>
      </c>
      <c r="CU365">
        <f>$C365*CU364</f>
        <v/>
      </c>
      <c r="CV365">
        <f>$C365*CV364</f>
        <v/>
      </c>
      <c r="CW365">
        <f>$C365*CW364</f>
        <v/>
      </c>
      <c r="CX365">
        <f>$C365*CX364</f>
        <v/>
      </c>
      <c r="CY365">
        <f>$C365*CY364</f>
        <v/>
      </c>
      <c r="CZ365">
        <f>$C365*CZ364</f>
        <v/>
      </c>
      <c r="DA365">
        <f>$C365*DA364</f>
        <v/>
      </c>
      <c r="DB365">
        <f>$C365*DB364</f>
        <v/>
      </c>
      <c r="DC365">
        <f>$C365*DC364</f>
        <v/>
      </c>
    </row>
    <row r="366">
      <c r="B366" t="inlineStr">
        <is>
          <t>VSP-910</t>
        </is>
      </c>
      <c r="C366" t="inlineStr">
        <is>
          <t>No. of batches</t>
        </is>
      </c>
      <c r="D366">
        <f>IFERROR(INDEX(PP_Grid[#Data],$DD366,2),0)</f>
        <v/>
      </c>
      <c r="E366">
        <f>IFERROR(INDEX(PP_Grid[#Data],$DD366,3),0)</f>
        <v/>
      </c>
      <c r="F366">
        <f>IFERROR(INDEX(PP_Grid[#Data],$DD366,4),0)</f>
        <v/>
      </c>
      <c r="G366">
        <f>IFERROR(INDEX(PP_Grid[#Data],$DD366,5),0)</f>
        <v/>
      </c>
      <c r="H366">
        <f>IFERROR(INDEX(PP_Grid[#Data],$DD366,6),0)</f>
        <v/>
      </c>
      <c r="I366">
        <f>IFERROR(INDEX(PP_Grid[#Data],$DD366,7),0)</f>
        <v/>
      </c>
      <c r="J366">
        <f>IFERROR(INDEX(PP_Grid[#Data],$DD366,8),0)</f>
        <v/>
      </c>
      <c r="K366">
        <f>IFERROR(INDEX(PP_Grid[#Data],$DD366,9),0)</f>
        <v/>
      </c>
      <c r="L366">
        <f>IFERROR(INDEX(PP_Grid[#Data],$DD366,10),0)</f>
        <v/>
      </c>
      <c r="M366">
        <f>IFERROR(INDEX(PP_Grid[#Data],$DD366,11),0)</f>
        <v/>
      </c>
      <c r="N366">
        <f>IFERROR(INDEX(PP_Grid[#Data],$DD366,12),0)</f>
        <v/>
      </c>
      <c r="O366">
        <f>IFERROR(INDEX(PP_Grid[#Data],$DD366,13),0)</f>
        <v/>
      </c>
      <c r="P366">
        <f>IFERROR(INDEX(PP_Grid[#Data],$DD366,14),0)</f>
        <v/>
      </c>
      <c r="Q366">
        <f>IFERROR(INDEX(PP_Grid[#Data],$DD366,15),0)</f>
        <v/>
      </c>
      <c r="R366">
        <f>IFERROR(INDEX(PP_Grid[#Data],$DD366,16),0)</f>
        <v/>
      </c>
      <c r="S366">
        <f>IFERROR(INDEX(PP_Grid[#Data],$DD366,17),0)</f>
        <v/>
      </c>
      <c r="T366">
        <f>IFERROR(INDEX(PP_Grid[#Data],$DD366,18),0)</f>
        <v/>
      </c>
      <c r="U366">
        <f>IFERROR(INDEX(PP_Grid[#Data],$DD366,19),0)</f>
        <v/>
      </c>
      <c r="V366">
        <f>IFERROR(INDEX(PP_Grid[#Data],$DD366,20),0)</f>
        <v/>
      </c>
      <c r="W366">
        <f>IFERROR(INDEX(PP_Grid[#Data],$DD366,21),0)</f>
        <v/>
      </c>
      <c r="X366">
        <f>IFERROR(INDEX(PP_Grid[#Data],$DD366,22),0)</f>
        <v/>
      </c>
      <c r="Y366">
        <f>IFERROR(INDEX(PP_Grid[#Data],$DD366,23),0)</f>
        <v/>
      </c>
      <c r="Z366">
        <f>IFERROR(INDEX(PP_Grid[#Data],$DD366,24),0)</f>
        <v/>
      </c>
      <c r="AA366">
        <f>IFERROR(INDEX(PP_Grid[#Data],$DD366,25),0)</f>
        <v/>
      </c>
      <c r="AB366">
        <f>IFERROR(INDEX(PP_Grid[#Data],$DD366,26),0)</f>
        <v/>
      </c>
      <c r="AC366">
        <f>IFERROR(INDEX(PP_Grid[#Data],$DD366,27),0)</f>
        <v/>
      </c>
      <c r="AD366">
        <f>IFERROR(INDEX(PP_Grid[#Data],$DD366,28),0)</f>
        <v/>
      </c>
      <c r="AE366">
        <f>IFERROR(INDEX(PP_Grid[#Data],$DD366,29),0)</f>
        <v/>
      </c>
      <c r="AF366">
        <f>IFERROR(INDEX(PP_Grid[#Data],$DD366,30),0)</f>
        <v/>
      </c>
      <c r="AG366">
        <f>IFERROR(INDEX(PP_Grid[#Data],$DD366,31),0)</f>
        <v/>
      </c>
      <c r="AH366">
        <f>IFERROR(INDEX(PP_Grid[#Data],$DD366,32),0)</f>
        <v/>
      </c>
      <c r="AI366">
        <f>IFERROR(INDEX(PP_Grid[#Data],$DD366,33),0)</f>
        <v/>
      </c>
      <c r="AJ366">
        <f>IFERROR(INDEX(PP_Grid[#Data],$DD366,34),0)</f>
        <v/>
      </c>
      <c r="AK366">
        <f>IFERROR(INDEX(PP_Grid[#Data],$DD366,35),0)</f>
        <v/>
      </c>
      <c r="AL366">
        <f>IFERROR(INDEX(PP_Grid[#Data],$DD366,36),0)</f>
        <v/>
      </c>
      <c r="AM366">
        <f>IFERROR(INDEX(PP_Grid[#Data],$DD366,37),0)</f>
        <v/>
      </c>
      <c r="AN366">
        <f>IFERROR(INDEX(PP_Grid[#Data],$DD366,38),0)</f>
        <v/>
      </c>
      <c r="AO366">
        <f>IFERROR(INDEX(PP_Grid[#Data],$DD366,39),0)</f>
        <v/>
      </c>
      <c r="AP366">
        <f>IFERROR(INDEX(PP_Grid[#Data],$DD366,40),0)</f>
        <v/>
      </c>
      <c r="AQ366">
        <f>IFERROR(INDEX(PP_Grid[#Data],$DD366,41),0)</f>
        <v/>
      </c>
      <c r="AR366">
        <f>IFERROR(INDEX(PP_Grid[#Data],$DD366,42),0)</f>
        <v/>
      </c>
      <c r="AS366">
        <f>IFERROR(INDEX(PP_Grid[#Data],$DD366,43),0)</f>
        <v/>
      </c>
      <c r="AT366">
        <f>IFERROR(INDEX(PP_Grid[#Data],$DD366,44),0)</f>
        <v/>
      </c>
      <c r="AU366">
        <f>IFERROR(INDEX(PP_Grid[#Data],$DD366,45),0)</f>
        <v/>
      </c>
      <c r="AV366">
        <f>IFERROR(INDEX(PP_Grid[#Data],$DD366,46),0)</f>
        <v/>
      </c>
      <c r="AW366">
        <f>IFERROR(INDEX(PP_Grid[#Data],$DD366,47),0)</f>
        <v/>
      </c>
      <c r="AX366">
        <f>IFERROR(INDEX(PP_Grid[#Data],$DD366,48),0)</f>
        <v/>
      </c>
      <c r="AY366">
        <f>IFERROR(INDEX(PP_Grid[#Data],$DD366,49),0)</f>
        <v/>
      </c>
      <c r="AZ366">
        <f>IFERROR(INDEX(PP_Grid[#Data],$DD366,50),0)</f>
        <v/>
      </c>
      <c r="BA366">
        <f>IFERROR(INDEX(PP_Grid[#Data],$DD366,51),0)</f>
        <v/>
      </c>
      <c r="BB366">
        <f>IFERROR(INDEX(PP_Grid[#Data],$DD366,52),0)</f>
        <v/>
      </c>
      <c r="BC366">
        <f>IFERROR(INDEX(PP_Grid[#Data],$DD366,53),0)</f>
        <v/>
      </c>
      <c r="BD366">
        <f>IFERROR(INDEX(PP_Grid[#Data],$DD366,54),0)</f>
        <v/>
      </c>
      <c r="BE366">
        <f>IFERROR(INDEX(PP_Grid[#Data],$DD366,55),0)</f>
        <v/>
      </c>
      <c r="BF366">
        <f>IFERROR(INDEX(PP_Grid[#Data],$DD366,56),0)</f>
        <v/>
      </c>
      <c r="BG366">
        <f>IFERROR(INDEX(PP_Grid[#Data],$DD366,57),0)</f>
        <v/>
      </c>
      <c r="BH366">
        <f>IFERROR(INDEX(PP_Grid[#Data],$DD366,58),0)</f>
        <v/>
      </c>
      <c r="BI366">
        <f>IFERROR(INDEX(PP_Grid[#Data],$DD366,59),0)</f>
        <v/>
      </c>
      <c r="BJ366">
        <f>IFERROR(INDEX(PP_Grid[#Data],$DD366,60),0)</f>
        <v/>
      </c>
      <c r="BK366">
        <f>IFERROR(INDEX(PP_Grid[#Data],$DD366,61),0)</f>
        <v/>
      </c>
      <c r="BL366">
        <f>IFERROR(INDEX(PP_Grid[#Data],$DD366,62),0)</f>
        <v/>
      </c>
      <c r="BM366">
        <f>IFERROR(INDEX(PP_Grid[#Data],$DD366,63),0)</f>
        <v/>
      </c>
      <c r="BN366">
        <f>IFERROR(INDEX(PP_Grid[#Data],$DD366,64),0)</f>
        <v/>
      </c>
      <c r="BO366">
        <f>IFERROR(INDEX(PP_Grid[#Data],$DD366,65),0)</f>
        <v/>
      </c>
      <c r="BP366">
        <f>IFERROR(INDEX(PP_Grid[#Data],$DD366,66),0)</f>
        <v/>
      </c>
      <c r="BQ366">
        <f>IFERROR(INDEX(PP_Grid[#Data],$DD366,67),0)</f>
        <v/>
      </c>
      <c r="BR366">
        <f>IFERROR(INDEX(PP_Grid[#Data],$DD366,68),0)</f>
        <v/>
      </c>
      <c r="BS366">
        <f>IFERROR(INDEX(PP_Grid[#Data],$DD366,69),0)</f>
        <v/>
      </c>
      <c r="BT366">
        <f>IFERROR(INDEX(PP_Grid[#Data],$DD366,70),0)</f>
        <v/>
      </c>
      <c r="BU366">
        <f>IFERROR(INDEX(PP_Grid[#Data],$DD366,71),0)</f>
        <v/>
      </c>
      <c r="BV366">
        <f>IFERROR(INDEX(PP_Grid[#Data],$DD366,72),0)</f>
        <v/>
      </c>
      <c r="BW366">
        <f>IFERROR(INDEX(PP_Grid[#Data],$DD366,73),0)</f>
        <v/>
      </c>
      <c r="BX366">
        <f>IFERROR(INDEX(PP_Grid[#Data],$DD366,74),0)</f>
        <v/>
      </c>
      <c r="BY366">
        <f>IFERROR(INDEX(PP_Grid[#Data],$DD366,75),0)</f>
        <v/>
      </c>
      <c r="BZ366">
        <f>IFERROR(INDEX(PP_Grid[#Data],$DD366,76),0)</f>
        <v/>
      </c>
      <c r="CA366">
        <f>IFERROR(INDEX(PP_Grid[#Data],$DD366,77),0)</f>
        <v/>
      </c>
      <c r="CB366">
        <f>IFERROR(INDEX(PP_Grid[#Data],$DD366,78),0)</f>
        <v/>
      </c>
      <c r="CC366">
        <f>IFERROR(INDEX(PP_Grid[#Data],$DD366,79),0)</f>
        <v/>
      </c>
      <c r="CD366">
        <f>IFERROR(INDEX(PP_Grid[#Data],$DD366,80),0)</f>
        <v/>
      </c>
      <c r="CE366">
        <f>IFERROR(INDEX(PP_Grid[#Data],$DD366,81),0)</f>
        <v/>
      </c>
      <c r="CF366">
        <f>IFERROR(INDEX(PP_Grid[#Data],$DD366,82),0)</f>
        <v/>
      </c>
      <c r="CG366">
        <f>IFERROR(INDEX(PP_Grid[#Data],$DD366,83),0)</f>
        <v/>
      </c>
      <c r="CH366">
        <f>IFERROR(INDEX(PP_Grid[#Data],$DD366,84),0)</f>
        <v/>
      </c>
      <c r="CI366">
        <f>IFERROR(INDEX(PP_Grid[#Data],$DD366,85),0)</f>
        <v/>
      </c>
      <c r="CJ366">
        <f>IFERROR(INDEX(PP_Grid[#Data],$DD366,86),0)</f>
        <v/>
      </c>
      <c r="CK366">
        <f>IFERROR(INDEX(PP_Grid[#Data],$DD366,87),0)</f>
        <v/>
      </c>
      <c r="CL366">
        <f>IFERROR(INDEX(PP_Grid[#Data],$DD366,88),0)</f>
        <v/>
      </c>
      <c r="CM366">
        <f>IFERROR(INDEX(PP_Grid[#Data],$DD366,89),0)</f>
        <v/>
      </c>
      <c r="CN366">
        <f>IFERROR(INDEX(PP_Grid[#Data],$DD366,90),0)</f>
        <v/>
      </c>
      <c r="CO366">
        <f>IFERROR(INDEX(PP_Grid[#Data],$DD366,91),0)</f>
        <v/>
      </c>
      <c r="CP366">
        <f>IFERROR(INDEX(PP_Grid[#Data],$DD366,92),0)</f>
        <v/>
      </c>
      <c r="CQ366">
        <f>IFERROR(INDEX(PP_Grid[#Data],$DD366,93),0)</f>
        <v/>
      </c>
      <c r="CR366">
        <f>IFERROR(INDEX(PP_Grid[#Data],$DD366,94),0)</f>
        <v/>
      </c>
      <c r="CS366">
        <f>IFERROR(INDEX(PP_Grid[#Data],$DD366,95),0)</f>
        <v/>
      </c>
      <c r="CT366">
        <f>IFERROR(INDEX(PP_Grid[#Data],$DD366,96),0)</f>
        <v/>
      </c>
      <c r="CU366">
        <f>IFERROR(INDEX(PP_Grid[#Data],$DD366,97),0)</f>
        <v/>
      </c>
      <c r="CV366">
        <f>IFERROR(INDEX(PP_Grid[#Data],$DD366,98),0)</f>
        <v/>
      </c>
      <c r="CW366">
        <f>IFERROR(INDEX(PP_Grid[#Data],$DD366,99),0)</f>
        <v/>
      </c>
      <c r="CX366">
        <f>IFERROR(INDEX(PP_Grid[#Data],$DD366,100),0)</f>
        <v/>
      </c>
      <c r="CY366">
        <f>IFERROR(INDEX(PP_Grid[#Data],$DD366,101),0)</f>
        <v/>
      </c>
      <c r="CZ366">
        <f>IFERROR(INDEX(PP_Grid[#Data],$DD366,102),0)</f>
        <v/>
      </c>
      <c r="DA366">
        <f>IFERROR(INDEX(PP_Grid[#Data],$DD366,103),0)</f>
        <v/>
      </c>
      <c r="DB366">
        <f>IFERROR(INDEX(PP_Grid[#Data],$DD366,104),0)</f>
        <v/>
      </c>
      <c r="DC366">
        <f>IFERROR(INDEX(PP_Grid[#Data],$DD366,105),0)</f>
        <v/>
      </c>
      <c r="DD366" s="12">
        <f>IFERROR(MATCH($B366,PP_Grid[Intermediate],0),99999)</f>
        <v/>
      </c>
    </row>
    <row r="367">
      <c r="B367" t="inlineStr">
        <is>
          <t>使用量(kg)</t>
        </is>
      </c>
      <c r="C367">
        <f>SUMIFS(M_BOM[RM_Qty_Per_Batch],M_BOM[Intermediate],$B366,M_BOM[Part Name],$A339)</f>
        <v/>
      </c>
      <c r="D367">
        <f>$C367*D366</f>
        <v/>
      </c>
      <c r="E367">
        <f>$C367*E366</f>
        <v/>
      </c>
      <c r="F367">
        <f>$C367*F366</f>
        <v/>
      </c>
      <c r="G367">
        <f>$C367*G366</f>
        <v/>
      </c>
      <c r="H367">
        <f>$C367*H366</f>
        <v/>
      </c>
      <c r="I367">
        <f>$C367*I366</f>
        <v/>
      </c>
      <c r="J367">
        <f>$C367*J366</f>
        <v/>
      </c>
      <c r="K367">
        <f>$C367*K366</f>
        <v/>
      </c>
      <c r="L367">
        <f>$C367*L366</f>
        <v/>
      </c>
      <c r="M367">
        <f>$C367*M366</f>
        <v/>
      </c>
      <c r="N367">
        <f>$C367*N366</f>
        <v/>
      </c>
      <c r="O367">
        <f>$C367*O366</f>
        <v/>
      </c>
      <c r="P367">
        <f>$C367*P366</f>
        <v/>
      </c>
      <c r="Q367">
        <f>$C367*Q366</f>
        <v/>
      </c>
      <c r="R367">
        <f>$C367*R366</f>
        <v/>
      </c>
      <c r="S367">
        <f>$C367*S366</f>
        <v/>
      </c>
      <c r="T367">
        <f>$C367*T366</f>
        <v/>
      </c>
      <c r="U367">
        <f>$C367*U366</f>
        <v/>
      </c>
      <c r="V367">
        <f>$C367*V366</f>
        <v/>
      </c>
      <c r="W367">
        <f>$C367*W366</f>
        <v/>
      </c>
      <c r="X367">
        <f>$C367*X366</f>
        <v/>
      </c>
      <c r="Y367">
        <f>$C367*Y366</f>
        <v/>
      </c>
      <c r="Z367">
        <f>$C367*Z366</f>
        <v/>
      </c>
      <c r="AA367">
        <f>$C367*AA366</f>
        <v/>
      </c>
      <c r="AB367">
        <f>$C367*AB366</f>
        <v/>
      </c>
      <c r="AC367">
        <f>$C367*AC366</f>
        <v/>
      </c>
      <c r="AD367">
        <f>$C367*AD366</f>
        <v/>
      </c>
      <c r="AE367">
        <f>$C367*AE366</f>
        <v/>
      </c>
      <c r="AF367">
        <f>$C367*AF366</f>
        <v/>
      </c>
      <c r="AG367">
        <f>$C367*AG366</f>
        <v/>
      </c>
      <c r="AH367">
        <f>$C367*AH366</f>
        <v/>
      </c>
      <c r="AI367">
        <f>$C367*AI366</f>
        <v/>
      </c>
      <c r="AJ367">
        <f>$C367*AJ366</f>
        <v/>
      </c>
      <c r="AK367">
        <f>$C367*AK366</f>
        <v/>
      </c>
      <c r="AL367">
        <f>$C367*AL366</f>
        <v/>
      </c>
      <c r="AM367">
        <f>$C367*AM366</f>
        <v/>
      </c>
      <c r="AN367">
        <f>$C367*AN366</f>
        <v/>
      </c>
      <c r="AO367">
        <f>$C367*AO366</f>
        <v/>
      </c>
      <c r="AP367">
        <f>$C367*AP366</f>
        <v/>
      </c>
      <c r="AQ367">
        <f>$C367*AQ366</f>
        <v/>
      </c>
      <c r="AR367">
        <f>$C367*AR366</f>
        <v/>
      </c>
      <c r="AS367">
        <f>$C367*AS366</f>
        <v/>
      </c>
      <c r="AT367">
        <f>$C367*AT366</f>
        <v/>
      </c>
      <c r="AU367">
        <f>$C367*AU366</f>
        <v/>
      </c>
      <c r="AV367">
        <f>$C367*AV366</f>
        <v/>
      </c>
      <c r="AW367">
        <f>$C367*AW366</f>
        <v/>
      </c>
      <c r="AX367">
        <f>$C367*AX366</f>
        <v/>
      </c>
      <c r="AY367">
        <f>$C367*AY366</f>
        <v/>
      </c>
      <c r="AZ367">
        <f>$C367*AZ366</f>
        <v/>
      </c>
      <c r="BA367">
        <f>$C367*BA366</f>
        <v/>
      </c>
      <c r="BB367">
        <f>$C367*BB366</f>
        <v/>
      </c>
      <c r="BC367">
        <f>$C367*BC366</f>
        <v/>
      </c>
      <c r="BD367">
        <f>$C367*BD366</f>
        <v/>
      </c>
      <c r="BE367">
        <f>$C367*BE366</f>
        <v/>
      </c>
      <c r="BF367">
        <f>$C367*BF366</f>
        <v/>
      </c>
      <c r="BG367">
        <f>$C367*BG366</f>
        <v/>
      </c>
      <c r="BH367">
        <f>$C367*BH366</f>
        <v/>
      </c>
      <c r="BI367">
        <f>$C367*BI366</f>
        <v/>
      </c>
      <c r="BJ367">
        <f>$C367*BJ366</f>
        <v/>
      </c>
      <c r="BK367">
        <f>$C367*BK366</f>
        <v/>
      </c>
      <c r="BL367">
        <f>$C367*BL366</f>
        <v/>
      </c>
      <c r="BM367">
        <f>$C367*BM366</f>
        <v/>
      </c>
      <c r="BN367">
        <f>$C367*BN366</f>
        <v/>
      </c>
      <c r="BO367">
        <f>$C367*BO366</f>
        <v/>
      </c>
      <c r="BP367">
        <f>$C367*BP366</f>
        <v/>
      </c>
      <c r="BQ367">
        <f>$C367*BQ366</f>
        <v/>
      </c>
      <c r="BR367">
        <f>$C367*BR366</f>
        <v/>
      </c>
      <c r="BS367">
        <f>$C367*BS366</f>
        <v/>
      </c>
      <c r="BT367">
        <f>$C367*BT366</f>
        <v/>
      </c>
      <c r="BU367">
        <f>$C367*BU366</f>
        <v/>
      </c>
      <c r="BV367">
        <f>$C367*BV366</f>
        <v/>
      </c>
      <c r="BW367">
        <f>$C367*BW366</f>
        <v/>
      </c>
      <c r="BX367">
        <f>$C367*BX366</f>
        <v/>
      </c>
      <c r="BY367">
        <f>$C367*BY366</f>
        <v/>
      </c>
      <c r="BZ367">
        <f>$C367*BZ366</f>
        <v/>
      </c>
      <c r="CA367">
        <f>$C367*CA366</f>
        <v/>
      </c>
      <c r="CB367">
        <f>$C367*CB366</f>
        <v/>
      </c>
      <c r="CC367">
        <f>$C367*CC366</f>
        <v/>
      </c>
      <c r="CD367">
        <f>$C367*CD366</f>
        <v/>
      </c>
      <c r="CE367">
        <f>$C367*CE366</f>
        <v/>
      </c>
      <c r="CF367">
        <f>$C367*CF366</f>
        <v/>
      </c>
      <c r="CG367">
        <f>$C367*CG366</f>
        <v/>
      </c>
      <c r="CH367">
        <f>$C367*CH366</f>
        <v/>
      </c>
      <c r="CI367">
        <f>$C367*CI366</f>
        <v/>
      </c>
      <c r="CJ367">
        <f>$C367*CJ366</f>
        <v/>
      </c>
      <c r="CK367">
        <f>$C367*CK366</f>
        <v/>
      </c>
      <c r="CL367">
        <f>$C367*CL366</f>
        <v/>
      </c>
      <c r="CM367">
        <f>$C367*CM366</f>
        <v/>
      </c>
      <c r="CN367">
        <f>$C367*CN366</f>
        <v/>
      </c>
      <c r="CO367">
        <f>$C367*CO366</f>
        <v/>
      </c>
      <c r="CP367">
        <f>$C367*CP366</f>
        <v/>
      </c>
      <c r="CQ367">
        <f>$C367*CQ366</f>
        <v/>
      </c>
      <c r="CR367">
        <f>$C367*CR366</f>
        <v/>
      </c>
      <c r="CS367">
        <f>$C367*CS366</f>
        <v/>
      </c>
      <c r="CT367">
        <f>$C367*CT366</f>
        <v/>
      </c>
      <c r="CU367">
        <f>$C367*CU366</f>
        <v/>
      </c>
      <c r="CV367">
        <f>$C367*CV366</f>
        <v/>
      </c>
      <c r="CW367">
        <f>$C367*CW366</f>
        <v/>
      </c>
      <c r="CX367">
        <f>$C367*CX366</f>
        <v/>
      </c>
      <c r="CY367">
        <f>$C367*CY366</f>
        <v/>
      </c>
      <c r="CZ367">
        <f>$C367*CZ366</f>
        <v/>
      </c>
      <c r="DA367">
        <f>$C367*DA366</f>
        <v/>
      </c>
      <c r="DB367">
        <f>$C367*DB366</f>
        <v/>
      </c>
      <c r="DC367">
        <f>$C367*DC366</f>
        <v/>
      </c>
    </row>
    <row r="368">
      <c r="B368" t="inlineStr">
        <is>
          <t>VSP-990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12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Name],$A339)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s="5" t="inlineStr">
        <is>
          <t>合計使用量(kg)/週</t>
        </is>
      </c>
      <c r="D370">
        <f>'Grid_Requirement'!B37</f>
        <v/>
      </c>
      <c r="E370">
        <f>'Grid_Requirement'!C37</f>
        <v/>
      </c>
      <c r="F370">
        <f>'Grid_Requirement'!D37</f>
        <v/>
      </c>
      <c r="G370">
        <f>'Grid_Requirement'!E37</f>
        <v/>
      </c>
      <c r="H370">
        <f>'Grid_Requirement'!F37</f>
        <v/>
      </c>
      <c r="I370">
        <f>'Grid_Requirement'!G37</f>
        <v/>
      </c>
      <c r="J370">
        <f>'Grid_Requirement'!H37</f>
        <v/>
      </c>
      <c r="K370">
        <f>'Grid_Requirement'!I37</f>
        <v/>
      </c>
      <c r="L370">
        <f>'Grid_Requirement'!J37</f>
        <v/>
      </c>
      <c r="M370">
        <f>'Grid_Requirement'!K37</f>
        <v/>
      </c>
      <c r="N370">
        <f>'Grid_Requirement'!L37</f>
        <v/>
      </c>
      <c r="O370">
        <f>'Grid_Requirement'!M37</f>
        <v/>
      </c>
      <c r="P370">
        <f>'Grid_Requirement'!N37</f>
        <v/>
      </c>
      <c r="Q370">
        <f>'Grid_Requirement'!O37</f>
        <v/>
      </c>
      <c r="R370">
        <f>'Grid_Requirement'!P37</f>
        <v/>
      </c>
      <c r="S370">
        <f>'Grid_Requirement'!Q37</f>
        <v/>
      </c>
      <c r="T370">
        <f>'Grid_Requirement'!R37</f>
        <v/>
      </c>
      <c r="U370">
        <f>'Grid_Requirement'!S37</f>
        <v/>
      </c>
      <c r="V370">
        <f>'Grid_Requirement'!T37</f>
        <v/>
      </c>
      <c r="W370">
        <f>'Grid_Requirement'!U37</f>
        <v/>
      </c>
      <c r="X370">
        <f>'Grid_Requirement'!V37</f>
        <v/>
      </c>
      <c r="Y370">
        <f>'Grid_Requirement'!W37</f>
        <v/>
      </c>
      <c r="Z370">
        <f>'Grid_Requirement'!X37</f>
        <v/>
      </c>
      <c r="AA370">
        <f>'Grid_Requirement'!Y37</f>
        <v/>
      </c>
      <c r="AB370">
        <f>'Grid_Requirement'!Z37</f>
        <v/>
      </c>
      <c r="AC370">
        <f>'Grid_Requirement'!AA37</f>
        <v/>
      </c>
      <c r="AD370">
        <f>'Grid_Requirement'!AB37</f>
        <v/>
      </c>
      <c r="AE370">
        <f>'Grid_Requirement'!AC37</f>
        <v/>
      </c>
      <c r="AF370">
        <f>'Grid_Requirement'!AD37</f>
        <v/>
      </c>
      <c r="AG370">
        <f>'Grid_Requirement'!AE37</f>
        <v/>
      </c>
      <c r="AH370">
        <f>'Grid_Requirement'!AF37</f>
        <v/>
      </c>
      <c r="AI370">
        <f>'Grid_Requirement'!AG37</f>
        <v/>
      </c>
      <c r="AJ370">
        <f>'Grid_Requirement'!AH37</f>
        <v/>
      </c>
      <c r="AK370">
        <f>'Grid_Requirement'!AI37</f>
        <v/>
      </c>
      <c r="AL370">
        <f>'Grid_Requirement'!AJ37</f>
        <v/>
      </c>
      <c r="AM370">
        <f>'Grid_Requirement'!AK37</f>
        <v/>
      </c>
      <c r="AN370">
        <f>'Grid_Requirement'!AL37</f>
        <v/>
      </c>
      <c r="AO370">
        <f>'Grid_Requirement'!AM37</f>
        <v/>
      </c>
      <c r="AP370">
        <f>'Grid_Requirement'!AN37</f>
        <v/>
      </c>
      <c r="AQ370">
        <f>'Grid_Requirement'!AO37</f>
        <v/>
      </c>
      <c r="AR370">
        <f>'Grid_Requirement'!AP37</f>
        <v/>
      </c>
      <c r="AS370">
        <f>'Grid_Requirement'!AQ37</f>
        <v/>
      </c>
      <c r="AT370">
        <f>'Grid_Requirement'!AR37</f>
        <v/>
      </c>
      <c r="AU370">
        <f>'Grid_Requirement'!AS37</f>
        <v/>
      </c>
      <c r="AV370">
        <f>'Grid_Requirement'!AT37</f>
        <v/>
      </c>
      <c r="AW370">
        <f>'Grid_Requirement'!AU37</f>
        <v/>
      </c>
      <c r="AX370">
        <f>'Grid_Requirement'!AV37</f>
        <v/>
      </c>
      <c r="AY370">
        <f>'Grid_Requirement'!AW37</f>
        <v/>
      </c>
      <c r="AZ370">
        <f>'Grid_Requirement'!AX37</f>
        <v/>
      </c>
      <c r="BA370">
        <f>'Grid_Requirement'!AY37</f>
        <v/>
      </c>
      <c r="BB370">
        <f>'Grid_Requirement'!AZ37</f>
        <v/>
      </c>
      <c r="BC370">
        <f>'Grid_Requirement'!BA37</f>
        <v/>
      </c>
      <c r="BD370">
        <f>'Grid_Requirement'!BB37</f>
        <v/>
      </c>
      <c r="BE370">
        <f>'Grid_Requirement'!BC37</f>
        <v/>
      </c>
      <c r="BF370">
        <f>'Grid_Requirement'!BD37</f>
        <v/>
      </c>
      <c r="BG370">
        <f>'Grid_Requirement'!BE37</f>
        <v/>
      </c>
      <c r="BH370">
        <f>'Grid_Requirement'!BF37</f>
        <v/>
      </c>
      <c r="BI370">
        <f>'Grid_Requirement'!BG37</f>
        <v/>
      </c>
      <c r="BJ370">
        <f>'Grid_Requirement'!BH37</f>
        <v/>
      </c>
      <c r="BK370">
        <f>'Grid_Requirement'!BI37</f>
        <v/>
      </c>
      <c r="BL370">
        <f>'Grid_Requirement'!BJ37</f>
        <v/>
      </c>
      <c r="BM370">
        <f>'Grid_Requirement'!BK37</f>
        <v/>
      </c>
      <c r="BN370">
        <f>'Grid_Requirement'!BL37</f>
        <v/>
      </c>
      <c r="BO370">
        <f>'Grid_Requirement'!BM37</f>
        <v/>
      </c>
      <c r="BP370">
        <f>'Grid_Requirement'!BN37</f>
        <v/>
      </c>
      <c r="BQ370">
        <f>'Grid_Requirement'!BO37</f>
        <v/>
      </c>
      <c r="BR370">
        <f>'Grid_Requirement'!BP37</f>
        <v/>
      </c>
      <c r="BS370">
        <f>'Grid_Requirement'!BQ37</f>
        <v/>
      </c>
      <c r="BT370">
        <f>'Grid_Requirement'!BR37</f>
        <v/>
      </c>
      <c r="BU370">
        <f>'Grid_Requirement'!BS37</f>
        <v/>
      </c>
      <c r="BV370">
        <f>'Grid_Requirement'!BT37</f>
        <v/>
      </c>
      <c r="BW370">
        <f>'Grid_Requirement'!BU37</f>
        <v/>
      </c>
      <c r="BX370">
        <f>'Grid_Requirement'!BV37</f>
        <v/>
      </c>
      <c r="BY370">
        <f>'Grid_Requirement'!BW37</f>
        <v/>
      </c>
      <c r="BZ370">
        <f>'Grid_Requirement'!BX37</f>
        <v/>
      </c>
      <c r="CA370">
        <f>'Grid_Requirement'!BY37</f>
        <v/>
      </c>
      <c r="CB370">
        <f>'Grid_Requirement'!BZ37</f>
        <v/>
      </c>
      <c r="CC370">
        <f>'Grid_Requirement'!CA37</f>
        <v/>
      </c>
      <c r="CD370">
        <f>'Grid_Requirement'!CB37</f>
        <v/>
      </c>
      <c r="CE370">
        <f>'Grid_Requirement'!CC37</f>
        <v/>
      </c>
      <c r="CF370">
        <f>'Grid_Requirement'!CD37</f>
        <v/>
      </c>
      <c r="CG370">
        <f>'Grid_Requirement'!CE37</f>
        <v/>
      </c>
      <c r="CH370">
        <f>'Grid_Requirement'!CF37</f>
        <v/>
      </c>
      <c r="CI370">
        <f>'Grid_Requirement'!CG37</f>
        <v/>
      </c>
      <c r="CJ370">
        <f>'Grid_Requirement'!CH37</f>
        <v/>
      </c>
      <c r="CK370">
        <f>'Grid_Requirement'!CI37</f>
        <v/>
      </c>
      <c r="CL370">
        <f>'Grid_Requirement'!CJ37</f>
        <v/>
      </c>
      <c r="CM370">
        <f>'Grid_Requirement'!CK37</f>
        <v/>
      </c>
      <c r="CN370">
        <f>'Grid_Requirement'!CL37</f>
        <v/>
      </c>
      <c r="CO370">
        <f>'Grid_Requirement'!CM37</f>
        <v/>
      </c>
      <c r="CP370">
        <f>'Grid_Requirement'!CN37</f>
        <v/>
      </c>
      <c r="CQ370">
        <f>'Grid_Requirement'!CO37</f>
        <v/>
      </c>
      <c r="CR370">
        <f>'Grid_Requirement'!CP37</f>
        <v/>
      </c>
      <c r="CS370">
        <f>'Grid_Requirement'!CQ37</f>
        <v/>
      </c>
      <c r="CT370">
        <f>'Grid_Requirement'!CR37</f>
        <v/>
      </c>
      <c r="CU370">
        <f>'Grid_Requirement'!CS37</f>
        <v/>
      </c>
      <c r="CV370">
        <f>'Grid_Requirement'!CT37</f>
        <v/>
      </c>
      <c r="CW370">
        <f>'Grid_Requirement'!CU37</f>
        <v/>
      </c>
      <c r="CX370">
        <f>'Grid_Requirement'!CV37</f>
        <v/>
      </c>
      <c r="CY370">
        <f>'Grid_Requirement'!CW37</f>
        <v/>
      </c>
      <c r="CZ370">
        <f>'Grid_Requirement'!CX37</f>
        <v/>
      </c>
      <c r="DA370">
        <f>'Grid_Requirement'!CY37</f>
        <v/>
      </c>
      <c r="DB370">
        <f>'Grid_Requirement'!CZ37</f>
        <v/>
      </c>
      <c r="DC370">
        <f>'Grid_Requirement'!DA37</f>
        <v/>
      </c>
    </row>
    <row r="371">
      <c r="B371" t="inlineStr">
        <is>
          <t>TTAF在庫(実績,kg)</t>
        </is>
      </c>
      <c r="D371">
        <f>'T_TTAFStock'!B41</f>
        <v/>
      </c>
      <c r="E371">
        <f>'T_TTAFStock'!C41</f>
        <v/>
      </c>
      <c r="F371">
        <f>'T_TTAFStock'!D41</f>
        <v/>
      </c>
      <c r="G371">
        <f>'T_TTAFStock'!E41</f>
        <v/>
      </c>
      <c r="H371">
        <f>'T_TTAFStock'!F41</f>
        <v/>
      </c>
      <c r="I371">
        <f>'T_TTAFStock'!G41</f>
        <v/>
      </c>
      <c r="J371">
        <f>'T_TTAFStock'!H41</f>
        <v/>
      </c>
      <c r="K371">
        <f>'T_TTAFStock'!I41</f>
        <v/>
      </c>
      <c r="L371">
        <f>'T_TTAFStock'!J41</f>
        <v/>
      </c>
      <c r="M371">
        <f>'T_TTAFStock'!K41</f>
        <v/>
      </c>
      <c r="N371">
        <f>'T_TTAFStock'!L41</f>
        <v/>
      </c>
      <c r="O371">
        <f>'T_TTAFStock'!M41</f>
        <v/>
      </c>
      <c r="P371">
        <f>'T_TTAFStock'!N41</f>
        <v/>
      </c>
      <c r="Q371">
        <f>'T_TTAFStock'!O41</f>
        <v/>
      </c>
      <c r="R371">
        <f>'T_TTAFStock'!P41</f>
        <v/>
      </c>
      <c r="S371">
        <f>'T_TTAFStock'!Q41</f>
        <v/>
      </c>
      <c r="T371">
        <f>'T_TTAFStock'!R41</f>
        <v/>
      </c>
      <c r="U371">
        <f>'T_TTAFStock'!S41</f>
        <v/>
      </c>
      <c r="V371">
        <f>'T_TTAFStock'!T41</f>
        <v/>
      </c>
      <c r="W371">
        <f>'T_TTAFStock'!U41</f>
        <v/>
      </c>
      <c r="X371">
        <f>'T_TTAFStock'!V41</f>
        <v/>
      </c>
      <c r="Y371">
        <f>'T_TTAFStock'!W41</f>
        <v/>
      </c>
      <c r="Z371">
        <f>'T_TTAFStock'!X41</f>
        <v/>
      </c>
      <c r="AA371">
        <f>'T_TTAFStock'!Y41</f>
        <v/>
      </c>
      <c r="AB371">
        <f>'T_TTAFStock'!Z41</f>
        <v/>
      </c>
      <c r="AC371">
        <f>'T_TTAFStock'!AA41</f>
        <v/>
      </c>
      <c r="AD371">
        <f>'T_TTAFStock'!AB41</f>
        <v/>
      </c>
      <c r="AE371">
        <f>'T_TTAFStock'!AC41</f>
        <v/>
      </c>
      <c r="AF371">
        <f>'T_TTAFStock'!AD41</f>
        <v/>
      </c>
      <c r="AG371">
        <f>'T_TTAFStock'!AE41</f>
        <v/>
      </c>
      <c r="AH371">
        <f>'T_TTAFStock'!AF41</f>
        <v/>
      </c>
      <c r="AI371">
        <f>'T_TTAFStock'!AG41</f>
        <v/>
      </c>
      <c r="AJ371">
        <f>'T_TTAFStock'!AH41</f>
        <v/>
      </c>
      <c r="AK371">
        <f>'T_TTAFStock'!AI41</f>
        <v/>
      </c>
      <c r="AL371">
        <f>'T_TTAFStock'!AJ41</f>
        <v/>
      </c>
      <c r="AM371">
        <f>'T_TTAFStock'!AK41</f>
        <v/>
      </c>
      <c r="AN371">
        <f>'T_TTAFStock'!AL41</f>
        <v/>
      </c>
      <c r="AO371">
        <f>'T_TTAFStock'!AM41</f>
        <v/>
      </c>
      <c r="AP371">
        <f>'T_TTAFStock'!AN41</f>
        <v/>
      </c>
      <c r="AQ371">
        <f>'T_TTAFStock'!AO41</f>
        <v/>
      </c>
      <c r="AR371">
        <f>'T_TTAFStock'!AP41</f>
        <v/>
      </c>
      <c r="AS371">
        <f>'T_TTAFStock'!AQ41</f>
        <v/>
      </c>
      <c r="AT371">
        <f>'T_TTAFStock'!AR41</f>
        <v/>
      </c>
      <c r="AU371">
        <f>'T_TTAFStock'!AS41</f>
        <v/>
      </c>
      <c r="AV371">
        <f>'T_TTAFStock'!AT41</f>
        <v/>
      </c>
      <c r="AW371">
        <f>'T_TTAFStock'!AU41</f>
        <v/>
      </c>
      <c r="AX371">
        <f>'T_TTAFStock'!AV41</f>
        <v/>
      </c>
      <c r="AY371">
        <f>'T_TTAFStock'!AW41</f>
        <v/>
      </c>
      <c r="AZ371">
        <f>'T_TTAFStock'!AX41</f>
        <v/>
      </c>
      <c r="BA371">
        <f>'T_TTAFStock'!AY41</f>
        <v/>
      </c>
      <c r="BB371">
        <f>'T_TTAFStock'!AZ41</f>
        <v/>
      </c>
      <c r="BC371">
        <f>'T_TTAFStock'!BA41</f>
        <v/>
      </c>
      <c r="BD371">
        <f>'T_TTAFStock'!BB41</f>
        <v/>
      </c>
      <c r="BE371">
        <f>'T_TTAFStock'!BC41</f>
        <v/>
      </c>
      <c r="BF371">
        <f>'T_TTAFStock'!BD41</f>
        <v/>
      </c>
      <c r="BG371">
        <f>'T_TTAFStock'!BE41</f>
        <v/>
      </c>
      <c r="BH371">
        <f>'T_TTAFStock'!BF41</f>
        <v/>
      </c>
      <c r="BI371">
        <f>'T_TTAFStock'!BG41</f>
        <v/>
      </c>
      <c r="BJ371">
        <f>'T_TTAFStock'!BH41</f>
        <v/>
      </c>
      <c r="BK371">
        <f>'T_TTAFStock'!BI41</f>
        <v/>
      </c>
      <c r="BL371">
        <f>'T_TTAFStock'!BJ41</f>
        <v/>
      </c>
      <c r="BM371">
        <f>'T_TTAFStock'!BK41</f>
        <v/>
      </c>
      <c r="BN371">
        <f>'T_TTAFStock'!BL41</f>
        <v/>
      </c>
      <c r="BO371">
        <f>'T_TTAFStock'!BM41</f>
        <v/>
      </c>
      <c r="BP371">
        <f>'T_TTAFStock'!BN41</f>
        <v/>
      </c>
      <c r="BQ371">
        <f>'T_TTAFStock'!BO41</f>
        <v/>
      </c>
      <c r="BR371">
        <f>'T_TTAFStock'!BP41</f>
        <v/>
      </c>
      <c r="BS371">
        <f>'T_TTAFStock'!BQ41</f>
        <v/>
      </c>
      <c r="BT371">
        <f>'T_TTAFStock'!BR41</f>
        <v/>
      </c>
      <c r="BU371">
        <f>'T_TTAFStock'!BS41</f>
        <v/>
      </c>
      <c r="BV371">
        <f>'T_TTAFStock'!BT41</f>
        <v/>
      </c>
      <c r="BW371">
        <f>'T_TTAFStock'!BU41</f>
        <v/>
      </c>
      <c r="BX371">
        <f>'T_TTAFStock'!BV41</f>
        <v/>
      </c>
      <c r="BY371">
        <f>'T_TTAFStock'!BW41</f>
        <v/>
      </c>
      <c r="BZ371">
        <f>'T_TTAFStock'!BX41</f>
        <v/>
      </c>
      <c r="CA371">
        <f>'T_TTAFStock'!BY41</f>
        <v/>
      </c>
      <c r="CB371">
        <f>'T_TTAFStock'!BZ41</f>
        <v/>
      </c>
      <c r="CC371">
        <f>'T_TTAFStock'!CA41</f>
        <v/>
      </c>
      <c r="CD371">
        <f>'T_TTAFStock'!CB41</f>
        <v/>
      </c>
      <c r="CE371">
        <f>'T_TTAFStock'!CC41</f>
        <v/>
      </c>
      <c r="CF371">
        <f>'T_TTAFStock'!CD41</f>
        <v/>
      </c>
      <c r="CG371">
        <f>'T_TTAFStock'!CE41</f>
        <v/>
      </c>
      <c r="CH371">
        <f>'T_TTAFStock'!CF41</f>
        <v/>
      </c>
      <c r="CI371">
        <f>'T_TTAFStock'!CG41</f>
        <v/>
      </c>
      <c r="CJ371">
        <f>'T_TTAFStock'!CH41</f>
        <v/>
      </c>
      <c r="CK371">
        <f>'T_TTAFStock'!CI41</f>
        <v/>
      </c>
      <c r="CL371">
        <f>'T_TTAFStock'!CJ41</f>
        <v/>
      </c>
      <c r="CM371">
        <f>'T_TTAFStock'!CK41</f>
        <v/>
      </c>
      <c r="CN371">
        <f>'T_TTAFStock'!CL41</f>
        <v/>
      </c>
      <c r="CO371">
        <f>'T_TTAFStock'!CM41</f>
        <v/>
      </c>
      <c r="CP371">
        <f>'T_TTAFStock'!CN41</f>
        <v/>
      </c>
      <c r="CQ371">
        <f>'T_TTAFStock'!CO41</f>
        <v/>
      </c>
      <c r="CR371">
        <f>'T_TTAFStock'!CP41</f>
        <v/>
      </c>
      <c r="CS371">
        <f>'T_TTAFStock'!CQ41</f>
        <v/>
      </c>
      <c r="CT371">
        <f>'T_TTAFStock'!CR41</f>
        <v/>
      </c>
      <c r="CU371">
        <f>'T_TTAFStock'!CS41</f>
        <v/>
      </c>
      <c r="CV371">
        <f>'T_TTAFStock'!CT41</f>
        <v/>
      </c>
      <c r="CW371">
        <f>'T_TTAFStock'!CU41</f>
        <v/>
      </c>
      <c r="CX371">
        <f>'T_TTAFStock'!CV41</f>
        <v/>
      </c>
      <c r="CY371">
        <f>'T_TTAFStock'!CW41</f>
        <v/>
      </c>
      <c r="CZ371">
        <f>'T_TTAFStock'!CX41</f>
        <v/>
      </c>
      <c r="DA371">
        <f>'T_TTAFStock'!CY41</f>
        <v/>
      </c>
      <c r="DB371">
        <f>'T_TTAFStock'!CZ41</f>
        <v/>
      </c>
      <c r="DC371">
        <f>'T_TTAFStock'!DA41</f>
        <v/>
      </c>
    </row>
    <row r="372">
      <c r="B372" t="inlineStr">
        <is>
          <t>自社在庫(実績,kg)</t>
        </is>
      </c>
      <c r="D372">
        <f>'T_SelfStock'!B41</f>
        <v/>
      </c>
      <c r="E372">
        <f>'T_SelfStock'!C41</f>
        <v/>
      </c>
      <c r="F372">
        <f>'T_SelfStock'!D41</f>
        <v/>
      </c>
      <c r="G372">
        <f>'T_SelfStock'!E41</f>
        <v/>
      </c>
      <c r="H372">
        <f>'T_SelfStock'!F41</f>
        <v/>
      </c>
      <c r="I372">
        <f>'T_SelfStock'!G41</f>
        <v/>
      </c>
      <c r="J372">
        <f>'T_SelfStock'!H41</f>
        <v/>
      </c>
      <c r="K372">
        <f>'T_SelfStock'!I41</f>
        <v/>
      </c>
      <c r="L372">
        <f>'T_SelfStock'!J41</f>
        <v/>
      </c>
      <c r="M372">
        <f>'T_SelfStock'!K41</f>
        <v/>
      </c>
      <c r="N372">
        <f>'T_SelfStock'!L41</f>
        <v/>
      </c>
      <c r="O372">
        <f>'T_SelfStock'!M41</f>
        <v/>
      </c>
      <c r="P372">
        <f>'T_SelfStock'!N41</f>
        <v/>
      </c>
      <c r="Q372">
        <f>'T_SelfStock'!O41</f>
        <v/>
      </c>
      <c r="R372">
        <f>'T_SelfStock'!P41</f>
        <v/>
      </c>
      <c r="S372">
        <f>'T_SelfStock'!Q41</f>
        <v/>
      </c>
      <c r="T372">
        <f>'T_SelfStock'!R41</f>
        <v/>
      </c>
      <c r="U372">
        <f>'T_SelfStock'!S41</f>
        <v/>
      </c>
      <c r="V372">
        <f>'T_SelfStock'!T41</f>
        <v/>
      </c>
      <c r="W372">
        <f>'T_SelfStock'!U41</f>
        <v/>
      </c>
      <c r="X372">
        <f>'T_SelfStock'!V41</f>
        <v/>
      </c>
      <c r="Y372">
        <f>'T_SelfStock'!W41</f>
        <v/>
      </c>
      <c r="Z372">
        <f>'T_SelfStock'!X41</f>
        <v/>
      </c>
      <c r="AA372">
        <f>'T_SelfStock'!Y41</f>
        <v/>
      </c>
      <c r="AB372">
        <f>'T_SelfStock'!Z41</f>
        <v/>
      </c>
      <c r="AC372">
        <f>'T_SelfStock'!AA41</f>
        <v/>
      </c>
      <c r="AD372">
        <f>'T_SelfStock'!AB41</f>
        <v/>
      </c>
      <c r="AE372">
        <f>'T_SelfStock'!AC41</f>
        <v/>
      </c>
      <c r="AF372">
        <f>'T_SelfStock'!AD41</f>
        <v/>
      </c>
      <c r="AG372">
        <f>'T_SelfStock'!AE41</f>
        <v/>
      </c>
      <c r="AH372">
        <f>'T_SelfStock'!AF41</f>
        <v/>
      </c>
      <c r="AI372">
        <f>'T_SelfStock'!AG41</f>
        <v/>
      </c>
      <c r="AJ372">
        <f>'T_SelfStock'!AH41</f>
        <v/>
      </c>
      <c r="AK372">
        <f>'T_SelfStock'!AI41</f>
        <v/>
      </c>
      <c r="AL372">
        <f>'T_SelfStock'!AJ41</f>
        <v/>
      </c>
      <c r="AM372">
        <f>'T_SelfStock'!AK41</f>
        <v/>
      </c>
      <c r="AN372">
        <f>'T_SelfStock'!AL41</f>
        <v/>
      </c>
      <c r="AO372">
        <f>'T_SelfStock'!AM41</f>
        <v/>
      </c>
      <c r="AP372">
        <f>'T_SelfStock'!AN41</f>
        <v/>
      </c>
      <c r="AQ372">
        <f>'T_SelfStock'!AO41</f>
        <v/>
      </c>
      <c r="AR372">
        <f>'T_SelfStock'!AP41</f>
        <v/>
      </c>
      <c r="AS372">
        <f>'T_SelfStock'!AQ41</f>
        <v/>
      </c>
      <c r="AT372">
        <f>'T_SelfStock'!AR41</f>
        <v/>
      </c>
      <c r="AU372">
        <f>'T_SelfStock'!AS41</f>
        <v/>
      </c>
      <c r="AV372">
        <f>'T_SelfStock'!AT41</f>
        <v/>
      </c>
      <c r="AW372">
        <f>'T_SelfStock'!AU41</f>
        <v/>
      </c>
      <c r="AX372">
        <f>'T_SelfStock'!AV41</f>
        <v/>
      </c>
      <c r="AY372">
        <f>'T_SelfStock'!AW41</f>
        <v/>
      </c>
      <c r="AZ372">
        <f>'T_SelfStock'!AX41</f>
        <v/>
      </c>
      <c r="BA372">
        <f>'T_SelfStock'!AY41</f>
        <v/>
      </c>
      <c r="BB372">
        <f>'T_SelfStock'!AZ41</f>
        <v/>
      </c>
      <c r="BC372">
        <f>'T_SelfStock'!BA41</f>
        <v/>
      </c>
      <c r="BD372">
        <f>'T_SelfStock'!BB41</f>
        <v/>
      </c>
      <c r="BE372">
        <f>'T_SelfStock'!BC41</f>
        <v/>
      </c>
      <c r="BF372">
        <f>'T_SelfStock'!BD41</f>
        <v/>
      </c>
      <c r="BG372">
        <f>'T_SelfStock'!BE41</f>
        <v/>
      </c>
      <c r="BH372">
        <f>'T_SelfStock'!BF41</f>
        <v/>
      </c>
      <c r="BI372">
        <f>'T_SelfStock'!BG41</f>
        <v/>
      </c>
      <c r="BJ372">
        <f>'T_SelfStock'!BH41</f>
        <v/>
      </c>
      <c r="BK372">
        <f>'T_SelfStock'!BI41</f>
        <v/>
      </c>
      <c r="BL372">
        <f>'T_SelfStock'!BJ41</f>
        <v/>
      </c>
      <c r="BM372">
        <f>'T_SelfStock'!BK41</f>
        <v/>
      </c>
      <c r="BN372">
        <f>'T_SelfStock'!BL41</f>
        <v/>
      </c>
      <c r="BO372">
        <f>'T_SelfStock'!BM41</f>
        <v/>
      </c>
      <c r="BP372">
        <f>'T_SelfStock'!BN41</f>
        <v/>
      </c>
      <c r="BQ372">
        <f>'T_SelfStock'!BO41</f>
        <v/>
      </c>
      <c r="BR372">
        <f>'T_SelfStock'!BP41</f>
        <v/>
      </c>
      <c r="BS372">
        <f>'T_SelfStock'!BQ41</f>
        <v/>
      </c>
      <c r="BT372">
        <f>'T_SelfStock'!BR41</f>
        <v/>
      </c>
      <c r="BU372">
        <f>'T_SelfStock'!BS41</f>
        <v/>
      </c>
      <c r="BV372">
        <f>'T_SelfStock'!BT41</f>
        <v/>
      </c>
      <c r="BW372">
        <f>'T_SelfStock'!BU41</f>
        <v/>
      </c>
      <c r="BX372">
        <f>'T_SelfStock'!BV41</f>
        <v/>
      </c>
      <c r="BY372">
        <f>'T_SelfStock'!BW41</f>
        <v/>
      </c>
      <c r="BZ372">
        <f>'T_SelfStock'!BX41</f>
        <v/>
      </c>
      <c r="CA372">
        <f>'T_SelfStock'!BY41</f>
        <v/>
      </c>
      <c r="CB372">
        <f>'T_SelfStock'!BZ41</f>
        <v/>
      </c>
      <c r="CC372">
        <f>'T_SelfStock'!CA41</f>
        <v/>
      </c>
      <c r="CD372">
        <f>'T_SelfStock'!CB41</f>
        <v/>
      </c>
      <c r="CE372">
        <f>'T_SelfStock'!CC41</f>
        <v/>
      </c>
      <c r="CF372">
        <f>'T_SelfStock'!CD41</f>
        <v/>
      </c>
      <c r="CG372">
        <f>'T_SelfStock'!CE41</f>
        <v/>
      </c>
      <c r="CH372">
        <f>'T_SelfStock'!CF41</f>
        <v/>
      </c>
      <c r="CI372">
        <f>'T_SelfStock'!CG41</f>
        <v/>
      </c>
      <c r="CJ372">
        <f>'T_SelfStock'!CH41</f>
        <v/>
      </c>
      <c r="CK372">
        <f>'T_SelfStock'!CI41</f>
        <v/>
      </c>
      <c r="CL372">
        <f>'T_SelfStock'!CJ41</f>
        <v/>
      </c>
      <c r="CM372">
        <f>'T_SelfStock'!CK41</f>
        <v/>
      </c>
      <c r="CN372">
        <f>'T_SelfStock'!CL41</f>
        <v/>
      </c>
      <c r="CO372">
        <f>'T_SelfStock'!CM41</f>
        <v/>
      </c>
      <c r="CP372">
        <f>'T_SelfStock'!CN41</f>
        <v/>
      </c>
      <c r="CQ372">
        <f>'T_SelfStock'!CO41</f>
        <v/>
      </c>
      <c r="CR372">
        <f>'T_SelfStock'!CP41</f>
        <v/>
      </c>
      <c r="CS372">
        <f>'T_SelfStock'!CQ41</f>
        <v/>
      </c>
      <c r="CT372">
        <f>'T_SelfStock'!CR41</f>
        <v/>
      </c>
      <c r="CU372">
        <f>'T_SelfStock'!CS41</f>
        <v/>
      </c>
      <c r="CV372">
        <f>'T_SelfStock'!CT41</f>
        <v/>
      </c>
      <c r="CW372">
        <f>'T_SelfStock'!CU41</f>
        <v/>
      </c>
      <c r="CX372">
        <f>'T_SelfStock'!CV41</f>
        <v/>
      </c>
      <c r="CY372">
        <f>'T_SelfStock'!CW41</f>
        <v/>
      </c>
      <c r="CZ372">
        <f>'T_SelfStock'!CX41</f>
        <v/>
      </c>
      <c r="DA372">
        <f>'T_SelfStock'!CY41</f>
        <v/>
      </c>
      <c r="DB372">
        <f>'T_SelfStock'!CZ41</f>
        <v/>
      </c>
      <c r="DC372">
        <f>'T_SelfStock'!DA41</f>
        <v/>
      </c>
    </row>
    <row r="373">
      <c r="B373" t="inlineStr">
        <is>
          <t>Order(発注予定,kg)</t>
        </is>
      </c>
      <c r="D373">
        <f>IF(SUMIFS(T_PlannedOrders[EffectiveQty],T_PlannedOrders[Part Name],$A339,T_PlannedOrders[WeekIndex],1)=0,"",SUMIFS(T_PlannedOrders[EffectiveQty],T_PlannedOrders[Part Name],$A339,T_PlannedOrders[WeekIndex],1)&amp;" ("&amp;TEXT(SUMPRODUCT(MAX((T_PlannedOrders[Part Name]=$A339)*(T_PlannedOrders[WeekIndex]=1)*(T_PlannedOrders[EffectiveQty]&gt;0)*T_PlannedOrders[Order_Month])),"m月")&amp;"発注)")</f>
        <v/>
      </c>
      <c r="E373">
        <f>IF(SUMIFS(T_PlannedOrders[EffectiveQty],T_PlannedOrders[Part Name],$A339,T_PlannedOrders[WeekIndex],2)=0,"",SUMIFS(T_PlannedOrders[EffectiveQty],T_PlannedOrders[Part Name],$A339,T_PlannedOrders[WeekIndex],2)&amp;" ("&amp;TEXT(SUMPRODUCT(MAX((T_PlannedOrders[Part Name]=$A339)*(T_PlannedOrders[WeekIndex]=2)*(T_PlannedOrders[EffectiveQty]&gt;0)*T_PlannedOrders[Order_Month])),"m月")&amp;"発注)")</f>
        <v/>
      </c>
      <c r="F373">
        <f>IF(SUMIFS(T_PlannedOrders[EffectiveQty],T_PlannedOrders[Part Name],$A339,T_PlannedOrders[WeekIndex],3)=0,"",SUMIFS(T_PlannedOrders[EffectiveQty],T_PlannedOrders[Part Name],$A339,T_PlannedOrders[WeekIndex],3)&amp;" ("&amp;TEXT(SUMPRODUCT(MAX((T_PlannedOrders[Part Name]=$A339)*(T_PlannedOrders[WeekIndex]=3)*(T_PlannedOrders[EffectiveQty]&gt;0)*T_PlannedOrders[Order_Month])),"m月")&amp;"発注)")</f>
        <v/>
      </c>
      <c r="G373">
        <f>IF(SUMIFS(T_PlannedOrders[EffectiveQty],T_PlannedOrders[Part Name],$A339,T_PlannedOrders[WeekIndex],4)=0,"",SUMIFS(T_PlannedOrders[EffectiveQty],T_PlannedOrders[Part Name],$A339,T_PlannedOrders[WeekIndex],4)&amp;" ("&amp;TEXT(SUMPRODUCT(MAX((T_PlannedOrders[Part Name]=$A339)*(T_PlannedOrders[WeekIndex]=4)*(T_PlannedOrders[EffectiveQty]&gt;0)*T_PlannedOrders[Order_Month])),"m月")&amp;"発注)")</f>
        <v/>
      </c>
      <c r="H373">
        <f>IF(SUMIFS(T_PlannedOrders[EffectiveQty],T_PlannedOrders[Part Name],$A339,T_PlannedOrders[WeekIndex],5)=0,"",SUMIFS(T_PlannedOrders[EffectiveQty],T_PlannedOrders[Part Name],$A339,T_PlannedOrders[WeekIndex],5)&amp;" ("&amp;TEXT(SUMPRODUCT(MAX((T_PlannedOrders[Part Name]=$A339)*(T_PlannedOrders[WeekIndex]=5)*(T_PlannedOrders[EffectiveQty]&gt;0)*T_PlannedOrders[Order_Month])),"m月")&amp;"発注)")</f>
        <v/>
      </c>
      <c r="I373">
        <f>IF(SUMIFS(T_PlannedOrders[EffectiveQty],T_PlannedOrders[Part Name],$A339,T_PlannedOrders[WeekIndex],6)=0,"",SUMIFS(T_PlannedOrders[EffectiveQty],T_PlannedOrders[Part Name],$A339,T_PlannedOrders[WeekIndex],6)&amp;" ("&amp;TEXT(SUMPRODUCT(MAX((T_PlannedOrders[Part Name]=$A339)*(T_PlannedOrders[WeekIndex]=6)*(T_PlannedOrders[EffectiveQty]&gt;0)*T_PlannedOrders[Order_Month])),"m月")&amp;"発注)")</f>
        <v/>
      </c>
      <c r="J373">
        <f>IF(SUMIFS(T_PlannedOrders[EffectiveQty],T_PlannedOrders[Part Name],$A339,T_PlannedOrders[WeekIndex],7)=0,"",SUMIFS(T_PlannedOrders[EffectiveQty],T_PlannedOrders[Part Name],$A339,T_PlannedOrders[WeekIndex],7)&amp;" ("&amp;TEXT(SUMPRODUCT(MAX((T_PlannedOrders[Part Name]=$A339)*(T_PlannedOrders[WeekIndex]=7)*(T_PlannedOrders[EffectiveQty]&gt;0)*T_PlannedOrders[Order_Month])),"m月")&amp;"発注)")</f>
        <v/>
      </c>
      <c r="K373">
        <f>IF(SUMIFS(T_PlannedOrders[EffectiveQty],T_PlannedOrders[Part Name],$A339,T_PlannedOrders[WeekIndex],8)=0,"",SUMIFS(T_PlannedOrders[EffectiveQty],T_PlannedOrders[Part Name],$A339,T_PlannedOrders[WeekIndex],8)&amp;" ("&amp;TEXT(SUMPRODUCT(MAX((T_PlannedOrders[Part Name]=$A339)*(T_PlannedOrders[WeekIndex]=8)*(T_PlannedOrders[EffectiveQty]&gt;0)*T_PlannedOrders[Order_Month])),"m月")&amp;"発注)")</f>
        <v/>
      </c>
      <c r="L373">
        <f>IF(SUMIFS(T_PlannedOrders[EffectiveQty],T_PlannedOrders[Part Name],$A339,T_PlannedOrders[WeekIndex],9)=0,"",SUMIFS(T_PlannedOrders[EffectiveQty],T_PlannedOrders[Part Name],$A339,T_PlannedOrders[WeekIndex],9)&amp;" ("&amp;TEXT(SUMPRODUCT(MAX((T_PlannedOrders[Part Name]=$A339)*(T_PlannedOrders[WeekIndex]=9)*(T_PlannedOrders[EffectiveQty]&gt;0)*T_PlannedOrders[Order_Month])),"m月")&amp;"発注)")</f>
        <v/>
      </c>
      <c r="M373">
        <f>IF(SUMIFS(T_PlannedOrders[EffectiveQty],T_PlannedOrders[Part Name],$A339,T_PlannedOrders[WeekIndex],10)=0,"",SUMIFS(T_PlannedOrders[EffectiveQty],T_PlannedOrders[Part Name],$A339,T_PlannedOrders[WeekIndex],10)&amp;" ("&amp;TEXT(SUMPRODUCT(MAX((T_PlannedOrders[Part Name]=$A339)*(T_PlannedOrders[WeekIndex]=10)*(T_PlannedOrders[EffectiveQty]&gt;0)*T_PlannedOrders[Order_Month])),"m月")&amp;"発注)")</f>
        <v/>
      </c>
      <c r="N373">
        <f>IF(SUMIFS(T_PlannedOrders[EffectiveQty],T_PlannedOrders[Part Name],$A339,T_PlannedOrders[WeekIndex],11)=0,"",SUMIFS(T_PlannedOrders[EffectiveQty],T_PlannedOrders[Part Name],$A339,T_PlannedOrders[WeekIndex],11)&amp;" ("&amp;TEXT(SUMPRODUCT(MAX((T_PlannedOrders[Part Name]=$A339)*(T_PlannedOrders[WeekIndex]=11)*(T_PlannedOrders[EffectiveQty]&gt;0)*T_PlannedOrders[Order_Month])),"m月")&amp;"発注)")</f>
        <v/>
      </c>
      <c r="O373">
        <f>IF(SUMIFS(T_PlannedOrders[EffectiveQty],T_PlannedOrders[Part Name],$A339,T_PlannedOrders[WeekIndex],12)=0,"",SUMIFS(T_PlannedOrders[EffectiveQty],T_PlannedOrders[Part Name],$A339,T_PlannedOrders[WeekIndex],12)&amp;" ("&amp;TEXT(SUMPRODUCT(MAX((T_PlannedOrders[Part Name]=$A339)*(T_PlannedOrders[WeekIndex]=12)*(T_PlannedOrders[EffectiveQty]&gt;0)*T_PlannedOrders[Order_Month])),"m月")&amp;"発注)")</f>
        <v/>
      </c>
      <c r="P373">
        <f>IF(SUMIFS(T_PlannedOrders[EffectiveQty],T_PlannedOrders[Part Name],$A339,T_PlannedOrders[WeekIndex],13)=0,"",SUMIFS(T_PlannedOrders[EffectiveQty],T_PlannedOrders[Part Name],$A339,T_PlannedOrders[WeekIndex],13)&amp;" ("&amp;TEXT(SUMPRODUCT(MAX((T_PlannedOrders[Part Name]=$A339)*(T_PlannedOrders[WeekIndex]=13)*(T_PlannedOrders[EffectiveQty]&gt;0)*T_PlannedOrders[Order_Month])),"m月")&amp;"発注)")</f>
        <v/>
      </c>
      <c r="Q373">
        <f>IF(SUMIFS(T_PlannedOrders[EffectiveQty],T_PlannedOrders[Part Name],$A339,T_PlannedOrders[WeekIndex],14)=0,"",SUMIFS(T_PlannedOrders[EffectiveQty],T_PlannedOrders[Part Name],$A339,T_PlannedOrders[WeekIndex],14)&amp;" ("&amp;TEXT(SUMPRODUCT(MAX((T_PlannedOrders[Part Name]=$A339)*(T_PlannedOrders[WeekIndex]=14)*(T_PlannedOrders[EffectiveQty]&gt;0)*T_PlannedOrders[Order_Month])),"m月")&amp;"発注)")</f>
        <v/>
      </c>
      <c r="R373">
        <f>IF(SUMIFS(T_PlannedOrders[EffectiveQty],T_PlannedOrders[Part Name],$A339,T_PlannedOrders[WeekIndex],15)=0,"",SUMIFS(T_PlannedOrders[EffectiveQty],T_PlannedOrders[Part Name],$A339,T_PlannedOrders[WeekIndex],15)&amp;" ("&amp;TEXT(SUMPRODUCT(MAX((T_PlannedOrders[Part Name]=$A339)*(T_PlannedOrders[WeekIndex]=15)*(T_PlannedOrders[EffectiveQty]&gt;0)*T_PlannedOrders[Order_Month])),"m月")&amp;"発注)")</f>
        <v/>
      </c>
      <c r="S373">
        <f>IF(SUMIFS(T_PlannedOrders[EffectiveQty],T_PlannedOrders[Part Name],$A339,T_PlannedOrders[WeekIndex],16)=0,"",SUMIFS(T_PlannedOrders[EffectiveQty],T_PlannedOrders[Part Name],$A339,T_PlannedOrders[WeekIndex],16)&amp;" ("&amp;TEXT(SUMPRODUCT(MAX((T_PlannedOrders[Part Name]=$A339)*(T_PlannedOrders[WeekIndex]=16)*(T_PlannedOrders[EffectiveQty]&gt;0)*T_PlannedOrders[Order_Month])),"m月")&amp;"発注)")</f>
        <v/>
      </c>
      <c r="T373">
        <f>IF(SUMIFS(T_PlannedOrders[EffectiveQty],T_PlannedOrders[Part Name],$A339,T_PlannedOrders[WeekIndex],17)=0,"",SUMIFS(T_PlannedOrders[EffectiveQty],T_PlannedOrders[Part Name],$A339,T_PlannedOrders[WeekIndex],17)&amp;" ("&amp;TEXT(SUMPRODUCT(MAX((T_PlannedOrders[Part Name]=$A339)*(T_PlannedOrders[WeekIndex]=17)*(T_PlannedOrders[EffectiveQty]&gt;0)*T_PlannedOrders[Order_Month])),"m月")&amp;"発注)")</f>
        <v/>
      </c>
      <c r="U373">
        <f>IF(SUMIFS(T_PlannedOrders[EffectiveQty],T_PlannedOrders[Part Name],$A339,T_PlannedOrders[WeekIndex],18)=0,"",SUMIFS(T_PlannedOrders[EffectiveQty],T_PlannedOrders[Part Name],$A339,T_PlannedOrders[WeekIndex],18)&amp;" ("&amp;TEXT(SUMPRODUCT(MAX((T_PlannedOrders[Part Name]=$A339)*(T_PlannedOrders[WeekIndex]=18)*(T_PlannedOrders[EffectiveQty]&gt;0)*T_PlannedOrders[Order_Month])),"m月")&amp;"発注)")</f>
        <v/>
      </c>
      <c r="V373">
        <f>IF(SUMIFS(T_PlannedOrders[EffectiveQty],T_PlannedOrders[Part Name],$A339,T_PlannedOrders[WeekIndex],19)=0,"",SUMIFS(T_PlannedOrders[EffectiveQty],T_PlannedOrders[Part Name],$A339,T_PlannedOrders[WeekIndex],19)&amp;" ("&amp;TEXT(SUMPRODUCT(MAX((T_PlannedOrders[Part Name]=$A339)*(T_PlannedOrders[WeekIndex]=19)*(T_PlannedOrders[EffectiveQty]&gt;0)*T_PlannedOrders[Order_Month])),"m月")&amp;"発注)")</f>
        <v/>
      </c>
      <c r="W373">
        <f>IF(SUMIFS(T_PlannedOrders[EffectiveQty],T_PlannedOrders[Part Name],$A339,T_PlannedOrders[WeekIndex],20)=0,"",SUMIFS(T_PlannedOrders[EffectiveQty],T_PlannedOrders[Part Name],$A339,T_PlannedOrders[WeekIndex],20)&amp;" ("&amp;TEXT(SUMPRODUCT(MAX((T_PlannedOrders[Part Name]=$A339)*(T_PlannedOrders[WeekIndex]=20)*(T_PlannedOrders[EffectiveQty]&gt;0)*T_PlannedOrders[Order_Month])),"m月")&amp;"発注)")</f>
        <v/>
      </c>
      <c r="X373">
        <f>IF(SUMIFS(T_PlannedOrders[EffectiveQty],T_PlannedOrders[Part Name],$A339,T_PlannedOrders[WeekIndex],21)=0,"",SUMIFS(T_PlannedOrders[EffectiveQty],T_PlannedOrders[Part Name],$A339,T_PlannedOrders[WeekIndex],21)&amp;" ("&amp;TEXT(SUMPRODUCT(MAX((T_PlannedOrders[Part Name]=$A339)*(T_PlannedOrders[WeekIndex]=21)*(T_PlannedOrders[EffectiveQty]&gt;0)*T_PlannedOrders[Order_Month])),"m月")&amp;"発注)")</f>
        <v/>
      </c>
      <c r="Y373">
        <f>IF(SUMIFS(T_PlannedOrders[EffectiveQty],T_PlannedOrders[Part Name],$A339,T_PlannedOrders[WeekIndex],22)=0,"",SUMIFS(T_PlannedOrders[EffectiveQty],T_PlannedOrders[Part Name],$A339,T_PlannedOrders[WeekIndex],22)&amp;" ("&amp;TEXT(SUMPRODUCT(MAX((T_PlannedOrders[Part Name]=$A339)*(T_PlannedOrders[WeekIndex]=22)*(T_PlannedOrders[EffectiveQty]&gt;0)*T_PlannedOrders[Order_Month])),"m月")&amp;"発注)")</f>
        <v/>
      </c>
      <c r="Z373">
        <f>IF(SUMIFS(T_PlannedOrders[EffectiveQty],T_PlannedOrders[Part Name],$A339,T_PlannedOrders[WeekIndex],23)=0,"",SUMIFS(T_PlannedOrders[EffectiveQty],T_PlannedOrders[Part Name],$A339,T_PlannedOrders[WeekIndex],23)&amp;" ("&amp;TEXT(SUMPRODUCT(MAX((T_PlannedOrders[Part Name]=$A339)*(T_PlannedOrders[WeekIndex]=23)*(T_PlannedOrders[EffectiveQty]&gt;0)*T_PlannedOrders[Order_Month])),"m月")&amp;"発注)")</f>
        <v/>
      </c>
      <c r="AA373">
        <f>IF(SUMIFS(T_PlannedOrders[EffectiveQty],T_PlannedOrders[Part Name],$A339,T_PlannedOrders[WeekIndex],24)=0,"",SUMIFS(T_PlannedOrders[EffectiveQty],T_PlannedOrders[Part Name],$A339,T_PlannedOrders[WeekIndex],24)&amp;" ("&amp;TEXT(SUMPRODUCT(MAX((T_PlannedOrders[Part Name]=$A339)*(T_PlannedOrders[WeekIndex]=24)*(T_PlannedOrders[EffectiveQty]&gt;0)*T_PlannedOrders[Order_Month])),"m月")&amp;"発注)")</f>
        <v/>
      </c>
      <c r="AB373">
        <f>IF(SUMIFS(T_PlannedOrders[EffectiveQty],T_PlannedOrders[Part Name],$A339,T_PlannedOrders[WeekIndex],25)=0,"",SUMIFS(T_PlannedOrders[EffectiveQty],T_PlannedOrders[Part Name],$A339,T_PlannedOrders[WeekIndex],25)&amp;" ("&amp;TEXT(SUMPRODUCT(MAX((T_PlannedOrders[Part Name]=$A339)*(T_PlannedOrders[WeekIndex]=25)*(T_PlannedOrders[EffectiveQty]&gt;0)*T_PlannedOrders[Order_Month])),"m月")&amp;"発注)")</f>
        <v/>
      </c>
      <c r="AC373">
        <f>IF(SUMIFS(T_PlannedOrders[EffectiveQty],T_PlannedOrders[Part Name],$A339,T_PlannedOrders[WeekIndex],26)=0,"",SUMIFS(T_PlannedOrders[EffectiveQty],T_PlannedOrders[Part Name],$A339,T_PlannedOrders[WeekIndex],26)&amp;" ("&amp;TEXT(SUMPRODUCT(MAX((T_PlannedOrders[Part Name]=$A339)*(T_PlannedOrders[WeekIndex]=26)*(T_PlannedOrders[EffectiveQty]&gt;0)*T_PlannedOrders[Order_Month])),"m月")&amp;"発注)")</f>
        <v/>
      </c>
      <c r="AD373">
        <f>IF(SUMIFS(T_PlannedOrders[EffectiveQty],T_PlannedOrders[Part Name],$A339,T_PlannedOrders[WeekIndex],27)=0,"",SUMIFS(T_PlannedOrders[EffectiveQty],T_PlannedOrders[Part Name],$A339,T_PlannedOrders[WeekIndex],27)&amp;" ("&amp;TEXT(SUMPRODUCT(MAX((T_PlannedOrders[Part Name]=$A339)*(T_PlannedOrders[WeekIndex]=27)*(T_PlannedOrders[EffectiveQty]&gt;0)*T_PlannedOrders[Order_Month])),"m月")&amp;"発注)")</f>
        <v/>
      </c>
      <c r="AE373">
        <f>IF(SUMIFS(T_PlannedOrders[EffectiveQty],T_PlannedOrders[Part Name],$A339,T_PlannedOrders[WeekIndex],28)=0,"",SUMIFS(T_PlannedOrders[EffectiveQty],T_PlannedOrders[Part Name],$A339,T_PlannedOrders[WeekIndex],28)&amp;" ("&amp;TEXT(SUMPRODUCT(MAX((T_PlannedOrders[Part Name]=$A339)*(T_PlannedOrders[WeekIndex]=28)*(T_PlannedOrders[EffectiveQty]&gt;0)*T_PlannedOrders[Order_Month])),"m月")&amp;"発注)")</f>
        <v/>
      </c>
      <c r="AF373">
        <f>IF(SUMIFS(T_PlannedOrders[EffectiveQty],T_PlannedOrders[Part Name],$A339,T_PlannedOrders[WeekIndex],29)=0,"",SUMIFS(T_PlannedOrders[EffectiveQty],T_PlannedOrders[Part Name],$A339,T_PlannedOrders[WeekIndex],29)&amp;" ("&amp;TEXT(SUMPRODUCT(MAX((T_PlannedOrders[Part Name]=$A339)*(T_PlannedOrders[WeekIndex]=29)*(T_PlannedOrders[EffectiveQty]&gt;0)*T_PlannedOrders[Order_Month])),"m月")&amp;"発注)")</f>
        <v/>
      </c>
      <c r="AG373">
        <f>IF(SUMIFS(T_PlannedOrders[EffectiveQty],T_PlannedOrders[Part Name],$A339,T_PlannedOrders[WeekIndex],30)=0,"",SUMIFS(T_PlannedOrders[EffectiveQty],T_PlannedOrders[Part Name],$A339,T_PlannedOrders[WeekIndex],30)&amp;" ("&amp;TEXT(SUMPRODUCT(MAX((T_PlannedOrders[Part Name]=$A339)*(T_PlannedOrders[WeekIndex]=30)*(T_PlannedOrders[EffectiveQty]&gt;0)*T_PlannedOrders[Order_Month])),"m月")&amp;"発注)")</f>
        <v/>
      </c>
      <c r="AH373">
        <f>IF(SUMIFS(T_PlannedOrders[EffectiveQty],T_PlannedOrders[Part Name],$A339,T_PlannedOrders[WeekIndex],31)=0,"",SUMIFS(T_PlannedOrders[EffectiveQty],T_PlannedOrders[Part Name],$A339,T_PlannedOrders[WeekIndex],31)&amp;" ("&amp;TEXT(SUMPRODUCT(MAX((T_PlannedOrders[Part Name]=$A339)*(T_PlannedOrders[WeekIndex]=31)*(T_PlannedOrders[EffectiveQty]&gt;0)*T_PlannedOrders[Order_Month])),"m月")&amp;"発注)")</f>
        <v/>
      </c>
      <c r="AI373">
        <f>IF(SUMIFS(T_PlannedOrders[EffectiveQty],T_PlannedOrders[Part Name],$A339,T_PlannedOrders[WeekIndex],32)=0,"",SUMIFS(T_PlannedOrders[EffectiveQty],T_PlannedOrders[Part Name],$A339,T_PlannedOrders[WeekIndex],32)&amp;" ("&amp;TEXT(SUMPRODUCT(MAX((T_PlannedOrders[Part Name]=$A339)*(T_PlannedOrders[WeekIndex]=32)*(T_PlannedOrders[EffectiveQty]&gt;0)*T_PlannedOrders[Order_Month])),"m月")&amp;"発注)")</f>
        <v/>
      </c>
      <c r="AJ373">
        <f>IF(SUMIFS(T_PlannedOrders[EffectiveQty],T_PlannedOrders[Part Name],$A339,T_PlannedOrders[WeekIndex],33)=0,"",SUMIFS(T_PlannedOrders[EffectiveQty],T_PlannedOrders[Part Name],$A339,T_PlannedOrders[WeekIndex],33)&amp;" ("&amp;TEXT(SUMPRODUCT(MAX((T_PlannedOrders[Part Name]=$A339)*(T_PlannedOrders[WeekIndex]=33)*(T_PlannedOrders[EffectiveQty]&gt;0)*T_PlannedOrders[Order_Month])),"m月")&amp;"発注)")</f>
        <v/>
      </c>
      <c r="AK373">
        <f>IF(SUMIFS(T_PlannedOrders[EffectiveQty],T_PlannedOrders[Part Name],$A339,T_PlannedOrders[WeekIndex],34)=0,"",SUMIFS(T_PlannedOrders[EffectiveQty],T_PlannedOrders[Part Name],$A339,T_PlannedOrders[WeekIndex],34)&amp;" ("&amp;TEXT(SUMPRODUCT(MAX((T_PlannedOrders[Part Name]=$A339)*(T_PlannedOrders[WeekIndex]=34)*(T_PlannedOrders[EffectiveQty]&gt;0)*T_PlannedOrders[Order_Month])),"m月")&amp;"発注)")</f>
        <v/>
      </c>
      <c r="AL373">
        <f>IF(SUMIFS(T_PlannedOrders[EffectiveQty],T_PlannedOrders[Part Name],$A339,T_PlannedOrders[WeekIndex],35)=0,"",SUMIFS(T_PlannedOrders[EffectiveQty],T_PlannedOrders[Part Name],$A339,T_PlannedOrders[WeekIndex],35)&amp;" ("&amp;TEXT(SUMPRODUCT(MAX((T_PlannedOrders[Part Name]=$A339)*(T_PlannedOrders[WeekIndex]=35)*(T_PlannedOrders[EffectiveQty]&gt;0)*T_PlannedOrders[Order_Month])),"m月")&amp;"発注)")</f>
        <v/>
      </c>
      <c r="AM373">
        <f>IF(SUMIFS(T_PlannedOrders[EffectiveQty],T_PlannedOrders[Part Name],$A339,T_PlannedOrders[WeekIndex],36)=0,"",SUMIFS(T_PlannedOrders[EffectiveQty],T_PlannedOrders[Part Name],$A339,T_PlannedOrders[WeekIndex],36)&amp;" ("&amp;TEXT(SUMPRODUCT(MAX((T_PlannedOrders[Part Name]=$A339)*(T_PlannedOrders[WeekIndex]=36)*(T_PlannedOrders[EffectiveQty]&gt;0)*T_PlannedOrders[Order_Month])),"m月")&amp;"発注)")</f>
        <v/>
      </c>
      <c r="AN373">
        <f>IF(SUMIFS(T_PlannedOrders[EffectiveQty],T_PlannedOrders[Part Name],$A339,T_PlannedOrders[WeekIndex],37)=0,"",SUMIFS(T_PlannedOrders[EffectiveQty],T_PlannedOrders[Part Name],$A339,T_PlannedOrders[WeekIndex],37)&amp;" ("&amp;TEXT(SUMPRODUCT(MAX((T_PlannedOrders[Part Name]=$A339)*(T_PlannedOrders[WeekIndex]=37)*(T_PlannedOrders[EffectiveQty]&gt;0)*T_PlannedOrders[Order_Month])),"m月")&amp;"発注)")</f>
        <v/>
      </c>
      <c r="AO373">
        <f>IF(SUMIFS(T_PlannedOrders[EffectiveQty],T_PlannedOrders[Part Name],$A339,T_PlannedOrders[WeekIndex],38)=0,"",SUMIFS(T_PlannedOrders[EffectiveQty],T_PlannedOrders[Part Name],$A339,T_PlannedOrders[WeekIndex],38)&amp;" ("&amp;TEXT(SUMPRODUCT(MAX((T_PlannedOrders[Part Name]=$A339)*(T_PlannedOrders[WeekIndex]=38)*(T_PlannedOrders[EffectiveQty]&gt;0)*T_PlannedOrders[Order_Month])),"m月")&amp;"発注)")</f>
        <v/>
      </c>
      <c r="AP373">
        <f>IF(SUMIFS(T_PlannedOrders[EffectiveQty],T_PlannedOrders[Part Name],$A339,T_PlannedOrders[WeekIndex],39)=0,"",SUMIFS(T_PlannedOrders[EffectiveQty],T_PlannedOrders[Part Name],$A339,T_PlannedOrders[WeekIndex],39)&amp;" ("&amp;TEXT(SUMPRODUCT(MAX((T_PlannedOrders[Part Name]=$A339)*(T_PlannedOrders[WeekIndex]=39)*(T_PlannedOrders[EffectiveQty]&gt;0)*T_PlannedOrders[Order_Month])),"m月")&amp;"発注)")</f>
        <v/>
      </c>
      <c r="AQ373">
        <f>IF(SUMIFS(T_PlannedOrders[EffectiveQty],T_PlannedOrders[Part Name],$A339,T_PlannedOrders[WeekIndex],40)=0,"",SUMIFS(T_PlannedOrders[EffectiveQty],T_PlannedOrders[Part Name],$A339,T_PlannedOrders[WeekIndex],40)&amp;" ("&amp;TEXT(SUMPRODUCT(MAX((T_PlannedOrders[Part Name]=$A339)*(T_PlannedOrders[WeekIndex]=40)*(T_PlannedOrders[EffectiveQty]&gt;0)*T_PlannedOrders[Order_Month])),"m月")&amp;"発注)")</f>
        <v/>
      </c>
      <c r="AR373">
        <f>IF(SUMIFS(T_PlannedOrders[EffectiveQty],T_PlannedOrders[Part Name],$A339,T_PlannedOrders[WeekIndex],41)=0,"",SUMIFS(T_PlannedOrders[EffectiveQty],T_PlannedOrders[Part Name],$A339,T_PlannedOrders[WeekIndex],41)&amp;" ("&amp;TEXT(SUMPRODUCT(MAX((T_PlannedOrders[Part Name]=$A339)*(T_PlannedOrders[WeekIndex]=41)*(T_PlannedOrders[EffectiveQty]&gt;0)*T_PlannedOrders[Order_Month])),"m月")&amp;"発注)")</f>
        <v/>
      </c>
      <c r="AS373">
        <f>IF(SUMIFS(T_PlannedOrders[EffectiveQty],T_PlannedOrders[Part Name],$A339,T_PlannedOrders[WeekIndex],42)=0,"",SUMIFS(T_PlannedOrders[EffectiveQty],T_PlannedOrders[Part Name],$A339,T_PlannedOrders[WeekIndex],42)&amp;" ("&amp;TEXT(SUMPRODUCT(MAX((T_PlannedOrders[Part Name]=$A339)*(T_PlannedOrders[WeekIndex]=42)*(T_PlannedOrders[EffectiveQty]&gt;0)*T_PlannedOrders[Order_Month])),"m月")&amp;"発注)")</f>
        <v/>
      </c>
      <c r="AT373">
        <f>IF(SUMIFS(T_PlannedOrders[EffectiveQty],T_PlannedOrders[Part Name],$A339,T_PlannedOrders[WeekIndex],43)=0,"",SUMIFS(T_PlannedOrders[EffectiveQty],T_PlannedOrders[Part Name],$A339,T_PlannedOrders[WeekIndex],43)&amp;" ("&amp;TEXT(SUMPRODUCT(MAX((T_PlannedOrders[Part Name]=$A339)*(T_PlannedOrders[WeekIndex]=43)*(T_PlannedOrders[EffectiveQty]&gt;0)*T_PlannedOrders[Order_Month])),"m月")&amp;"発注)")</f>
        <v/>
      </c>
      <c r="AU373">
        <f>IF(SUMIFS(T_PlannedOrders[EffectiveQty],T_PlannedOrders[Part Name],$A339,T_PlannedOrders[WeekIndex],44)=0,"",SUMIFS(T_PlannedOrders[EffectiveQty],T_PlannedOrders[Part Name],$A339,T_PlannedOrders[WeekIndex],44)&amp;" ("&amp;TEXT(SUMPRODUCT(MAX((T_PlannedOrders[Part Name]=$A339)*(T_PlannedOrders[WeekIndex]=44)*(T_PlannedOrders[EffectiveQty]&gt;0)*T_PlannedOrders[Order_Month])),"m月")&amp;"発注)")</f>
        <v/>
      </c>
      <c r="AV373">
        <f>IF(SUMIFS(T_PlannedOrders[EffectiveQty],T_PlannedOrders[Part Name],$A339,T_PlannedOrders[WeekIndex],45)=0,"",SUMIFS(T_PlannedOrders[EffectiveQty],T_PlannedOrders[Part Name],$A339,T_PlannedOrders[WeekIndex],45)&amp;" ("&amp;TEXT(SUMPRODUCT(MAX((T_PlannedOrders[Part Name]=$A339)*(T_PlannedOrders[WeekIndex]=45)*(T_PlannedOrders[EffectiveQty]&gt;0)*T_PlannedOrders[Order_Month])),"m月")&amp;"発注)")</f>
        <v/>
      </c>
      <c r="AW373">
        <f>IF(SUMIFS(T_PlannedOrders[EffectiveQty],T_PlannedOrders[Part Name],$A339,T_PlannedOrders[WeekIndex],46)=0,"",SUMIFS(T_PlannedOrders[EffectiveQty],T_PlannedOrders[Part Name],$A339,T_PlannedOrders[WeekIndex],46)&amp;" ("&amp;TEXT(SUMPRODUCT(MAX((T_PlannedOrders[Part Name]=$A339)*(T_PlannedOrders[WeekIndex]=46)*(T_PlannedOrders[EffectiveQty]&gt;0)*T_PlannedOrders[Order_Month])),"m月")&amp;"発注)")</f>
        <v/>
      </c>
      <c r="AX373">
        <f>IF(SUMIFS(T_PlannedOrders[EffectiveQty],T_PlannedOrders[Part Name],$A339,T_PlannedOrders[WeekIndex],47)=0,"",SUMIFS(T_PlannedOrders[EffectiveQty],T_PlannedOrders[Part Name],$A339,T_PlannedOrders[WeekIndex],47)&amp;" ("&amp;TEXT(SUMPRODUCT(MAX((T_PlannedOrders[Part Name]=$A339)*(T_PlannedOrders[WeekIndex]=47)*(T_PlannedOrders[EffectiveQty]&gt;0)*T_PlannedOrders[Order_Month])),"m月")&amp;"発注)")</f>
        <v/>
      </c>
      <c r="AY373">
        <f>IF(SUMIFS(T_PlannedOrders[EffectiveQty],T_PlannedOrders[Part Name],$A339,T_PlannedOrders[WeekIndex],48)=0,"",SUMIFS(T_PlannedOrders[EffectiveQty],T_PlannedOrders[Part Name],$A339,T_PlannedOrders[WeekIndex],48)&amp;" ("&amp;TEXT(SUMPRODUCT(MAX((T_PlannedOrders[Part Name]=$A339)*(T_PlannedOrders[WeekIndex]=48)*(T_PlannedOrders[EffectiveQty]&gt;0)*T_PlannedOrders[Order_Month])),"m月")&amp;"発注)")</f>
        <v/>
      </c>
      <c r="AZ373">
        <f>IF(SUMIFS(T_PlannedOrders[EffectiveQty],T_PlannedOrders[Part Name],$A339,T_PlannedOrders[WeekIndex],49)=0,"",SUMIFS(T_PlannedOrders[EffectiveQty],T_PlannedOrders[Part Name],$A339,T_PlannedOrders[WeekIndex],49)&amp;" ("&amp;TEXT(SUMPRODUCT(MAX((T_PlannedOrders[Part Name]=$A339)*(T_PlannedOrders[WeekIndex]=49)*(T_PlannedOrders[EffectiveQty]&gt;0)*T_PlannedOrders[Order_Month])),"m月")&amp;"発注)")</f>
        <v/>
      </c>
      <c r="BA373">
        <f>IF(SUMIFS(T_PlannedOrders[EffectiveQty],T_PlannedOrders[Part Name],$A339,T_PlannedOrders[WeekIndex],50)=0,"",SUMIFS(T_PlannedOrders[EffectiveQty],T_PlannedOrders[Part Name],$A339,T_PlannedOrders[WeekIndex],50)&amp;" ("&amp;TEXT(SUMPRODUCT(MAX((T_PlannedOrders[Part Name]=$A339)*(T_PlannedOrders[WeekIndex]=50)*(T_PlannedOrders[EffectiveQty]&gt;0)*T_PlannedOrders[Order_Month])),"m月")&amp;"発注)")</f>
        <v/>
      </c>
      <c r="BB373">
        <f>IF(SUMIFS(T_PlannedOrders[EffectiveQty],T_PlannedOrders[Part Name],$A339,T_PlannedOrders[WeekIndex],51)=0,"",SUMIFS(T_PlannedOrders[EffectiveQty],T_PlannedOrders[Part Name],$A339,T_PlannedOrders[WeekIndex],51)&amp;" ("&amp;TEXT(SUMPRODUCT(MAX((T_PlannedOrders[Part Name]=$A339)*(T_PlannedOrders[WeekIndex]=51)*(T_PlannedOrders[EffectiveQty]&gt;0)*T_PlannedOrders[Order_Month])),"m月")&amp;"発注)")</f>
        <v/>
      </c>
      <c r="BC373">
        <f>IF(SUMIFS(T_PlannedOrders[EffectiveQty],T_PlannedOrders[Part Name],$A339,T_PlannedOrders[WeekIndex],52)=0,"",SUMIFS(T_PlannedOrders[EffectiveQty],T_PlannedOrders[Part Name],$A339,T_PlannedOrders[WeekIndex],52)&amp;" ("&amp;TEXT(SUMPRODUCT(MAX((T_PlannedOrders[Part Name]=$A339)*(T_PlannedOrders[WeekIndex]=52)*(T_PlannedOrders[EffectiveQty]&gt;0)*T_PlannedOrders[Order_Month])),"m月")&amp;"発注)")</f>
        <v/>
      </c>
      <c r="BD373">
        <f>IF(SUMIFS(T_PlannedOrders[EffectiveQty],T_PlannedOrders[Part Name],$A339,T_PlannedOrders[WeekIndex],53)=0,"",SUMIFS(T_PlannedOrders[EffectiveQty],T_PlannedOrders[Part Name],$A339,T_PlannedOrders[WeekIndex],53)&amp;" ("&amp;TEXT(SUMPRODUCT(MAX((T_PlannedOrders[Part Name]=$A339)*(T_PlannedOrders[WeekIndex]=53)*(T_PlannedOrders[EffectiveQty]&gt;0)*T_PlannedOrders[Order_Month])),"m月")&amp;"発注)")</f>
        <v/>
      </c>
      <c r="BE373">
        <f>IF(SUMIFS(T_PlannedOrders[EffectiveQty],T_PlannedOrders[Part Name],$A339,T_PlannedOrders[WeekIndex],54)=0,"",SUMIFS(T_PlannedOrders[EffectiveQty],T_PlannedOrders[Part Name],$A339,T_PlannedOrders[WeekIndex],54)&amp;" ("&amp;TEXT(SUMPRODUCT(MAX((T_PlannedOrders[Part Name]=$A339)*(T_PlannedOrders[WeekIndex]=54)*(T_PlannedOrders[EffectiveQty]&gt;0)*T_PlannedOrders[Order_Month])),"m月")&amp;"発注)")</f>
        <v/>
      </c>
      <c r="BF373">
        <f>IF(SUMIFS(T_PlannedOrders[EffectiveQty],T_PlannedOrders[Part Name],$A339,T_PlannedOrders[WeekIndex],55)=0,"",SUMIFS(T_PlannedOrders[EffectiveQty],T_PlannedOrders[Part Name],$A339,T_PlannedOrders[WeekIndex],55)&amp;" ("&amp;TEXT(SUMPRODUCT(MAX((T_PlannedOrders[Part Name]=$A339)*(T_PlannedOrders[WeekIndex]=55)*(T_PlannedOrders[EffectiveQty]&gt;0)*T_PlannedOrders[Order_Month])),"m月")&amp;"発注)")</f>
        <v/>
      </c>
      <c r="BG373">
        <f>IF(SUMIFS(T_PlannedOrders[EffectiveQty],T_PlannedOrders[Part Name],$A339,T_PlannedOrders[WeekIndex],56)=0,"",SUMIFS(T_PlannedOrders[EffectiveQty],T_PlannedOrders[Part Name],$A339,T_PlannedOrders[WeekIndex],56)&amp;" ("&amp;TEXT(SUMPRODUCT(MAX((T_PlannedOrders[Part Name]=$A339)*(T_PlannedOrders[WeekIndex]=56)*(T_PlannedOrders[EffectiveQty]&gt;0)*T_PlannedOrders[Order_Month])),"m月")&amp;"発注)")</f>
        <v/>
      </c>
      <c r="BH373">
        <f>IF(SUMIFS(T_PlannedOrders[EffectiveQty],T_PlannedOrders[Part Name],$A339,T_PlannedOrders[WeekIndex],57)=0,"",SUMIFS(T_PlannedOrders[EffectiveQty],T_PlannedOrders[Part Name],$A339,T_PlannedOrders[WeekIndex],57)&amp;" ("&amp;TEXT(SUMPRODUCT(MAX((T_PlannedOrders[Part Name]=$A339)*(T_PlannedOrders[WeekIndex]=57)*(T_PlannedOrders[EffectiveQty]&gt;0)*T_PlannedOrders[Order_Month])),"m月")&amp;"発注)")</f>
        <v/>
      </c>
      <c r="BI373">
        <f>IF(SUMIFS(T_PlannedOrders[EffectiveQty],T_PlannedOrders[Part Name],$A339,T_PlannedOrders[WeekIndex],58)=0,"",SUMIFS(T_PlannedOrders[EffectiveQty],T_PlannedOrders[Part Name],$A339,T_PlannedOrders[WeekIndex],58)&amp;" ("&amp;TEXT(SUMPRODUCT(MAX((T_PlannedOrders[Part Name]=$A339)*(T_PlannedOrders[WeekIndex]=58)*(T_PlannedOrders[EffectiveQty]&gt;0)*T_PlannedOrders[Order_Month])),"m月")&amp;"発注)")</f>
        <v/>
      </c>
      <c r="BJ373">
        <f>IF(SUMIFS(T_PlannedOrders[EffectiveQty],T_PlannedOrders[Part Name],$A339,T_PlannedOrders[WeekIndex],59)=0,"",SUMIFS(T_PlannedOrders[EffectiveQty],T_PlannedOrders[Part Name],$A339,T_PlannedOrders[WeekIndex],59)&amp;" ("&amp;TEXT(SUMPRODUCT(MAX((T_PlannedOrders[Part Name]=$A339)*(T_PlannedOrders[WeekIndex]=59)*(T_PlannedOrders[EffectiveQty]&gt;0)*T_PlannedOrders[Order_Month])),"m月")&amp;"発注)")</f>
        <v/>
      </c>
      <c r="BK373">
        <f>IF(SUMIFS(T_PlannedOrders[EffectiveQty],T_PlannedOrders[Part Name],$A339,T_PlannedOrders[WeekIndex],60)=0,"",SUMIFS(T_PlannedOrders[EffectiveQty],T_PlannedOrders[Part Name],$A339,T_PlannedOrders[WeekIndex],60)&amp;" ("&amp;TEXT(SUMPRODUCT(MAX((T_PlannedOrders[Part Name]=$A339)*(T_PlannedOrders[WeekIndex]=60)*(T_PlannedOrders[EffectiveQty]&gt;0)*T_PlannedOrders[Order_Month])),"m月")&amp;"発注)")</f>
        <v/>
      </c>
      <c r="BL373">
        <f>IF(SUMIFS(T_PlannedOrders[EffectiveQty],T_PlannedOrders[Part Name],$A339,T_PlannedOrders[WeekIndex],61)=0,"",SUMIFS(T_PlannedOrders[EffectiveQty],T_PlannedOrders[Part Name],$A339,T_PlannedOrders[WeekIndex],61)&amp;" ("&amp;TEXT(SUMPRODUCT(MAX((T_PlannedOrders[Part Name]=$A339)*(T_PlannedOrders[WeekIndex]=61)*(T_PlannedOrders[EffectiveQty]&gt;0)*T_PlannedOrders[Order_Month])),"m月")&amp;"発注)")</f>
        <v/>
      </c>
      <c r="BM373">
        <f>IF(SUMIFS(T_PlannedOrders[EffectiveQty],T_PlannedOrders[Part Name],$A339,T_PlannedOrders[WeekIndex],62)=0,"",SUMIFS(T_PlannedOrders[EffectiveQty],T_PlannedOrders[Part Name],$A339,T_PlannedOrders[WeekIndex],62)&amp;" ("&amp;TEXT(SUMPRODUCT(MAX((T_PlannedOrders[Part Name]=$A339)*(T_PlannedOrders[WeekIndex]=62)*(T_PlannedOrders[EffectiveQty]&gt;0)*T_PlannedOrders[Order_Month])),"m月")&amp;"発注)")</f>
        <v/>
      </c>
      <c r="BN373">
        <f>IF(SUMIFS(T_PlannedOrders[EffectiveQty],T_PlannedOrders[Part Name],$A339,T_PlannedOrders[WeekIndex],63)=0,"",SUMIFS(T_PlannedOrders[EffectiveQty],T_PlannedOrders[Part Name],$A339,T_PlannedOrders[WeekIndex],63)&amp;" ("&amp;TEXT(SUMPRODUCT(MAX((T_PlannedOrders[Part Name]=$A339)*(T_PlannedOrders[WeekIndex]=63)*(T_PlannedOrders[EffectiveQty]&gt;0)*T_PlannedOrders[Order_Month])),"m月")&amp;"発注)")</f>
        <v/>
      </c>
      <c r="BO373">
        <f>IF(SUMIFS(T_PlannedOrders[EffectiveQty],T_PlannedOrders[Part Name],$A339,T_PlannedOrders[WeekIndex],64)=0,"",SUMIFS(T_PlannedOrders[EffectiveQty],T_PlannedOrders[Part Name],$A339,T_PlannedOrders[WeekIndex],64)&amp;" ("&amp;TEXT(SUMPRODUCT(MAX((T_PlannedOrders[Part Name]=$A339)*(T_PlannedOrders[WeekIndex]=64)*(T_PlannedOrders[EffectiveQty]&gt;0)*T_PlannedOrders[Order_Month])),"m月")&amp;"発注)")</f>
        <v/>
      </c>
      <c r="BP373">
        <f>IF(SUMIFS(T_PlannedOrders[EffectiveQty],T_PlannedOrders[Part Name],$A339,T_PlannedOrders[WeekIndex],65)=0,"",SUMIFS(T_PlannedOrders[EffectiveQty],T_PlannedOrders[Part Name],$A339,T_PlannedOrders[WeekIndex],65)&amp;" ("&amp;TEXT(SUMPRODUCT(MAX((T_PlannedOrders[Part Name]=$A339)*(T_PlannedOrders[WeekIndex]=65)*(T_PlannedOrders[EffectiveQty]&gt;0)*T_PlannedOrders[Order_Month])),"m月")&amp;"発注)")</f>
        <v/>
      </c>
      <c r="BQ373">
        <f>IF(SUMIFS(T_PlannedOrders[EffectiveQty],T_PlannedOrders[Part Name],$A339,T_PlannedOrders[WeekIndex],66)=0,"",SUMIFS(T_PlannedOrders[EffectiveQty],T_PlannedOrders[Part Name],$A339,T_PlannedOrders[WeekIndex],66)&amp;" ("&amp;TEXT(SUMPRODUCT(MAX((T_PlannedOrders[Part Name]=$A339)*(T_PlannedOrders[WeekIndex]=66)*(T_PlannedOrders[EffectiveQty]&gt;0)*T_PlannedOrders[Order_Month])),"m月")&amp;"発注)")</f>
        <v/>
      </c>
      <c r="BR373">
        <f>IF(SUMIFS(T_PlannedOrders[EffectiveQty],T_PlannedOrders[Part Name],$A339,T_PlannedOrders[WeekIndex],67)=0,"",SUMIFS(T_PlannedOrders[EffectiveQty],T_PlannedOrders[Part Name],$A339,T_PlannedOrders[WeekIndex],67)&amp;" ("&amp;TEXT(SUMPRODUCT(MAX((T_PlannedOrders[Part Name]=$A339)*(T_PlannedOrders[WeekIndex]=67)*(T_PlannedOrders[EffectiveQty]&gt;0)*T_PlannedOrders[Order_Month])),"m月")&amp;"発注)")</f>
        <v/>
      </c>
      <c r="BS373">
        <f>IF(SUMIFS(T_PlannedOrders[EffectiveQty],T_PlannedOrders[Part Name],$A339,T_PlannedOrders[WeekIndex],68)=0,"",SUMIFS(T_PlannedOrders[EffectiveQty],T_PlannedOrders[Part Name],$A339,T_PlannedOrders[WeekIndex],68)&amp;" ("&amp;TEXT(SUMPRODUCT(MAX((T_PlannedOrders[Part Name]=$A339)*(T_PlannedOrders[WeekIndex]=68)*(T_PlannedOrders[EffectiveQty]&gt;0)*T_PlannedOrders[Order_Month])),"m月")&amp;"発注)")</f>
        <v/>
      </c>
      <c r="BT373">
        <f>IF(SUMIFS(T_PlannedOrders[EffectiveQty],T_PlannedOrders[Part Name],$A339,T_PlannedOrders[WeekIndex],69)=0,"",SUMIFS(T_PlannedOrders[EffectiveQty],T_PlannedOrders[Part Name],$A339,T_PlannedOrders[WeekIndex],69)&amp;" ("&amp;TEXT(SUMPRODUCT(MAX((T_PlannedOrders[Part Name]=$A339)*(T_PlannedOrders[WeekIndex]=69)*(T_PlannedOrders[EffectiveQty]&gt;0)*T_PlannedOrders[Order_Month])),"m月")&amp;"発注)")</f>
        <v/>
      </c>
      <c r="BU373">
        <f>IF(SUMIFS(T_PlannedOrders[EffectiveQty],T_PlannedOrders[Part Name],$A339,T_PlannedOrders[WeekIndex],70)=0,"",SUMIFS(T_PlannedOrders[EffectiveQty],T_PlannedOrders[Part Name],$A339,T_PlannedOrders[WeekIndex],70)&amp;" ("&amp;TEXT(SUMPRODUCT(MAX((T_PlannedOrders[Part Name]=$A339)*(T_PlannedOrders[WeekIndex]=70)*(T_PlannedOrders[EffectiveQty]&gt;0)*T_PlannedOrders[Order_Month])),"m月")&amp;"発注)")</f>
        <v/>
      </c>
      <c r="BV373">
        <f>IF(SUMIFS(T_PlannedOrders[EffectiveQty],T_PlannedOrders[Part Name],$A339,T_PlannedOrders[WeekIndex],71)=0,"",SUMIFS(T_PlannedOrders[EffectiveQty],T_PlannedOrders[Part Name],$A339,T_PlannedOrders[WeekIndex],71)&amp;" ("&amp;TEXT(SUMPRODUCT(MAX((T_PlannedOrders[Part Name]=$A339)*(T_PlannedOrders[WeekIndex]=71)*(T_PlannedOrders[EffectiveQty]&gt;0)*T_PlannedOrders[Order_Month])),"m月")&amp;"発注)")</f>
        <v/>
      </c>
      <c r="BW373">
        <f>IF(SUMIFS(T_PlannedOrders[EffectiveQty],T_PlannedOrders[Part Name],$A339,T_PlannedOrders[WeekIndex],72)=0,"",SUMIFS(T_PlannedOrders[EffectiveQty],T_PlannedOrders[Part Name],$A339,T_PlannedOrders[WeekIndex],72)&amp;" ("&amp;TEXT(SUMPRODUCT(MAX((T_PlannedOrders[Part Name]=$A339)*(T_PlannedOrders[WeekIndex]=72)*(T_PlannedOrders[EffectiveQty]&gt;0)*T_PlannedOrders[Order_Month])),"m月")&amp;"発注)")</f>
        <v/>
      </c>
      <c r="BX373">
        <f>IF(SUMIFS(T_PlannedOrders[EffectiveQty],T_PlannedOrders[Part Name],$A339,T_PlannedOrders[WeekIndex],73)=0,"",SUMIFS(T_PlannedOrders[EffectiveQty],T_PlannedOrders[Part Name],$A339,T_PlannedOrders[WeekIndex],73)&amp;" ("&amp;TEXT(SUMPRODUCT(MAX((T_PlannedOrders[Part Name]=$A339)*(T_PlannedOrders[WeekIndex]=73)*(T_PlannedOrders[EffectiveQty]&gt;0)*T_PlannedOrders[Order_Month])),"m月")&amp;"発注)")</f>
        <v/>
      </c>
      <c r="BY373">
        <f>IF(SUMIFS(T_PlannedOrders[EffectiveQty],T_PlannedOrders[Part Name],$A339,T_PlannedOrders[WeekIndex],74)=0,"",SUMIFS(T_PlannedOrders[EffectiveQty],T_PlannedOrders[Part Name],$A339,T_PlannedOrders[WeekIndex],74)&amp;" ("&amp;TEXT(SUMPRODUCT(MAX((T_PlannedOrders[Part Name]=$A339)*(T_PlannedOrders[WeekIndex]=74)*(T_PlannedOrders[EffectiveQty]&gt;0)*T_PlannedOrders[Order_Month])),"m月")&amp;"発注)")</f>
        <v/>
      </c>
      <c r="BZ373">
        <f>IF(SUMIFS(T_PlannedOrders[EffectiveQty],T_PlannedOrders[Part Name],$A339,T_PlannedOrders[WeekIndex],75)=0,"",SUMIFS(T_PlannedOrders[EffectiveQty],T_PlannedOrders[Part Name],$A339,T_PlannedOrders[WeekIndex],75)&amp;" ("&amp;TEXT(SUMPRODUCT(MAX((T_PlannedOrders[Part Name]=$A339)*(T_PlannedOrders[WeekIndex]=75)*(T_PlannedOrders[EffectiveQty]&gt;0)*T_PlannedOrders[Order_Month])),"m月")&amp;"発注)")</f>
        <v/>
      </c>
      <c r="CA373">
        <f>IF(SUMIFS(T_PlannedOrders[EffectiveQty],T_PlannedOrders[Part Name],$A339,T_PlannedOrders[WeekIndex],76)=0,"",SUMIFS(T_PlannedOrders[EffectiveQty],T_PlannedOrders[Part Name],$A339,T_PlannedOrders[WeekIndex],76)&amp;" ("&amp;TEXT(SUMPRODUCT(MAX((T_PlannedOrders[Part Name]=$A339)*(T_PlannedOrders[WeekIndex]=76)*(T_PlannedOrders[EffectiveQty]&gt;0)*T_PlannedOrders[Order_Month])),"m月")&amp;"発注)")</f>
        <v/>
      </c>
      <c r="CB373">
        <f>IF(SUMIFS(T_PlannedOrders[EffectiveQty],T_PlannedOrders[Part Name],$A339,T_PlannedOrders[WeekIndex],77)=0,"",SUMIFS(T_PlannedOrders[EffectiveQty],T_PlannedOrders[Part Name],$A339,T_PlannedOrders[WeekIndex],77)&amp;" ("&amp;TEXT(SUMPRODUCT(MAX((T_PlannedOrders[Part Name]=$A339)*(T_PlannedOrders[WeekIndex]=77)*(T_PlannedOrders[EffectiveQty]&gt;0)*T_PlannedOrders[Order_Month])),"m月")&amp;"発注)")</f>
        <v/>
      </c>
      <c r="CC373">
        <f>IF(SUMIFS(T_PlannedOrders[EffectiveQty],T_PlannedOrders[Part Name],$A339,T_PlannedOrders[WeekIndex],78)=0,"",SUMIFS(T_PlannedOrders[EffectiveQty],T_PlannedOrders[Part Name],$A339,T_PlannedOrders[WeekIndex],78)&amp;" ("&amp;TEXT(SUMPRODUCT(MAX((T_PlannedOrders[Part Name]=$A339)*(T_PlannedOrders[WeekIndex]=78)*(T_PlannedOrders[EffectiveQty]&gt;0)*T_PlannedOrders[Order_Month])),"m月")&amp;"発注)")</f>
        <v/>
      </c>
      <c r="CD373">
        <f>IF(SUMIFS(T_PlannedOrders[EffectiveQty],T_PlannedOrders[Part Name],$A339,T_PlannedOrders[WeekIndex],79)=0,"",SUMIFS(T_PlannedOrders[EffectiveQty],T_PlannedOrders[Part Name],$A339,T_PlannedOrders[WeekIndex],79)&amp;" ("&amp;TEXT(SUMPRODUCT(MAX((T_PlannedOrders[Part Name]=$A339)*(T_PlannedOrders[WeekIndex]=79)*(T_PlannedOrders[EffectiveQty]&gt;0)*T_PlannedOrders[Order_Month])),"m月")&amp;"発注)")</f>
        <v/>
      </c>
      <c r="CE373">
        <f>IF(SUMIFS(T_PlannedOrders[EffectiveQty],T_PlannedOrders[Part Name],$A339,T_PlannedOrders[WeekIndex],80)=0,"",SUMIFS(T_PlannedOrders[EffectiveQty],T_PlannedOrders[Part Name],$A339,T_PlannedOrders[WeekIndex],80)&amp;" ("&amp;TEXT(SUMPRODUCT(MAX((T_PlannedOrders[Part Name]=$A339)*(T_PlannedOrders[WeekIndex]=80)*(T_PlannedOrders[EffectiveQty]&gt;0)*T_PlannedOrders[Order_Month])),"m月")&amp;"発注)")</f>
        <v/>
      </c>
      <c r="CF373">
        <f>IF(SUMIFS(T_PlannedOrders[EffectiveQty],T_PlannedOrders[Part Name],$A339,T_PlannedOrders[WeekIndex],81)=0,"",SUMIFS(T_PlannedOrders[EffectiveQty],T_PlannedOrders[Part Name],$A339,T_PlannedOrders[WeekIndex],81)&amp;" ("&amp;TEXT(SUMPRODUCT(MAX((T_PlannedOrders[Part Name]=$A339)*(T_PlannedOrders[WeekIndex]=81)*(T_PlannedOrders[EffectiveQty]&gt;0)*T_PlannedOrders[Order_Month])),"m月")&amp;"発注)")</f>
        <v/>
      </c>
      <c r="CG373">
        <f>IF(SUMIFS(T_PlannedOrders[EffectiveQty],T_PlannedOrders[Part Name],$A339,T_PlannedOrders[WeekIndex],82)=0,"",SUMIFS(T_PlannedOrders[EffectiveQty],T_PlannedOrders[Part Name],$A339,T_PlannedOrders[WeekIndex],82)&amp;" ("&amp;TEXT(SUMPRODUCT(MAX((T_PlannedOrders[Part Name]=$A339)*(T_PlannedOrders[WeekIndex]=82)*(T_PlannedOrders[EffectiveQty]&gt;0)*T_PlannedOrders[Order_Month])),"m月")&amp;"発注)")</f>
        <v/>
      </c>
      <c r="CH373">
        <f>IF(SUMIFS(T_PlannedOrders[EffectiveQty],T_PlannedOrders[Part Name],$A339,T_PlannedOrders[WeekIndex],83)=0,"",SUMIFS(T_PlannedOrders[EffectiveQty],T_PlannedOrders[Part Name],$A339,T_PlannedOrders[WeekIndex],83)&amp;" ("&amp;TEXT(SUMPRODUCT(MAX((T_PlannedOrders[Part Name]=$A339)*(T_PlannedOrders[WeekIndex]=83)*(T_PlannedOrders[EffectiveQty]&gt;0)*T_PlannedOrders[Order_Month])),"m月")&amp;"発注)")</f>
        <v/>
      </c>
      <c r="CI373">
        <f>IF(SUMIFS(T_PlannedOrders[EffectiveQty],T_PlannedOrders[Part Name],$A339,T_PlannedOrders[WeekIndex],84)=0,"",SUMIFS(T_PlannedOrders[EffectiveQty],T_PlannedOrders[Part Name],$A339,T_PlannedOrders[WeekIndex],84)&amp;" ("&amp;TEXT(SUMPRODUCT(MAX((T_PlannedOrders[Part Name]=$A339)*(T_PlannedOrders[WeekIndex]=84)*(T_PlannedOrders[EffectiveQty]&gt;0)*T_PlannedOrders[Order_Month])),"m月")&amp;"発注)")</f>
        <v/>
      </c>
      <c r="CJ373">
        <f>IF(SUMIFS(T_PlannedOrders[EffectiveQty],T_PlannedOrders[Part Name],$A339,T_PlannedOrders[WeekIndex],85)=0,"",SUMIFS(T_PlannedOrders[EffectiveQty],T_PlannedOrders[Part Name],$A339,T_PlannedOrders[WeekIndex],85)&amp;" ("&amp;TEXT(SUMPRODUCT(MAX((T_PlannedOrders[Part Name]=$A339)*(T_PlannedOrders[WeekIndex]=85)*(T_PlannedOrders[EffectiveQty]&gt;0)*T_PlannedOrders[Order_Month])),"m月")&amp;"発注)")</f>
        <v/>
      </c>
      <c r="CK373">
        <f>IF(SUMIFS(T_PlannedOrders[EffectiveQty],T_PlannedOrders[Part Name],$A339,T_PlannedOrders[WeekIndex],86)=0,"",SUMIFS(T_PlannedOrders[EffectiveQty],T_PlannedOrders[Part Name],$A339,T_PlannedOrders[WeekIndex],86)&amp;" ("&amp;TEXT(SUMPRODUCT(MAX((T_PlannedOrders[Part Name]=$A339)*(T_PlannedOrders[WeekIndex]=86)*(T_PlannedOrders[EffectiveQty]&gt;0)*T_PlannedOrders[Order_Month])),"m月")&amp;"発注)")</f>
        <v/>
      </c>
      <c r="CL373">
        <f>IF(SUMIFS(T_PlannedOrders[EffectiveQty],T_PlannedOrders[Part Name],$A339,T_PlannedOrders[WeekIndex],87)=0,"",SUMIFS(T_PlannedOrders[EffectiveQty],T_PlannedOrders[Part Name],$A339,T_PlannedOrders[WeekIndex],87)&amp;" ("&amp;TEXT(SUMPRODUCT(MAX((T_PlannedOrders[Part Name]=$A339)*(T_PlannedOrders[WeekIndex]=87)*(T_PlannedOrders[EffectiveQty]&gt;0)*T_PlannedOrders[Order_Month])),"m月")&amp;"発注)")</f>
        <v/>
      </c>
      <c r="CM373">
        <f>IF(SUMIFS(T_PlannedOrders[EffectiveQty],T_PlannedOrders[Part Name],$A339,T_PlannedOrders[WeekIndex],88)=0,"",SUMIFS(T_PlannedOrders[EffectiveQty],T_PlannedOrders[Part Name],$A339,T_PlannedOrders[WeekIndex],88)&amp;" ("&amp;TEXT(SUMPRODUCT(MAX((T_PlannedOrders[Part Name]=$A339)*(T_PlannedOrders[WeekIndex]=88)*(T_PlannedOrders[EffectiveQty]&gt;0)*T_PlannedOrders[Order_Month])),"m月")&amp;"発注)")</f>
        <v/>
      </c>
      <c r="CN373">
        <f>IF(SUMIFS(T_PlannedOrders[EffectiveQty],T_PlannedOrders[Part Name],$A339,T_PlannedOrders[WeekIndex],89)=0,"",SUMIFS(T_PlannedOrders[EffectiveQty],T_PlannedOrders[Part Name],$A339,T_PlannedOrders[WeekIndex],89)&amp;" ("&amp;TEXT(SUMPRODUCT(MAX((T_PlannedOrders[Part Name]=$A339)*(T_PlannedOrders[WeekIndex]=89)*(T_PlannedOrders[EffectiveQty]&gt;0)*T_PlannedOrders[Order_Month])),"m月")&amp;"発注)")</f>
        <v/>
      </c>
      <c r="CO373">
        <f>IF(SUMIFS(T_PlannedOrders[EffectiveQty],T_PlannedOrders[Part Name],$A339,T_PlannedOrders[WeekIndex],90)=0,"",SUMIFS(T_PlannedOrders[EffectiveQty],T_PlannedOrders[Part Name],$A339,T_PlannedOrders[WeekIndex],90)&amp;" ("&amp;TEXT(SUMPRODUCT(MAX((T_PlannedOrders[Part Name]=$A339)*(T_PlannedOrders[WeekIndex]=90)*(T_PlannedOrders[EffectiveQty]&gt;0)*T_PlannedOrders[Order_Month])),"m月")&amp;"発注)")</f>
        <v/>
      </c>
      <c r="CP373">
        <f>IF(SUMIFS(T_PlannedOrders[EffectiveQty],T_PlannedOrders[Part Name],$A339,T_PlannedOrders[WeekIndex],91)=0,"",SUMIFS(T_PlannedOrders[EffectiveQty],T_PlannedOrders[Part Name],$A339,T_PlannedOrders[WeekIndex],91)&amp;" ("&amp;TEXT(SUMPRODUCT(MAX((T_PlannedOrders[Part Name]=$A339)*(T_PlannedOrders[WeekIndex]=91)*(T_PlannedOrders[EffectiveQty]&gt;0)*T_PlannedOrders[Order_Month])),"m月")&amp;"発注)")</f>
        <v/>
      </c>
      <c r="CQ373">
        <f>IF(SUMIFS(T_PlannedOrders[EffectiveQty],T_PlannedOrders[Part Name],$A339,T_PlannedOrders[WeekIndex],92)=0,"",SUMIFS(T_PlannedOrders[EffectiveQty],T_PlannedOrders[Part Name],$A339,T_PlannedOrders[WeekIndex],92)&amp;" ("&amp;TEXT(SUMPRODUCT(MAX((T_PlannedOrders[Part Name]=$A339)*(T_PlannedOrders[WeekIndex]=92)*(T_PlannedOrders[EffectiveQty]&gt;0)*T_PlannedOrders[Order_Month])),"m月")&amp;"発注)")</f>
        <v/>
      </c>
      <c r="CR373">
        <f>IF(SUMIFS(T_PlannedOrders[EffectiveQty],T_PlannedOrders[Part Name],$A339,T_PlannedOrders[WeekIndex],93)=0,"",SUMIFS(T_PlannedOrders[EffectiveQty],T_PlannedOrders[Part Name],$A339,T_PlannedOrders[WeekIndex],93)&amp;" ("&amp;TEXT(SUMPRODUCT(MAX((T_PlannedOrders[Part Name]=$A339)*(T_PlannedOrders[WeekIndex]=93)*(T_PlannedOrders[EffectiveQty]&gt;0)*T_PlannedOrders[Order_Month])),"m月")&amp;"発注)")</f>
        <v/>
      </c>
      <c r="CS373">
        <f>IF(SUMIFS(T_PlannedOrders[EffectiveQty],T_PlannedOrders[Part Name],$A339,T_PlannedOrders[WeekIndex],94)=0,"",SUMIFS(T_PlannedOrders[EffectiveQty],T_PlannedOrders[Part Name],$A339,T_PlannedOrders[WeekIndex],94)&amp;" ("&amp;TEXT(SUMPRODUCT(MAX((T_PlannedOrders[Part Name]=$A339)*(T_PlannedOrders[WeekIndex]=94)*(T_PlannedOrders[EffectiveQty]&gt;0)*T_PlannedOrders[Order_Month])),"m月")&amp;"発注)")</f>
        <v/>
      </c>
      <c r="CT373">
        <f>IF(SUMIFS(T_PlannedOrders[EffectiveQty],T_PlannedOrders[Part Name],$A339,T_PlannedOrders[WeekIndex],95)=0,"",SUMIFS(T_PlannedOrders[EffectiveQty],T_PlannedOrders[Part Name],$A339,T_PlannedOrders[WeekIndex],95)&amp;" ("&amp;TEXT(SUMPRODUCT(MAX((T_PlannedOrders[Part Name]=$A339)*(T_PlannedOrders[WeekIndex]=95)*(T_PlannedOrders[EffectiveQty]&gt;0)*T_PlannedOrders[Order_Month])),"m月")&amp;"発注)")</f>
        <v/>
      </c>
      <c r="CU373">
        <f>IF(SUMIFS(T_PlannedOrders[EffectiveQty],T_PlannedOrders[Part Name],$A339,T_PlannedOrders[WeekIndex],96)=0,"",SUMIFS(T_PlannedOrders[EffectiveQty],T_PlannedOrders[Part Name],$A339,T_PlannedOrders[WeekIndex],96)&amp;" ("&amp;TEXT(SUMPRODUCT(MAX((T_PlannedOrders[Part Name]=$A339)*(T_PlannedOrders[WeekIndex]=96)*(T_PlannedOrders[EffectiveQty]&gt;0)*T_PlannedOrders[Order_Month])),"m月")&amp;"発注)")</f>
        <v/>
      </c>
      <c r="CV373">
        <f>IF(SUMIFS(T_PlannedOrders[EffectiveQty],T_PlannedOrders[Part Name],$A339,T_PlannedOrders[WeekIndex],97)=0,"",SUMIFS(T_PlannedOrders[EffectiveQty],T_PlannedOrders[Part Name],$A339,T_PlannedOrders[WeekIndex],97)&amp;" ("&amp;TEXT(SUMPRODUCT(MAX((T_PlannedOrders[Part Name]=$A339)*(T_PlannedOrders[WeekIndex]=97)*(T_PlannedOrders[EffectiveQty]&gt;0)*T_PlannedOrders[Order_Month])),"m月")&amp;"発注)")</f>
        <v/>
      </c>
      <c r="CW373">
        <f>IF(SUMIFS(T_PlannedOrders[EffectiveQty],T_PlannedOrders[Part Name],$A339,T_PlannedOrders[WeekIndex],98)=0,"",SUMIFS(T_PlannedOrders[EffectiveQty],T_PlannedOrders[Part Name],$A339,T_PlannedOrders[WeekIndex],98)&amp;" ("&amp;TEXT(SUMPRODUCT(MAX((T_PlannedOrders[Part Name]=$A339)*(T_PlannedOrders[WeekIndex]=98)*(T_PlannedOrders[EffectiveQty]&gt;0)*T_PlannedOrders[Order_Month])),"m月")&amp;"発注)")</f>
        <v/>
      </c>
      <c r="CX373">
        <f>IF(SUMIFS(T_PlannedOrders[EffectiveQty],T_PlannedOrders[Part Name],$A339,T_PlannedOrders[WeekIndex],99)=0,"",SUMIFS(T_PlannedOrders[EffectiveQty],T_PlannedOrders[Part Name],$A339,T_PlannedOrders[WeekIndex],99)&amp;" ("&amp;TEXT(SUMPRODUCT(MAX((T_PlannedOrders[Part Name]=$A339)*(T_PlannedOrders[WeekIndex]=99)*(T_PlannedOrders[EffectiveQty]&gt;0)*T_PlannedOrders[Order_Month])),"m月")&amp;"発注)")</f>
        <v/>
      </c>
      <c r="CY373">
        <f>IF(SUMIFS(T_PlannedOrders[EffectiveQty],T_PlannedOrders[Part Name],$A339,T_PlannedOrders[WeekIndex],100)=0,"",SUMIFS(T_PlannedOrders[EffectiveQty],T_PlannedOrders[Part Name],$A339,T_PlannedOrders[WeekIndex],100)&amp;" ("&amp;TEXT(SUMPRODUCT(MAX((T_PlannedOrders[Part Name]=$A339)*(T_PlannedOrders[WeekIndex]=100)*(T_PlannedOrders[EffectiveQty]&gt;0)*T_PlannedOrders[Order_Month])),"m月")&amp;"発注)")</f>
        <v/>
      </c>
      <c r="CZ373">
        <f>IF(SUMIFS(T_PlannedOrders[EffectiveQty],T_PlannedOrders[Part Name],$A339,T_PlannedOrders[WeekIndex],101)=0,"",SUMIFS(T_PlannedOrders[EffectiveQty],T_PlannedOrders[Part Name],$A339,T_PlannedOrders[WeekIndex],101)&amp;" ("&amp;TEXT(SUMPRODUCT(MAX((T_PlannedOrders[Part Name]=$A339)*(T_PlannedOrders[WeekIndex]=101)*(T_PlannedOrders[EffectiveQty]&gt;0)*T_PlannedOrders[Order_Month])),"m月")&amp;"発注)")</f>
        <v/>
      </c>
      <c r="DA373">
        <f>IF(SUMIFS(T_PlannedOrders[EffectiveQty],T_PlannedOrders[Part Name],$A339,T_PlannedOrders[WeekIndex],102)=0,"",SUMIFS(T_PlannedOrders[EffectiveQty],T_PlannedOrders[Part Name],$A339,T_PlannedOrders[WeekIndex],102)&amp;" ("&amp;TEXT(SUMPRODUCT(MAX((T_PlannedOrders[Part Name]=$A339)*(T_PlannedOrders[WeekIndex]=102)*(T_PlannedOrders[EffectiveQty]&gt;0)*T_PlannedOrders[Order_Month])),"m月")&amp;"発注)")</f>
        <v/>
      </c>
      <c r="DB373">
        <f>IF(SUMIFS(T_PlannedOrders[EffectiveQty],T_PlannedOrders[Part Name],$A339,T_PlannedOrders[WeekIndex],103)=0,"",SUMIFS(T_PlannedOrders[EffectiveQty],T_PlannedOrders[Part Name],$A339,T_PlannedOrders[WeekIndex],103)&amp;" ("&amp;TEXT(SUMPRODUCT(MAX((T_PlannedOrders[Part Name]=$A339)*(T_PlannedOrders[WeekIndex]=103)*(T_PlannedOrders[EffectiveQty]&gt;0)*T_PlannedOrders[Order_Month])),"m月")&amp;"発注)")</f>
        <v/>
      </c>
      <c r="DC373">
        <f>IF(SUMIFS(T_PlannedOrders[EffectiveQty],T_PlannedOrders[Part Name],$A339,T_PlannedOrders[WeekIndex],104)=0,"",SUMIFS(T_PlannedOrders[EffectiveQty],T_PlannedOrders[Part Name],$A339,T_PlannedOrders[WeekIndex],104)&amp;" ("&amp;TEXT(SUMPRODUCT(MAX((T_PlannedOrders[Part Name]=$A339)*(T_PlannedOrders[WeekIndex]=104)*(T_PlannedOrders[EffectiveQty]&gt;0)*T_PlannedOrders[Order_Month])),"m月")&amp;"発注)")</f>
        <v/>
      </c>
    </row>
    <row r="374">
      <c r="B374" s="5" t="inlineStr">
        <is>
          <t>合計在庫(週末時点,kg)</t>
        </is>
      </c>
      <c r="D374">
        <f>'Grid_Stock'!B37</f>
        <v/>
      </c>
      <c r="E374">
        <f>'Grid_Stock'!C37</f>
        <v/>
      </c>
      <c r="F374">
        <f>'Grid_Stock'!D37</f>
        <v/>
      </c>
      <c r="G374">
        <f>'Grid_Stock'!E37</f>
        <v/>
      </c>
      <c r="H374">
        <f>'Grid_Stock'!F37</f>
        <v/>
      </c>
      <c r="I374">
        <f>'Grid_Stock'!G37</f>
        <v/>
      </c>
      <c r="J374">
        <f>'Grid_Stock'!H37</f>
        <v/>
      </c>
      <c r="K374">
        <f>'Grid_Stock'!I37</f>
        <v/>
      </c>
      <c r="L374">
        <f>'Grid_Stock'!J37</f>
        <v/>
      </c>
      <c r="M374">
        <f>'Grid_Stock'!K37</f>
        <v/>
      </c>
      <c r="N374">
        <f>'Grid_Stock'!L37</f>
        <v/>
      </c>
      <c r="O374">
        <f>'Grid_Stock'!M37</f>
        <v/>
      </c>
      <c r="P374">
        <f>'Grid_Stock'!N37</f>
        <v/>
      </c>
      <c r="Q374">
        <f>'Grid_Stock'!O37</f>
        <v/>
      </c>
      <c r="R374">
        <f>'Grid_Stock'!P37</f>
        <v/>
      </c>
      <c r="S374">
        <f>'Grid_Stock'!Q37</f>
        <v/>
      </c>
      <c r="T374">
        <f>'Grid_Stock'!R37</f>
        <v/>
      </c>
      <c r="U374">
        <f>'Grid_Stock'!S37</f>
        <v/>
      </c>
      <c r="V374">
        <f>'Grid_Stock'!T37</f>
        <v/>
      </c>
      <c r="W374">
        <f>'Grid_Stock'!U37</f>
        <v/>
      </c>
      <c r="X374">
        <f>'Grid_Stock'!V37</f>
        <v/>
      </c>
      <c r="Y374">
        <f>'Grid_Stock'!W37</f>
        <v/>
      </c>
      <c r="Z374">
        <f>'Grid_Stock'!X37</f>
        <v/>
      </c>
      <c r="AA374">
        <f>'Grid_Stock'!Y37</f>
        <v/>
      </c>
      <c r="AB374">
        <f>'Grid_Stock'!Z37</f>
        <v/>
      </c>
      <c r="AC374">
        <f>'Grid_Stock'!AA37</f>
        <v/>
      </c>
      <c r="AD374">
        <f>'Grid_Stock'!AB37</f>
        <v/>
      </c>
      <c r="AE374">
        <f>'Grid_Stock'!AC37</f>
        <v/>
      </c>
      <c r="AF374">
        <f>'Grid_Stock'!AD37</f>
        <v/>
      </c>
      <c r="AG374">
        <f>'Grid_Stock'!AE37</f>
        <v/>
      </c>
      <c r="AH374">
        <f>'Grid_Stock'!AF37</f>
        <v/>
      </c>
      <c r="AI374">
        <f>'Grid_Stock'!AG37</f>
        <v/>
      </c>
      <c r="AJ374">
        <f>'Grid_Stock'!AH37</f>
        <v/>
      </c>
      <c r="AK374">
        <f>'Grid_Stock'!AI37</f>
        <v/>
      </c>
      <c r="AL374">
        <f>'Grid_Stock'!AJ37</f>
        <v/>
      </c>
      <c r="AM374">
        <f>'Grid_Stock'!AK37</f>
        <v/>
      </c>
      <c r="AN374">
        <f>'Grid_Stock'!AL37</f>
        <v/>
      </c>
      <c r="AO374">
        <f>'Grid_Stock'!AM37</f>
        <v/>
      </c>
      <c r="AP374">
        <f>'Grid_Stock'!AN37</f>
        <v/>
      </c>
      <c r="AQ374">
        <f>'Grid_Stock'!AO37</f>
        <v/>
      </c>
      <c r="AR374">
        <f>'Grid_Stock'!AP37</f>
        <v/>
      </c>
      <c r="AS374">
        <f>'Grid_Stock'!AQ37</f>
        <v/>
      </c>
      <c r="AT374">
        <f>'Grid_Stock'!AR37</f>
        <v/>
      </c>
      <c r="AU374">
        <f>'Grid_Stock'!AS37</f>
        <v/>
      </c>
      <c r="AV374">
        <f>'Grid_Stock'!AT37</f>
        <v/>
      </c>
      <c r="AW374">
        <f>'Grid_Stock'!AU37</f>
        <v/>
      </c>
      <c r="AX374">
        <f>'Grid_Stock'!AV37</f>
        <v/>
      </c>
      <c r="AY374">
        <f>'Grid_Stock'!AW37</f>
        <v/>
      </c>
      <c r="AZ374">
        <f>'Grid_Stock'!AX37</f>
        <v/>
      </c>
      <c r="BA374">
        <f>'Grid_Stock'!AY37</f>
        <v/>
      </c>
      <c r="BB374">
        <f>'Grid_Stock'!AZ37</f>
        <v/>
      </c>
      <c r="BC374">
        <f>'Grid_Stock'!BA37</f>
        <v/>
      </c>
      <c r="BD374">
        <f>'Grid_Stock'!BB37</f>
        <v/>
      </c>
      <c r="BE374">
        <f>'Grid_Stock'!BC37</f>
        <v/>
      </c>
      <c r="BF374">
        <f>'Grid_Stock'!BD37</f>
        <v/>
      </c>
      <c r="BG374">
        <f>'Grid_Stock'!BE37</f>
        <v/>
      </c>
      <c r="BH374">
        <f>'Grid_Stock'!BF37</f>
        <v/>
      </c>
      <c r="BI374">
        <f>'Grid_Stock'!BG37</f>
        <v/>
      </c>
      <c r="BJ374">
        <f>'Grid_Stock'!BH37</f>
        <v/>
      </c>
      <c r="BK374">
        <f>'Grid_Stock'!BI37</f>
        <v/>
      </c>
      <c r="BL374">
        <f>'Grid_Stock'!BJ37</f>
        <v/>
      </c>
      <c r="BM374">
        <f>'Grid_Stock'!BK37</f>
        <v/>
      </c>
      <c r="BN374">
        <f>'Grid_Stock'!BL37</f>
        <v/>
      </c>
      <c r="BO374">
        <f>'Grid_Stock'!BM37</f>
        <v/>
      </c>
      <c r="BP374">
        <f>'Grid_Stock'!BN37</f>
        <v/>
      </c>
      <c r="BQ374">
        <f>'Grid_Stock'!BO37</f>
        <v/>
      </c>
      <c r="BR374">
        <f>'Grid_Stock'!BP37</f>
        <v/>
      </c>
      <c r="BS374">
        <f>'Grid_Stock'!BQ37</f>
        <v/>
      </c>
      <c r="BT374">
        <f>'Grid_Stock'!BR37</f>
        <v/>
      </c>
      <c r="BU374">
        <f>'Grid_Stock'!BS37</f>
        <v/>
      </c>
      <c r="BV374">
        <f>'Grid_Stock'!BT37</f>
        <v/>
      </c>
      <c r="BW374">
        <f>'Grid_Stock'!BU37</f>
        <v/>
      </c>
      <c r="BX374">
        <f>'Grid_Stock'!BV37</f>
        <v/>
      </c>
      <c r="BY374">
        <f>'Grid_Stock'!BW37</f>
        <v/>
      </c>
      <c r="BZ374">
        <f>'Grid_Stock'!BX37</f>
        <v/>
      </c>
      <c r="CA374">
        <f>'Grid_Stock'!BY37</f>
        <v/>
      </c>
      <c r="CB374">
        <f>'Grid_Stock'!BZ37</f>
        <v/>
      </c>
      <c r="CC374">
        <f>'Grid_Stock'!CA37</f>
        <v/>
      </c>
      <c r="CD374">
        <f>'Grid_Stock'!CB37</f>
        <v/>
      </c>
      <c r="CE374">
        <f>'Grid_Stock'!CC37</f>
        <v/>
      </c>
      <c r="CF374">
        <f>'Grid_Stock'!CD37</f>
        <v/>
      </c>
      <c r="CG374">
        <f>'Grid_Stock'!CE37</f>
        <v/>
      </c>
      <c r="CH374">
        <f>'Grid_Stock'!CF37</f>
        <v/>
      </c>
      <c r="CI374">
        <f>'Grid_Stock'!CG37</f>
        <v/>
      </c>
      <c r="CJ374">
        <f>'Grid_Stock'!CH37</f>
        <v/>
      </c>
      <c r="CK374">
        <f>'Grid_Stock'!CI37</f>
        <v/>
      </c>
      <c r="CL374">
        <f>'Grid_Stock'!CJ37</f>
        <v/>
      </c>
      <c r="CM374">
        <f>'Grid_Stock'!CK37</f>
        <v/>
      </c>
      <c r="CN374">
        <f>'Grid_Stock'!CL37</f>
        <v/>
      </c>
      <c r="CO374">
        <f>'Grid_Stock'!CM37</f>
        <v/>
      </c>
      <c r="CP374">
        <f>'Grid_Stock'!CN37</f>
        <v/>
      </c>
      <c r="CQ374">
        <f>'Grid_Stock'!CO37</f>
        <v/>
      </c>
      <c r="CR374">
        <f>'Grid_Stock'!CP37</f>
        <v/>
      </c>
      <c r="CS374">
        <f>'Grid_Stock'!CQ37</f>
        <v/>
      </c>
      <c r="CT374">
        <f>'Grid_Stock'!CR37</f>
        <v/>
      </c>
      <c r="CU374">
        <f>'Grid_Stock'!CS37</f>
        <v/>
      </c>
      <c r="CV374">
        <f>'Grid_Stock'!CT37</f>
        <v/>
      </c>
      <c r="CW374">
        <f>'Grid_Stock'!CU37</f>
        <v/>
      </c>
      <c r="CX374">
        <f>'Grid_Stock'!CV37</f>
        <v/>
      </c>
      <c r="CY374">
        <f>'Grid_Stock'!CW37</f>
        <v/>
      </c>
      <c r="CZ374">
        <f>'Grid_Stock'!CX37</f>
        <v/>
      </c>
      <c r="DA374">
        <f>'Grid_Stock'!CY37</f>
        <v/>
      </c>
      <c r="DB374">
        <f>'Grid_Stock'!CZ37</f>
        <v/>
      </c>
      <c r="DC374">
        <f>'Grid_Stock'!DA37</f>
        <v/>
      </c>
    </row>
    <row r="375">
      <c r="B375" s="23" t="inlineStr">
        <is>
          <t>（発注の目安はDashboardの基準在庫[下限/上限]と色分けを参照）</t>
        </is>
      </c>
    </row>
    <row r="377">
      <c r="A377" s="21" t="inlineStr">
        <is>
          <t>CHEM-1730</t>
        </is>
      </c>
      <c r="B377" s="21" t="inlineStr">
        <is>
          <t>NAT 41</t>
        </is>
      </c>
      <c r="C377" s="22" t="n"/>
      <c r="D377" s="21" t="n"/>
      <c r="E377" s="21" t="n"/>
      <c r="F377" s="21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  <c r="AA377" s="21" t="n"/>
      <c r="AB377" s="21" t="n"/>
      <c r="AC377" s="21" t="n"/>
      <c r="AD377" s="21" t="n"/>
      <c r="AE377" s="21" t="n"/>
      <c r="AF377" s="21" t="n"/>
      <c r="AG377" s="21" t="n"/>
      <c r="AH377" s="21" t="n"/>
      <c r="AI377" s="21" t="n"/>
      <c r="AJ377" s="21" t="n"/>
      <c r="AK377" s="21" t="n"/>
      <c r="AL377" s="21" t="n"/>
      <c r="AM377" s="21" t="n"/>
      <c r="AN377" s="21" t="n"/>
      <c r="AO377" s="21" t="n"/>
      <c r="AP377" s="21" t="n"/>
      <c r="AQ377" s="21" t="n"/>
      <c r="AR377" s="21" t="n"/>
      <c r="AS377" s="21" t="n"/>
      <c r="AT377" s="21" t="n"/>
      <c r="AU377" s="21" t="n"/>
      <c r="AV377" s="21" t="n"/>
      <c r="AW377" s="21" t="n"/>
      <c r="AX377" s="21" t="n"/>
      <c r="AY377" s="21" t="n"/>
      <c r="AZ377" s="21" t="n"/>
      <c r="BA377" s="21" t="n"/>
      <c r="BB377" s="21" t="n"/>
      <c r="BC377" s="21" t="n"/>
      <c r="BD377" s="21" t="n"/>
      <c r="BE377" s="21" t="n"/>
      <c r="BF377" s="21" t="n"/>
      <c r="BG377" s="21" t="n"/>
      <c r="BH377" s="21" t="n"/>
      <c r="BI377" s="21" t="n"/>
      <c r="BJ377" s="21" t="n"/>
      <c r="BK377" s="21" t="n"/>
      <c r="BL377" s="21" t="n"/>
      <c r="BM377" s="21" t="n"/>
      <c r="BN377" s="21" t="n"/>
      <c r="BO377" s="21" t="n"/>
      <c r="BP377" s="21" t="n"/>
      <c r="BQ377" s="21" t="n"/>
      <c r="BR377" s="21" t="n"/>
      <c r="BS377" s="21" t="n"/>
      <c r="BT377" s="21" t="n"/>
      <c r="BU377" s="21" t="n"/>
      <c r="BV377" s="21" t="n"/>
      <c r="BW377" s="21" t="n"/>
      <c r="BX377" s="21" t="n"/>
      <c r="BY377" s="21" t="n"/>
      <c r="BZ377" s="21" t="n"/>
      <c r="CA377" s="21" t="n"/>
      <c r="CB377" s="21" t="n"/>
      <c r="CC377" s="21" t="n"/>
      <c r="CD377" s="21" t="n"/>
      <c r="CE377" s="21" t="n"/>
      <c r="CF377" s="21" t="n"/>
      <c r="CG377" s="21" t="n"/>
      <c r="CH377" s="21" t="n"/>
      <c r="CI377" s="21" t="n"/>
      <c r="CJ377" s="21" t="n"/>
      <c r="CK377" s="21" t="n"/>
      <c r="CL377" s="21" t="n"/>
      <c r="CM377" s="21" t="n"/>
      <c r="CN377" s="21" t="n"/>
      <c r="CO377" s="21" t="n"/>
      <c r="CP377" s="21" t="n"/>
      <c r="CQ377" s="21" t="n"/>
      <c r="CR377" s="21" t="n"/>
      <c r="CS377" s="21" t="n"/>
      <c r="CT377" s="21" t="n"/>
      <c r="CU377" s="21" t="n"/>
      <c r="CV377" s="21" t="n"/>
      <c r="CW377" s="21" t="n"/>
      <c r="CX377" s="21" t="n"/>
      <c r="CY377" s="21" t="n"/>
      <c r="CZ377" s="21" t="n"/>
      <c r="DA377" s="21" t="n"/>
      <c r="DB377" s="21" t="n"/>
      <c r="DC377" s="21" t="n"/>
    </row>
    <row r="378">
      <c r="B378" t="inlineStr">
        <is>
          <t>TPP-911</t>
        </is>
      </c>
      <c r="C378" t="inlineStr">
        <is>
          <t>No. of batches</t>
        </is>
      </c>
      <c r="D378">
        <f>IFERROR(INDEX(PP_Grid[#Data],$DD378,2),0)</f>
        <v/>
      </c>
      <c r="E378">
        <f>IFERROR(INDEX(PP_Grid[#Data],$DD378,3),0)</f>
        <v/>
      </c>
      <c r="F378">
        <f>IFERROR(INDEX(PP_Grid[#Data],$DD378,4),0)</f>
        <v/>
      </c>
      <c r="G378">
        <f>IFERROR(INDEX(PP_Grid[#Data],$DD378,5),0)</f>
        <v/>
      </c>
      <c r="H378">
        <f>IFERROR(INDEX(PP_Grid[#Data],$DD378,6),0)</f>
        <v/>
      </c>
      <c r="I378">
        <f>IFERROR(INDEX(PP_Grid[#Data],$DD378,7),0)</f>
        <v/>
      </c>
      <c r="J378">
        <f>IFERROR(INDEX(PP_Grid[#Data],$DD378,8),0)</f>
        <v/>
      </c>
      <c r="K378">
        <f>IFERROR(INDEX(PP_Grid[#Data],$DD378,9),0)</f>
        <v/>
      </c>
      <c r="L378">
        <f>IFERROR(INDEX(PP_Grid[#Data],$DD378,10),0)</f>
        <v/>
      </c>
      <c r="M378">
        <f>IFERROR(INDEX(PP_Grid[#Data],$DD378,11),0)</f>
        <v/>
      </c>
      <c r="N378">
        <f>IFERROR(INDEX(PP_Grid[#Data],$DD378,12),0)</f>
        <v/>
      </c>
      <c r="O378">
        <f>IFERROR(INDEX(PP_Grid[#Data],$DD378,13),0)</f>
        <v/>
      </c>
      <c r="P378">
        <f>IFERROR(INDEX(PP_Grid[#Data],$DD378,14),0)</f>
        <v/>
      </c>
      <c r="Q378">
        <f>IFERROR(INDEX(PP_Grid[#Data],$DD378,15),0)</f>
        <v/>
      </c>
      <c r="R378">
        <f>IFERROR(INDEX(PP_Grid[#Data],$DD378,16),0)</f>
        <v/>
      </c>
      <c r="S378">
        <f>IFERROR(INDEX(PP_Grid[#Data],$DD378,17),0)</f>
        <v/>
      </c>
      <c r="T378">
        <f>IFERROR(INDEX(PP_Grid[#Data],$DD378,18),0)</f>
        <v/>
      </c>
      <c r="U378">
        <f>IFERROR(INDEX(PP_Grid[#Data],$DD378,19),0)</f>
        <v/>
      </c>
      <c r="V378">
        <f>IFERROR(INDEX(PP_Grid[#Data],$DD378,20),0)</f>
        <v/>
      </c>
      <c r="W378">
        <f>IFERROR(INDEX(PP_Grid[#Data],$DD378,21),0)</f>
        <v/>
      </c>
      <c r="X378">
        <f>IFERROR(INDEX(PP_Grid[#Data],$DD378,22),0)</f>
        <v/>
      </c>
      <c r="Y378">
        <f>IFERROR(INDEX(PP_Grid[#Data],$DD378,23),0)</f>
        <v/>
      </c>
      <c r="Z378">
        <f>IFERROR(INDEX(PP_Grid[#Data],$DD378,24),0)</f>
        <v/>
      </c>
      <c r="AA378">
        <f>IFERROR(INDEX(PP_Grid[#Data],$DD378,25),0)</f>
        <v/>
      </c>
      <c r="AB378">
        <f>IFERROR(INDEX(PP_Grid[#Data],$DD378,26),0)</f>
        <v/>
      </c>
      <c r="AC378">
        <f>IFERROR(INDEX(PP_Grid[#Data],$DD378,27),0)</f>
        <v/>
      </c>
      <c r="AD378">
        <f>IFERROR(INDEX(PP_Grid[#Data],$DD378,28),0)</f>
        <v/>
      </c>
      <c r="AE378">
        <f>IFERROR(INDEX(PP_Grid[#Data],$DD378,29),0)</f>
        <v/>
      </c>
      <c r="AF378">
        <f>IFERROR(INDEX(PP_Grid[#Data],$DD378,30),0)</f>
        <v/>
      </c>
      <c r="AG378">
        <f>IFERROR(INDEX(PP_Grid[#Data],$DD378,31),0)</f>
        <v/>
      </c>
      <c r="AH378">
        <f>IFERROR(INDEX(PP_Grid[#Data],$DD378,32),0)</f>
        <v/>
      </c>
      <c r="AI378">
        <f>IFERROR(INDEX(PP_Grid[#Data],$DD378,33),0)</f>
        <v/>
      </c>
      <c r="AJ378">
        <f>IFERROR(INDEX(PP_Grid[#Data],$DD378,34),0)</f>
        <v/>
      </c>
      <c r="AK378">
        <f>IFERROR(INDEX(PP_Grid[#Data],$DD378,35),0)</f>
        <v/>
      </c>
      <c r="AL378">
        <f>IFERROR(INDEX(PP_Grid[#Data],$DD378,36),0)</f>
        <v/>
      </c>
      <c r="AM378">
        <f>IFERROR(INDEX(PP_Grid[#Data],$DD378,37),0)</f>
        <v/>
      </c>
      <c r="AN378">
        <f>IFERROR(INDEX(PP_Grid[#Data],$DD378,38),0)</f>
        <v/>
      </c>
      <c r="AO378">
        <f>IFERROR(INDEX(PP_Grid[#Data],$DD378,39),0)</f>
        <v/>
      </c>
      <c r="AP378">
        <f>IFERROR(INDEX(PP_Grid[#Data],$DD378,40),0)</f>
        <v/>
      </c>
      <c r="AQ378">
        <f>IFERROR(INDEX(PP_Grid[#Data],$DD378,41),0)</f>
        <v/>
      </c>
      <c r="AR378">
        <f>IFERROR(INDEX(PP_Grid[#Data],$DD378,42),0)</f>
        <v/>
      </c>
      <c r="AS378">
        <f>IFERROR(INDEX(PP_Grid[#Data],$DD378,43),0)</f>
        <v/>
      </c>
      <c r="AT378">
        <f>IFERROR(INDEX(PP_Grid[#Data],$DD378,44),0)</f>
        <v/>
      </c>
      <c r="AU378">
        <f>IFERROR(INDEX(PP_Grid[#Data],$DD378,45),0)</f>
        <v/>
      </c>
      <c r="AV378">
        <f>IFERROR(INDEX(PP_Grid[#Data],$DD378,46),0)</f>
        <v/>
      </c>
      <c r="AW378">
        <f>IFERROR(INDEX(PP_Grid[#Data],$DD378,47),0)</f>
        <v/>
      </c>
      <c r="AX378">
        <f>IFERROR(INDEX(PP_Grid[#Data],$DD378,48),0)</f>
        <v/>
      </c>
      <c r="AY378">
        <f>IFERROR(INDEX(PP_Grid[#Data],$DD378,49),0)</f>
        <v/>
      </c>
      <c r="AZ378">
        <f>IFERROR(INDEX(PP_Grid[#Data],$DD378,50),0)</f>
        <v/>
      </c>
      <c r="BA378">
        <f>IFERROR(INDEX(PP_Grid[#Data],$DD378,51),0)</f>
        <v/>
      </c>
      <c r="BB378">
        <f>IFERROR(INDEX(PP_Grid[#Data],$DD378,52),0)</f>
        <v/>
      </c>
      <c r="BC378">
        <f>IFERROR(INDEX(PP_Grid[#Data],$DD378,53),0)</f>
        <v/>
      </c>
      <c r="BD378">
        <f>IFERROR(INDEX(PP_Grid[#Data],$DD378,54),0)</f>
        <v/>
      </c>
      <c r="BE378">
        <f>IFERROR(INDEX(PP_Grid[#Data],$DD378,55),0)</f>
        <v/>
      </c>
      <c r="BF378">
        <f>IFERROR(INDEX(PP_Grid[#Data],$DD378,56),0)</f>
        <v/>
      </c>
      <c r="BG378">
        <f>IFERROR(INDEX(PP_Grid[#Data],$DD378,57),0)</f>
        <v/>
      </c>
      <c r="BH378">
        <f>IFERROR(INDEX(PP_Grid[#Data],$DD378,58),0)</f>
        <v/>
      </c>
      <c r="BI378">
        <f>IFERROR(INDEX(PP_Grid[#Data],$DD378,59),0)</f>
        <v/>
      </c>
      <c r="BJ378">
        <f>IFERROR(INDEX(PP_Grid[#Data],$DD378,60),0)</f>
        <v/>
      </c>
      <c r="BK378">
        <f>IFERROR(INDEX(PP_Grid[#Data],$DD378,61),0)</f>
        <v/>
      </c>
      <c r="BL378">
        <f>IFERROR(INDEX(PP_Grid[#Data],$DD378,62),0)</f>
        <v/>
      </c>
      <c r="BM378">
        <f>IFERROR(INDEX(PP_Grid[#Data],$DD378,63),0)</f>
        <v/>
      </c>
      <c r="BN378">
        <f>IFERROR(INDEX(PP_Grid[#Data],$DD378,64),0)</f>
        <v/>
      </c>
      <c r="BO378">
        <f>IFERROR(INDEX(PP_Grid[#Data],$DD378,65),0)</f>
        <v/>
      </c>
      <c r="BP378">
        <f>IFERROR(INDEX(PP_Grid[#Data],$DD378,66),0)</f>
        <v/>
      </c>
      <c r="BQ378">
        <f>IFERROR(INDEX(PP_Grid[#Data],$DD378,67),0)</f>
        <v/>
      </c>
      <c r="BR378">
        <f>IFERROR(INDEX(PP_Grid[#Data],$DD378,68),0)</f>
        <v/>
      </c>
      <c r="BS378">
        <f>IFERROR(INDEX(PP_Grid[#Data],$DD378,69),0)</f>
        <v/>
      </c>
      <c r="BT378">
        <f>IFERROR(INDEX(PP_Grid[#Data],$DD378,70),0)</f>
        <v/>
      </c>
      <c r="BU378">
        <f>IFERROR(INDEX(PP_Grid[#Data],$DD378,71),0)</f>
        <v/>
      </c>
      <c r="BV378">
        <f>IFERROR(INDEX(PP_Grid[#Data],$DD378,72),0)</f>
        <v/>
      </c>
      <c r="BW378">
        <f>IFERROR(INDEX(PP_Grid[#Data],$DD378,73),0)</f>
        <v/>
      </c>
      <c r="BX378">
        <f>IFERROR(INDEX(PP_Grid[#Data],$DD378,74),0)</f>
        <v/>
      </c>
      <c r="BY378">
        <f>IFERROR(INDEX(PP_Grid[#Data],$DD378,75),0)</f>
        <v/>
      </c>
      <c r="BZ378">
        <f>IFERROR(INDEX(PP_Grid[#Data],$DD378,76),0)</f>
        <v/>
      </c>
      <c r="CA378">
        <f>IFERROR(INDEX(PP_Grid[#Data],$DD378,77),0)</f>
        <v/>
      </c>
      <c r="CB378">
        <f>IFERROR(INDEX(PP_Grid[#Data],$DD378,78),0)</f>
        <v/>
      </c>
      <c r="CC378">
        <f>IFERROR(INDEX(PP_Grid[#Data],$DD378,79),0)</f>
        <v/>
      </c>
      <c r="CD378">
        <f>IFERROR(INDEX(PP_Grid[#Data],$DD378,80),0)</f>
        <v/>
      </c>
      <c r="CE378">
        <f>IFERROR(INDEX(PP_Grid[#Data],$DD378,81),0)</f>
        <v/>
      </c>
      <c r="CF378">
        <f>IFERROR(INDEX(PP_Grid[#Data],$DD378,82),0)</f>
        <v/>
      </c>
      <c r="CG378">
        <f>IFERROR(INDEX(PP_Grid[#Data],$DD378,83),0)</f>
        <v/>
      </c>
      <c r="CH378">
        <f>IFERROR(INDEX(PP_Grid[#Data],$DD378,84),0)</f>
        <v/>
      </c>
      <c r="CI378">
        <f>IFERROR(INDEX(PP_Grid[#Data],$DD378,85),0)</f>
        <v/>
      </c>
      <c r="CJ378">
        <f>IFERROR(INDEX(PP_Grid[#Data],$DD378,86),0)</f>
        <v/>
      </c>
      <c r="CK378">
        <f>IFERROR(INDEX(PP_Grid[#Data],$DD378,87),0)</f>
        <v/>
      </c>
      <c r="CL378">
        <f>IFERROR(INDEX(PP_Grid[#Data],$DD378,88),0)</f>
        <v/>
      </c>
      <c r="CM378">
        <f>IFERROR(INDEX(PP_Grid[#Data],$DD378,89),0)</f>
        <v/>
      </c>
      <c r="CN378">
        <f>IFERROR(INDEX(PP_Grid[#Data],$DD378,90),0)</f>
        <v/>
      </c>
      <c r="CO378">
        <f>IFERROR(INDEX(PP_Grid[#Data],$DD378,91),0)</f>
        <v/>
      </c>
      <c r="CP378">
        <f>IFERROR(INDEX(PP_Grid[#Data],$DD378,92),0)</f>
        <v/>
      </c>
      <c r="CQ378">
        <f>IFERROR(INDEX(PP_Grid[#Data],$DD378,93),0)</f>
        <v/>
      </c>
      <c r="CR378">
        <f>IFERROR(INDEX(PP_Grid[#Data],$DD378,94),0)</f>
        <v/>
      </c>
      <c r="CS378">
        <f>IFERROR(INDEX(PP_Grid[#Data],$DD378,95),0)</f>
        <v/>
      </c>
      <c r="CT378">
        <f>IFERROR(INDEX(PP_Grid[#Data],$DD378,96),0)</f>
        <v/>
      </c>
      <c r="CU378">
        <f>IFERROR(INDEX(PP_Grid[#Data],$DD378,97),0)</f>
        <v/>
      </c>
      <c r="CV378">
        <f>IFERROR(INDEX(PP_Grid[#Data],$DD378,98),0)</f>
        <v/>
      </c>
      <c r="CW378">
        <f>IFERROR(INDEX(PP_Grid[#Data],$DD378,99),0)</f>
        <v/>
      </c>
      <c r="CX378">
        <f>IFERROR(INDEX(PP_Grid[#Data],$DD378,100),0)</f>
        <v/>
      </c>
      <c r="CY378">
        <f>IFERROR(INDEX(PP_Grid[#Data],$DD378,101),0)</f>
        <v/>
      </c>
      <c r="CZ378">
        <f>IFERROR(INDEX(PP_Grid[#Data],$DD378,102),0)</f>
        <v/>
      </c>
      <c r="DA378">
        <f>IFERROR(INDEX(PP_Grid[#Data],$DD378,103),0)</f>
        <v/>
      </c>
      <c r="DB378">
        <f>IFERROR(INDEX(PP_Grid[#Data],$DD378,104),0)</f>
        <v/>
      </c>
      <c r="DC378">
        <f>IFERROR(INDEX(PP_Grid[#Data],$DD378,105),0)</f>
        <v/>
      </c>
      <c r="DD378" s="12">
        <f>IFERROR(MATCH($B378,PP_Grid[Intermediate],0),99999)</f>
        <v/>
      </c>
    </row>
    <row r="379">
      <c r="B379" t="inlineStr">
        <is>
          <t>使用量(kg)</t>
        </is>
      </c>
      <c r="C379">
        <f>SUMIFS(M_BOM[RM_Qty_Per_Batch],M_BOM[Intermediate],$B378,M_BOM[Part Name],$A377)</f>
        <v/>
      </c>
      <c r="D379">
        <f>$C379*D378</f>
        <v/>
      </c>
      <c r="E379">
        <f>$C379*E378</f>
        <v/>
      </c>
      <c r="F379">
        <f>$C379*F378</f>
        <v/>
      </c>
      <c r="G379">
        <f>$C379*G378</f>
        <v/>
      </c>
      <c r="H379">
        <f>$C379*H378</f>
        <v/>
      </c>
      <c r="I379">
        <f>$C379*I378</f>
        <v/>
      </c>
      <c r="J379">
        <f>$C379*J378</f>
        <v/>
      </c>
      <c r="K379">
        <f>$C379*K378</f>
        <v/>
      </c>
      <c r="L379">
        <f>$C379*L378</f>
        <v/>
      </c>
      <c r="M379">
        <f>$C379*M378</f>
        <v/>
      </c>
      <c r="N379">
        <f>$C379*N378</f>
        <v/>
      </c>
      <c r="O379">
        <f>$C379*O378</f>
        <v/>
      </c>
      <c r="P379">
        <f>$C379*P378</f>
        <v/>
      </c>
      <c r="Q379">
        <f>$C379*Q378</f>
        <v/>
      </c>
      <c r="R379">
        <f>$C379*R378</f>
        <v/>
      </c>
      <c r="S379">
        <f>$C379*S378</f>
        <v/>
      </c>
      <c r="T379">
        <f>$C379*T378</f>
        <v/>
      </c>
      <c r="U379">
        <f>$C379*U378</f>
        <v/>
      </c>
      <c r="V379">
        <f>$C379*V378</f>
        <v/>
      </c>
      <c r="W379">
        <f>$C379*W378</f>
        <v/>
      </c>
      <c r="X379">
        <f>$C379*X378</f>
        <v/>
      </c>
      <c r="Y379">
        <f>$C379*Y378</f>
        <v/>
      </c>
      <c r="Z379">
        <f>$C379*Z378</f>
        <v/>
      </c>
      <c r="AA379">
        <f>$C379*AA378</f>
        <v/>
      </c>
      <c r="AB379">
        <f>$C379*AB378</f>
        <v/>
      </c>
      <c r="AC379">
        <f>$C379*AC378</f>
        <v/>
      </c>
      <c r="AD379">
        <f>$C379*AD378</f>
        <v/>
      </c>
      <c r="AE379">
        <f>$C379*AE378</f>
        <v/>
      </c>
      <c r="AF379">
        <f>$C379*AF378</f>
        <v/>
      </c>
      <c r="AG379">
        <f>$C379*AG378</f>
        <v/>
      </c>
      <c r="AH379">
        <f>$C379*AH378</f>
        <v/>
      </c>
      <c r="AI379">
        <f>$C379*AI378</f>
        <v/>
      </c>
      <c r="AJ379">
        <f>$C379*AJ378</f>
        <v/>
      </c>
      <c r="AK379">
        <f>$C379*AK378</f>
        <v/>
      </c>
      <c r="AL379">
        <f>$C379*AL378</f>
        <v/>
      </c>
      <c r="AM379">
        <f>$C379*AM378</f>
        <v/>
      </c>
      <c r="AN379">
        <f>$C379*AN378</f>
        <v/>
      </c>
      <c r="AO379">
        <f>$C379*AO378</f>
        <v/>
      </c>
      <c r="AP379">
        <f>$C379*AP378</f>
        <v/>
      </c>
      <c r="AQ379">
        <f>$C379*AQ378</f>
        <v/>
      </c>
      <c r="AR379">
        <f>$C379*AR378</f>
        <v/>
      </c>
      <c r="AS379">
        <f>$C379*AS378</f>
        <v/>
      </c>
      <c r="AT379">
        <f>$C379*AT378</f>
        <v/>
      </c>
      <c r="AU379">
        <f>$C379*AU378</f>
        <v/>
      </c>
      <c r="AV379">
        <f>$C379*AV378</f>
        <v/>
      </c>
      <c r="AW379">
        <f>$C379*AW378</f>
        <v/>
      </c>
      <c r="AX379">
        <f>$C379*AX378</f>
        <v/>
      </c>
      <c r="AY379">
        <f>$C379*AY378</f>
        <v/>
      </c>
      <c r="AZ379">
        <f>$C379*AZ378</f>
        <v/>
      </c>
      <c r="BA379">
        <f>$C379*BA378</f>
        <v/>
      </c>
      <c r="BB379">
        <f>$C379*BB378</f>
        <v/>
      </c>
      <c r="BC379">
        <f>$C379*BC378</f>
        <v/>
      </c>
      <c r="BD379">
        <f>$C379*BD378</f>
        <v/>
      </c>
      <c r="BE379">
        <f>$C379*BE378</f>
        <v/>
      </c>
      <c r="BF379">
        <f>$C379*BF378</f>
        <v/>
      </c>
      <c r="BG379">
        <f>$C379*BG378</f>
        <v/>
      </c>
      <c r="BH379">
        <f>$C379*BH378</f>
        <v/>
      </c>
      <c r="BI379">
        <f>$C379*BI378</f>
        <v/>
      </c>
      <c r="BJ379">
        <f>$C379*BJ378</f>
        <v/>
      </c>
      <c r="BK379">
        <f>$C379*BK378</f>
        <v/>
      </c>
      <c r="BL379">
        <f>$C379*BL378</f>
        <v/>
      </c>
      <c r="BM379">
        <f>$C379*BM378</f>
        <v/>
      </c>
      <c r="BN379">
        <f>$C379*BN378</f>
        <v/>
      </c>
      <c r="BO379">
        <f>$C379*BO378</f>
        <v/>
      </c>
      <c r="BP379">
        <f>$C379*BP378</f>
        <v/>
      </c>
      <c r="BQ379">
        <f>$C379*BQ378</f>
        <v/>
      </c>
      <c r="BR379">
        <f>$C379*BR378</f>
        <v/>
      </c>
      <c r="BS379">
        <f>$C379*BS378</f>
        <v/>
      </c>
      <c r="BT379">
        <f>$C379*BT378</f>
        <v/>
      </c>
      <c r="BU379">
        <f>$C379*BU378</f>
        <v/>
      </c>
      <c r="BV379">
        <f>$C379*BV378</f>
        <v/>
      </c>
      <c r="BW379">
        <f>$C379*BW378</f>
        <v/>
      </c>
      <c r="BX379">
        <f>$C379*BX378</f>
        <v/>
      </c>
      <c r="BY379">
        <f>$C379*BY378</f>
        <v/>
      </c>
      <c r="BZ379">
        <f>$C379*BZ378</f>
        <v/>
      </c>
      <c r="CA379">
        <f>$C379*CA378</f>
        <v/>
      </c>
      <c r="CB379">
        <f>$C379*CB378</f>
        <v/>
      </c>
      <c r="CC379">
        <f>$C379*CC378</f>
        <v/>
      </c>
      <c r="CD379">
        <f>$C379*CD378</f>
        <v/>
      </c>
      <c r="CE379">
        <f>$C379*CE378</f>
        <v/>
      </c>
      <c r="CF379">
        <f>$C379*CF378</f>
        <v/>
      </c>
      <c r="CG379">
        <f>$C379*CG378</f>
        <v/>
      </c>
      <c r="CH379">
        <f>$C379*CH378</f>
        <v/>
      </c>
      <c r="CI379">
        <f>$C379*CI378</f>
        <v/>
      </c>
      <c r="CJ379">
        <f>$C379*CJ378</f>
        <v/>
      </c>
      <c r="CK379">
        <f>$C379*CK378</f>
        <v/>
      </c>
      <c r="CL379">
        <f>$C379*CL378</f>
        <v/>
      </c>
      <c r="CM379">
        <f>$C379*CM378</f>
        <v/>
      </c>
      <c r="CN379">
        <f>$C379*CN378</f>
        <v/>
      </c>
      <c r="CO379">
        <f>$C379*CO378</f>
        <v/>
      </c>
      <c r="CP379">
        <f>$C379*CP378</f>
        <v/>
      </c>
      <c r="CQ379">
        <f>$C379*CQ378</f>
        <v/>
      </c>
      <c r="CR379">
        <f>$C379*CR378</f>
        <v/>
      </c>
      <c r="CS379">
        <f>$C379*CS378</f>
        <v/>
      </c>
      <c r="CT379">
        <f>$C379*CT378</f>
        <v/>
      </c>
      <c r="CU379">
        <f>$C379*CU378</f>
        <v/>
      </c>
      <c r="CV379">
        <f>$C379*CV378</f>
        <v/>
      </c>
      <c r="CW379">
        <f>$C379*CW378</f>
        <v/>
      </c>
      <c r="CX379">
        <f>$C379*CX378</f>
        <v/>
      </c>
      <c r="CY379">
        <f>$C379*CY378</f>
        <v/>
      </c>
      <c r="CZ379">
        <f>$C379*CZ378</f>
        <v/>
      </c>
      <c r="DA379">
        <f>$C379*DA378</f>
        <v/>
      </c>
      <c r="DB379">
        <f>$C379*DB378</f>
        <v/>
      </c>
      <c r="DC379">
        <f>$C379*DC378</f>
        <v/>
      </c>
    </row>
    <row r="380">
      <c r="B380" t="inlineStr">
        <is>
          <t>TPP-912</t>
        </is>
      </c>
      <c r="C380" t="inlineStr">
        <is>
          <t>No. of batches</t>
        </is>
      </c>
      <c r="D380">
        <f>IFERROR(INDEX(PP_Grid[#Data],$DD380,2),0)</f>
        <v/>
      </c>
      <c r="E380">
        <f>IFERROR(INDEX(PP_Grid[#Data],$DD380,3),0)</f>
        <v/>
      </c>
      <c r="F380">
        <f>IFERROR(INDEX(PP_Grid[#Data],$DD380,4),0)</f>
        <v/>
      </c>
      <c r="G380">
        <f>IFERROR(INDEX(PP_Grid[#Data],$DD380,5),0)</f>
        <v/>
      </c>
      <c r="H380">
        <f>IFERROR(INDEX(PP_Grid[#Data],$DD380,6),0)</f>
        <v/>
      </c>
      <c r="I380">
        <f>IFERROR(INDEX(PP_Grid[#Data],$DD380,7),0)</f>
        <v/>
      </c>
      <c r="J380">
        <f>IFERROR(INDEX(PP_Grid[#Data],$DD380,8),0)</f>
        <v/>
      </c>
      <c r="K380">
        <f>IFERROR(INDEX(PP_Grid[#Data],$DD380,9),0)</f>
        <v/>
      </c>
      <c r="L380">
        <f>IFERROR(INDEX(PP_Grid[#Data],$DD380,10),0)</f>
        <v/>
      </c>
      <c r="M380">
        <f>IFERROR(INDEX(PP_Grid[#Data],$DD380,11),0)</f>
        <v/>
      </c>
      <c r="N380">
        <f>IFERROR(INDEX(PP_Grid[#Data],$DD380,12),0)</f>
        <v/>
      </c>
      <c r="O380">
        <f>IFERROR(INDEX(PP_Grid[#Data],$DD380,13),0)</f>
        <v/>
      </c>
      <c r="P380">
        <f>IFERROR(INDEX(PP_Grid[#Data],$DD380,14),0)</f>
        <v/>
      </c>
      <c r="Q380">
        <f>IFERROR(INDEX(PP_Grid[#Data],$DD380,15),0)</f>
        <v/>
      </c>
      <c r="R380">
        <f>IFERROR(INDEX(PP_Grid[#Data],$DD380,16),0)</f>
        <v/>
      </c>
      <c r="S380">
        <f>IFERROR(INDEX(PP_Grid[#Data],$DD380,17),0)</f>
        <v/>
      </c>
      <c r="T380">
        <f>IFERROR(INDEX(PP_Grid[#Data],$DD380,18),0)</f>
        <v/>
      </c>
      <c r="U380">
        <f>IFERROR(INDEX(PP_Grid[#Data],$DD380,19),0)</f>
        <v/>
      </c>
      <c r="V380">
        <f>IFERROR(INDEX(PP_Grid[#Data],$DD380,20),0)</f>
        <v/>
      </c>
      <c r="W380">
        <f>IFERROR(INDEX(PP_Grid[#Data],$DD380,21),0)</f>
        <v/>
      </c>
      <c r="X380">
        <f>IFERROR(INDEX(PP_Grid[#Data],$DD380,22),0)</f>
        <v/>
      </c>
      <c r="Y380">
        <f>IFERROR(INDEX(PP_Grid[#Data],$DD380,23),0)</f>
        <v/>
      </c>
      <c r="Z380">
        <f>IFERROR(INDEX(PP_Grid[#Data],$DD380,24),0)</f>
        <v/>
      </c>
      <c r="AA380">
        <f>IFERROR(INDEX(PP_Grid[#Data],$DD380,25),0)</f>
        <v/>
      </c>
      <c r="AB380">
        <f>IFERROR(INDEX(PP_Grid[#Data],$DD380,26),0)</f>
        <v/>
      </c>
      <c r="AC380">
        <f>IFERROR(INDEX(PP_Grid[#Data],$DD380,27),0)</f>
        <v/>
      </c>
      <c r="AD380">
        <f>IFERROR(INDEX(PP_Grid[#Data],$DD380,28),0)</f>
        <v/>
      </c>
      <c r="AE380">
        <f>IFERROR(INDEX(PP_Grid[#Data],$DD380,29),0)</f>
        <v/>
      </c>
      <c r="AF380">
        <f>IFERROR(INDEX(PP_Grid[#Data],$DD380,30),0)</f>
        <v/>
      </c>
      <c r="AG380">
        <f>IFERROR(INDEX(PP_Grid[#Data],$DD380,31),0)</f>
        <v/>
      </c>
      <c r="AH380">
        <f>IFERROR(INDEX(PP_Grid[#Data],$DD380,32),0)</f>
        <v/>
      </c>
      <c r="AI380">
        <f>IFERROR(INDEX(PP_Grid[#Data],$DD380,33),0)</f>
        <v/>
      </c>
      <c r="AJ380">
        <f>IFERROR(INDEX(PP_Grid[#Data],$DD380,34),0)</f>
        <v/>
      </c>
      <c r="AK380">
        <f>IFERROR(INDEX(PP_Grid[#Data],$DD380,35),0)</f>
        <v/>
      </c>
      <c r="AL380">
        <f>IFERROR(INDEX(PP_Grid[#Data],$DD380,36),0)</f>
        <v/>
      </c>
      <c r="AM380">
        <f>IFERROR(INDEX(PP_Grid[#Data],$DD380,37),0)</f>
        <v/>
      </c>
      <c r="AN380">
        <f>IFERROR(INDEX(PP_Grid[#Data],$DD380,38),0)</f>
        <v/>
      </c>
      <c r="AO380">
        <f>IFERROR(INDEX(PP_Grid[#Data],$DD380,39),0)</f>
        <v/>
      </c>
      <c r="AP380">
        <f>IFERROR(INDEX(PP_Grid[#Data],$DD380,40),0)</f>
        <v/>
      </c>
      <c r="AQ380">
        <f>IFERROR(INDEX(PP_Grid[#Data],$DD380,41),0)</f>
        <v/>
      </c>
      <c r="AR380">
        <f>IFERROR(INDEX(PP_Grid[#Data],$DD380,42),0)</f>
        <v/>
      </c>
      <c r="AS380">
        <f>IFERROR(INDEX(PP_Grid[#Data],$DD380,43),0)</f>
        <v/>
      </c>
      <c r="AT380">
        <f>IFERROR(INDEX(PP_Grid[#Data],$DD380,44),0)</f>
        <v/>
      </c>
      <c r="AU380">
        <f>IFERROR(INDEX(PP_Grid[#Data],$DD380,45),0)</f>
        <v/>
      </c>
      <c r="AV380">
        <f>IFERROR(INDEX(PP_Grid[#Data],$DD380,46),0)</f>
        <v/>
      </c>
      <c r="AW380">
        <f>IFERROR(INDEX(PP_Grid[#Data],$DD380,47),0)</f>
        <v/>
      </c>
      <c r="AX380">
        <f>IFERROR(INDEX(PP_Grid[#Data],$DD380,48),0)</f>
        <v/>
      </c>
      <c r="AY380">
        <f>IFERROR(INDEX(PP_Grid[#Data],$DD380,49),0)</f>
        <v/>
      </c>
      <c r="AZ380">
        <f>IFERROR(INDEX(PP_Grid[#Data],$DD380,50),0)</f>
        <v/>
      </c>
      <c r="BA380">
        <f>IFERROR(INDEX(PP_Grid[#Data],$DD380,51),0)</f>
        <v/>
      </c>
      <c r="BB380">
        <f>IFERROR(INDEX(PP_Grid[#Data],$DD380,52),0)</f>
        <v/>
      </c>
      <c r="BC380">
        <f>IFERROR(INDEX(PP_Grid[#Data],$DD380,53),0)</f>
        <v/>
      </c>
      <c r="BD380">
        <f>IFERROR(INDEX(PP_Grid[#Data],$DD380,54),0)</f>
        <v/>
      </c>
      <c r="BE380">
        <f>IFERROR(INDEX(PP_Grid[#Data],$DD380,55),0)</f>
        <v/>
      </c>
      <c r="BF380">
        <f>IFERROR(INDEX(PP_Grid[#Data],$DD380,56),0)</f>
        <v/>
      </c>
      <c r="BG380">
        <f>IFERROR(INDEX(PP_Grid[#Data],$DD380,57),0)</f>
        <v/>
      </c>
      <c r="BH380">
        <f>IFERROR(INDEX(PP_Grid[#Data],$DD380,58),0)</f>
        <v/>
      </c>
      <c r="BI380">
        <f>IFERROR(INDEX(PP_Grid[#Data],$DD380,59),0)</f>
        <v/>
      </c>
      <c r="BJ380">
        <f>IFERROR(INDEX(PP_Grid[#Data],$DD380,60),0)</f>
        <v/>
      </c>
      <c r="BK380">
        <f>IFERROR(INDEX(PP_Grid[#Data],$DD380,61),0)</f>
        <v/>
      </c>
      <c r="BL380">
        <f>IFERROR(INDEX(PP_Grid[#Data],$DD380,62),0)</f>
        <v/>
      </c>
      <c r="BM380">
        <f>IFERROR(INDEX(PP_Grid[#Data],$DD380,63),0)</f>
        <v/>
      </c>
      <c r="BN380">
        <f>IFERROR(INDEX(PP_Grid[#Data],$DD380,64),0)</f>
        <v/>
      </c>
      <c r="BO380">
        <f>IFERROR(INDEX(PP_Grid[#Data],$DD380,65),0)</f>
        <v/>
      </c>
      <c r="BP380">
        <f>IFERROR(INDEX(PP_Grid[#Data],$DD380,66),0)</f>
        <v/>
      </c>
      <c r="BQ380">
        <f>IFERROR(INDEX(PP_Grid[#Data],$DD380,67),0)</f>
        <v/>
      </c>
      <c r="BR380">
        <f>IFERROR(INDEX(PP_Grid[#Data],$DD380,68),0)</f>
        <v/>
      </c>
      <c r="BS380">
        <f>IFERROR(INDEX(PP_Grid[#Data],$DD380,69),0)</f>
        <v/>
      </c>
      <c r="BT380">
        <f>IFERROR(INDEX(PP_Grid[#Data],$DD380,70),0)</f>
        <v/>
      </c>
      <c r="BU380">
        <f>IFERROR(INDEX(PP_Grid[#Data],$DD380,71),0)</f>
        <v/>
      </c>
      <c r="BV380">
        <f>IFERROR(INDEX(PP_Grid[#Data],$DD380,72),0)</f>
        <v/>
      </c>
      <c r="BW380">
        <f>IFERROR(INDEX(PP_Grid[#Data],$DD380,73),0)</f>
        <v/>
      </c>
      <c r="BX380">
        <f>IFERROR(INDEX(PP_Grid[#Data],$DD380,74),0)</f>
        <v/>
      </c>
      <c r="BY380">
        <f>IFERROR(INDEX(PP_Grid[#Data],$DD380,75),0)</f>
        <v/>
      </c>
      <c r="BZ380">
        <f>IFERROR(INDEX(PP_Grid[#Data],$DD380,76),0)</f>
        <v/>
      </c>
      <c r="CA380">
        <f>IFERROR(INDEX(PP_Grid[#Data],$DD380,77),0)</f>
        <v/>
      </c>
      <c r="CB380">
        <f>IFERROR(INDEX(PP_Grid[#Data],$DD380,78),0)</f>
        <v/>
      </c>
      <c r="CC380">
        <f>IFERROR(INDEX(PP_Grid[#Data],$DD380,79),0)</f>
        <v/>
      </c>
      <c r="CD380">
        <f>IFERROR(INDEX(PP_Grid[#Data],$DD380,80),0)</f>
        <v/>
      </c>
      <c r="CE380">
        <f>IFERROR(INDEX(PP_Grid[#Data],$DD380,81),0)</f>
        <v/>
      </c>
      <c r="CF380">
        <f>IFERROR(INDEX(PP_Grid[#Data],$DD380,82),0)</f>
        <v/>
      </c>
      <c r="CG380">
        <f>IFERROR(INDEX(PP_Grid[#Data],$DD380,83),0)</f>
        <v/>
      </c>
      <c r="CH380">
        <f>IFERROR(INDEX(PP_Grid[#Data],$DD380,84),0)</f>
        <v/>
      </c>
      <c r="CI380">
        <f>IFERROR(INDEX(PP_Grid[#Data],$DD380,85),0)</f>
        <v/>
      </c>
      <c r="CJ380">
        <f>IFERROR(INDEX(PP_Grid[#Data],$DD380,86),0)</f>
        <v/>
      </c>
      <c r="CK380">
        <f>IFERROR(INDEX(PP_Grid[#Data],$DD380,87),0)</f>
        <v/>
      </c>
      <c r="CL380">
        <f>IFERROR(INDEX(PP_Grid[#Data],$DD380,88),0)</f>
        <v/>
      </c>
      <c r="CM380">
        <f>IFERROR(INDEX(PP_Grid[#Data],$DD380,89),0)</f>
        <v/>
      </c>
      <c r="CN380">
        <f>IFERROR(INDEX(PP_Grid[#Data],$DD380,90),0)</f>
        <v/>
      </c>
      <c r="CO380">
        <f>IFERROR(INDEX(PP_Grid[#Data],$DD380,91),0)</f>
        <v/>
      </c>
      <c r="CP380">
        <f>IFERROR(INDEX(PP_Grid[#Data],$DD380,92),0)</f>
        <v/>
      </c>
      <c r="CQ380">
        <f>IFERROR(INDEX(PP_Grid[#Data],$DD380,93),0)</f>
        <v/>
      </c>
      <c r="CR380">
        <f>IFERROR(INDEX(PP_Grid[#Data],$DD380,94),0)</f>
        <v/>
      </c>
      <c r="CS380">
        <f>IFERROR(INDEX(PP_Grid[#Data],$DD380,95),0)</f>
        <v/>
      </c>
      <c r="CT380">
        <f>IFERROR(INDEX(PP_Grid[#Data],$DD380,96),0)</f>
        <v/>
      </c>
      <c r="CU380">
        <f>IFERROR(INDEX(PP_Grid[#Data],$DD380,97),0)</f>
        <v/>
      </c>
      <c r="CV380">
        <f>IFERROR(INDEX(PP_Grid[#Data],$DD380,98),0)</f>
        <v/>
      </c>
      <c r="CW380">
        <f>IFERROR(INDEX(PP_Grid[#Data],$DD380,99),0)</f>
        <v/>
      </c>
      <c r="CX380">
        <f>IFERROR(INDEX(PP_Grid[#Data],$DD380,100),0)</f>
        <v/>
      </c>
      <c r="CY380">
        <f>IFERROR(INDEX(PP_Grid[#Data],$DD380,101),0)</f>
        <v/>
      </c>
      <c r="CZ380">
        <f>IFERROR(INDEX(PP_Grid[#Data],$DD380,102),0)</f>
        <v/>
      </c>
      <c r="DA380">
        <f>IFERROR(INDEX(PP_Grid[#Data],$DD380,103),0)</f>
        <v/>
      </c>
      <c r="DB380">
        <f>IFERROR(INDEX(PP_Grid[#Data],$DD380,104),0)</f>
        <v/>
      </c>
      <c r="DC380">
        <f>IFERROR(INDEX(PP_Grid[#Data],$DD380,105),0)</f>
        <v/>
      </c>
      <c r="DD380" s="12">
        <f>IFERROR(MATCH($B380,PP_Grid[Intermediate],0),99999)</f>
        <v/>
      </c>
    </row>
    <row r="381">
      <c r="B381" t="inlineStr">
        <is>
          <t>使用量(kg)</t>
        </is>
      </c>
      <c r="C381">
        <f>SUMIFS(M_BOM[RM_Qty_Per_Batch],M_BOM[Intermediate],$B380,M_BOM[Part Name],$A377)</f>
        <v/>
      </c>
      <c r="D381">
        <f>$C381*D380</f>
        <v/>
      </c>
      <c r="E381">
        <f>$C381*E380</f>
        <v/>
      </c>
      <c r="F381">
        <f>$C381*F380</f>
        <v/>
      </c>
      <c r="G381">
        <f>$C381*G380</f>
        <v/>
      </c>
      <c r="H381">
        <f>$C381*H380</f>
        <v/>
      </c>
      <c r="I381">
        <f>$C381*I380</f>
        <v/>
      </c>
      <c r="J381">
        <f>$C381*J380</f>
        <v/>
      </c>
      <c r="K381">
        <f>$C381*K380</f>
        <v/>
      </c>
      <c r="L381">
        <f>$C381*L380</f>
        <v/>
      </c>
      <c r="M381">
        <f>$C381*M380</f>
        <v/>
      </c>
      <c r="N381">
        <f>$C381*N380</f>
        <v/>
      </c>
      <c r="O381">
        <f>$C381*O380</f>
        <v/>
      </c>
      <c r="P381">
        <f>$C381*P380</f>
        <v/>
      </c>
      <c r="Q381">
        <f>$C381*Q380</f>
        <v/>
      </c>
      <c r="R381">
        <f>$C381*R380</f>
        <v/>
      </c>
      <c r="S381">
        <f>$C381*S380</f>
        <v/>
      </c>
      <c r="T381">
        <f>$C381*T380</f>
        <v/>
      </c>
      <c r="U381">
        <f>$C381*U380</f>
        <v/>
      </c>
      <c r="V381">
        <f>$C381*V380</f>
        <v/>
      </c>
      <c r="W381">
        <f>$C381*W380</f>
        <v/>
      </c>
      <c r="X381">
        <f>$C381*X380</f>
        <v/>
      </c>
      <c r="Y381">
        <f>$C381*Y380</f>
        <v/>
      </c>
      <c r="Z381">
        <f>$C381*Z380</f>
        <v/>
      </c>
      <c r="AA381">
        <f>$C381*AA380</f>
        <v/>
      </c>
      <c r="AB381">
        <f>$C381*AB380</f>
        <v/>
      </c>
      <c r="AC381">
        <f>$C381*AC380</f>
        <v/>
      </c>
      <c r="AD381">
        <f>$C381*AD380</f>
        <v/>
      </c>
      <c r="AE381">
        <f>$C381*AE380</f>
        <v/>
      </c>
      <c r="AF381">
        <f>$C381*AF380</f>
        <v/>
      </c>
      <c r="AG381">
        <f>$C381*AG380</f>
        <v/>
      </c>
      <c r="AH381">
        <f>$C381*AH380</f>
        <v/>
      </c>
      <c r="AI381">
        <f>$C381*AI380</f>
        <v/>
      </c>
      <c r="AJ381">
        <f>$C381*AJ380</f>
        <v/>
      </c>
      <c r="AK381">
        <f>$C381*AK380</f>
        <v/>
      </c>
      <c r="AL381">
        <f>$C381*AL380</f>
        <v/>
      </c>
      <c r="AM381">
        <f>$C381*AM380</f>
        <v/>
      </c>
      <c r="AN381">
        <f>$C381*AN380</f>
        <v/>
      </c>
      <c r="AO381">
        <f>$C381*AO380</f>
        <v/>
      </c>
      <c r="AP381">
        <f>$C381*AP380</f>
        <v/>
      </c>
      <c r="AQ381">
        <f>$C381*AQ380</f>
        <v/>
      </c>
      <c r="AR381">
        <f>$C381*AR380</f>
        <v/>
      </c>
      <c r="AS381">
        <f>$C381*AS380</f>
        <v/>
      </c>
      <c r="AT381">
        <f>$C381*AT380</f>
        <v/>
      </c>
      <c r="AU381">
        <f>$C381*AU380</f>
        <v/>
      </c>
      <c r="AV381">
        <f>$C381*AV380</f>
        <v/>
      </c>
      <c r="AW381">
        <f>$C381*AW380</f>
        <v/>
      </c>
      <c r="AX381">
        <f>$C381*AX380</f>
        <v/>
      </c>
      <c r="AY381">
        <f>$C381*AY380</f>
        <v/>
      </c>
      <c r="AZ381">
        <f>$C381*AZ380</f>
        <v/>
      </c>
      <c r="BA381">
        <f>$C381*BA380</f>
        <v/>
      </c>
      <c r="BB381">
        <f>$C381*BB380</f>
        <v/>
      </c>
      <c r="BC381">
        <f>$C381*BC380</f>
        <v/>
      </c>
      <c r="BD381">
        <f>$C381*BD380</f>
        <v/>
      </c>
      <c r="BE381">
        <f>$C381*BE380</f>
        <v/>
      </c>
      <c r="BF381">
        <f>$C381*BF380</f>
        <v/>
      </c>
      <c r="BG381">
        <f>$C381*BG380</f>
        <v/>
      </c>
      <c r="BH381">
        <f>$C381*BH380</f>
        <v/>
      </c>
      <c r="BI381">
        <f>$C381*BI380</f>
        <v/>
      </c>
      <c r="BJ381">
        <f>$C381*BJ380</f>
        <v/>
      </c>
      <c r="BK381">
        <f>$C381*BK380</f>
        <v/>
      </c>
      <c r="BL381">
        <f>$C381*BL380</f>
        <v/>
      </c>
      <c r="BM381">
        <f>$C381*BM380</f>
        <v/>
      </c>
      <c r="BN381">
        <f>$C381*BN380</f>
        <v/>
      </c>
      <c r="BO381">
        <f>$C381*BO380</f>
        <v/>
      </c>
      <c r="BP381">
        <f>$C381*BP380</f>
        <v/>
      </c>
      <c r="BQ381">
        <f>$C381*BQ380</f>
        <v/>
      </c>
      <c r="BR381">
        <f>$C381*BR380</f>
        <v/>
      </c>
      <c r="BS381">
        <f>$C381*BS380</f>
        <v/>
      </c>
      <c r="BT381">
        <f>$C381*BT380</f>
        <v/>
      </c>
      <c r="BU381">
        <f>$C381*BU380</f>
        <v/>
      </c>
      <c r="BV381">
        <f>$C381*BV380</f>
        <v/>
      </c>
      <c r="BW381">
        <f>$C381*BW380</f>
        <v/>
      </c>
      <c r="BX381">
        <f>$C381*BX380</f>
        <v/>
      </c>
      <c r="BY381">
        <f>$C381*BY380</f>
        <v/>
      </c>
      <c r="BZ381">
        <f>$C381*BZ380</f>
        <v/>
      </c>
      <c r="CA381">
        <f>$C381*CA380</f>
        <v/>
      </c>
      <c r="CB381">
        <f>$C381*CB380</f>
        <v/>
      </c>
      <c r="CC381">
        <f>$C381*CC380</f>
        <v/>
      </c>
      <c r="CD381">
        <f>$C381*CD380</f>
        <v/>
      </c>
      <c r="CE381">
        <f>$C381*CE380</f>
        <v/>
      </c>
      <c r="CF381">
        <f>$C381*CF380</f>
        <v/>
      </c>
      <c r="CG381">
        <f>$C381*CG380</f>
        <v/>
      </c>
      <c r="CH381">
        <f>$C381*CH380</f>
        <v/>
      </c>
      <c r="CI381">
        <f>$C381*CI380</f>
        <v/>
      </c>
      <c r="CJ381">
        <f>$C381*CJ380</f>
        <v/>
      </c>
      <c r="CK381">
        <f>$C381*CK380</f>
        <v/>
      </c>
      <c r="CL381">
        <f>$C381*CL380</f>
        <v/>
      </c>
      <c r="CM381">
        <f>$C381*CM380</f>
        <v/>
      </c>
      <c r="CN381">
        <f>$C381*CN380</f>
        <v/>
      </c>
      <c r="CO381">
        <f>$C381*CO380</f>
        <v/>
      </c>
      <c r="CP381">
        <f>$C381*CP380</f>
        <v/>
      </c>
      <c r="CQ381">
        <f>$C381*CQ380</f>
        <v/>
      </c>
      <c r="CR381">
        <f>$C381*CR380</f>
        <v/>
      </c>
      <c r="CS381">
        <f>$C381*CS380</f>
        <v/>
      </c>
      <c r="CT381">
        <f>$C381*CT380</f>
        <v/>
      </c>
      <c r="CU381">
        <f>$C381*CU380</f>
        <v/>
      </c>
      <c r="CV381">
        <f>$C381*CV380</f>
        <v/>
      </c>
      <c r="CW381">
        <f>$C381*CW380</f>
        <v/>
      </c>
      <c r="CX381">
        <f>$C381*CX380</f>
        <v/>
      </c>
      <c r="CY381">
        <f>$C381*CY380</f>
        <v/>
      </c>
      <c r="CZ381">
        <f>$C381*CZ380</f>
        <v/>
      </c>
      <c r="DA381">
        <f>$C381*DA380</f>
        <v/>
      </c>
      <c r="DB381">
        <f>$C381*DB380</f>
        <v/>
      </c>
      <c r="DC381">
        <f>$C381*DC380</f>
        <v/>
      </c>
    </row>
    <row r="382">
      <c r="B382" t="inlineStr">
        <is>
          <t>TSP-924</t>
        </is>
      </c>
      <c r="C382" t="inlineStr">
        <is>
          <t>No. of batches</t>
        </is>
      </c>
      <c r="D382">
        <f>IFERROR(INDEX(PP_Grid[#Data],$DD382,2),0)</f>
        <v/>
      </c>
      <c r="E382">
        <f>IFERROR(INDEX(PP_Grid[#Data],$DD382,3),0)</f>
        <v/>
      </c>
      <c r="F382">
        <f>IFERROR(INDEX(PP_Grid[#Data],$DD382,4),0)</f>
        <v/>
      </c>
      <c r="G382">
        <f>IFERROR(INDEX(PP_Grid[#Data],$DD382,5),0)</f>
        <v/>
      </c>
      <c r="H382">
        <f>IFERROR(INDEX(PP_Grid[#Data],$DD382,6),0)</f>
        <v/>
      </c>
      <c r="I382">
        <f>IFERROR(INDEX(PP_Grid[#Data],$DD382,7),0)</f>
        <v/>
      </c>
      <c r="J382">
        <f>IFERROR(INDEX(PP_Grid[#Data],$DD382,8),0)</f>
        <v/>
      </c>
      <c r="K382">
        <f>IFERROR(INDEX(PP_Grid[#Data],$DD382,9),0)</f>
        <v/>
      </c>
      <c r="L382">
        <f>IFERROR(INDEX(PP_Grid[#Data],$DD382,10),0)</f>
        <v/>
      </c>
      <c r="M382">
        <f>IFERROR(INDEX(PP_Grid[#Data],$DD382,11),0)</f>
        <v/>
      </c>
      <c r="N382">
        <f>IFERROR(INDEX(PP_Grid[#Data],$DD382,12),0)</f>
        <v/>
      </c>
      <c r="O382">
        <f>IFERROR(INDEX(PP_Grid[#Data],$DD382,13),0)</f>
        <v/>
      </c>
      <c r="P382">
        <f>IFERROR(INDEX(PP_Grid[#Data],$DD382,14),0)</f>
        <v/>
      </c>
      <c r="Q382">
        <f>IFERROR(INDEX(PP_Grid[#Data],$DD382,15),0)</f>
        <v/>
      </c>
      <c r="R382">
        <f>IFERROR(INDEX(PP_Grid[#Data],$DD382,16),0)</f>
        <v/>
      </c>
      <c r="S382">
        <f>IFERROR(INDEX(PP_Grid[#Data],$DD382,17),0)</f>
        <v/>
      </c>
      <c r="T382">
        <f>IFERROR(INDEX(PP_Grid[#Data],$DD382,18),0)</f>
        <v/>
      </c>
      <c r="U382">
        <f>IFERROR(INDEX(PP_Grid[#Data],$DD382,19),0)</f>
        <v/>
      </c>
      <c r="V382">
        <f>IFERROR(INDEX(PP_Grid[#Data],$DD382,20),0)</f>
        <v/>
      </c>
      <c r="W382">
        <f>IFERROR(INDEX(PP_Grid[#Data],$DD382,21),0)</f>
        <v/>
      </c>
      <c r="X382">
        <f>IFERROR(INDEX(PP_Grid[#Data],$DD382,22),0)</f>
        <v/>
      </c>
      <c r="Y382">
        <f>IFERROR(INDEX(PP_Grid[#Data],$DD382,23),0)</f>
        <v/>
      </c>
      <c r="Z382">
        <f>IFERROR(INDEX(PP_Grid[#Data],$DD382,24),0)</f>
        <v/>
      </c>
      <c r="AA382">
        <f>IFERROR(INDEX(PP_Grid[#Data],$DD382,25),0)</f>
        <v/>
      </c>
      <c r="AB382">
        <f>IFERROR(INDEX(PP_Grid[#Data],$DD382,26),0)</f>
        <v/>
      </c>
      <c r="AC382">
        <f>IFERROR(INDEX(PP_Grid[#Data],$DD382,27),0)</f>
        <v/>
      </c>
      <c r="AD382">
        <f>IFERROR(INDEX(PP_Grid[#Data],$DD382,28),0)</f>
        <v/>
      </c>
      <c r="AE382">
        <f>IFERROR(INDEX(PP_Grid[#Data],$DD382,29),0)</f>
        <v/>
      </c>
      <c r="AF382">
        <f>IFERROR(INDEX(PP_Grid[#Data],$DD382,30),0)</f>
        <v/>
      </c>
      <c r="AG382">
        <f>IFERROR(INDEX(PP_Grid[#Data],$DD382,31),0)</f>
        <v/>
      </c>
      <c r="AH382">
        <f>IFERROR(INDEX(PP_Grid[#Data],$DD382,32),0)</f>
        <v/>
      </c>
      <c r="AI382">
        <f>IFERROR(INDEX(PP_Grid[#Data],$DD382,33),0)</f>
        <v/>
      </c>
      <c r="AJ382">
        <f>IFERROR(INDEX(PP_Grid[#Data],$DD382,34),0)</f>
        <v/>
      </c>
      <c r="AK382">
        <f>IFERROR(INDEX(PP_Grid[#Data],$DD382,35),0)</f>
        <v/>
      </c>
      <c r="AL382">
        <f>IFERROR(INDEX(PP_Grid[#Data],$DD382,36),0)</f>
        <v/>
      </c>
      <c r="AM382">
        <f>IFERROR(INDEX(PP_Grid[#Data],$DD382,37),0)</f>
        <v/>
      </c>
      <c r="AN382">
        <f>IFERROR(INDEX(PP_Grid[#Data],$DD382,38),0)</f>
        <v/>
      </c>
      <c r="AO382">
        <f>IFERROR(INDEX(PP_Grid[#Data],$DD382,39),0)</f>
        <v/>
      </c>
      <c r="AP382">
        <f>IFERROR(INDEX(PP_Grid[#Data],$DD382,40),0)</f>
        <v/>
      </c>
      <c r="AQ382">
        <f>IFERROR(INDEX(PP_Grid[#Data],$DD382,41),0)</f>
        <v/>
      </c>
      <c r="AR382">
        <f>IFERROR(INDEX(PP_Grid[#Data],$DD382,42),0)</f>
        <v/>
      </c>
      <c r="AS382">
        <f>IFERROR(INDEX(PP_Grid[#Data],$DD382,43),0)</f>
        <v/>
      </c>
      <c r="AT382">
        <f>IFERROR(INDEX(PP_Grid[#Data],$DD382,44),0)</f>
        <v/>
      </c>
      <c r="AU382">
        <f>IFERROR(INDEX(PP_Grid[#Data],$DD382,45),0)</f>
        <v/>
      </c>
      <c r="AV382">
        <f>IFERROR(INDEX(PP_Grid[#Data],$DD382,46),0)</f>
        <v/>
      </c>
      <c r="AW382">
        <f>IFERROR(INDEX(PP_Grid[#Data],$DD382,47),0)</f>
        <v/>
      </c>
      <c r="AX382">
        <f>IFERROR(INDEX(PP_Grid[#Data],$DD382,48),0)</f>
        <v/>
      </c>
      <c r="AY382">
        <f>IFERROR(INDEX(PP_Grid[#Data],$DD382,49),0)</f>
        <v/>
      </c>
      <c r="AZ382">
        <f>IFERROR(INDEX(PP_Grid[#Data],$DD382,50),0)</f>
        <v/>
      </c>
      <c r="BA382">
        <f>IFERROR(INDEX(PP_Grid[#Data],$DD382,51),0)</f>
        <v/>
      </c>
      <c r="BB382">
        <f>IFERROR(INDEX(PP_Grid[#Data],$DD382,52),0)</f>
        <v/>
      </c>
      <c r="BC382">
        <f>IFERROR(INDEX(PP_Grid[#Data],$DD382,53),0)</f>
        <v/>
      </c>
      <c r="BD382">
        <f>IFERROR(INDEX(PP_Grid[#Data],$DD382,54),0)</f>
        <v/>
      </c>
      <c r="BE382">
        <f>IFERROR(INDEX(PP_Grid[#Data],$DD382,55),0)</f>
        <v/>
      </c>
      <c r="BF382">
        <f>IFERROR(INDEX(PP_Grid[#Data],$DD382,56),0)</f>
        <v/>
      </c>
      <c r="BG382">
        <f>IFERROR(INDEX(PP_Grid[#Data],$DD382,57),0)</f>
        <v/>
      </c>
      <c r="BH382">
        <f>IFERROR(INDEX(PP_Grid[#Data],$DD382,58),0)</f>
        <v/>
      </c>
      <c r="BI382">
        <f>IFERROR(INDEX(PP_Grid[#Data],$DD382,59),0)</f>
        <v/>
      </c>
      <c r="BJ382">
        <f>IFERROR(INDEX(PP_Grid[#Data],$DD382,60),0)</f>
        <v/>
      </c>
      <c r="BK382">
        <f>IFERROR(INDEX(PP_Grid[#Data],$DD382,61),0)</f>
        <v/>
      </c>
      <c r="BL382">
        <f>IFERROR(INDEX(PP_Grid[#Data],$DD382,62),0)</f>
        <v/>
      </c>
      <c r="BM382">
        <f>IFERROR(INDEX(PP_Grid[#Data],$DD382,63),0)</f>
        <v/>
      </c>
      <c r="BN382">
        <f>IFERROR(INDEX(PP_Grid[#Data],$DD382,64),0)</f>
        <v/>
      </c>
      <c r="BO382">
        <f>IFERROR(INDEX(PP_Grid[#Data],$DD382,65),0)</f>
        <v/>
      </c>
      <c r="BP382">
        <f>IFERROR(INDEX(PP_Grid[#Data],$DD382,66),0)</f>
        <v/>
      </c>
      <c r="BQ382">
        <f>IFERROR(INDEX(PP_Grid[#Data],$DD382,67),0)</f>
        <v/>
      </c>
      <c r="BR382">
        <f>IFERROR(INDEX(PP_Grid[#Data],$DD382,68),0)</f>
        <v/>
      </c>
      <c r="BS382">
        <f>IFERROR(INDEX(PP_Grid[#Data],$DD382,69),0)</f>
        <v/>
      </c>
      <c r="BT382">
        <f>IFERROR(INDEX(PP_Grid[#Data],$DD382,70),0)</f>
        <v/>
      </c>
      <c r="BU382">
        <f>IFERROR(INDEX(PP_Grid[#Data],$DD382,71),0)</f>
        <v/>
      </c>
      <c r="BV382">
        <f>IFERROR(INDEX(PP_Grid[#Data],$DD382,72),0)</f>
        <v/>
      </c>
      <c r="BW382">
        <f>IFERROR(INDEX(PP_Grid[#Data],$DD382,73),0)</f>
        <v/>
      </c>
      <c r="BX382">
        <f>IFERROR(INDEX(PP_Grid[#Data],$DD382,74),0)</f>
        <v/>
      </c>
      <c r="BY382">
        <f>IFERROR(INDEX(PP_Grid[#Data],$DD382,75),0)</f>
        <v/>
      </c>
      <c r="BZ382">
        <f>IFERROR(INDEX(PP_Grid[#Data],$DD382,76),0)</f>
        <v/>
      </c>
      <c r="CA382">
        <f>IFERROR(INDEX(PP_Grid[#Data],$DD382,77),0)</f>
        <v/>
      </c>
      <c r="CB382">
        <f>IFERROR(INDEX(PP_Grid[#Data],$DD382,78),0)</f>
        <v/>
      </c>
      <c r="CC382">
        <f>IFERROR(INDEX(PP_Grid[#Data],$DD382,79),0)</f>
        <v/>
      </c>
      <c r="CD382">
        <f>IFERROR(INDEX(PP_Grid[#Data],$DD382,80),0)</f>
        <v/>
      </c>
      <c r="CE382">
        <f>IFERROR(INDEX(PP_Grid[#Data],$DD382,81),0)</f>
        <v/>
      </c>
      <c r="CF382">
        <f>IFERROR(INDEX(PP_Grid[#Data],$DD382,82),0)</f>
        <v/>
      </c>
      <c r="CG382">
        <f>IFERROR(INDEX(PP_Grid[#Data],$DD382,83),0)</f>
        <v/>
      </c>
      <c r="CH382">
        <f>IFERROR(INDEX(PP_Grid[#Data],$DD382,84),0)</f>
        <v/>
      </c>
      <c r="CI382">
        <f>IFERROR(INDEX(PP_Grid[#Data],$DD382,85),0)</f>
        <v/>
      </c>
      <c r="CJ382">
        <f>IFERROR(INDEX(PP_Grid[#Data],$DD382,86),0)</f>
        <v/>
      </c>
      <c r="CK382">
        <f>IFERROR(INDEX(PP_Grid[#Data],$DD382,87),0)</f>
        <v/>
      </c>
      <c r="CL382">
        <f>IFERROR(INDEX(PP_Grid[#Data],$DD382,88),0)</f>
        <v/>
      </c>
      <c r="CM382">
        <f>IFERROR(INDEX(PP_Grid[#Data],$DD382,89),0)</f>
        <v/>
      </c>
      <c r="CN382">
        <f>IFERROR(INDEX(PP_Grid[#Data],$DD382,90),0)</f>
        <v/>
      </c>
      <c r="CO382">
        <f>IFERROR(INDEX(PP_Grid[#Data],$DD382,91),0)</f>
        <v/>
      </c>
      <c r="CP382">
        <f>IFERROR(INDEX(PP_Grid[#Data],$DD382,92),0)</f>
        <v/>
      </c>
      <c r="CQ382">
        <f>IFERROR(INDEX(PP_Grid[#Data],$DD382,93),0)</f>
        <v/>
      </c>
      <c r="CR382">
        <f>IFERROR(INDEX(PP_Grid[#Data],$DD382,94),0)</f>
        <v/>
      </c>
      <c r="CS382">
        <f>IFERROR(INDEX(PP_Grid[#Data],$DD382,95),0)</f>
        <v/>
      </c>
      <c r="CT382">
        <f>IFERROR(INDEX(PP_Grid[#Data],$DD382,96),0)</f>
        <v/>
      </c>
      <c r="CU382">
        <f>IFERROR(INDEX(PP_Grid[#Data],$DD382,97),0)</f>
        <v/>
      </c>
      <c r="CV382">
        <f>IFERROR(INDEX(PP_Grid[#Data],$DD382,98),0)</f>
        <v/>
      </c>
      <c r="CW382">
        <f>IFERROR(INDEX(PP_Grid[#Data],$DD382,99),0)</f>
        <v/>
      </c>
      <c r="CX382">
        <f>IFERROR(INDEX(PP_Grid[#Data],$DD382,100),0)</f>
        <v/>
      </c>
      <c r="CY382">
        <f>IFERROR(INDEX(PP_Grid[#Data],$DD382,101),0)</f>
        <v/>
      </c>
      <c r="CZ382">
        <f>IFERROR(INDEX(PP_Grid[#Data],$DD382,102),0)</f>
        <v/>
      </c>
      <c r="DA382">
        <f>IFERROR(INDEX(PP_Grid[#Data],$DD382,103),0)</f>
        <v/>
      </c>
      <c r="DB382">
        <f>IFERROR(INDEX(PP_Grid[#Data],$DD382,104),0)</f>
        <v/>
      </c>
      <c r="DC382">
        <f>IFERROR(INDEX(PP_Grid[#Data],$DD382,105),0)</f>
        <v/>
      </c>
      <c r="DD382" s="12">
        <f>IFERROR(MATCH($B382,PP_Grid[Intermediate],0),99999)</f>
        <v/>
      </c>
    </row>
    <row r="383">
      <c r="B383" t="inlineStr">
        <is>
          <t>使用量(kg)</t>
        </is>
      </c>
      <c r="C383">
        <f>SUMIFS(M_BOM[RM_Qty_Per_Batch],M_BOM[Intermediate],$B382,M_BOM[Part Name],$A377)</f>
        <v/>
      </c>
      <c r="D383">
        <f>$C383*D382</f>
        <v/>
      </c>
      <c r="E383">
        <f>$C383*E382</f>
        <v/>
      </c>
      <c r="F383">
        <f>$C383*F382</f>
        <v/>
      </c>
      <c r="G383">
        <f>$C383*G382</f>
        <v/>
      </c>
      <c r="H383">
        <f>$C383*H382</f>
        <v/>
      </c>
      <c r="I383">
        <f>$C383*I382</f>
        <v/>
      </c>
      <c r="J383">
        <f>$C383*J382</f>
        <v/>
      </c>
      <c r="K383">
        <f>$C383*K382</f>
        <v/>
      </c>
      <c r="L383">
        <f>$C383*L382</f>
        <v/>
      </c>
      <c r="M383">
        <f>$C383*M382</f>
        <v/>
      </c>
      <c r="N383">
        <f>$C383*N382</f>
        <v/>
      </c>
      <c r="O383">
        <f>$C383*O382</f>
        <v/>
      </c>
      <c r="P383">
        <f>$C383*P382</f>
        <v/>
      </c>
      <c r="Q383">
        <f>$C383*Q382</f>
        <v/>
      </c>
      <c r="R383">
        <f>$C383*R382</f>
        <v/>
      </c>
      <c r="S383">
        <f>$C383*S382</f>
        <v/>
      </c>
      <c r="T383">
        <f>$C383*T382</f>
        <v/>
      </c>
      <c r="U383">
        <f>$C383*U382</f>
        <v/>
      </c>
      <c r="V383">
        <f>$C383*V382</f>
        <v/>
      </c>
      <c r="W383">
        <f>$C383*W382</f>
        <v/>
      </c>
      <c r="X383">
        <f>$C383*X382</f>
        <v/>
      </c>
      <c r="Y383">
        <f>$C383*Y382</f>
        <v/>
      </c>
      <c r="Z383">
        <f>$C383*Z382</f>
        <v/>
      </c>
      <c r="AA383">
        <f>$C383*AA382</f>
        <v/>
      </c>
      <c r="AB383">
        <f>$C383*AB382</f>
        <v/>
      </c>
      <c r="AC383">
        <f>$C383*AC382</f>
        <v/>
      </c>
      <c r="AD383">
        <f>$C383*AD382</f>
        <v/>
      </c>
      <c r="AE383">
        <f>$C383*AE382</f>
        <v/>
      </c>
      <c r="AF383">
        <f>$C383*AF382</f>
        <v/>
      </c>
      <c r="AG383">
        <f>$C383*AG382</f>
        <v/>
      </c>
      <c r="AH383">
        <f>$C383*AH382</f>
        <v/>
      </c>
      <c r="AI383">
        <f>$C383*AI382</f>
        <v/>
      </c>
      <c r="AJ383">
        <f>$C383*AJ382</f>
        <v/>
      </c>
      <c r="AK383">
        <f>$C383*AK382</f>
        <v/>
      </c>
      <c r="AL383">
        <f>$C383*AL382</f>
        <v/>
      </c>
      <c r="AM383">
        <f>$C383*AM382</f>
        <v/>
      </c>
      <c r="AN383">
        <f>$C383*AN382</f>
        <v/>
      </c>
      <c r="AO383">
        <f>$C383*AO382</f>
        <v/>
      </c>
      <c r="AP383">
        <f>$C383*AP382</f>
        <v/>
      </c>
      <c r="AQ383">
        <f>$C383*AQ382</f>
        <v/>
      </c>
      <c r="AR383">
        <f>$C383*AR382</f>
        <v/>
      </c>
      <c r="AS383">
        <f>$C383*AS382</f>
        <v/>
      </c>
      <c r="AT383">
        <f>$C383*AT382</f>
        <v/>
      </c>
      <c r="AU383">
        <f>$C383*AU382</f>
        <v/>
      </c>
      <c r="AV383">
        <f>$C383*AV382</f>
        <v/>
      </c>
      <c r="AW383">
        <f>$C383*AW382</f>
        <v/>
      </c>
      <c r="AX383">
        <f>$C383*AX382</f>
        <v/>
      </c>
      <c r="AY383">
        <f>$C383*AY382</f>
        <v/>
      </c>
      <c r="AZ383">
        <f>$C383*AZ382</f>
        <v/>
      </c>
      <c r="BA383">
        <f>$C383*BA382</f>
        <v/>
      </c>
      <c r="BB383">
        <f>$C383*BB382</f>
        <v/>
      </c>
      <c r="BC383">
        <f>$C383*BC382</f>
        <v/>
      </c>
      <c r="BD383">
        <f>$C383*BD382</f>
        <v/>
      </c>
      <c r="BE383">
        <f>$C383*BE382</f>
        <v/>
      </c>
      <c r="BF383">
        <f>$C383*BF382</f>
        <v/>
      </c>
      <c r="BG383">
        <f>$C383*BG382</f>
        <v/>
      </c>
      <c r="BH383">
        <f>$C383*BH382</f>
        <v/>
      </c>
      <c r="BI383">
        <f>$C383*BI382</f>
        <v/>
      </c>
      <c r="BJ383">
        <f>$C383*BJ382</f>
        <v/>
      </c>
      <c r="BK383">
        <f>$C383*BK382</f>
        <v/>
      </c>
      <c r="BL383">
        <f>$C383*BL382</f>
        <v/>
      </c>
      <c r="BM383">
        <f>$C383*BM382</f>
        <v/>
      </c>
      <c r="BN383">
        <f>$C383*BN382</f>
        <v/>
      </c>
      <c r="BO383">
        <f>$C383*BO382</f>
        <v/>
      </c>
      <c r="BP383">
        <f>$C383*BP382</f>
        <v/>
      </c>
      <c r="BQ383">
        <f>$C383*BQ382</f>
        <v/>
      </c>
      <c r="BR383">
        <f>$C383*BR382</f>
        <v/>
      </c>
      <c r="BS383">
        <f>$C383*BS382</f>
        <v/>
      </c>
      <c r="BT383">
        <f>$C383*BT382</f>
        <v/>
      </c>
      <c r="BU383">
        <f>$C383*BU382</f>
        <v/>
      </c>
      <c r="BV383">
        <f>$C383*BV382</f>
        <v/>
      </c>
      <c r="BW383">
        <f>$C383*BW382</f>
        <v/>
      </c>
      <c r="BX383">
        <f>$C383*BX382</f>
        <v/>
      </c>
      <c r="BY383">
        <f>$C383*BY382</f>
        <v/>
      </c>
      <c r="BZ383">
        <f>$C383*BZ382</f>
        <v/>
      </c>
      <c r="CA383">
        <f>$C383*CA382</f>
        <v/>
      </c>
      <c r="CB383">
        <f>$C383*CB382</f>
        <v/>
      </c>
      <c r="CC383">
        <f>$C383*CC382</f>
        <v/>
      </c>
      <c r="CD383">
        <f>$C383*CD382</f>
        <v/>
      </c>
      <c r="CE383">
        <f>$C383*CE382</f>
        <v/>
      </c>
      <c r="CF383">
        <f>$C383*CF382</f>
        <v/>
      </c>
      <c r="CG383">
        <f>$C383*CG382</f>
        <v/>
      </c>
      <c r="CH383">
        <f>$C383*CH382</f>
        <v/>
      </c>
      <c r="CI383">
        <f>$C383*CI382</f>
        <v/>
      </c>
      <c r="CJ383">
        <f>$C383*CJ382</f>
        <v/>
      </c>
      <c r="CK383">
        <f>$C383*CK382</f>
        <v/>
      </c>
      <c r="CL383">
        <f>$C383*CL382</f>
        <v/>
      </c>
      <c r="CM383">
        <f>$C383*CM382</f>
        <v/>
      </c>
      <c r="CN383">
        <f>$C383*CN382</f>
        <v/>
      </c>
      <c r="CO383">
        <f>$C383*CO382</f>
        <v/>
      </c>
      <c r="CP383">
        <f>$C383*CP382</f>
        <v/>
      </c>
      <c r="CQ383">
        <f>$C383*CQ382</f>
        <v/>
      </c>
      <c r="CR383">
        <f>$C383*CR382</f>
        <v/>
      </c>
      <c r="CS383">
        <f>$C383*CS382</f>
        <v/>
      </c>
      <c r="CT383">
        <f>$C383*CT382</f>
        <v/>
      </c>
      <c r="CU383">
        <f>$C383*CU382</f>
        <v/>
      </c>
      <c r="CV383">
        <f>$C383*CV382</f>
        <v/>
      </c>
      <c r="CW383">
        <f>$C383*CW382</f>
        <v/>
      </c>
      <c r="CX383">
        <f>$C383*CX382</f>
        <v/>
      </c>
      <c r="CY383">
        <f>$C383*CY382</f>
        <v/>
      </c>
      <c r="CZ383">
        <f>$C383*CZ382</f>
        <v/>
      </c>
      <c r="DA383">
        <f>$C383*DA382</f>
        <v/>
      </c>
      <c r="DB383">
        <f>$C383*DB382</f>
        <v/>
      </c>
      <c r="DC383">
        <f>$C383*DC382</f>
        <v/>
      </c>
    </row>
    <row r="384">
      <c r="B384" t="inlineStr">
        <is>
          <t>TSP-925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12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Name],$A377)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s="5" t="inlineStr">
        <is>
          <t>合計使用量(kg)/週</t>
        </is>
      </c>
      <c r="D386">
        <f>'Grid_Requirement'!B41</f>
        <v/>
      </c>
      <c r="E386">
        <f>'Grid_Requirement'!C41</f>
        <v/>
      </c>
      <c r="F386">
        <f>'Grid_Requirement'!D41</f>
        <v/>
      </c>
      <c r="G386">
        <f>'Grid_Requirement'!E41</f>
        <v/>
      </c>
      <c r="H386">
        <f>'Grid_Requirement'!F41</f>
        <v/>
      </c>
      <c r="I386">
        <f>'Grid_Requirement'!G41</f>
        <v/>
      </c>
      <c r="J386">
        <f>'Grid_Requirement'!H41</f>
        <v/>
      </c>
      <c r="K386">
        <f>'Grid_Requirement'!I41</f>
        <v/>
      </c>
      <c r="L386">
        <f>'Grid_Requirement'!J41</f>
        <v/>
      </c>
      <c r="M386">
        <f>'Grid_Requirement'!K41</f>
        <v/>
      </c>
      <c r="N386">
        <f>'Grid_Requirement'!L41</f>
        <v/>
      </c>
      <c r="O386">
        <f>'Grid_Requirement'!M41</f>
        <v/>
      </c>
      <c r="P386">
        <f>'Grid_Requirement'!N41</f>
        <v/>
      </c>
      <c r="Q386">
        <f>'Grid_Requirement'!O41</f>
        <v/>
      </c>
      <c r="R386">
        <f>'Grid_Requirement'!P41</f>
        <v/>
      </c>
      <c r="S386">
        <f>'Grid_Requirement'!Q41</f>
        <v/>
      </c>
      <c r="T386">
        <f>'Grid_Requirement'!R41</f>
        <v/>
      </c>
      <c r="U386">
        <f>'Grid_Requirement'!S41</f>
        <v/>
      </c>
      <c r="V386">
        <f>'Grid_Requirement'!T41</f>
        <v/>
      </c>
      <c r="W386">
        <f>'Grid_Requirement'!U41</f>
        <v/>
      </c>
      <c r="X386">
        <f>'Grid_Requirement'!V41</f>
        <v/>
      </c>
      <c r="Y386">
        <f>'Grid_Requirement'!W41</f>
        <v/>
      </c>
      <c r="Z386">
        <f>'Grid_Requirement'!X41</f>
        <v/>
      </c>
      <c r="AA386">
        <f>'Grid_Requirement'!Y41</f>
        <v/>
      </c>
      <c r="AB386">
        <f>'Grid_Requirement'!Z41</f>
        <v/>
      </c>
      <c r="AC386">
        <f>'Grid_Requirement'!AA41</f>
        <v/>
      </c>
      <c r="AD386">
        <f>'Grid_Requirement'!AB41</f>
        <v/>
      </c>
      <c r="AE386">
        <f>'Grid_Requirement'!AC41</f>
        <v/>
      </c>
      <c r="AF386">
        <f>'Grid_Requirement'!AD41</f>
        <v/>
      </c>
      <c r="AG386">
        <f>'Grid_Requirement'!AE41</f>
        <v/>
      </c>
      <c r="AH386">
        <f>'Grid_Requirement'!AF41</f>
        <v/>
      </c>
      <c r="AI386">
        <f>'Grid_Requirement'!AG41</f>
        <v/>
      </c>
      <c r="AJ386">
        <f>'Grid_Requirement'!AH41</f>
        <v/>
      </c>
      <c r="AK386">
        <f>'Grid_Requirement'!AI41</f>
        <v/>
      </c>
      <c r="AL386">
        <f>'Grid_Requirement'!AJ41</f>
        <v/>
      </c>
      <c r="AM386">
        <f>'Grid_Requirement'!AK41</f>
        <v/>
      </c>
      <c r="AN386">
        <f>'Grid_Requirement'!AL41</f>
        <v/>
      </c>
      <c r="AO386">
        <f>'Grid_Requirement'!AM41</f>
        <v/>
      </c>
      <c r="AP386">
        <f>'Grid_Requirement'!AN41</f>
        <v/>
      </c>
      <c r="AQ386">
        <f>'Grid_Requirement'!AO41</f>
        <v/>
      </c>
      <c r="AR386">
        <f>'Grid_Requirement'!AP41</f>
        <v/>
      </c>
      <c r="AS386">
        <f>'Grid_Requirement'!AQ41</f>
        <v/>
      </c>
      <c r="AT386">
        <f>'Grid_Requirement'!AR41</f>
        <v/>
      </c>
      <c r="AU386">
        <f>'Grid_Requirement'!AS41</f>
        <v/>
      </c>
      <c r="AV386">
        <f>'Grid_Requirement'!AT41</f>
        <v/>
      </c>
      <c r="AW386">
        <f>'Grid_Requirement'!AU41</f>
        <v/>
      </c>
      <c r="AX386">
        <f>'Grid_Requirement'!AV41</f>
        <v/>
      </c>
      <c r="AY386">
        <f>'Grid_Requirement'!AW41</f>
        <v/>
      </c>
      <c r="AZ386">
        <f>'Grid_Requirement'!AX41</f>
        <v/>
      </c>
      <c r="BA386">
        <f>'Grid_Requirement'!AY41</f>
        <v/>
      </c>
      <c r="BB386">
        <f>'Grid_Requirement'!AZ41</f>
        <v/>
      </c>
      <c r="BC386">
        <f>'Grid_Requirement'!BA41</f>
        <v/>
      </c>
      <c r="BD386">
        <f>'Grid_Requirement'!BB41</f>
        <v/>
      </c>
      <c r="BE386">
        <f>'Grid_Requirement'!BC41</f>
        <v/>
      </c>
      <c r="BF386">
        <f>'Grid_Requirement'!BD41</f>
        <v/>
      </c>
      <c r="BG386">
        <f>'Grid_Requirement'!BE41</f>
        <v/>
      </c>
      <c r="BH386">
        <f>'Grid_Requirement'!BF41</f>
        <v/>
      </c>
      <c r="BI386">
        <f>'Grid_Requirement'!BG41</f>
        <v/>
      </c>
      <c r="BJ386">
        <f>'Grid_Requirement'!BH41</f>
        <v/>
      </c>
      <c r="BK386">
        <f>'Grid_Requirement'!BI41</f>
        <v/>
      </c>
      <c r="BL386">
        <f>'Grid_Requirement'!BJ41</f>
        <v/>
      </c>
      <c r="BM386">
        <f>'Grid_Requirement'!BK41</f>
        <v/>
      </c>
      <c r="BN386">
        <f>'Grid_Requirement'!BL41</f>
        <v/>
      </c>
      <c r="BO386">
        <f>'Grid_Requirement'!BM41</f>
        <v/>
      </c>
      <c r="BP386">
        <f>'Grid_Requirement'!BN41</f>
        <v/>
      </c>
      <c r="BQ386">
        <f>'Grid_Requirement'!BO41</f>
        <v/>
      </c>
      <c r="BR386">
        <f>'Grid_Requirement'!BP41</f>
        <v/>
      </c>
      <c r="BS386">
        <f>'Grid_Requirement'!BQ41</f>
        <v/>
      </c>
      <c r="BT386">
        <f>'Grid_Requirement'!BR41</f>
        <v/>
      </c>
      <c r="BU386">
        <f>'Grid_Requirement'!BS41</f>
        <v/>
      </c>
      <c r="BV386">
        <f>'Grid_Requirement'!BT41</f>
        <v/>
      </c>
      <c r="BW386">
        <f>'Grid_Requirement'!BU41</f>
        <v/>
      </c>
      <c r="BX386">
        <f>'Grid_Requirement'!BV41</f>
        <v/>
      </c>
      <c r="BY386">
        <f>'Grid_Requirement'!BW41</f>
        <v/>
      </c>
      <c r="BZ386">
        <f>'Grid_Requirement'!BX41</f>
        <v/>
      </c>
      <c r="CA386">
        <f>'Grid_Requirement'!BY41</f>
        <v/>
      </c>
      <c r="CB386">
        <f>'Grid_Requirement'!BZ41</f>
        <v/>
      </c>
      <c r="CC386">
        <f>'Grid_Requirement'!CA41</f>
        <v/>
      </c>
      <c r="CD386">
        <f>'Grid_Requirement'!CB41</f>
        <v/>
      </c>
      <c r="CE386">
        <f>'Grid_Requirement'!CC41</f>
        <v/>
      </c>
      <c r="CF386">
        <f>'Grid_Requirement'!CD41</f>
        <v/>
      </c>
      <c r="CG386">
        <f>'Grid_Requirement'!CE41</f>
        <v/>
      </c>
      <c r="CH386">
        <f>'Grid_Requirement'!CF41</f>
        <v/>
      </c>
      <c r="CI386">
        <f>'Grid_Requirement'!CG41</f>
        <v/>
      </c>
      <c r="CJ386">
        <f>'Grid_Requirement'!CH41</f>
        <v/>
      </c>
      <c r="CK386">
        <f>'Grid_Requirement'!CI41</f>
        <v/>
      </c>
      <c r="CL386">
        <f>'Grid_Requirement'!CJ41</f>
        <v/>
      </c>
      <c r="CM386">
        <f>'Grid_Requirement'!CK41</f>
        <v/>
      </c>
      <c r="CN386">
        <f>'Grid_Requirement'!CL41</f>
        <v/>
      </c>
      <c r="CO386">
        <f>'Grid_Requirement'!CM41</f>
        <v/>
      </c>
      <c r="CP386">
        <f>'Grid_Requirement'!CN41</f>
        <v/>
      </c>
      <c r="CQ386">
        <f>'Grid_Requirement'!CO41</f>
        <v/>
      </c>
      <c r="CR386">
        <f>'Grid_Requirement'!CP41</f>
        <v/>
      </c>
      <c r="CS386">
        <f>'Grid_Requirement'!CQ41</f>
        <v/>
      </c>
      <c r="CT386">
        <f>'Grid_Requirement'!CR41</f>
        <v/>
      </c>
      <c r="CU386">
        <f>'Grid_Requirement'!CS41</f>
        <v/>
      </c>
      <c r="CV386">
        <f>'Grid_Requirement'!CT41</f>
        <v/>
      </c>
      <c r="CW386">
        <f>'Grid_Requirement'!CU41</f>
        <v/>
      </c>
      <c r="CX386">
        <f>'Grid_Requirement'!CV41</f>
        <v/>
      </c>
      <c r="CY386">
        <f>'Grid_Requirement'!CW41</f>
        <v/>
      </c>
      <c r="CZ386">
        <f>'Grid_Requirement'!CX41</f>
        <v/>
      </c>
      <c r="DA386">
        <f>'Grid_Requirement'!CY41</f>
        <v/>
      </c>
      <c r="DB386">
        <f>'Grid_Requirement'!CZ41</f>
        <v/>
      </c>
      <c r="DC386">
        <f>'Grid_Requirement'!DA41</f>
        <v/>
      </c>
    </row>
    <row r="387">
      <c r="B387" t="inlineStr">
        <is>
          <t>TTAF在庫(実績,kg)</t>
        </is>
      </c>
      <c r="D387">
        <f>'T_TTAFStock'!B45</f>
        <v/>
      </c>
      <c r="E387">
        <f>'T_TTAFStock'!C45</f>
        <v/>
      </c>
      <c r="F387">
        <f>'T_TTAFStock'!D45</f>
        <v/>
      </c>
      <c r="G387">
        <f>'T_TTAFStock'!E45</f>
        <v/>
      </c>
      <c r="H387">
        <f>'T_TTAFStock'!F45</f>
        <v/>
      </c>
      <c r="I387">
        <f>'T_TTAFStock'!G45</f>
        <v/>
      </c>
      <c r="J387">
        <f>'T_TTAFStock'!H45</f>
        <v/>
      </c>
      <c r="K387">
        <f>'T_TTAFStock'!I45</f>
        <v/>
      </c>
      <c r="L387">
        <f>'T_TTAFStock'!J45</f>
        <v/>
      </c>
      <c r="M387">
        <f>'T_TTAFStock'!K45</f>
        <v/>
      </c>
      <c r="N387">
        <f>'T_TTAFStock'!L45</f>
        <v/>
      </c>
      <c r="O387">
        <f>'T_TTAFStock'!M45</f>
        <v/>
      </c>
      <c r="P387">
        <f>'T_TTAFStock'!N45</f>
        <v/>
      </c>
      <c r="Q387">
        <f>'T_TTAFStock'!O45</f>
        <v/>
      </c>
      <c r="R387">
        <f>'T_TTAFStock'!P45</f>
        <v/>
      </c>
      <c r="S387">
        <f>'T_TTAFStock'!Q45</f>
        <v/>
      </c>
      <c r="T387">
        <f>'T_TTAFStock'!R45</f>
        <v/>
      </c>
      <c r="U387">
        <f>'T_TTAFStock'!S45</f>
        <v/>
      </c>
      <c r="V387">
        <f>'T_TTAFStock'!T45</f>
        <v/>
      </c>
      <c r="W387">
        <f>'T_TTAFStock'!U45</f>
        <v/>
      </c>
      <c r="X387">
        <f>'T_TTAFStock'!V45</f>
        <v/>
      </c>
      <c r="Y387">
        <f>'T_TTAFStock'!W45</f>
        <v/>
      </c>
      <c r="Z387">
        <f>'T_TTAFStock'!X45</f>
        <v/>
      </c>
      <c r="AA387">
        <f>'T_TTAFStock'!Y45</f>
        <v/>
      </c>
      <c r="AB387">
        <f>'T_TTAFStock'!Z45</f>
        <v/>
      </c>
      <c r="AC387">
        <f>'T_TTAFStock'!AA45</f>
        <v/>
      </c>
      <c r="AD387">
        <f>'T_TTAFStock'!AB45</f>
        <v/>
      </c>
      <c r="AE387">
        <f>'T_TTAFStock'!AC45</f>
        <v/>
      </c>
      <c r="AF387">
        <f>'T_TTAFStock'!AD45</f>
        <v/>
      </c>
      <c r="AG387">
        <f>'T_TTAFStock'!AE45</f>
        <v/>
      </c>
      <c r="AH387">
        <f>'T_TTAFStock'!AF45</f>
        <v/>
      </c>
      <c r="AI387">
        <f>'T_TTAFStock'!AG45</f>
        <v/>
      </c>
      <c r="AJ387">
        <f>'T_TTAFStock'!AH45</f>
        <v/>
      </c>
      <c r="AK387">
        <f>'T_TTAFStock'!AI45</f>
        <v/>
      </c>
      <c r="AL387">
        <f>'T_TTAFStock'!AJ45</f>
        <v/>
      </c>
      <c r="AM387">
        <f>'T_TTAFStock'!AK45</f>
        <v/>
      </c>
      <c r="AN387">
        <f>'T_TTAFStock'!AL45</f>
        <v/>
      </c>
      <c r="AO387">
        <f>'T_TTAFStock'!AM45</f>
        <v/>
      </c>
      <c r="AP387">
        <f>'T_TTAFStock'!AN45</f>
        <v/>
      </c>
      <c r="AQ387">
        <f>'T_TTAFStock'!AO45</f>
        <v/>
      </c>
      <c r="AR387">
        <f>'T_TTAFStock'!AP45</f>
        <v/>
      </c>
      <c r="AS387">
        <f>'T_TTAFStock'!AQ45</f>
        <v/>
      </c>
      <c r="AT387">
        <f>'T_TTAFStock'!AR45</f>
        <v/>
      </c>
      <c r="AU387">
        <f>'T_TTAFStock'!AS45</f>
        <v/>
      </c>
      <c r="AV387">
        <f>'T_TTAFStock'!AT45</f>
        <v/>
      </c>
      <c r="AW387">
        <f>'T_TTAFStock'!AU45</f>
        <v/>
      </c>
      <c r="AX387">
        <f>'T_TTAFStock'!AV45</f>
        <v/>
      </c>
      <c r="AY387">
        <f>'T_TTAFStock'!AW45</f>
        <v/>
      </c>
      <c r="AZ387">
        <f>'T_TTAFStock'!AX45</f>
        <v/>
      </c>
      <c r="BA387">
        <f>'T_TTAFStock'!AY45</f>
        <v/>
      </c>
      <c r="BB387">
        <f>'T_TTAFStock'!AZ45</f>
        <v/>
      </c>
      <c r="BC387">
        <f>'T_TTAFStock'!BA45</f>
        <v/>
      </c>
      <c r="BD387">
        <f>'T_TTAFStock'!BB45</f>
        <v/>
      </c>
      <c r="BE387">
        <f>'T_TTAFStock'!BC45</f>
        <v/>
      </c>
      <c r="BF387">
        <f>'T_TTAFStock'!BD45</f>
        <v/>
      </c>
      <c r="BG387">
        <f>'T_TTAFStock'!BE45</f>
        <v/>
      </c>
      <c r="BH387">
        <f>'T_TTAFStock'!BF45</f>
        <v/>
      </c>
      <c r="BI387">
        <f>'T_TTAFStock'!BG45</f>
        <v/>
      </c>
      <c r="BJ387">
        <f>'T_TTAFStock'!BH45</f>
        <v/>
      </c>
      <c r="BK387">
        <f>'T_TTAFStock'!BI45</f>
        <v/>
      </c>
      <c r="BL387">
        <f>'T_TTAFStock'!BJ45</f>
        <v/>
      </c>
      <c r="BM387">
        <f>'T_TTAFStock'!BK45</f>
        <v/>
      </c>
      <c r="BN387">
        <f>'T_TTAFStock'!BL45</f>
        <v/>
      </c>
      <c r="BO387">
        <f>'T_TTAFStock'!BM45</f>
        <v/>
      </c>
      <c r="BP387">
        <f>'T_TTAFStock'!BN45</f>
        <v/>
      </c>
      <c r="BQ387">
        <f>'T_TTAFStock'!BO45</f>
        <v/>
      </c>
      <c r="BR387">
        <f>'T_TTAFStock'!BP45</f>
        <v/>
      </c>
      <c r="BS387">
        <f>'T_TTAFStock'!BQ45</f>
        <v/>
      </c>
      <c r="BT387">
        <f>'T_TTAFStock'!BR45</f>
        <v/>
      </c>
      <c r="BU387">
        <f>'T_TTAFStock'!BS45</f>
        <v/>
      </c>
      <c r="BV387">
        <f>'T_TTAFStock'!BT45</f>
        <v/>
      </c>
      <c r="BW387">
        <f>'T_TTAFStock'!BU45</f>
        <v/>
      </c>
      <c r="BX387">
        <f>'T_TTAFStock'!BV45</f>
        <v/>
      </c>
      <c r="BY387">
        <f>'T_TTAFStock'!BW45</f>
        <v/>
      </c>
      <c r="BZ387">
        <f>'T_TTAFStock'!BX45</f>
        <v/>
      </c>
      <c r="CA387">
        <f>'T_TTAFStock'!BY45</f>
        <v/>
      </c>
      <c r="CB387">
        <f>'T_TTAFStock'!BZ45</f>
        <v/>
      </c>
      <c r="CC387">
        <f>'T_TTAFStock'!CA45</f>
        <v/>
      </c>
      <c r="CD387">
        <f>'T_TTAFStock'!CB45</f>
        <v/>
      </c>
      <c r="CE387">
        <f>'T_TTAFStock'!CC45</f>
        <v/>
      </c>
      <c r="CF387">
        <f>'T_TTAFStock'!CD45</f>
        <v/>
      </c>
      <c r="CG387">
        <f>'T_TTAFStock'!CE45</f>
        <v/>
      </c>
      <c r="CH387">
        <f>'T_TTAFStock'!CF45</f>
        <v/>
      </c>
      <c r="CI387">
        <f>'T_TTAFStock'!CG45</f>
        <v/>
      </c>
      <c r="CJ387">
        <f>'T_TTAFStock'!CH45</f>
        <v/>
      </c>
      <c r="CK387">
        <f>'T_TTAFStock'!CI45</f>
        <v/>
      </c>
      <c r="CL387">
        <f>'T_TTAFStock'!CJ45</f>
        <v/>
      </c>
      <c r="CM387">
        <f>'T_TTAFStock'!CK45</f>
        <v/>
      </c>
      <c r="CN387">
        <f>'T_TTAFStock'!CL45</f>
        <v/>
      </c>
      <c r="CO387">
        <f>'T_TTAFStock'!CM45</f>
        <v/>
      </c>
      <c r="CP387">
        <f>'T_TTAFStock'!CN45</f>
        <v/>
      </c>
      <c r="CQ387">
        <f>'T_TTAFStock'!CO45</f>
        <v/>
      </c>
      <c r="CR387">
        <f>'T_TTAFStock'!CP45</f>
        <v/>
      </c>
      <c r="CS387">
        <f>'T_TTAFStock'!CQ45</f>
        <v/>
      </c>
      <c r="CT387">
        <f>'T_TTAFStock'!CR45</f>
        <v/>
      </c>
      <c r="CU387">
        <f>'T_TTAFStock'!CS45</f>
        <v/>
      </c>
      <c r="CV387">
        <f>'T_TTAFStock'!CT45</f>
        <v/>
      </c>
      <c r="CW387">
        <f>'T_TTAFStock'!CU45</f>
        <v/>
      </c>
      <c r="CX387">
        <f>'T_TTAFStock'!CV45</f>
        <v/>
      </c>
      <c r="CY387">
        <f>'T_TTAFStock'!CW45</f>
        <v/>
      </c>
      <c r="CZ387">
        <f>'T_TTAFStock'!CX45</f>
        <v/>
      </c>
      <c r="DA387">
        <f>'T_TTAFStock'!CY45</f>
        <v/>
      </c>
      <c r="DB387">
        <f>'T_TTAFStock'!CZ45</f>
        <v/>
      </c>
      <c r="DC387">
        <f>'T_TTAFStock'!DA45</f>
        <v/>
      </c>
    </row>
    <row r="388">
      <c r="B388" t="inlineStr">
        <is>
          <t>自社在庫(実績,kg)</t>
        </is>
      </c>
      <c r="D388">
        <f>'T_SelfStock'!B45</f>
        <v/>
      </c>
      <c r="E388">
        <f>'T_SelfStock'!C45</f>
        <v/>
      </c>
      <c r="F388">
        <f>'T_SelfStock'!D45</f>
        <v/>
      </c>
      <c r="G388">
        <f>'T_SelfStock'!E45</f>
        <v/>
      </c>
      <c r="H388">
        <f>'T_SelfStock'!F45</f>
        <v/>
      </c>
      <c r="I388">
        <f>'T_SelfStock'!G45</f>
        <v/>
      </c>
      <c r="J388">
        <f>'T_SelfStock'!H45</f>
        <v/>
      </c>
      <c r="K388">
        <f>'T_SelfStock'!I45</f>
        <v/>
      </c>
      <c r="L388">
        <f>'T_SelfStock'!J45</f>
        <v/>
      </c>
      <c r="M388">
        <f>'T_SelfStock'!K45</f>
        <v/>
      </c>
      <c r="N388">
        <f>'T_SelfStock'!L45</f>
        <v/>
      </c>
      <c r="O388">
        <f>'T_SelfStock'!M45</f>
        <v/>
      </c>
      <c r="P388">
        <f>'T_SelfStock'!N45</f>
        <v/>
      </c>
      <c r="Q388">
        <f>'T_SelfStock'!O45</f>
        <v/>
      </c>
      <c r="R388">
        <f>'T_SelfStock'!P45</f>
        <v/>
      </c>
      <c r="S388">
        <f>'T_SelfStock'!Q45</f>
        <v/>
      </c>
      <c r="T388">
        <f>'T_SelfStock'!R45</f>
        <v/>
      </c>
      <c r="U388">
        <f>'T_SelfStock'!S45</f>
        <v/>
      </c>
      <c r="V388">
        <f>'T_SelfStock'!T45</f>
        <v/>
      </c>
      <c r="W388">
        <f>'T_SelfStock'!U45</f>
        <v/>
      </c>
      <c r="X388">
        <f>'T_SelfStock'!V45</f>
        <v/>
      </c>
      <c r="Y388">
        <f>'T_SelfStock'!W45</f>
        <v/>
      </c>
      <c r="Z388">
        <f>'T_SelfStock'!X45</f>
        <v/>
      </c>
      <c r="AA388">
        <f>'T_SelfStock'!Y45</f>
        <v/>
      </c>
      <c r="AB388">
        <f>'T_SelfStock'!Z45</f>
        <v/>
      </c>
      <c r="AC388">
        <f>'T_SelfStock'!AA45</f>
        <v/>
      </c>
      <c r="AD388">
        <f>'T_SelfStock'!AB45</f>
        <v/>
      </c>
      <c r="AE388">
        <f>'T_SelfStock'!AC45</f>
        <v/>
      </c>
      <c r="AF388">
        <f>'T_SelfStock'!AD45</f>
        <v/>
      </c>
      <c r="AG388">
        <f>'T_SelfStock'!AE45</f>
        <v/>
      </c>
      <c r="AH388">
        <f>'T_SelfStock'!AF45</f>
        <v/>
      </c>
      <c r="AI388">
        <f>'T_SelfStock'!AG45</f>
        <v/>
      </c>
      <c r="AJ388">
        <f>'T_SelfStock'!AH45</f>
        <v/>
      </c>
      <c r="AK388">
        <f>'T_SelfStock'!AI45</f>
        <v/>
      </c>
      <c r="AL388">
        <f>'T_SelfStock'!AJ45</f>
        <v/>
      </c>
      <c r="AM388">
        <f>'T_SelfStock'!AK45</f>
        <v/>
      </c>
      <c r="AN388">
        <f>'T_SelfStock'!AL45</f>
        <v/>
      </c>
      <c r="AO388">
        <f>'T_SelfStock'!AM45</f>
        <v/>
      </c>
      <c r="AP388">
        <f>'T_SelfStock'!AN45</f>
        <v/>
      </c>
      <c r="AQ388">
        <f>'T_SelfStock'!AO45</f>
        <v/>
      </c>
      <c r="AR388">
        <f>'T_SelfStock'!AP45</f>
        <v/>
      </c>
      <c r="AS388">
        <f>'T_SelfStock'!AQ45</f>
        <v/>
      </c>
      <c r="AT388">
        <f>'T_SelfStock'!AR45</f>
        <v/>
      </c>
      <c r="AU388">
        <f>'T_SelfStock'!AS45</f>
        <v/>
      </c>
      <c r="AV388">
        <f>'T_SelfStock'!AT45</f>
        <v/>
      </c>
      <c r="AW388">
        <f>'T_SelfStock'!AU45</f>
        <v/>
      </c>
      <c r="AX388">
        <f>'T_SelfStock'!AV45</f>
        <v/>
      </c>
      <c r="AY388">
        <f>'T_SelfStock'!AW45</f>
        <v/>
      </c>
      <c r="AZ388">
        <f>'T_SelfStock'!AX45</f>
        <v/>
      </c>
      <c r="BA388">
        <f>'T_SelfStock'!AY45</f>
        <v/>
      </c>
      <c r="BB388">
        <f>'T_SelfStock'!AZ45</f>
        <v/>
      </c>
      <c r="BC388">
        <f>'T_SelfStock'!BA45</f>
        <v/>
      </c>
      <c r="BD388">
        <f>'T_SelfStock'!BB45</f>
        <v/>
      </c>
      <c r="BE388">
        <f>'T_SelfStock'!BC45</f>
        <v/>
      </c>
      <c r="BF388">
        <f>'T_SelfStock'!BD45</f>
        <v/>
      </c>
      <c r="BG388">
        <f>'T_SelfStock'!BE45</f>
        <v/>
      </c>
      <c r="BH388">
        <f>'T_SelfStock'!BF45</f>
        <v/>
      </c>
      <c r="BI388">
        <f>'T_SelfStock'!BG45</f>
        <v/>
      </c>
      <c r="BJ388">
        <f>'T_SelfStock'!BH45</f>
        <v/>
      </c>
      <c r="BK388">
        <f>'T_SelfStock'!BI45</f>
        <v/>
      </c>
      <c r="BL388">
        <f>'T_SelfStock'!BJ45</f>
        <v/>
      </c>
      <c r="BM388">
        <f>'T_SelfStock'!BK45</f>
        <v/>
      </c>
      <c r="BN388">
        <f>'T_SelfStock'!BL45</f>
        <v/>
      </c>
      <c r="BO388">
        <f>'T_SelfStock'!BM45</f>
        <v/>
      </c>
      <c r="BP388">
        <f>'T_SelfStock'!BN45</f>
        <v/>
      </c>
      <c r="BQ388">
        <f>'T_SelfStock'!BO45</f>
        <v/>
      </c>
      <c r="BR388">
        <f>'T_SelfStock'!BP45</f>
        <v/>
      </c>
      <c r="BS388">
        <f>'T_SelfStock'!BQ45</f>
        <v/>
      </c>
      <c r="BT388">
        <f>'T_SelfStock'!BR45</f>
        <v/>
      </c>
      <c r="BU388">
        <f>'T_SelfStock'!BS45</f>
        <v/>
      </c>
      <c r="BV388">
        <f>'T_SelfStock'!BT45</f>
        <v/>
      </c>
      <c r="BW388">
        <f>'T_SelfStock'!BU45</f>
        <v/>
      </c>
      <c r="BX388">
        <f>'T_SelfStock'!BV45</f>
        <v/>
      </c>
      <c r="BY388">
        <f>'T_SelfStock'!BW45</f>
        <v/>
      </c>
      <c r="BZ388">
        <f>'T_SelfStock'!BX45</f>
        <v/>
      </c>
      <c r="CA388">
        <f>'T_SelfStock'!BY45</f>
        <v/>
      </c>
      <c r="CB388">
        <f>'T_SelfStock'!BZ45</f>
        <v/>
      </c>
      <c r="CC388">
        <f>'T_SelfStock'!CA45</f>
        <v/>
      </c>
      <c r="CD388">
        <f>'T_SelfStock'!CB45</f>
        <v/>
      </c>
      <c r="CE388">
        <f>'T_SelfStock'!CC45</f>
        <v/>
      </c>
      <c r="CF388">
        <f>'T_SelfStock'!CD45</f>
        <v/>
      </c>
      <c r="CG388">
        <f>'T_SelfStock'!CE45</f>
        <v/>
      </c>
      <c r="CH388">
        <f>'T_SelfStock'!CF45</f>
        <v/>
      </c>
      <c r="CI388">
        <f>'T_SelfStock'!CG45</f>
        <v/>
      </c>
      <c r="CJ388">
        <f>'T_SelfStock'!CH45</f>
        <v/>
      </c>
      <c r="CK388">
        <f>'T_SelfStock'!CI45</f>
        <v/>
      </c>
      <c r="CL388">
        <f>'T_SelfStock'!CJ45</f>
        <v/>
      </c>
      <c r="CM388">
        <f>'T_SelfStock'!CK45</f>
        <v/>
      </c>
      <c r="CN388">
        <f>'T_SelfStock'!CL45</f>
        <v/>
      </c>
      <c r="CO388">
        <f>'T_SelfStock'!CM45</f>
        <v/>
      </c>
      <c r="CP388">
        <f>'T_SelfStock'!CN45</f>
        <v/>
      </c>
      <c r="CQ388">
        <f>'T_SelfStock'!CO45</f>
        <v/>
      </c>
      <c r="CR388">
        <f>'T_SelfStock'!CP45</f>
        <v/>
      </c>
      <c r="CS388">
        <f>'T_SelfStock'!CQ45</f>
        <v/>
      </c>
      <c r="CT388">
        <f>'T_SelfStock'!CR45</f>
        <v/>
      </c>
      <c r="CU388">
        <f>'T_SelfStock'!CS45</f>
        <v/>
      </c>
      <c r="CV388">
        <f>'T_SelfStock'!CT45</f>
        <v/>
      </c>
      <c r="CW388">
        <f>'T_SelfStock'!CU45</f>
        <v/>
      </c>
      <c r="CX388">
        <f>'T_SelfStock'!CV45</f>
        <v/>
      </c>
      <c r="CY388">
        <f>'T_SelfStock'!CW45</f>
        <v/>
      </c>
      <c r="CZ388">
        <f>'T_SelfStock'!CX45</f>
        <v/>
      </c>
      <c r="DA388">
        <f>'T_SelfStock'!CY45</f>
        <v/>
      </c>
      <c r="DB388">
        <f>'T_SelfStock'!CZ45</f>
        <v/>
      </c>
      <c r="DC388">
        <f>'T_SelfStock'!DA45</f>
        <v/>
      </c>
    </row>
    <row r="389">
      <c r="B389" t="inlineStr">
        <is>
          <t>Order(発注予定,kg)</t>
        </is>
      </c>
      <c r="D389">
        <f>IF(SUMIFS(T_PlannedOrders[EffectiveQty],T_PlannedOrders[Part Name],$A377,T_PlannedOrders[WeekIndex],1)=0,"",SUMIFS(T_PlannedOrders[EffectiveQty],T_PlannedOrders[Part Name],$A377,T_PlannedOrders[WeekIndex],1)&amp;" ("&amp;TEXT(SUMPRODUCT(MAX((T_PlannedOrders[Part Name]=$A377)*(T_PlannedOrders[WeekIndex]=1)*(T_PlannedOrders[EffectiveQty]&gt;0)*T_PlannedOrders[Order_Month])),"m月")&amp;"発注)")</f>
        <v/>
      </c>
      <c r="E389">
        <f>IF(SUMIFS(T_PlannedOrders[EffectiveQty],T_PlannedOrders[Part Name],$A377,T_PlannedOrders[WeekIndex],2)=0,"",SUMIFS(T_PlannedOrders[EffectiveQty],T_PlannedOrders[Part Name],$A377,T_PlannedOrders[WeekIndex],2)&amp;" ("&amp;TEXT(SUMPRODUCT(MAX((T_PlannedOrders[Part Name]=$A377)*(T_PlannedOrders[WeekIndex]=2)*(T_PlannedOrders[EffectiveQty]&gt;0)*T_PlannedOrders[Order_Month])),"m月")&amp;"発注)")</f>
        <v/>
      </c>
      <c r="F389">
        <f>IF(SUMIFS(T_PlannedOrders[EffectiveQty],T_PlannedOrders[Part Name],$A377,T_PlannedOrders[WeekIndex],3)=0,"",SUMIFS(T_PlannedOrders[EffectiveQty],T_PlannedOrders[Part Name],$A377,T_PlannedOrders[WeekIndex],3)&amp;" ("&amp;TEXT(SUMPRODUCT(MAX((T_PlannedOrders[Part Name]=$A377)*(T_PlannedOrders[WeekIndex]=3)*(T_PlannedOrders[EffectiveQty]&gt;0)*T_PlannedOrders[Order_Month])),"m月")&amp;"発注)")</f>
        <v/>
      </c>
      <c r="G389">
        <f>IF(SUMIFS(T_PlannedOrders[EffectiveQty],T_PlannedOrders[Part Name],$A377,T_PlannedOrders[WeekIndex],4)=0,"",SUMIFS(T_PlannedOrders[EffectiveQty],T_PlannedOrders[Part Name],$A377,T_PlannedOrders[WeekIndex],4)&amp;" ("&amp;TEXT(SUMPRODUCT(MAX((T_PlannedOrders[Part Name]=$A377)*(T_PlannedOrders[WeekIndex]=4)*(T_PlannedOrders[EffectiveQty]&gt;0)*T_PlannedOrders[Order_Month])),"m月")&amp;"発注)")</f>
        <v/>
      </c>
      <c r="H389">
        <f>IF(SUMIFS(T_PlannedOrders[EffectiveQty],T_PlannedOrders[Part Name],$A377,T_PlannedOrders[WeekIndex],5)=0,"",SUMIFS(T_PlannedOrders[EffectiveQty],T_PlannedOrders[Part Name],$A377,T_PlannedOrders[WeekIndex],5)&amp;" ("&amp;TEXT(SUMPRODUCT(MAX((T_PlannedOrders[Part Name]=$A377)*(T_PlannedOrders[WeekIndex]=5)*(T_PlannedOrders[EffectiveQty]&gt;0)*T_PlannedOrders[Order_Month])),"m月")&amp;"発注)")</f>
        <v/>
      </c>
      <c r="I389">
        <f>IF(SUMIFS(T_PlannedOrders[EffectiveQty],T_PlannedOrders[Part Name],$A377,T_PlannedOrders[WeekIndex],6)=0,"",SUMIFS(T_PlannedOrders[EffectiveQty],T_PlannedOrders[Part Name],$A377,T_PlannedOrders[WeekIndex],6)&amp;" ("&amp;TEXT(SUMPRODUCT(MAX((T_PlannedOrders[Part Name]=$A377)*(T_PlannedOrders[WeekIndex]=6)*(T_PlannedOrders[EffectiveQty]&gt;0)*T_PlannedOrders[Order_Month])),"m月")&amp;"発注)")</f>
        <v/>
      </c>
      <c r="J389">
        <f>IF(SUMIFS(T_PlannedOrders[EffectiveQty],T_PlannedOrders[Part Name],$A377,T_PlannedOrders[WeekIndex],7)=0,"",SUMIFS(T_PlannedOrders[EffectiveQty],T_PlannedOrders[Part Name],$A377,T_PlannedOrders[WeekIndex],7)&amp;" ("&amp;TEXT(SUMPRODUCT(MAX((T_PlannedOrders[Part Name]=$A377)*(T_PlannedOrders[WeekIndex]=7)*(T_PlannedOrders[EffectiveQty]&gt;0)*T_PlannedOrders[Order_Month])),"m月")&amp;"発注)")</f>
        <v/>
      </c>
      <c r="K389">
        <f>IF(SUMIFS(T_PlannedOrders[EffectiveQty],T_PlannedOrders[Part Name],$A377,T_PlannedOrders[WeekIndex],8)=0,"",SUMIFS(T_PlannedOrders[EffectiveQty],T_PlannedOrders[Part Name],$A377,T_PlannedOrders[WeekIndex],8)&amp;" ("&amp;TEXT(SUMPRODUCT(MAX((T_PlannedOrders[Part Name]=$A377)*(T_PlannedOrders[WeekIndex]=8)*(T_PlannedOrders[EffectiveQty]&gt;0)*T_PlannedOrders[Order_Month])),"m月")&amp;"発注)")</f>
        <v/>
      </c>
      <c r="L389">
        <f>IF(SUMIFS(T_PlannedOrders[EffectiveQty],T_PlannedOrders[Part Name],$A377,T_PlannedOrders[WeekIndex],9)=0,"",SUMIFS(T_PlannedOrders[EffectiveQty],T_PlannedOrders[Part Name],$A377,T_PlannedOrders[WeekIndex],9)&amp;" ("&amp;TEXT(SUMPRODUCT(MAX((T_PlannedOrders[Part Name]=$A377)*(T_PlannedOrders[WeekIndex]=9)*(T_PlannedOrders[EffectiveQty]&gt;0)*T_PlannedOrders[Order_Month])),"m月")&amp;"発注)")</f>
        <v/>
      </c>
      <c r="M389">
        <f>IF(SUMIFS(T_PlannedOrders[EffectiveQty],T_PlannedOrders[Part Name],$A377,T_PlannedOrders[WeekIndex],10)=0,"",SUMIFS(T_PlannedOrders[EffectiveQty],T_PlannedOrders[Part Name],$A377,T_PlannedOrders[WeekIndex],10)&amp;" ("&amp;TEXT(SUMPRODUCT(MAX((T_PlannedOrders[Part Name]=$A377)*(T_PlannedOrders[WeekIndex]=10)*(T_PlannedOrders[EffectiveQty]&gt;0)*T_PlannedOrders[Order_Month])),"m月")&amp;"発注)")</f>
        <v/>
      </c>
      <c r="N389">
        <f>IF(SUMIFS(T_PlannedOrders[EffectiveQty],T_PlannedOrders[Part Name],$A377,T_PlannedOrders[WeekIndex],11)=0,"",SUMIFS(T_PlannedOrders[EffectiveQty],T_PlannedOrders[Part Name],$A377,T_PlannedOrders[WeekIndex],11)&amp;" ("&amp;TEXT(SUMPRODUCT(MAX((T_PlannedOrders[Part Name]=$A377)*(T_PlannedOrders[WeekIndex]=11)*(T_PlannedOrders[EffectiveQty]&gt;0)*T_PlannedOrders[Order_Month])),"m月")&amp;"発注)")</f>
        <v/>
      </c>
      <c r="O389">
        <f>IF(SUMIFS(T_PlannedOrders[EffectiveQty],T_PlannedOrders[Part Name],$A377,T_PlannedOrders[WeekIndex],12)=0,"",SUMIFS(T_PlannedOrders[EffectiveQty],T_PlannedOrders[Part Name],$A377,T_PlannedOrders[WeekIndex],12)&amp;" ("&amp;TEXT(SUMPRODUCT(MAX((T_PlannedOrders[Part Name]=$A377)*(T_PlannedOrders[WeekIndex]=12)*(T_PlannedOrders[EffectiveQty]&gt;0)*T_PlannedOrders[Order_Month])),"m月")&amp;"発注)")</f>
        <v/>
      </c>
      <c r="P389">
        <f>IF(SUMIFS(T_PlannedOrders[EffectiveQty],T_PlannedOrders[Part Name],$A377,T_PlannedOrders[WeekIndex],13)=0,"",SUMIFS(T_PlannedOrders[EffectiveQty],T_PlannedOrders[Part Name],$A377,T_PlannedOrders[WeekIndex],13)&amp;" ("&amp;TEXT(SUMPRODUCT(MAX((T_PlannedOrders[Part Name]=$A377)*(T_PlannedOrders[WeekIndex]=13)*(T_PlannedOrders[EffectiveQty]&gt;0)*T_PlannedOrders[Order_Month])),"m月")&amp;"発注)")</f>
        <v/>
      </c>
      <c r="Q389">
        <f>IF(SUMIFS(T_PlannedOrders[EffectiveQty],T_PlannedOrders[Part Name],$A377,T_PlannedOrders[WeekIndex],14)=0,"",SUMIFS(T_PlannedOrders[EffectiveQty],T_PlannedOrders[Part Name],$A377,T_PlannedOrders[WeekIndex],14)&amp;" ("&amp;TEXT(SUMPRODUCT(MAX((T_PlannedOrders[Part Name]=$A377)*(T_PlannedOrders[WeekIndex]=14)*(T_PlannedOrders[EffectiveQty]&gt;0)*T_PlannedOrders[Order_Month])),"m月")&amp;"発注)")</f>
        <v/>
      </c>
      <c r="R389">
        <f>IF(SUMIFS(T_PlannedOrders[EffectiveQty],T_PlannedOrders[Part Name],$A377,T_PlannedOrders[WeekIndex],15)=0,"",SUMIFS(T_PlannedOrders[EffectiveQty],T_PlannedOrders[Part Name],$A377,T_PlannedOrders[WeekIndex],15)&amp;" ("&amp;TEXT(SUMPRODUCT(MAX((T_PlannedOrders[Part Name]=$A377)*(T_PlannedOrders[WeekIndex]=15)*(T_PlannedOrders[EffectiveQty]&gt;0)*T_PlannedOrders[Order_Month])),"m月")&amp;"発注)")</f>
        <v/>
      </c>
      <c r="S389">
        <f>IF(SUMIFS(T_PlannedOrders[EffectiveQty],T_PlannedOrders[Part Name],$A377,T_PlannedOrders[WeekIndex],16)=0,"",SUMIFS(T_PlannedOrders[EffectiveQty],T_PlannedOrders[Part Name],$A377,T_PlannedOrders[WeekIndex],16)&amp;" ("&amp;TEXT(SUMPRODUCT(MAX((T_PlannedOrders[Part Name]=$A377)*(T_PlannedOrders[WeekIndex]=16)*(T_PlannedOrders[EffectiveQty]&gt;0)*T_PlannedOrders[Order_Month])),"m月")&amp;"発注)")</f>
        <v/>
      </c>
      <c r="T389">
        <f>IF(SUMIFS(T_PlannedOrders[EffectiveQty],T_PlannedOrders[Part Name],$A377,T_PlannedOrders[WeekIndex],17)=0,"",SUMIFS(T_PlannedOrders[EffectiveQty],T_PlannedOrders[Part Name],$A377,T_PlannedOrders[WeekIndex],17)&amp;" ("&amp;TEXT(SUMPRODUCT(MAX((T_PlannedOrders[Part Name]=$A377)*(T_PlannedOrders[WeekIndex]=17)*(T_PlannedOrders[EffectiveQty]&gt;0)*T_PlannedOrders[Order_Month])),"m月")&amp;"発注)")</f>
        <v/>
      </c>
      <c r="U389">
        <f>IF(SUMIFS(T_PlannedOrders[EffectiveQty],T_PlannedOrders[Part Name],$A377,T_PlannedOrders[WeekIndex],18)=0,"",SUMIFS(T_PlannedOrders[EffectiveQty],T_PlannedOrders[Part Name],$A377,T_PlannedOrders[WeekIndex],18)&amp;" ("&amp;TEXT(SUMPRODUCT(MAX((T_PlannedOrders[Part Name]=$A377)*(T_PlannedOrders[WeekIndex]=18)*(T_PlannedOrders[EffectiveQty]&gt;0)*T_PlannedOrders[Order_Month])),"m月")&amp;"発注)")</f>
        <v/>
      </c>
      <c r="V389">
        <f>IF(SUMIFS(T_PlannedOrders[EffectiveQty],T_PlannedOrders[Part Name],$A377,T_PlannedOrders[WeekIndex],19)=0,"",SUMIFS(T_PlannedOrders[EffectiveQty],T_PlannedOrders[Part Name],$A377,T_PlannedOrders[WeekIndex],19)&amp;" ("&amp;TEXT(SUMPRODUCT(MAX((T_PlannedOrders[Part Name]=$A377)*(T_PlannedOrders[WeekIndex]=19)*(T_PlannedOrders[EffectiveQty]&gt;0)*T_PlannedOrders[Order_Month])),"m月")&amp;"発注)")</f>
        <v/>
      </c>
      <c r="W389">
        <f>IF(SUMIFS(T_PlannedOrders[EffectiveQty],T_PlannedOrders[Part Name],$A377,T_PlannedOrders[WeekIndex],20)=0,"",SUMIFS(T_PlannedOrders[EffectiveQty],T_PlannedOrders[Part Name],$A377,T_PlannedOrders[WeekIndex],20)&amp;" ("&amp;TEXT(SUMPRODUCT(MAX((T_PlannedOrders[Part Name]=$A377)*(T_PlannedOrders[WeekIndex]=20)*(T_PlannedOrders[EffectiveQty]&gt;0)*T_PlannedOrders[Order_Month])),"m月")&amp;"発注)")</f>
        <v/>
      </c>
      <c r="X389">
        <f>IF(SUMIFS(T_PlannedOrders[EffectiveQty],T_PlannedOrders[Part Name],$A377,T_PlannedOrders[WeekIndex],21)=0,"",SUMIFS(T_PlannedOrders[EffectiveQty],T_PlannedOrders[Part Name],$A377,T_PlannedOrders[WeekIndex],21)&amp;" ("&amp;TEXT(SUMPRODUCT(MAX((T_PlannedOrders[Part Name]=$A377)*(T_PlannedOrders[WeekIndex]=21)*(T_PlannedOrders[EffectiveQty]&gt;0)*T_PlannedOrders[Order_Month])),"m月")&amp;"発注)")</f>
        <v/>
      </c>
      <c r="Y389">
        <f>IF(SUMIFS(T_PlannedOrders[EffectiveQty],T_PlannedOrders[Part Name],$A377,T_PlannedOrders[WeekIndex],22)=0,"",SUMIFS(T_PlannedOrders[EffectiveQty],T_PlannedOrders[Part Name],$A377,T_PlannedOrders[WeekIndex],22)&amp;" ("&amp;TEXT(SUMPRODUCT(MAX((T_PlannedOrders[Part Name]=$A377)*(T_PlannedOrders[WeekIndex]=22)*(T_PlannedOrders[EffectiveQty]&gt;0)*T_PlannedOrders[Order_Month])),"m月")&amp;"発注)")</f>
        <v/>
      </c>
      <c r="Z389">
        <f>IF(SUMIFS(T_PlannedOrders[EffectiveQty],T_PlannedOrders[Part Name],$A377,T_PlannedOrders[WeekIndex],23)=0,"",SUMIFS(T_PlannedOrders[EffectiveQty],T_PlannedOrders[Part Name],$A377,T_PlannedOrders[WeekIndex],23)&amp;" ("&amp;TEXT(SUMPRODUCT(MAX((T_PlannedOrders[Part Name]=$A377)*(T_PlannedOrders[WeekIndex]=23)*(T_PlannedOrders[EffectiveQty]&gt;0)*T_PlannedOrders[Order_Month])),"m月")&amp;"発注)")</f>
        <v/>
      </c>
      <c r="AA389">
        <f>IF(SUMIFS(T_PlannedOrders[EffectiveQty],T_PlannedOrders[Part Name],$A377,T_PlannedOrders[WeekIndex],24)=0,"",SUMIFS(T_PlannedOrders[EffectiveQty],T_PlannedOrders[Part Name],$A377,T_PlannedOrders[WeekIndex],24)&amp;" ("&amp;TEXT(SUMPRODUCT(MAX((T_PlannedOrders[Part Name]=$A377)*(T_PlannedOrders[WeekIndex]=24)*(T_PlannedOrders[EffectiveQty]&gt;0)*T_PlannedOrders[Order_Month])),"m月")&amp;"発注)")</f>
        <v/>
      </c>
      <c r="AB389">
        <f>IF(SUMIFS(T_PlannedOrders[EffectiveQty],T_PlannedOrders[Part Name],$A377,T_PlannedOrders[WeekIndex],25)=0,"",SUMIFS(T_PlannedOrders[EffectiveQty],T_PlannedOrders[Part Name],$A377,T_PlannedOrders[WeekIndex],25)&amp;" ("&amp;TEXT(SUMPRODUCT(MAX((T_PlannedOrders[Part Name]=$A377)*(T_PlannedOrders[WeekIndex]=25)*(T_PlannedOrders[EffectiveQty]&gt;0)*T_PlannedOrders[Order_Month])),"m月")&amp;"発注)")</f>
        <v/>
      </c>
      <c r="AC389">
        <f>IF(SUMIFS(T_PlannedOrders[EffectiveQty],T_PlannedOrders[Part Name],$A377,T_PlannedOrders[WeekIndex],26)=0,"",SUMIFS(T_PlannedOrders[EffectiveQty],T_PlannedOrders[Part Name],$A377,T_PlannedOrders[WeekIndex],26)&amp;" ("&amp;TEXT(SUMPRODUCT(MAX((T_PlannedOrders[Part Name]=$A377)*(T_PlannedOrders[WeekIndex]=26)*(T_PlannedOrders[EffectiveQty]&gt;0)*T_PlannedOrders[Order_Month])),"m月")&amp;"発注)")</f>
        <v/>
      </c>
      <c r="AD389">
        <f>IF(SUMIFS(T_PlannedOrders[EffectiveQty],T_PlannedOrders[Part Name],$A377,T_PlannedOrders[WeekIndex],27)=0,"",SUMIFS(T_PlannedOrders[EffectiveQty],T_PlannedOrders[Part Name],$A377,T_PlannedOrders[WeekIndex],27)&amp;" ("&amp;TEXT(SUMPRODUCT(MAX((T_PlannedOrders[Part Name]=$A377)*(T_PlannedOrders[WeekIndex]=27)*(T_PlannedOrders[EffectiveQty]&gt;0)*T_PlannedOrders[Order_Month])),"m月")&amp;"発注)")</f>
        <v/>
      </c>
      <c r="AE389">
        <f>IF(SUMIFS(T_PlannedOrders[EffectiveQty],T_PlannedOrders[Part Name],$A377,T_PlannedOrders[WeekIndex],28)=0,"",SUMIFS(T_PlannedOrders[EffectiveQty],T_PlannedOrders[Part Name],$A377,T_PlannedOrders[WeekIndex],28)&amp;" ("&amp;TEXT(SUMPRODUCT(MAX((T_PlannedOrders[Part Name]=$A377)*(T_PlannedOrders[WeekIndex]=28)*(T_PlannedOrders[EffectiveQty]&gt;0)*T_PlannedOrders[Order_Month])),"m月")&amp;"発注)")</f>
        <v/>
      </c>
      <c r="AF389">
        <f>IF(SUMIFS(T_PlannedOrders[EffectiveQty],T_PlannedOrders[Part Name],$A377,T_PlannedOrders[WeekIndex],29)=0,"",SUMIFS(T_PlannedOrders[EffectiveQty],T_PlannedOrders[Part Name],$A377,T_PlannedOrders[WeekIndex],29)&amp;" ("&amp;TEXT(SUMPRODUCT(MAX((T_PlannedOrders[Part Name]=$A377)*(T_PlannedOrders[WeekIndex]=29)*(T_PlannedOrders[EffectiveQty]&gt;0)*T_PlannedOrders[Order_Month])),"m月")&amp;"発注)")</f>
        <v/>
      </c>
      <c r="AG389">
        <f>IF(SUMIFS(T_PlannedOrders[EffectiveQty],T_PlannedOrders[Part Name],$A377,T_PlannedOrders[WeekIndex],30)=0,"",SUMIFS(T_PlannedOrders[EffectiveQty],T_PlannedOrders[Part Name],$A377,T_PlannedOrders[WeekIndex],30)&amp;" ("&amp;TEXT(SUMPRODUCT(MAX((T_PlannedOrders[Part Name]=$A377)*(T_PlannedOrders[WeekIndex]=30)*(T_PlannedOrders[EffectiveQty]&gt;0)*T_PlannedOrders[Order_Month])),"m月")&amp;"発注)")</f>
        <v/>
      </c>
      <c r="AH389">
        <f>IF(SUMIFS(T_PlannedOrders[EffectiveQty],T_PlannedOrders[Part Name],$A377,T_PlannedOrders[WeekIndex],31)=0,"",SUMIFS(T_PlannedOrders[EffectiveQty],T_PlannedOrders[Part Name],$A377,T_PlannedOrders[WeekIndex],31)&amp;" ("&amp;TEXT(SUMPRODUCT(MAX((T_PlannedOrders[Part Name]=$A377)*(T_PlannedOrders[WeekIndex]=31)*(T_PlannedOrders[EffectiveQty]&gt;0)*T_PlannedOrders[Order_Month])),"m月")&amp;"発注)")</f>
        <v/>
      </c>
      <c r="AI389">
        <f>IF(SUMIFS(T_PlannedOrders[EffectiveQty],T_PlannedOrders[Part Name],$A377,T_PlannedOrders[WeekIndex],32)=0,"",SUMIFS(T_PlannedOrders[EffectiveQty],T_PlannedOrders[Part Name],$A377,T_PlannedOrders[WeekIndex],32)&amp;" ("&amp;TEXT(SUMPRODUCT(MAX((T_PlannedOrders[Part Name]=$A377)*(T_PlannedOrders[WeekIndex]=32)*(T_PlannedOrders[EffectiveQty]&gt;0)*T_PlannedOrders[Order_Month])),"m月")&amp;"発注)")</f>
        <v/>
      </c>
      <c r="AJ389">
        <f>IF(SUMIFS(T_PlannedOrders[EffectiveQty],T_PlannedOrders[Part Name],$A377,T_PlannedOrders[WeekIndex],33)=0,"",SUMIFS(T_PlannedOrders[EffectiveQty],T_PlannedOrders[Part Name],$A377,T_PlannedOrders[WeekIndex],33)&amp;" ("&amp;TEXT(SUMPRODUCT(MAX((T_PlannedOrders[Part Name]=$A377)*(T_PlannedOrders[WeekIndex]=33)*(T_PlannedOrders[EffectiveQty]&gt;0)*T_PlannedOrders[Order_Month])),"m月")&amp;"発注)")</f>
        <v/>
      </c>
      <c r="AK389">
        <f>IF(SUMIFS(T_PlannedOrders[EffectiveQty],T_PlannedOrders[Part Name],$A377,T_PlannedOrders[WeekIndex],34)=0,"",SUMIFS(T_PlannedOrders[EffectiveQty],T_PlannedOrders[Part Name],$A377,T_PlannedOrders[WeekIndex],34)&amp;" ("&amp;TEXT(SUMPRODUCT(MAX((T_PlannedOrders[Part Name]=$A377)*(T_PlannedOrders[WeekIndex]=34)*(T_PlannedOrders[EffectiveQty]&gt;0)*T_PlannedOrders[Order_Month])),"m月")&amp;"発注)")</f>
        <v/>
      </c>
      <c r="AL389">
        <f>IF(SUMIFS(T_PlannedOrders[EffectiveQty],T_PlannedOrders[Part Name],$A377,T_PlannedOrders[WeekIndex],35)=0,"",SUMIFS(T_PlannedOrders[EffectiveQty],T_PlannedOrders[Part Name],$A377,T_PlannedOrders[WeekIndex],35)&amp;" ("&amp;TEXT(SUMPRODUCT(MAX((T_PlannedOrders[Part Name]=$A377)*(T_PlannedOrders[WeekIndex]=35)*(T_PlannedOrders[EffectiveQty]&gt;0)*T_PlannedOrders[Order_Month])),"m月")&amp;"発注)")</f>
        <v/>
      </c>
      <c r="AM389">
        <f>IF(SUMIFS(T_PlannedOrders[EffectiveQty],T_PlannedOrders[Part Name],$A377,T_PlannedOrders[WeekIndex],36)=0,"",SUMIFS(T_PlannedOrders[EffectiveQty],T_PlannedOrders[Part Name],$A377,T_PlannedOrders[WeekIndex],36)&amp;" ("&amp;TEXT(SUMPRODUCT(MAX((T_PlannedOrders[Part Name]=$A377)*(T_PlannedOrders[WeekIndex]=36)*(T_PlannedOrders[EffectiveQty]&gt;0)*T_PlannedOrders[Order_Month])),"m月")&amp;"発注)")</f>
        <v/>
      </c>
      <c r="AN389">
        <f>IF(SUMIFS(T_PlannedOrders[EffectiveQty],T_PlannedOrders[Part Name],$A377,T_PlannedOrders[WeekIndex],37)=0,"",SUMIFS(T_PlannedOrders[EffectiveQty],T_PlannedOrders[Part Name],$A377,T_PlannedOrders[WeekIndex],37)&amp;" ("&amp;TEXT(SUMPRODUCT(MAX((T_PlannedOrders[Part Name]=$A377)*(T_PlannedOrders[WeekIndex]=37)*(T_PlannedOrders[EffectiveQty]&gt;0)*T_PlannedOrders[Order_Month])),"m月")&amp;"発注)")</f>
        <v/>
      </c>
      <c r="AO389">
        <f>IF(SUMIFS(T_PlannedOrders[EffectiveQty],T_PlannedOrders[Part Name],$A377,T_PlannedOrders[WeekIndex],38)=0,"",SUMIFS(T_PlannedOrders[EffectiveQty],T_PlannedOrders[Part Name],$A377,T_PlannedOrders[WeekIndex],38)&amp;" ("&amp;TEXT(SUMPRODUCT(MAX((T_PlannedOrders[Part Name]=$A377)*(T_PlannedOrders[WeekIndex]=38)*(T_PlannedOrders[EffectiveQty]&gt;0)*T_PlannedOrders[Order_Month])),"m月")&amp;"発注)")</f>
        <v/>
      </c>
      <c r="AP389">
        <f>IF(SUMIFS(T_PlannedOrders[EffectiveQty],T_PlannedOrders[Part Name],$A377,T_PlannedOrders[WeekIndex],39)=0,"",SUMIFS(T_PlannedOrders[EffectiveQty],T_PlannedOrders[Part Name],$A377,T_PlannedOrders[WeekIndex],39)&amp;" ("&amp;TEXT(SUMPRODUCT(MAX((T_PlannedOrders[Part Name]=$A377)*(T_PlannedOrders[WeekIndex]=39)*(T_PlannedOrders[EffectiveQty]&gt;0)*T_PlannedOrders[Order_Month])),"m月")&amp;"発注)")</f>
        <v/>
      </c>
      <c r="AQ389">
        <f>IF(SUMIFS(T_PlannedOrders[EffectiveQty],T_PlannedOrders[Part Name],$A377,T_PlannedOrders[WeekIndex],40)=0,"",SUMIFS(T_PlannedOrders[EffectiveQty],T_PlannedOrders[Part Name],$A377,T_PlannedOrders[WeekIndex],40)&amp;" ("&amp;TEXT(SUMPRODUCT(MAX((T_PlannedOrders[Part Name]=$A377)*(T_PlannedOrders[WeekIndex]=40)*(T_PlannedOrders[EffectiveQty]&gt;0)*T_PlannedOrders[Order_Month])),"m月")&amp;"発注)")</f>
        <v/>
      </c>
      <c r="AR389">
        <f>IF(SUMIFS(T_PlannedOrders[EffectiveQty],T_PlannedOrders[Part Name],$A377,T_PlannedOrders[WeekIndex],41)=0,"",SUMIFS(T_PlannedOrders[EffectiveQty],T_PlannedOrders[Part Name],$A377,T_PlannedOrders[WeekIndex],41)&amp;" ("&amp;TEXT(SUMPRODUCT(MAX((T_PlannedOrders[Part Name]=$A377)*(T_PlannedOrders[WeekIndex]=41)*(T_PlannedOrders[EffectiveQty]&gt;0)*T_PlannedOrders[Order_Month])),"m月")&amp;"発注)")</f>
        <v/>
      </c>
      <c r="AS389">
        <f>IF(SUMIFS(T_PlannedOrders[EffectiveQty],T_PlannedOrders[Part Name],$A377,T_PlannedOrders[WeekIndex],42)=0,"",SUMIFS(T_PlannedOrders[EffectiveQty],T_PlannedOrders[Part Name],$A377,T_PlannedOrders[WeekIndex],42)&amp;" ("&amp;TEXT(SUMPRODUCT(MAX((T_PlannedOrders[Part Name]=$A377)*(T_PlannedOrders[WeekIndex]=42)*(T_PlannedOrders[EffectiveQty]&gt;0)*T_PlannedOrders[Order_Month])),"m月")&amp;"発注)")</f>
        <v/>
      </c>
      <c r="AT389">
        <f>IF(SUMIFS(T_PlannedOrders[EffectiveQty],T_PlannedOrders[Part Name],$A377,T_PlannedOrders[WeekIndex],43)=0,"",SUMIFS(T_PlannedOrders[EffectiveQty],T_PlannedOrders[Part Name],$A377,T_PlannedOrders[WeekIndex],43)&amp;" ("&amp;TEXT(SUMPRODUCT(MAX((T_PlannedOrders[Part Name]=$A377)*(T_PlannedOrders[WeekIndex]=43)*(T_PlannedOrders[EffectiveQty]&gt;0)*T_PlannedOrders[Order_Month])),"m月")&amp;"発注)")</f>
        <v/>
      </c>
      <c r="AU389">
        <f>IF(SUMIFS(T_PlannedOrders[EffectiveQty],T_PlannedOrders[Part Name],$A377,T_PlannedOrders[WeekIndex],44)=0,"",SUMIFS(T_PlannedOrders[EffectiveQty],T_PlannedOrders[Part Name],$A377,T_PlannedOrders[WeekIndex],44)&amp;" ("&amp;TEXT(SUMPRODUCT(MAX((T_PlannedOrders[Part Name]=$A377)*(T_PlannedOrders[WeekIndex]=44)*(T_PlannedOrders[EffectiveQty]&gt;0)*T_PlannedOrders[Order_Month])),"m月")&amp;"発注)")</f>
        <v/>
      </c>
      <c r="AV389">
        <f>IF(SUMIFS(T_PlannedOrders[EffectiveQty],T_PlannedOrders[Part Name],$A377,T_PlannedOrders[WeekIndex],45)=0,"",SUMIFS(T_PlannedOrders[EffectiveQty],T_PlannedOrders[Part Name],$A377,T_PlannedOrders[WeekIndex],45)&amp;" ("&amp;TEXT(SUMPRODUCT(MAX((T_PlannedOrders[Part Name]=$A377)*(T_PlannedOrders[WeekIndex]=45)*(T_PlannedOrders[EffectiveQty]&gt;0)*T_PlannedOrders[Order_Month])),"m月")&amp;"発注)")</f>
        <v/>
      </c>
      <c r="AW389">
        <f>IF(SUMIFS(T_PlannedOrders[EffectiveQty],T_PlannedOrders[Part Name],$A377,T_PlannedOrders[WeekIndex],46)=0,"",SUMIFS(T_PlannedOrders[EffectiveQty],T_PlannedOrders[Part Name],$A377,T_PlannedOrders[WeekIndex],46)&amp;" ("&amp;TEXT(SUMPRODUCT(MAX((T_PlannedOrders[Part Name]=$A377)*(T_PlannedOrders[WeekIndex]=46)*(T_PlannedOrders[EffectiveQty]&gt;0)*T_PlannedOrders[Order_Month])),"m月")&amp;"発注)")</f>
        <v/>
      </c>
      <c r="AX389">
        <f>IF(SUMIFS(T_PlannedOrders[EffectiveQty],T_PlannedOrders[Part Name],$A377,T_PlannedOrders[WeekIndex],47)=0,"",SUMIFS(T_PlannedOrders[EffectiveQty],T_PlannedOrders[Part Name],$A377,T_PlannedOrders[WeekIndex],47)&amp;" ("&amp;TEXT(SUMPRODUCT(MAX((T_PlannedOrders[Part Name]=$A377)*(T_PlannedOrders[WeekIndex]=47)*(T_PlannedOrders[EffectiveQty]&gt;0)*T_PlannedOrders[Order_Month])),"m月")&amp;"発注)")</f>
        <v/>
      </c>
      <c r="AY389">
        <f>IF(SUMIFS(T_PlannedOrders[EffectiveQty],T_PlannedOrders[Part Name],$A377,T_PlannedOrders[WeekIndex],48)=0,"",SUMIFS(T_PlannedOrders[EffectiveQty],T_PlannedOrders[Part Name],$A377,T_PlannedOrders[WeekIndex],48)&amp;" ("&amp;TEXT(SUMPRODUCT(MAX((T_PlannedOrders[Part Name]=$A377)*(T_PlannedOrders[WeekIndex]=48)*(T_PlannedOrders[EffectiveQty]&gt;0)*T_PlannedOrders[Order_Month])),"m月")&amp;"発注)")</f>
        <v/>
      </c>
      <c r="AZ389">
        <f>IF(SUMIFS(T_PlannedOrders[EffectiveQty],T_PlannedOrders[Part Name],$A377,T_PlannedOrders[WeekIndex],49)=0,"",SUMIFS(T_PlannedOrders[EffectiveQty],T_PlannedOrders[Part Name],$A377,T_PlannedOrders[WeekIndex],49)&amp;" ("&amp;TEXT(SUMPRODUCT(MAX((T_PlannedOrders[Part Name]=$A377)*(T_PlannedOrders[WeekIndex]=49)*(T_PlannedOrders[EffectiveQty]&gt;0)*T_PlannedOrders[Order_Month])),"m月")&amp;"発注)")</f>
        <v/>
      </c>
      <c r="BA389">
        <f>IF(SUMIFS(T_PlannedOrders[EffectiveQty],T_PlannedOrders[Part Name],$A377,T_PlannedOrders[WeekIndex],50)=0,"",SUMIFS(T_PlannedOrders[EffectiveQty],T_PlannedOrders[Part Name],$A377,T_PlannedOrders[WeekIndex],50)&amp;" ("&amp;TEXT(SUMPRODUCT(MAX((T_PlannedOrders[Part Name]=$A377)*(T_PlannedOrders[WeekIndex]=50)*(T_PlannedOrders[EffectiveQty]&gt;0)*T_PlannedOrders[Order_Month])),"m月")&amp;"発注)")</f>
        <v/>
      </c>
      <c r="BB389">
        <f>IF(SUMIFS(T_PlannedOrders[EffectiveQty],T_PlannedOrders[Part Name],$A377,T_PlannedOrders[WeekIndex],51)=0,"",SUMIFS(T_PlannedOrders[EffectiveQty],T_PlannedOrders[Part Name],$A377,T_PlannedOrders[WeekIndex],51)&amp;" ("&amp;TEXT(SUMPRODUCT(MAX((T_PlannedOrders[Part Name]=$A377)*(T_PlannedOrders[WeekIndex]=51)*(T_PlannedOrders[EffectiveQty]&gt;0)*T_PlannedOrders[Order_Month])),"m月")&amp;"発注)")</f>
        <v/>
      </c>
      <c r="BC389">
        <f>IF(SUMIFS(T_PlannedOrders[EffectiveQty],T_PlannedOrders[Part Name],$A377,T_PlannedOrders[WeekIndex],52)=0,"",SUMIFS(T_PlannedOrders[EffectiveQty],T_PlannedOrders[Part Name],$A377,T_PlannedOrders[WeekIndex],52)&amp;" ("&amp;TEXT(SUMPRODUCT(MAX((T_PlannedOrders[Part Name]=$A377)*(T_PlannedOrders[WeekIndex]=52)*(T_PlannedOrders[EffectiveQty]&gt;0)*T_PlannedOrders[Order_Month])),"m月")&amp;"発注)")</f>
        <v/>
      </c>
      <c r="BD389">
        <f>IF(SUMIFS(T_PlannedOrders[EffectiveQty],T_PlannedOrders[Part Name],$A377,T_PlannedOrders[WeekIndex],53)=0,"",SUMIFS(T_PlannedOrders[EffectiveQty],T_PlannedOrders[Part Name],$A377,T_PlannedOrders[WeekIndex],53)&amp;" ("&amp;TEXT(SUMPRODUCT(MAX((T_PlannedOrders[Part Name]=$A377)*(T_PlannedOrders[WeekIndex]=53)*(T_PlannedOrders[EffectiveQty]&gt;0)*T_PlannedOrders[Order_Month])),"m月")&amp;"発注)")</f>
        <v/>
      </c>
      <c r="BE389">
        <f>IF(SUMIFS(T_PlannedOrders[EffectiveQty],T_PlannedOrders[Part Name],$A377,T_PlannedOrders[WeekIndex],54)=0,"",SUMIFS(T_PlannedOrders[EffectiveQty],T_PlannedOrders[Part Name],$A377,T_PlannedOrders[WeekIndex],54)&amp;" ("&amp;TEXT(SUMPRODUCT(MAX((T_PlannedOrders[Part Name]=$A377)*(T_PlannedOrders[WeekIndex]=54)*(T_PlannedOrders[EffectiveQty]&gt;0)*T_PlannedOrders[Order_Month])),"m月")&amp;"発注)")</f>
        <v/>
      </c>
      <c r="BF389">
        <f>IF(SUMIFS(T_PlannedOrders[EffectiveQty],T_PlannedOrders[Part Name],$A377,T_PlannedOrders[WeekIndex],55)=0,"",SUMIFS(T_PlannedOrders[EffectiveQty],T_PlannedOrders[Part Name],$A377,T_PlannedOrders[WeekIndex],55)&amp;" ("&amp;TEXT(SUMPRODUCT(MAX((T_PlannedOrders[Part Name]=$A377)*(T_PlannedOrders[WeekIndex]=55)*(T_PlannedOrders[EffectiveQty]&gt;0)*T_PlannedOrders[Order_Month])),"m月")&amp;"発注)")</f>
        <v/>
      </c>
      <c r="BG389">
        <f>IF(SUMIFS(T_PlannedOrders[EffectiveQty],T_PlannedOrders[Part Name],$A377,T_PlannedOrders[WeekIndex],56)=0,"",SUMIFS(T_PlannedOrders[EffectiveQty],T_PlannedOrders[Part Name],$A377,T_PlannedOrders[WeekIndex],56)&amp;" ("&amp;TEXT(SUMPRODUCT(MAX((T_PlannedOrders[Part Name]=$A377)*(T_PlannedOrders[WeekIndex]=56)*(T_PlannedOrders[EffectiveQty]&gt;0)*T_PlannedOrders[Order_Month])),"m月")&amp;"発注)")</f>
        <v/>
      </c>
      <c r="BH389">
        <f>IF(SUMIFS(T_PlannedOrders[EffectiveQty],T_PlannedOrders[Part Name],$A377,T_PlannedOrders[WeekIndex],57)=0,"",SUMIFS(T_PlannedOrders[EffectiveQty],T_PlannedOrders[Part Name],$A377,T_PlannedOrders[WeekIndex],57)&amp;" ("&amp;TEXT(SUMPRODUCT(MAX((T_PlannedOrders[Part Name]=$A377)*(T_PlannedOrders[WeekIndex]=57)*(T_PlannedOrders[EffectiveQty]&gt;0)*T_PlannedOrders[Order_Month])),"m月")&amp;"発注)")</f>
        <v/>
      </c>
      <c r="BI389">
        <f>IF(SUMIFS(T_PlannedOrders[EffectiveQty],T_PlannedOrders[Part Name],$A377,T_PlannedOrders[WeekIndex],58)=0,"",SUMIFS(T_PlannedOrders[EffectiveQty],T_PlannedOrders[Part Name],$A377,T_PlannedOrders[WeekIndex],58)&amp;" ("&amp;TEXT(SUMPRODUCT(MAX((T_PlannedOrders[Part Name]=$A377)*(T_PlannedOrders[WeekIndex]=58)*(T_PlannedOrders[EffectiveQty]&gt;0)*T_PlannedOrders[Order_Month])),"m月")&amp;"発注)")</f>
        <v/>
      </c>
      <c r="BJ389">
        <f>IF(SUMIFS(T_PlannedOrders[EffectiveQty],T_PlannedOrders[Part Name],$A377,T_PlannedOrders[WeekIndex],59)=0,"",SUMIFS(T_PlannedOrders[EffectiveQty],T_PlannedOrders[Part Name],$A377,T_PlannedOrders[WeekIndex],59)&amp;" ("&amp;TEXT(SUMPRODUCT(MAX((T_PlannedOrders[Part Name]=$A377)*(T_PlannedOrders[WeekIndex]=59)*(T_PlannedOrders[EffectiveQty]&gt;0)*T_PlannedOrders[Order_Month])),"m月")&amp;"発注)")</f>
        <v/>
      </c>
      <c r="BK389">
        <f>IF(SUMIFS(T_PlannedOrders[EffectiveQty],T_PlannedOrders[Part Name],$A377,T_PlannedOrders[WeekIndex],60)=0,"",SUMIFS(T_PlannedOrders[EffectiveQty],T_PlannedOrders[Part Name],$A377,T_PlannedOrders[WeekIndex],60)&amp;" ("&amp;TEXT(SUMPRODUCT(MAX((T_PlannedOrders[Part Name]=$A377)*(T_PlannedOrders[WeekIndex]=60)*(T_PlannedOrders[EffectiveQty]&gt;0)*T_PlannedOrders[Order_Month])),"m月")&amp;"発注)")</f>
        <v/>
      </c>
      <c r="BL389">
        <f>IF(SUMIFS(T_PlannedOrders[EffectiveQty],T_PlannedOrders[Part Name],$A377,T_PlannedOrders[WeekIndex],61)=0,"",SUMIFS(T_PlannedOrders[EffectiveQty],T_PlannedOrders[Part Name],$A377,T_PlannedOrders[WeekIndex],61)&amp;" ("&amp;TEXT(SUMPRODUCT(MAX((T_PlannedOrders[Part Name]=$A377)*(T_PlannedOrders[WeekIndex]=61)*(T_PlannedOrders[EffectiveQty]&gt;0)*T_PlannedOrders[Order_Month])),"m月")&amp;"発注)")</f>
        <v/>
      </c>
      <c r="BM389">
        <f>IF(SUMIFS(T_PlannedOrders[EffectiveQty],T_PlannedOrders[Part Name],$A377,T_PlannedOrders[WeekIndex],62)=0,"",SUMIFS(T_PlannedOrders[EffectiveQty],T_PlannedOrders[Part Name],$A377,T_PlannedOrders[WeekIndex],62)&amp;" ("&amp;TEXT(SUMPRODUCT(MAX((T_PlannedOrders[Part Name]=$A377)*(T_PlannedOrders[WeekIndex]=62)*(T_PlannedOrders[EffectiveQty]&gt;0)*T_PlannedOrders[Order_Month])),"m月")&amp;"発注)")</f>
        <v/>
      </c>
      <c r="BN389">
        <f>IF(SUMIFS(T_PlannedOrders[EffectiveQty],T_PlannedOrders[Part Name],$A377,T_PlannedOrders[WeekIndex],63)=0,"",SUMIFS(T_PlannedOrders[EffectiveQty],T_PlannedOrders[Part Name],$A377,T_PlannedOrders[WeekIndex],63)&amp;" ("&amp;TEXT(SUMPRODUCT(MAX((T_PlannedOrders[Part Name]=$A377)*(T_PlannedOrders[WeekIndex]=63)*(T_PlannedOrders[EffectiveQty]&gt;0)*T_PlannedOrders[Order_Month])),"m月")&amp;"発注)")</f>
        <v/>
      </c>
      <c r="BO389">
        <f>IF(SUMIFS(T_PlannedOrders[EffectiveQty],T_PlannedOrders[Part Name],$A377,T_PlannedOrders[WeekIndex],64)=0,"",SUMIFS(T_PlannedOrders[EffectiveQty],T_PlannedOrders[Part Name],$A377,T_PlannedOrders[WeekIndex],64)&amp;" ("&amp;TEXT(SUMPRODUCT(MAX((T_PlannedOrders[Part Name]=$A377)*(T_PlannedOrders[WeekIndex]=64)*(T_PlannedOrders[EffectiveQty]&gt;0)*T_PlannedOrders[Order_Month])),"m月")&amp;"発注)")</f>
        <v/>
      </c>
      <c r="BP389">
        <f>IF(SUMIFS(T_PlannedOrders[EffectiveQty],T_PlannedOrders[Part Name],$A377,T_PlannedOrders[WeekIndex],65)=0,"",SUMIFS(T_PlannedOrders[EffectiveQty],T_PlannedOrders[Part Name],$A377,T_PlannedOrders[WeekIndex],65)&amp;" ("&amp;TEXT(SUMPRODUCT(MAX((T_PlannedOrders[Part Name]=$A377)*(T_PlannedOrders[WeekIndex]=65)*(T_PlannedOrders[EffectiveQty]&gt;0)*T_PlannedOrders[Order_Month])),"m月")&amp;"発注)")</f>
        <v/>
      </c>
      <c r="BQ389">
        <f>IF(SUMIFS(T_PlannedOrders[EffectiveQty],T_PlannedOrders[Part Name],$A377,T_PlannedOrders[WeekIndex],66)=0,"",SUMIFS(T_PlannedOrders[EffectiveQty],T_PlannedOrders[Part Name],$A377,T_PlannedOrders[WeekIndex],66)&amp;" ("&amp;TEXT(SUMPRODUCT(MAX((T_PlannedOrders[Part Name]=$A377)*(T_PlannedOrders[WeekIndex]=66)*(T_PlannedOrders[EffectiveQty]&gt;0)*T_PlannedOrders[Order_Month])),"m月")&amp;"発注)")</f>
        <v/>
      </c>
      <c r="BR389">
        <f>IF(SUMIFS(T_PlannedOrders[EffectiveQty],T_PlannedOrders[Part Name],$A377,T_PlannedOrders[WeekIndex],67)=0,"",SUMIFS(T_PlannedOrders[EffectiveQty],T_PlannedOrders[Part Name],$A377,T_PlannedOrders[WeekIndex],67)&amp;" ("&amp;TEXT(SUMPRODUCT(MAX((T_PlannedOrders[Part Name]=$A377)*(T_PlannedOrders[WeekIndex]=67)*(T_PlannedOrders[EffectiveQty]&gt;0)*T_PlannedOrders[Order_Month])),"m月")&amp;"発注)")</f>
        <v/>
      </c>
      <c r="BS389">
        <f>IF(SUMIFS(T_PlannedOrders[EffectiveQty],T_PlannedOrders[Part Name],$A377,T_PlannedOrders[WeekIndex],68)=0,"",SUMIFS(T_PlannedOrders[EffectiveQty],T_PlannedOrders[Part Name],$A377,T_PlannedOrders[WeekIndex],68)&amp;" ("&amp;TEXT(SUMPRODUCT(MAX((T_PlannedOrders[Part Name]=$A377)*(T_PlannedOrders[WeekIndex]=68)*(T_PlannedOrders[EffectiveQty]&gt;0)*T_PlannedOrders[Order_Month])),"m月")&amp;"発注)")</f>
        <v/>
      </c>
      <c r="BT389">
        <f>IF(SUMIFS(T_PlannedOrders[EffectiveQty],T_PlannedOrders[Part Name],$A377,T_PlannedOrders[WeekIndex],69)=0,"",SUMIFS(T_PlannedOrders[EffectiveQty],T_PlannedOrders[Part Name],$A377,T_PlannedOrders[WeekIndex],69)&amp;" ("&amp;TEXT(SUMPRODUCT(MAX((T_PlannedOrders[Part Name]=$A377)*(T_PlannedOrders[WeekIndex]=69)*(T_PlannedOrders[EffectiveQty]&gt;0)*T_PlannedOrders[Order_Month])),"m月")&amp;"発注)")</f>
        <v/>
      </c>
      <c r="BU389">
        <f>IF(SUMIFS(T_PlannedOrders[EffectiveQty],T_PlannedOrders[Part Name],$A377,T_PlannedOrders[WeekIndex],70)=0,"",SUMIFS(T_PlannedOrders[EffectiveQty],T_PlannedOrders[Part Name],$A377,T_PlannedOrders[WeekIndex],70)&amp;" ("&amp;TEXT(SUMPRODUCT(MAX((T_PlannedOrders[Part Name]=$A377)*(T_PlannedOrders[WeekIndex]=70)*(T_PlannedOrders[EffectiveQty]&gt;0)*T_PlannedOrders[Order_Month])),"m月")&amp;"発注)")</f>
        <v/>
      </c>
      <c r="BV389">
        <f>IF(SUMIFS(T_PlannedOrders[EffectiveQty],T_PlannedOrders[Part Name],$A377,T_PlannedOrders[WeekIndex],71)=0,"",SUMIFS(T_PlannedOrders[EffectiveQty],T_PlannedOrders[Part Name],$A377,T_PlannedOrders[WeekIndex],71)&amp;" ("&amp;TEXT(SUMPRODUCT(MAX((T_PlannedOrders[Part Name]=$A377)*(T_PlannedOrders[WeekIndex]=71)*(T_PlannedOrders[EffectiveQty]&gt;0)*T_PlannedOrders[Order_Month])),"m月")&amp;"発注)")</f>
        <v/>
      </c>
      <c r="BW389">
        <f>IF(SUMIFS(T_PlannedOrders[EffectiveQty],T_PlannedOrders[Part Name],$A377,T_PlannedOrders[WeekIndex],72)=0,"",SUMIFS(T_PlannedOrders[EffectiveQty],T_PlannedOrders[Part Name],$A377,T_PlannedOrders[WeekIndex],72)&amp;" ("&amp;TEXT(SUMPRODUCT(MAX((T_PlannedOrders[Part Name]=$A377)*(T_PlannedOrders[WeekIndex]=72)*(T_PlannedOrders[EffectiveQty]&gt;0)*T_PlannedOrders[Order_Month])),"m月")&amp;"発注)")</f>
        <v/>
      </c>
      <c r="BX389">
        <f>IF(SUMIFS(T_PlannedOrders[EffectiveQty],T_PlannedOrders[Part Name],$A377,T_PlannedOrders[WeekIndex],73)=0,"",SUMIFS(T_PlannedOrders[EffectiveQty],T_PlannedOrders[Part Name],$A377,T_PlannedOrders[WeekIndex],73)&amp;" ("&amp;TEXT(SUMPRODUCT(MAX((T_PlannedOrders[Part Name]=$A377)*(T_PlannedOrders[WeekIndex]=73)*(T_PlannedOrders[EffectiveQty]&gt;0)*T_PlannedOrders[Order_Month])),"m月")&amp;"発注)")</f>
        <v/>
      </c>
      <c r="BY389">
        <f>IF(SUMIFS(T_PlannedOrders[EffectiveQty],T_PlannedOrders[Part Name],$A377,T_PlannedOrders[WeekIndex],74)=0,"",SUMIFS(T_PlannedOrders[EffectiveQty],T_PlannedOrders[Part Name],$A377,T_PlannedOrders[WeekIndex],74)&amp;" ("&amp;TEXT(SUMPRODUCT(MAX((T_PlannedOrders[Part Name]=$A377)*(T_PlannedOrders[WeekIndex]=74)*(T_PlannedOrders[EffectiveQty]&gt;0)*T_PlannedOrders[Order_Month])),"m月")&amp;"発注)")</f>
        <v/>
      </c>
      <c r="BZ389">
        <f>IF(SUMIFS(T_PlannedOrders[EffectiveQty],T_PlannedOrders[Part Name],$A377,T_PlannedOrders[WeekIndex],75)=0,"",SUMIFS(T_PlannedOrders[EffectiveQty],T_PlannedOrders[Part Name],$A377,T_PlannedOrders[WeekIndex],75)&amp;" ("&amp;TEXT(SUMPRODUCT(MAX((T_PlannedOrders[Part Name]=$A377)*(T_PlannedOrders[WeekIndex]=75)*(T_PlannedOrders[EffectiveQty]&gt;0)*T_PlannedOrders[Order_Month])),"m月")&amp;"発注)")</f>
        <v/>
      </c>
      <c r="CA389">
        <f>IF(SUMIFS(T_PlannedOrders[EffectiveQty],T_PlannedOrders[Part Name],$A377,T_PlannedOrders[WeekIndex],76)=0,"",SUMIFS(T_PlannedOrders[EffectiveQty],T_PlannedOrders[Part Name],$A377,T_PlannedOrders[WeekIndex],76)&amp;" ("&amp;TEXT(SUMPRODUCT(MAX((T_PlannedOrders[Part Name]=$A377)*(T_PlannedOrders[WeekIndex]=76)*(T_PlannedOrders[EffectiveQty]&gt;0)*T_PlannedOrders[Order_Month])),"m月")&amp;"発注)")</f>
        <v/>
      </c>
      <c r="CB389">
        <f>IF(SUMIFS(T_PlannedOrders[EffectiveQty],T_PlannedOrders[Part Name],$A377,T_PlannedOrders[WeekIndex],77)=0,"",SUMIFS(T_PlannedOrders[EffectiveQty],T_PlannedOrders[Part Name],$A377,T_PlannedOrders[WeekIndex],77)&amp;" ("&amp;TEXT(SUMPRODUCT(MAX((T_PlannedOrders[Part Name]=$A377)*(T_PlannedOrders[WeekIndex]=77)*(T_PlannedOrders[EffectiveQty]&gt;0)*T_PlannedOrders[Order_Month])),"m月")&amp;"発注)")</f>
        <v/>
      </c>
      <c r="CC389">
        <f>IF(SUMIFS(T_PlannedOrders[EffectiveQty],T_PlannedOrders[Part Name],$A377,T_PlannedOrders[WeekIndex],78)=0,"",SUMIFS(T_PlannedOrders[EffectiveQty],T_PlannedOrders[Part Name],$A377,T_PlannedOrders[WeekIndex],78)&amp;" ("&amp;TEXT(SUMPRODUCT(MAX((T_PlannedOrders[Part Name]=$A377)*(T_PlannedOrders[WeekIndex]=78)*(T_PlannedOrders[EffectiveQty]&gt;0)*T_PlannedOrders[Order_Month])),"m月")&amp;"発注)")</f>
        <v/>
      </c>
      <c r="CD389">
        <f>IF(SUMIFS(T_PlannedOrders[EffectiveQty],T_PlannedOrders[Part Name],$A377,T_PlannedOrders[WeekIndex],79)=0,"",SUMIFS(T_PlannedOrders[EffectiveQty],T_PlannedOrders[Part Name],$A377,T_PlannedOrders[WeekIndex],79)&amp;" ("&amp;TEXT(SUMPRODUCT(MAX((T_PlannedOrders[Part Name]=$A377)*(T_PlannedOrders[WeekIndex]=79)*(T_PlannedOrders[EffectiveQty]&gt;0)*T_PlannedOrders[Order_Month])),"m月")&amp;"発注)")</f>
        <v/>
      </c>
      <c r="CE389">
        <f>IF(SUMIFS(T_PlannedOrders[EffectiveQty],T_PlannedOrders[Part Name],$A377,T_PlannedOrders[WeekIndex],80)=0,"",SUMIFS(T_PlannedOrders[EffectiveQty],T_PlannedOrders[Part Name],$A377,T_PlannedOrders[WeekIndex],80)&amp;" ("&amp;TEXT(SUMPRODUCT(MAX((T_PlannedOrders[Part Name]=$A377)*(T_PlannedOrders[WeekIndex]=80)*(T_PlannedOrders[EffectiveQty]&gt;0)*T_PlannedOrders[Order_Month])),"m月")&amp;"発注)")</f>
        <v/>
      </c>
      <c r="CF389">
        <f>IF(SUMIFS(T_PlannedOrders[EffectiveQty],T_PlannedOrders[Part Name],$A377,T_PlannedOrders[WeekIndex],81)=0,"",SUMIFS(T_PlannedOrders[EffectiveQty],T_PlannedOrders[Part Name],$A377,T_PlannedOrders[WeekIndex],81)&amp;" ("&amp;TEXT(SUMPRODUCT(MAX((T_PlannedOrders[Part Name]=$A377)*(T_PlannedOrders[WeekIndex]=81)*(T_PlannedOrders[EffectiveQty]&gt;0)*T_PlannedOrders[Order_Month])),"m月")&amp;"発注)")</f>
        <v/>
      </c>
      <c r="CG389">
        <f>IF(SUMIFS(T_PlannedOrders[EffectiveQty],T_PlannedOrders[Part Name],$A377,T_PlannedOrders[WeekIndex],82)=0,"",SUMIFS(T_PlannedOrders[EffectiveQty],T_PlannedOrders[Part Name],$A377,T_PlannedOrders[WeekIndex],82)&amp;" ("&amp;TEXT(SUMPRODUCT(MAX((T_PlannedOrders[Part Name]=$A377)*(T_PlannedOrders[WeekIndex]=82)*(T_PlannedOrders[EffectiveQty]&gt;0)*T_PlannedOrders[Order_Month])),"m月")&amp;"発注)")</f>
        <v/>
      </c>
      <c r="CH389">
        <f>IF(SUMIFS(T_PlannedOrders[EffectiveQty],T_PlannedOrders[Part Name],$A377,T_PlannedOrders[WeekIndex],83)=0,"",SUMIFS(T_PlannedOrders[EffectiveQty],T_PlannedOrders[Part Name],$A377,T_PlannedOrders[WeekIndex],83)&amp;" ("&amp;TEXT(SUMPRODUCT(MAX((T_PlannedOrders[Part Name]=$A377)*(T_PlannedOrders[WeekIndex]=83)*(T_PlannedOrders[EffectiveQty]&gt;0)*T_PlannedOrders[Order_Month])),"m月")&amp;"発注)")</f>
        <v/>
      </c>
      <c r="CI389">
        <f>IF(SUMIFS(T_PlannedOrders[EffectiveQty],T_PlannedOrders[Part Name],$A377,T_PlannedOrders[WeekIndex],84)=0,"",SUMIFS(T_PlannedOrders[EffectiveQty],T_PlannedOrders[Part Name],$A377,T_PlannedOrders[WeekIndex],84)&amp;" ("&amp;TEXT(SUMPRODUCT(MAX((T_PlannedOrders[Part Name]=$A377)*(T_PlannedOrders[WeekIndex]=84)*(T_PlannedOrders[EffectiveQty]&gt;0)*T_PlannedOrders[Order_Month])),"m月")&amp;"発注)")</f>
        <v/>
      </c>
      <c r="CJ389">
        <f>IF(SUMIFS(T_PlannedOrders[EffectiveQty],T_PlannedOrders[Part Name],$A377,T_PlannedOrders[WeekIndex],85)=0,"",SUMIFS(T_PlannedOrders[EffectiveQty],T_PlannedOrders[Part Name],$A377,T_PlannedOrders[WeekIndex],85)&amp;" ("&amp;TEXT(SUMPRODUCT(MAX((T_PlannedOrders[Part Name]=$A377)*(T_PlannedOrders[WeekIndex]=85)*(T_PlannedOrders[EffectiveQty]&gt;0)*T_PlannedOrders[Order_Month])),"m月")&amp;"発注)")</f>
        <v/>
      </c>
      <c r="CK389">
        <f>IF(SUMIFS(T_PlannedOrders[EffectiveQty],T_PlannedOrders[Part Name],$A377,T_PlannedOrders[WeekIndex],86)=0,"",SUMIFS(T_PlannedOrders[EffectiveQty],T_PlannedOrders[Part Name],$A377,T_PlannedOrders[WeekIndex],86)&amp;" ("&amp;TEXT(SUMPRODUCT(MAX((T_PlannedOrders[Part Name]=$A377)*(T_PlannedOrders[WeekIndex]=86)*(T_PlannedOrders[EffectiveQty]&gt;0)*T_PlannedOrders[Order_Month])),"m月")&amp;"発注)")</f>
        <v/>
      </c>
      <c r="CL389">
        <f>IF(SUMIFS(T_PlannedOrders[EffectiveQty],T_PlannedOrders[Part Name],$A377,T_PlannedOrders[WeekIndex],87)=0,"",SUMIFS(T_PlannedOrders[EffectiveQty],T_PlannedOrders[Part Name],$A377,T_PlannedOrders[WeekIndex],87)&amp;" ("&amp;TEXT(SUMPRODUCT(MAX((T_PlannedOrders[Part Name]=$A377)*(T_PlannedOrders[WeekIndex]=87)*(T_PlannedOrders[EffectiveQty]&gt;0)*T_PlannedOrders[Order_Month])),"m月")&amp;"発注)")</f>
        <v/>
      </c>
      <c r="CM389">
        <f>IF(SUMIFS(T_PlannedOrders[EffectiveQty],T_PlannedOrders[Part Name],$A377,T_PlannedOrders[WeekIndex],88)=0,"",SUMIFS(T_PlannedOrders[EffectiveQty],T_PlannedOrders[Part Name],$A377,T_PlannedOrders[WeekIndex],88)&amp;" ("&amp;TEXT(SUMPRODUCT(MAX((T_PlannedOrders[Part Name]=$A377)*(T_PlannedOrders[WeekIndex]=88)*(T_PlannedOrders[EffectiveQty]&gt;0)*T_PlannedOrders[Order_Month])),"m月")&amp;"発注)")</f>
        <v/>
      </c>
      <c r="CN389">
        <f>IF(SUMIFS(T_PlannedOrders[EffectiveQty],T_PlannedOrders[Part Name],$A377,T_PlannedOrders[WeekIndex],89)=0,"",SUMIFS(T_PlannedOrders[EffectiveQty],T_PlannedOrders[Part Name],$A377,T_PlannedOrders[WeekIndex],89)&amp;" ("&amp;TEXT(SUMPRODUCT(MAX((T_PlannedOrders[Part Name]=$A377)*(T_PlannedOrders[WeekIndex]=89)*(T_PlannedOrders[EffectiveQty]&gt;0)*T_PlannedOrders[Order_Month])),"m月")&amp;"発注)")</f>
        <v/>
      </c>
      <c r="CO389">
        <f>IF(SUMIFS(T_PlannedOrders[EffectiveQty],T_PlannedOrders[Part Name],$A377,T_PlannedOrders[WeekIndex],90)=0,"",SUMIFS(T_PlannedOrders[EffectiveQty],T_PlannedOrders[Part Name],$A377,T_PlannedOrders[WeekIndex],90)&amp;" ("&amp;TEXT(SUMPRODUCT(MAX((T_PlannedOrders[Part Name]=$A377)*(T_PlannedOrders[WeekIndex]=90)*(T_PlannedOrders[EffectiveQty]&gt;0)*T_PlannedOrders[Order_Month])),"m月")&amp;"発注)")</f>
        <v/>
      </c>
      <c r="CP389">
        <f>IF(SUMIFS(T_PlannedOrders[EffectiveQty],T_PlannedOrders[Part Name],$A377,T_PlannedOrders[WeekIndex],91)=0,"",SUMIFS(T_PlannedOrders[EffectiveQty],T_PlannedOrders[Part Name],$A377,T_PlannedOrders[WeekIndex],91)&amp;" ("&amp;TEXT(SUMPRODUCT(MAX((T_PlannedOrders[Part Name]=$A377)*(T_PlannedOrders[WeekIndex]=91)*(T_PlannedOrders[EffectiveQty]&gt;0)*T_PlannedOrders[Order_Month])),"m月")&amp;"発注)")</f>
        <v/>
      </c>
      <c r="CQ389">
        <f>IF(SUMIFS(T_PlannedOrders[EffectiveQty],T_PlannedOrders[Part Name],$A377,T_PlannedOrders[WeekIndex],92)=0,"",SUMIFS(T_PlannedOrders[EffectiveQty],T_PlannedOrders[Part Name],$A377,T_PlannedOrders[WeekIndex],92)&amp;" ("&amp;TEXT(SUMPRODUCT(MAX((T_PlannedOrders[Part Name]=$A377)*(T_PlannedOrders[WeekIndex]=92)*(T_PlannedOrders[EffectiveQty]&gt;0)*T_PlannedOrders[Order_Month])),"m月")&amp;"発注)")</f>
        <v/>
      </c>
      <c r="CR389">
        <f>IF(SUMIFS(T_PlannedOrders[EffectiveQty],T_PlannedOrders[Part Name],$A377,T_PlannedOrders[WeekIndex],93)=0,"",SUMIFS(T_PlannedOrders[EffectiveQty],T_PlannedOrders[Part Name],$A377,T_PlannedOrders[WeekIndex],93)&amp;" ("&amp;TEXT(SUMPRODUCT(MAX((T_PlannedOrders[Part Name]=$A377)*(T_PlannedOrders[WeekIndex]=93)*(T_PlannedOrders[EffectiveQty]&gt;0)*T_PlannedOrders[Order_Month])),"m月")&amp;"発注)")</f>
        <v/>
      </c>
      <c r="CS389">
        <f>IF(SUMIFS(T_PlannedOrders[EffectiveQty],T_PlannedOrders[Part Name],$A377,T_PlannedOrders[WeekIndex],94)=0,"",SUMIFS(T_PlannedOrders[EffectiveQty],T_PlannedOrders[Part Name],$A377,T_PlannedOrders[WeekIndex],94)&amp;" ("&amp;TEXT(SUMPRODUCT(MAX((T_PlannedOrders[Part Name]=$A377)*(T_PlannedOrders[WeekIndex]=94)*(T_PlannedOrders[EffectiveQty]&gt;0)*T_PlannedOrders[Order_Month])),"m月")&amp;"発注)")</f>
        <v/>
      </c>
      <c r="CT389">
        <f>IF(SUMIFS(T_PlannedOrders[EffectiveQty],T_PlannedOrders[Part Name],$A377,T_PlannedOrders[WeekIndex],95)=0,"",SUMIFS(T_PlannedOrders[EffectiveQty],T_PlannedOrders[Part Name],$A377,T_PlannedOrders[WeekIndex],95)&amp;" ("&amp;TEXT(SUMPRODUCT(MAX((T_PlannedOrders[Part Name]=$A377)*(T_PlannedOrders[WeekIndex]=95)*(T_PlannedOrders[EffectiveQty]&gt;0)*T_PlannedOrders[Order_Month])),"m月")&amp;"発注)")</f>
        <v/>
      </c>
      <c r="CU389">
        <f>IF(SUMIFS(T_PlannedOrders[EffectiveQty],T_PlannedOrders[Part Name],$A377,T_PlannedOrders[WeekIndex],96)=0,"",SUMIFS(T_PlannedOrders[EffectiveQty],T_PlannedOrders[Part Name],$A377,T_PlannedOrders[WeekIndex],96)&amp;" ("&amp;TEXT(SUMPRODUCT(MAX((T_PlannedOrders[Part Name]=$A377)*(T_PlannedOrders[WeekIndex]=96)*(T_PlannedOrders[EffectiveQty]&gt;0)*T_PlannedOrders[Order_Month])),"m月")&amp;"発注)")</f>
        <v/>
      </c>
      <c r="CV389">
        <f>IF(SUMIFS(T_PlannedOrders[EffectiveQty],T_PlannedOrders[Part Name],$A377,T_PlannedOrders[WeekIndex],97)=0,"",SUMIFS(T_PlannedOrders[EffectiveQty],T_PlannedOrders[Part Name],$A377,T_PlannedOrders[WeekIndex],97)&amp;" ("&amp;TEXT(SUMPRODUCT(MAX((T_PlannedOrders[Part Name]=$A377)*(T_PlannedOrders[WeekIndex]=97)*(T_PlannedOrders[EffectiveQty]&gt;0)*T_PlannedOrders[Order_Month])),"m月")&amp;"発注)")</f>
        <v/>
      </c>
      <c r="CW389">
        <f>IF(SUMIFS(T_PlannedOrders[EffectiveQty],T_PlannedOrders[Part Name],$A377,T_PlannedOrders[WeekIndex],98)=0,"",SUMIFS(T_PlannedOrders[EffectiveQty],T_PlannedOrders[Part Name],$A377,T_PlannedOrders[WeekIndex],98)&amp;" ("&amp;TEXT(SUMPRODUCT(MAX((T_PlannedOrders[Part Name]=$A377)*(T_PlannedOrders[WeekIndex]=98)*(T_PlannedOrders[EffectiveQty]&gt;0)*T_PlannedOrders[Order_Month])),"m月")&amp;"発注)")</f>
        <v/>
      </c>
      <c r="CX389">
        <f>IF(SUMIFS(T_PlannedOrders[EffectiveQty],T_PlannedOrders[Part Name],$A377,T_PlannedOrders[WeekIndex],99)=0,"",SUMIFS(T_PlannedOrders[EffectiveQty],T_PlannedOrders[Part Name],$A377,T_PlannedOrders[WeekIndex],99)&amp;" ("&amp;TEXT(SUMPRODUCT(MAX((T_PlannedOrders[Part Name]=$A377)*(T_PlannedOrders[WeekIndex]=99)*(T_PlannedOrders[EffectiveQty]&gt;0)*T_PlannedOrders[Order_Month])),"m月")&amp;"発注)")</f>
        <v/>
      </c>
      <c r="CY389">
        <f>IF(SUMIFS(T_PlannedOrders[EffectiveQty],T_PlannedOrders[Part Name],$A377,T_PlannedOrders[WeekIndex],100)=0,"",SUMIFS(T_PlannedOrders[EffectiveQty],T_PlannedOrders[Part Name],$A377,T_PlannedOrders[WeekIndex],100)&amp;" ("&amp;TEXT(SUMPRODUCT(MAX((T_PlannedOrders[Part Name]=$A377)*(T_PlannedOrders[WeekIndex]=100)*(T_PlannedOrders[EffectiveQty]&gt;0)*T_PlannedOrders[Order_Month])),"m月")&amp;"発注)")</f>
        <v/>
      </c>
      <c r="CZ389">
        <f>IF(SUMIFS(T_PlannedOrders[EffectiveQty],T_PlannedOrders[Part Name],$A377,T_PlannedOrders[WeekIndex],101)=0,"",SUMIFS(T_PlannedOrders[EffectiveQty],T_PlannedOrders[Part Name],$A377,T_PlannedOrders[WeekIndex],101)&amp;" ("&amp;TEXT(SUMPRODUCT(MAX((T_PlannedOrders[Part Name]=$A377)*(T_PlannedOrders[WeekIndex]=101)*(T_PlannedOrders[EffectiveQty]&gt;0)*T_PlannedOrders[Order_Month])),"m月")&amp;"発注)")</f>
        <v/>
      </c>
      <c r="DA389">
        <f>IF(SUMIFS(T_PlannedOrders[EffectiveQty],T_PlannedOrders[Part Name],$A377,T_PlannedOrders[WeekIndex],102)=0,"",SUMIFS(T_PlannedOrders[EffectiveQty],T_PlannedOrders[Part Name],$A377,T_PlannedOrders[WeekIndex],102)&amp;" ("&amp;TEXT(SUMPRODUCT(MAX((T_PlannedOrders[Part Name]=$A377)*(T_PlannedOrders[WeekIndex]=102)*(T_PlannedOrders[EffectiveQty]&gt;0)*T_PlannedOrders[Order_Month])),"m月")&amp;"発注)")</f>
        <v/>
      </c>
      <c r="DB389">
        <f>IF(SUMIFS(T_PlannedOrders[EffectiveQty],T_PlannedOrders[Part Name],$A377,T_PlannedOrders[WeekIndex],103)=0,"",SUMIFS(T_PlannedOrders[EffectiveQty],T_PlannedOrders[Part Name],$A377,T_PlannedOrders[WeekIndex],103)&amp;" ("&amp;TEXT(SUMPRODUCT(MAX((T_PlannedOrders[Part Name]=$A377)*(T_PlannedOrders[WeekIndex]=103)*(T_PlannedOrders[EffectiveQty]&gt;0)*T_PlannedOrders[Order_Month])),"m月")&amp;"発注)")</f>
        <v/>
      </c>
      <c r="DC389">
        <f>IF(SUMIFS(T_PlannedOrders[EffectiveQty],T_PlannedOrders[Part Name],$A377,T_PlannedOrders[WeekIndex],104)=0,"",SUMIFS(T_PlannedOrders[EffectiveQty],T_PlannedOrders[Part Name],$A377,T_PlannedOrders[WeekIndex],104)&amp;" ("&amp;TEXT(SUMPRODUCT(MAX((T_PlannedOrders[Part Name]=$A377)*(T_PlannedOrders[WeekIndex]=104)*(T_PlannedOrders[EffectiveQty]&gt;0)*T_PlannedOrders[Order_Month])),"m月")&amp;"発注)")</f>
        <v/>
      </c>
    </row>
    <row r="390">
      <c r="B390" s="5" t="inlineStr">
        <is>
          <t>合計在庫(週末時点,kg)</t>
        </is>
      </c>
      <c r="D390">
        <f>'Grid_Stock'!B41</f>
        <v/>
      </c>
      <c r="E390">
        <f>'Grid_Stock'!C41</f>
        <v/>
      </c>
      <c r="F390">
        <f>'Grid_Stock'!D41</f>
        <v/>
      </c>
      <c r="G390">
        <f>'Grid_Stock'!E41</f>
        <v/>
      </c>
      <c r="H390">
        <f>'Grid_Stock'!F41</f>
        <v/>
      </c>
      <c r="I390">
        <f>'Grid_Stock'!G41</f>
        <v/>
      </c>
      <c r="J390">
        <f>'Grid_Stock'!H41</f>
        <v/>
      </c>
      <c r="K390">
        <f>'Grid_Stock'!I41</f>
        <v/>
      </c>
      <c r="L390">
        <f>'Grid_Stock'!J41</f>
        <v/>
      </c>
      <c r="M390">
        <f>'Grid_Stock'!K41</f>
        <v/>
      </c>
      <c r="N390">
        <f>'Grid_Stock'!L41</f>
        <v/>
      </c>
      <c r="O390">
        <f>'Grid_Stock'!M41</f>
        <v/>
      </c>
      <c r="P390">
        <f>'Grid_Stock'!N41</f>
        <v/>
      </c>
      <c r="Q390">
        <f>'Grid_Stock'!O41</f>
        <v/>
      </c>
      <c r="R390">
        <f>'Grid_Stock'!P41</f>
        <v/>
      </c>
      <c r="S390">
        <f>'Grid_Stock'!Q41</f>
        <v/>
      </c>
      <c r="T390">
        <f>'Grid_Stock'!R41</f>
        <v/>
      </c>
      <c r="U390">
        <f>'Grid_Stock'!S41</f>
        <v/>
      </c>
      <c r="V390">
        <f>'Grid_Stock'!T41</f>
        <v/>
      </c>
      <c r="W390">
        <f>'Grid_Stock'!U41</f>
        <v/>
      </c>
      <c r="X390">
        <f>'Grid_Stock'!V41</f>
        <v/>
      </c>
      <c r="Y390">
        <f>'Grid_Stock'!W41</f>
        <v/>
      </c>
      <c r="Z390">
        <f>'Grid_Stock'!X41</f>
        <v/>
      </c>
      <c r="AA390">
        <f>'Grid_Stock'!Y41</f>
        <v/>
      </c>
      <c r="AB390">
        <f>'Grid_Stock'!Z41</f>
        <v/>
      </c>
      <c r="AC390">
        <f>'Grid_Stock'!AA41</f>
        <v/>
      </c>
      <c r="AD390">
        <f>'Grid_Stock'!AB41</f>
        <v/>
      </c>
      <c r="AE390">
        <f>'Grid_Stock'!AC41</f>
        <v/>
      </c>
      <c r="AF390">
        <f>'Grid_Stock'!AD41</f>
        <v/>
      </c>
      <c r="AG390">
        <f>'Grid_Stock'!AE41</f>
        <v/>
      </c>
      <c r="AH390">
        <f>'Grid_Stock'!AF41</f>
        <v/>
      </c>
      <c r="AI390">
        <f>'Grid_Stock'!AG41</f>
        <v/>
      </c>
      <c r="AJ390">
        <f>'Grid_Stock'!AH41</f>
        <v/>
      </c>
      <c r="AK390">
        <f>'Grid_Stock'!AI41</f>
        <v/>
      </c>
      <c r="AL390">
        <f>'Grid_Stock'!AJ41</f>
        <v/>
      </c>
      <c r="AM390">
        <f>'Grid_Stock'!AK41</f>
        <v/>
      </c>
      <c r="AN390">
        <f>'Grid_Stock'!AL41</f>
        <v/>
      </c>
      <c r="AO390">
        <f>'Grid_Stock'!AM41</f>
        <v/>
      </c>
      <c r="AP390">
        <f>'Grid_Stock'!AN41</f>
        <v/>
      </c>
      <c r="AQ390">
        <f>'Grid_Stock'!AO41</f>
        <v/>
      </c>
      <c r="AR390">
        <f>'Grid_Stock'!AP41</f>
        <v/>
      </c>
      <c r="AS390">
        <f>'Grid_Stock'!AQ41</f>
        <v/>
      </c>
      <c r="AT390">
        <f>'Grid_Stock'!AR41</f>
        <v/>
      </c>
      <c r="AU390">
        <f>'Grid_Stock'!AS41</f>
        <v/>
      </c>
      <c r="AV390">
        <f>'Grid_Stock'!AT41</f>
        <v/>
      </c>
      <c r="AW390">
        <f>'Grid_Stock'!AU41</f>
        <v/>
      </c>
      <c r="AX390">
        <f>'Grid_Stock'!AV41</f>
        <v/>
      </c>
      <c r="AY390">
        <f>'Grid_Stock'!AW41</f>
        <v/>
      </c>
      <c r="AZ390">
        <f>'Grid_Stock'!AX41</f>
        <v/>
      </c>
      <c r="BA390">
        <f>'Grid_Stock'!AY41</f>
        <v/>
      </c>
      <c r="BB390">
        <f>'Grid_Stock'!AZ41</f>
        <v/>
      </c>
      <c r="BC390">
        <f>'Grid_Stock'!BA41</f>
        <v/>
      </c>
      <c r="BD390">
        <f>'Grid_Stock'!BB41</f>
        <v/>
      </c>
      <c r="BE390">
        <f>'Grid_Stock'!BC41</f>
        <v/>
      </c>
      <c r="BF390">
        <f>'Grid_Stock'!BD41</f>
        <v/>
      </c>
      <c r="BG390">
        <f>'Grid_Stock'!BE41</f>
        <v/>
      </c>
      <c r="BH390">
        <f>'Grid_Stock'!BF41</f>
        <v/>
      </c>
      <c r="BI390">
        <f>'Grid_Stock'!BG41</f>
        <v/>
      </c>
      <c r="BJ390">
        <f>'Grid_Stock'!BH41</f>
        <v/>
      </c>
      <c r="BK390">
        <f>'Grid_Stock'!BI41</f>
        <v/>
      </c>
      <c r="BL390">
        <f>'Grid_Stock'!BJ41</f>
        <v/>
      </c>
      <c r="BM390">
        <f>'Grid_Stock'!BK41</f>
        <v/>
      </c>
      <c r="BN390">
        <f>'Grid_Stock'!BL41</f>
        <v/>
      </c>
      <c r="BO390">
        <f>'Grid_Stock'!BM41</f>
        <v/>
      </c>
      <c r="BP390">
        <f>'Grid_Stock'!BN41</f>
        <v/>
      </c>
      <c r="BQ390">
        <f>'Grid_Stock'!BO41</f>
        <v/>
      </c>
      <c r="BR390">
        <f>'Grid_Stock'!BP41</f>
        <v/>
      </c>
      <c r="BS390">
        <f>'Grid_Stock'!BQ41</f>
        <v/>
      </c>
      <c r="BT390">
        <f>'Grid_Stock'!BR41</f>
        <v/>
      </c>
      <c r="BU390">
        <f>'Grid_Stock'!BS41</f>
        <v/>
      </c>
      <c r="BV390">
        <f>'Grid_Stock'!BT41</f>
        <v/>
      </c>
      <c r="BW390">
        <f>'Grid_Stock'!BU41</f>
        <v/>
      </c>
      <c r="BX390">
        <f>'Grid_Stock'!BV41</f>
        <v/>
      </c>
      <c r="BY390">
        <f>'Grid_Stock'!BW41</f>
        <v/>
      </c>
      <c r="BZ390">
        <f>'Grid_Stock'!BX41</f>
        <v/>
      </c>
      <c r="CA390">
        <f>'Grid_Stock'!BY41</f>
        <v/>
      </c>
      <c r="CB390">
        <f>'Grid_Stock'!BZ41</f>
        <v/>
      </c>
      <c r="CC390">
        <f>'Grid_Stock'!CA41</f>
        <v/>
      </c>
      <c r="CD390">
        <f>'Grid_Stock'!CB41</f>
        <v/>
      </c>
      <c r="CE390">
        <f>'Grid_Stock'!CC41</f>
        <v/>
      </c>
      <c r="CF390">
        <f>'Grid_Stock'!CD41</f>
        <v/>
      </c>
      <c r="CG390">
        <f>'Grid_Stock'!CE41</f>
        <v/>
      </c>
      <c r="CH390">
        <f>'Grid_Stock'!CF41</f>
        <v/>
      </c>
      <c r="CI390">
        <f>'Grid_Stock'!CG41</f>
        <v/>
      </c>
      <c r="CJ390">
        <f>'Grid_Stock'!CH41</f>
        <v/>
      </c>
      <c r="CK390">
        <f>'Grid_Stock'!CI41</f>
        <v/>
      </c>
      <c r="CL390">
        <f>'Grid_Stock'!CJ41</f>
        <v/>
      </c>
      <c r="CM390">
        <f>'Grid_Stock'!CK41</f>
        <v/>
      </c>
      <c r="CN390">
        <f>'Grid_Stock'!CL41</f>
        <v/>
      </c>
      <c r="CO390">
        <f>'Grid_Stock'!CM41</f>
        <v/>
      </c>
      <c r="CP390">
        <f>'Grid_Stock'!CN41</f>
        <v/>
      </c>
      <c r="CQ390">
        <f>'Grid_Stock'!CO41</f>
        <v/>
      </c>
      <c r="CR390">
        <f>'Grid_Stock'!CP41</f>
        <v/>
      </c>
      <c r="CS390">
        <f>'Grid_Stock'!CQ41</f>
        <v/>
      </c>
      <c r="CT390">
        <f>'Grid_Stock'!CR41</f>
        <v/>
      </c>
      <c r="CU390">
        <f>'Grid_Stock'!CS41</f>
        <v/>
      </c>
      <c r="CV390">
        <f>'Grid_Stock'!CT41</f>
        <v/>
      </c>
      <c r="CW390">
        <f>'Grid_Stock'!CU41</f>
        <v/>
      </c>
      <c r="CX390">
        <f>'Grid_Stock'!CV41</f>
        <v/>
      </c>
      <c r="CY390">
        <f>'Grid_Stock'!CW41</f>
        <v/>
      </c>
      <c r="CZ390">
        <f>'Grid_Stock'!CX41</f>
        <v/>
      </c>
      <c r="DA390">
        <f>'Grid_Stock'!CY41</f>
        <v/>
      </c>
      <c r="DB390">
        <f>'Grid_Stock'!CZ41</f>
        <v/>
      </c>
      <c r="DC390">
        <f>'Grid_Stock'!DA41</f>
        <v/>
      </c>
    </row>
    <row r="391">
      <c r="B391" s="23" t="inlineStr">
        <is>
          <t>（発注の目安はDashboardの基準在庫[下限/上限]と色分けを参照）</t>
        </is>
      </c>
    </row>
    <row r="393">
      <c r="A393" s="21" t="inlineStr">
        <is>
          <t>CHEM-1120</t>
        </is>
      </c>
      <c r="B393" s="21" t="inlineStr">
        <is>
          <t>Catapal D</t>
        </is>
      </c>
      <c r="C393" s="22" t="n"/>
      <c r="D393" s="21" t="n"/>
      <c r="E393" s="21" t="n"/>
      <c r="F393" s="21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  <c r="AA393" s="21" t="n"/>
      <c r="AB393" s="21" t="n"/>
      <c r="AC393" s="21" t="n"/>
      <c r="AD393" s="21" t="n"/>
      <c r="AE393" s="21" t="n"/>
      <c r="AF393" s="21" t="n"/>
      <c r="AG393" s="21" t="n"/>
      <c r="AH393" s="21" t="n"/>
      <c r="AI393" s="21" t="n"/>
      <c r="AJ393" s="21" t="n"/>
      <c r="AK393" s="21" t="n"/>
      <c r="AL393" s="21" t="n"/>
      <c r="AM393" s="21" t="n"/>
      <c r="AN393" s="21" t="n"/>
      <c r="AO393" s="21" t="n"/>
      <c r="AP393" s="21" t="n"/>
      <c r="AQ393" s="21" t="n"/>
      <c r="AR393" s="21" t="n"/>
      <c r="AS393" s="21" t="n"/>
      <c r="AT393" s="21" t="n"/>
      <c r="AU393" s="21" t="n"/>
      <c r="AV393" s="21" t="n"/>
      <c r="AW393" s="21" t="n"/>
      <c r="AX393" s="21" t="n"/>
      <c r="AY393" s="21" t="n"/>
      <c r="AZ393" s="21" t="n"/>
      <c r="BA393" s="21" t="n"/>
      <c r="BB393" s="21" t="n"/>
      <c r="BC393" s="21" t="n"/>
      <c r="BD393" s="21" t="n"/>
      <c r="BE393" s="21" t="n"/>
      <c r="BF393" s="21" t="n"/>
      <c r="BG393" s="21" t="n"/>
      <c r="BH393" s="21" t="n"/>
      <c r="BI393" s="21" t="n"/>
      <c r="BJ393" s="21" t="n"/>
      <c r="BK393" s="21" t="n"/>
      <c r="BL393" s="21" t="n"/>
      <c r="BM393" s="21" t="n"/>
      <c r="BN393" s="21" t="n"/>
      <c r="BO393" s="21" t="n"/>
      <c r="BP393" s="21" t="n"/>
      <c r="BQ393" s="21" t="n"/>
      <c r="BR393" s="21" t="n"/>
      <c r="BS393" s="21" t="n"/>
      <c r="BT393" s="21" t="n"/>
      <c r="BU393" s="21" t="n"/>
      <c r="BV393" s="21" t="n"/>
      <c r="BW393" s="21" t="n"/>
      <c r="BX393" s="21" t="n"/>
      <c r="BY393" s="21" t="n"/>
      <c r="BZ393" s="21" t="n"/>
      <c r="CA393" s="21" t="n"/>
      <c r="CB393" s="21" t="n"/>
      <c r="CC393" s="21" t="n"/>
      <c r="CD393" s="21" t="n"/>
      <c r="CE393" s="21" t="n"/>
      <c r="CF393" s="21" t="n"/>
      <c r="CG393" s="21" t="n"/>
      <c r="CH393" s="21" t="n"/>
      <c r="CI393" s="21" t="n"/>
      <c r="CJ393" s="21" t="n"/>
      <c r="CK393" s="21" t="n"/>
      <c r="CL393" s="21" t="n"/>
      <c r="CM393" s="21" t="n"/>
      <c r="CN393" s="21" t="n"/>
      <c r="CO393" s="21" t="n"/>
      <c r="CP393" s="21" t="n"/>
      <c r="CQ393" s="21" t="n"/>
      <c r="CR393" s="21" t="n"/>
      <c r="CS393" s="21" t="n"/>
      <c r="CT393" s="21" t="n"/>
      <c r="CU393" s="21" t="n"/>
      <c r="CV393" s="21" t="n"/>
      <c r="CW393" s="21" t="n"/>
      <c r="CX393" s="21" t="n"/>
      <c r="CY393" s="21" t="n"/>
      <c r="CZ393" s="21" t="n"/>
      <c r="DA393" s="21" t="n"/>
      <c r="DB393" s="21" t="n"/>
      <c r="DC393" s="21" t="n"/>
    </row>
    <row r="394">
      <c r="B394" t="inlineStr">
        <is>
          <t>TSP-049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Name],$A393)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TSP-067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Name],$A393)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TSP-069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12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Name],$A393)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TSP-104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12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Name],$A393)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s="5" t="inlineStr">
        <is>
          <t>合計使用量(kg)/週</t>
        </is>
      </c>
      <c r="D402">
        <f>'Grid_Requirement'!B29</f>
        <v/>
      </c>
      <c r="E402">
        <f>'Grid_Requirement'!C29</f>
        <v/>
      </c>
      <c r="F402">
        <f>'Grid_Requirement'!D29</f>
        <v/>
      </c>
      <c r="G402">
        <f>'Grid_Requirement'!E29</f>
        <v/>
      </c>
      <c r="H402">
        <f>'Grid_Requirement'!F29</f>
        <v/>
      </c>
      <c r="I402">
        <f>'Grid_Requirement'!G29</f>
        <v/>
      </c>
      <c r="J402">
        <f>'Grid_Requirement'!H29</f>
        <v/>
      </c>
      <c r="K402">
        <f>'Grid_Requirement'!I29</f>
        <v/>
      </c>
      <c r="L402">
        <f>'Grid_Requirement'!J29</f>
        <v/>
      </c>
      <c r="M402">
        <f>'Grid_Requirement'!K29</f>
        <v/>
      </c>
      <c r="N402">
        <f>'Grid_Requirement'!L29</f>
        <v/>
      </c>
      <c r="O402">
        <f>'Grid_Requirement'!M29</f>
        <v/>
      </c>
      <c r="P402">
        <f>'Grid_Requirement'!N29</f>
        <v/>
      </c>
      <c r="Q402">
        <f>'Grid_Requirement'!O29</f>
        <v/>
      </c>
      <c r="R402">
        <f>'Grid_Requirement'!P29</f>
        <v/>
      </c>
      <c r="S402">
        <f>'Grid_Requirement'!Q29</f>
        <v/>
      </c>
      <c r="T402">
        <f>'Grid_Requirement'!R29</f>
        <v/>
      </c>
      <c r="U402">
        <f>'Grid_Requirement'!S29</f>
        <v/>
      </c>
      <c r="V402">
        <f>'Grid_Requirement'!T29</f>
        <v/>
      </c>
      <c r="W402">
        <f>'Grid_Requirement'!U29</f>
        <v/>
      </c>
      <c r="X402">
        <f>'Grid_Requirement'!V29</f>
        <v/>
      </c>
      <c r="Y402">
        <f>'Grid_Requirement'!W29</f>
        <v/>
      </c>
      <c r="Z402">
        <f>'Grid_Requirement'!X29</f>
        <v/>
      </c>
      <c r="AA402">
        <f>'Grid_Requirement'!Y29</f>
        <v/>
      </c>
      <c r="AB402">
        <f>'Grid_Requirement'!Z29</f>
        <v/>
      </c>
      <c r="AC402">
        <f>'Grid_Requirement'!AA29</f>
        <v/>
      </c>
      <c r="AD402">
        <f>'Grid_Requirement'!AB29</f>
        <v/>
      </c>
      <c r="AE402">
        <f>'Grid_Requirement'!AC29</f>
        <v/>
      </c>
      <c r="AF402">
        <f>'Grid_Requirement'!AD29</f>
        <v/>
      </c>
      <c r="AG402">
        <f>'Grid_Requirement'!AE29</f>
        <v/>
      </c>
      <c r="AH402">
        <f>'Grid_Requirement'!AF29</f>
        <v/>
      </c>
      <c r="AI402">
        <f>'Grid_Requirement'!AG29</f>
        <v/>
      </c>
      <c r="AJ402">
        <f>'Grid_Requirement'!AH29</f>
        <v/>
      </c>
      <c r="AK402">
        <f>'Grid_Requirement'!AI29</f>
        <v/>
      </c>
      <c r="AL402">
        <f>'Grid_Requirement'!AJ29</f>
        <v/>
      </c>
      <c r="AM402">
        <f>'Grid_Requirement'!AK29</f>
        <v/>
      </c>
      <c r="AN402">
        <f>'Grid_Requirement'!AL29</f>
        <v/>
      </c>
      <c r="AO402">
        <f>'Grid_Requirement'!AM29</f>
        <v/>
      </c>
      <c r="AP402">
        <f>'Grid_Requirement'!AN29</f>
        <v/>
      </c>
      <c r="AQ402">
        <f>'Grid_Requirement'!AO29</f>
        <v/>
      </c>
      <c r="AR402">
        <f>'Grid_Requirement'!AP29</f>
        <v/>
      </c>
      <c r="AS402">
        <f>'Grid_Requirement'!AQ29</f>
        <v/>
      </c>
      <c r="AT402">
        <f>'Grid_Requirement'!AR29</f>
        <v/>
      </c>
      <c r="AU402">
        <f>'Grid_Requirement'!AS29</f>
        <v/>
      </c>
      <c r="AV402">
        <f>'Grid_Requirement'!AT29</f>
        <v/>
      </c>
      <c r="AW402">
        <f>'Grid_Requirement'!AU29</f>
        <v/>
      </c>
      <c r="AX402">
        <f>'Grid_Requirement'!AV29</f>
        <v/>
      </c>
      <c r="AY402">
        <f>'Grid_Requirement'!AW29</f>
        <v/>
      </c>
      <c r="AZ402">
        <f>'Grid_Requirement'!AX29</f>
        <v/>
      </c>
      <c r="BA402">
        <f>'Grid_Requirement'!AY29</f>
        <v/>
      </c>
      <c r="BB402">
        <f>'Grid_Requirement'!AZ29</f>
        <v/>
      </c>
      <c r="BC402">
        <f>'Grid_Requirement'!BA29</f>
        <v/>
      </c>
      <c r="BD402">
        <f>'Grid_Requirement'!BB29</f>
        <v/>
      </c>
      <c r="BE402">
        <f>'Grid_Requirement'!BC29</f>
        <v/>
      </c>
      <c r="BF402">
        <f>'Grid_Requirement'!BD29</f>
        <v/>
      </c>
      <c r="BG402">
        <f>'Grid_Requirement'!BE29</f>
        <v/>
      </c>
      <c r="BH402">
        <f>'Grid_Requirement'!BF29</f>
        <v/>
      </c>
      <c r="BI402">
        <f>'Grid_Requirement'!BG29</f>
        <v/>
      </c>
      <c r="BJ402">
        <f>'Grid_Requirement'!BH29</f>
        <v/>
      </c>
      <c r="BK402">
        <f>'Grid_Requirement'!BI29</f>
        <v/>
      </c>
      <c r="BL402">
        <f>'Grid_Requirement'!BJ29</f>
        <v/>
      </c>
      <c r="BM402">
        <f>'Grid_Requirement'!BK29</f>
        <v/>
      </c>
      <c r="BN402">
        <f>'Grid_Requirement'!BL29</f>
        <v/>
      </c>
      <c r="BO402">
        <f>'Grid_Requirement'!BM29</f>
        <v/>
      </c>
      <c r="BP402">
        <f>'Grid_Requirement'!BN29</f>
        <v/>
      </c>
      <c r="BQ402">
        <f>'Grid_Requirement'!BO29</f>
        <v/>
      </c>
      <c r="BR402">
        <f>'Grid_Requirement'!BP29</f>
        <v/>
      </c>
      <c r="BS402">
        <f>'Grid_Requirement'!BQ29</f>
        <v/>
      </c>
      <c r="BT402">
        <f>'Grid_Requirement'!BR29</f>
        <v/>
      </c>
      <c r="BU402">
        <f>'Grid_Requirement'!BS29</f>
        <v/>
      </c>
      <c r="BV402">
        <f>'Grid_Requirement'!BT29</f>
        <v/>
      </c>
      <c r="BW402">
        <f>'Grid_Requirement'!BU29</f>
        <v/>
      </c>
      <c r="BX402">
        <f>'Grid_Requirement'!BV29</f>
        <v/>
      </c>
      <c r="BY402">
        <f>'Grid_Requirement'!BW29</f>
        <v/>
      </c>
      <c r="BZ402">
        <f>'Grid_Requirement'!BX29</f>
        <v/>
      </c>
      <c r="CA402">
        <f>'Grid_Requirement'!BY29</f>
        <v/>
      </c>
      <c r="CB402">
        <f>'Grid_Requirement'!BZ29</f>
        <v/>
      </c>
      <c r="CC402">
        <f>'Grid_Requirement'!CA29</f>
        <v/>
      </c>
      <c r="CD402">
        <f>'Grid_Requirement'!CB29</f>
        <v/>
      </c>
      <c r="CE402">
        <f>'Grid_Requirement'!CC29</f>
        <v/>
      </c>
      <c r="CF402">
        <f>'Grid_Requirement'!CD29</f>
        <v/>
      </c>
      <c r="CG402">
        <f>'Grid_Requirement'!CE29</f>
        <v/>
      </c>
      <c r="CH402">
        <f>'Grid_Requirement'!CF29</f>
        <v/>
      </c>
      <c r="CI402">
        <f>'Grid_Requirement'!CG29</f>
        <v/>
      </c>
      <c r="CJ402">
        <f>'Grid_Requirement'!CH29</f>
        <v/>
      </c>
      <c r="CK402">
        <f>'Grid_Requirement'!CI29</f>
        <v/>
      </c>
      <c r="CL402">
        <f>'Grid_Requirement'!CJ29</f>
        <v/>
      </c>
      <c r="CM402">
        <f>'Grid_Requirement'!CK29</f>
        <v/>
      </c>
      <c r="CN402">
        <f>'Grid_Requirement'!CL29</f>
        <v/>
      </c>
      <c r="CO402">
        <f>'Grid_Requirement'!CM29</f>
        <v/>
      </c>
      <c r="CP402">
        <f>'Grid_Requirement'!CN29</f>
        <v/>
      </c>
      <c r="CQ402">
        <f>'Grid_Requirement'!CO29</f>
        <v/>
      </c>
      <c r="CR402">
        <f>'Grid_Requirement'!CP29</f>
        <v/>
      </c>
      <c r="CS402">
        <f>'Grid_Requirement'!CQ29</f>
        <v/>
      </c>
      <c r="CT402">
        <f>'Grid_Requirement'!CR29</f>
        <v/>
      </c>
      <c r="CU402">
        <f>'Grid_Requirement'!CS29</f>
        <v/>
      </c>
      <c r="CV402">
        <f>'Grid_Requirement'!CT29</f>
        <v/>
      </c>
      <c r="CW402">
        <f>'Grid_Requirement'!CU29</f>
        <v/>
      </c>
      <c r="CX402">
        <f>'Grid_Requirement'!CV29</f>
        <v/>
      </c>
      <c r="CY402">
        <f>'Grid_Requirement'!CW29</f>
        <v/>
      </c>
      <c r="CZ402">
        <f>'Grid_Requirement'!CX29</f>
        <v/>
      </c>
      <c r="DA402">
        <f>'Grid_Requirement'!CY29</f>
        <v/>
      </c>
      <c r="DB402">
        <f>'Grid_Requirement'!CZ29</f>
        <v/>
      </c>
      <c r="DC402">
        <f>'Grid_Requirement'!DA29</f>
        <v/>
      </c>
    </row>
    <row r="403">
      <c r="B403" t="inlineStr">
        <is>
          <t>TTAF在庫(実績,kg)</t>
        </is>
      </c>
      <c r="D403">
        <f>'T_TTAFStock'!B33</f>
        <v/>
      </c>
      <c r="E403">
        <f>'T_TTAFStock'!C33</f>
        <v/>
      </c>
      <c r="F403">
        <f>'T_TTAFStock'!D33</f>
        <v/>
      </c>
      <c r="G403">
        <f>'T_TTAFStock'!E33</f>
        <v/>
      </c>
      <c r="H403">
        <f>'T_TTAFStock'!F33</f>
        <v/>
      </c>
      <c r="I403">
        <f>'T_TTAFStock'!G33</f>
        <v/>
      </c>
      <c r="J403">
        <f>'T_TTAFStock'!H33</f>
        <v/>
      </c>
      <c r="K403">
        <f>'T_TTAFStock'!I33</f>
        <v/>
      </c>
      <c r="L403">
        <f>'T_TTAFStock'!J33</f>
        <v/>
      </c>
      <c r="M403">
        <f>'T_TTAFStock'!K33</f>
        <v/>
      </c>
      <c r="N403">
        <f>'T_TTAFStock'!L33</f>
        <v/>
      </c>
      <c r="O403">
        <f>'T_TTAFStock'!M33</f>
        <v/>
      </c>
      <c r="P403">
        <f>'T_TTAFStock'!N33</f>
        <v/>
      </c>
      <c r="Q403">
        <f>'T_TTAFStock'!O33</f>
        <v/>
      </c>
      <c r="R403">
        <f>'T_TTAFStock'!P33</f>
        <v/>
      </c>
      <c r="S403">
        <f>'T_TTAFStock'!Q33</f>
        <v/>
      </c>
      <c r="T403">
        <f>'T_TTAFStock'!R33</f>
        <v/>
      </c>
      <c r="U403">
        <f>'T_TTAFStock'!S33</f>
        <v/>
      </c>
      <c r="V403">
        <f>'T_TTAFStock'!T33</f>
        <v/>
      </c>
      <c r="W403">
        <f>'T_TTAFStock'!U33</f>
        <v/>
      </c>
      <c r="X403">
        <f>'T_TTAFStock'!V33</f>
        <v/>
      </c>
      <c r="Y403">
        <f>'T_TTAFStock'!W33</f>
        <v/>
      </c>
      <c r="Z403">
        <f>'T_TTAFStock'!X33</f>
        <v/>
      </c>
      <c r="AA403">
        <f>'T_TTAFStock'!Y33</f>
        <v/>
      </c>
      <c r="AB403">
        <f>'T_TTAFStock'!Z33</f>
        <v/>
      </c>
      <c r="AC403">
        <f>'T_TTAFStock'!AA33</f>
        <v/>
      </c>
      <c r="AD403">
        <f>'T_TTAFStock'!AB33</f>
        <v/>
      </c>
      <c r="AE403">
        <f>'T_TTAFStock'!AC33</f>
        <v/>
      </c>
      <c r="AF403">
        <f>'T_TTAFStock'!AD33</f>
        <v/>
      </c>
      <c r="AG403">
        <f>'T_TTAFStock'!AE33</f>
        <v/>
      </c>
      <c r="AH403">
        <f>'T_TTAFStock'!AF33</f>
        <v/>
      </c>
      <c r="AI403">
        <f>'T_TTAFStock'!AG33</f>
        <v/>
      </c>
      <c r="AJ403">
        <f>'T_TTAFStock'!AH33</f>
        <v/>
      </c>
      <c r="AK403">
        <f>'T_TTAFStock'!AI33</f>
        <v/>
      </c>
      <c r="AL403">
        <f>'T_TTAFStock'!AJ33</f>
        <v/>
      </c>
      <c r="AM403">
        <f>'T_TTAFStock'!AK33</f>
        <v/>
      </c>
      <c r="AN403">
        <f>'T_TTAFStock'!AL33</f>
        <v/>
      </c>
      <c r="AO403">
        <f>'T_TTAFStock'!AM33</f>
        <v/>
      </c>
      <c r="AP403">
        <f>'T_TTAFStock'!AN33</f>
        <v/>
      </c>
      <c r="AQ403">
        <f>'T_TTAFStock'!AO33</f>
        <v/>
      </c>
      <c r="AR403">
        <f>'T_TTAFStock'!AP33</f>
        <v/>
      </c>
      <c r="AS403">
        <f>'T_TTAFStock'!AQ33</f>
        <v/>
      </c>
      <c r="AT403">
        <f>'T_TTAFStock'!AR33</f>
        <v/>
      </c>
      <c r="AU403">
        <f>'T_TTAFStock'!AS33</f>
        <v/>
      </c>
      <c r="AV403">
        <f>'T_TTAFStock'!AT33</f>
        <v/>
      </c>
      <c r="AW403">
        <f>'T_TTAFStock'!AU33</f>
        <v/>
      </c>
      <c r="AX403">
        <f>'T_TTAFStock'!AV33</f>
        <v/>
      </c>
      <c r="AY403">
        <f>'T_TTAFStock'!AW33</f>
        <v/>
      </c>
      <c r="AZ403">
        <f>'T_TTAFStock'!AX33</f>
        <v/>
      </c>
      <c r="BA403">
        <f>'T_TTAFStock'!AY33</f>
        <v/>
      </c>
      <c r="BB403">
        <f>'T_TTAFStock'!AZ33</f>
        <v/>
      </c>
      <c r="BC403">
        <f>'T_TTAFStock'!BA33</f>
        <v/>
      </c>
      <c r="BD403">
        <f>'T_TTAFStock'!BB33</f>
        <v/>
      </c>
      <c r="BE403">
        <f>'T_TTAFStock'!BC33</f>
        <v/>
      </c>
      <c r="BF403">
        <f>'T_TTAFStock'!BD33</f>
        <v/>
      </c>
      <c r="BG403">
        <f>'T_TTAFStock'!BE33</f>
        <v/>
      </c>
      <c r="BH403">
        <f>'T_TTAFStock'!BF33</f>
        <v/>
      </c>
      <c r="BI403">
        <f>'T_TTAFStock'!BG33</f>
        <v/>
      </c>
      <c r="BJ403">
        <f>'T_TTAFStock'!BH33</f>
        <v/>
      </c>
      <c r="BK403">
        <f>'T_TTAFStock'!BI33</f>
        <v/>
      </c>
      <c r="BL403">
        <f>'T_TTAFStock'!BJ33</f>
        <v/>
      </c>
      <c r="BM403">
        <f>'T_TTAFStock'!BK33</f>
        <v/>
      </c>
      <c r="BN403">
        <f>'T_TTAFStock'!BL33</f>
        <v/>
      </c>
      <c r="BO403">
        <f>'T_TTAFStock'!BM33</f>
        <v/>
      </c>
      <c r="BP403">
        <f>'T_TTAFStock'!BN33</f>
        <v/>
      </c>
      <c r="BQ403">
        <f>'T_TTAFStock'!BO33</f>
        <v/>
      </c>
      <c r="BR403">
        <f>'T_TTAFStock'!BP33</f>
        <v/>
      </c>
      <c r="BS403">
        <f>'T_TTAFStock'!BQ33</f>
        <v/>
      </c>
      <c r="BT403">
        <f>'T_TTAFStock'!BR33</f>
        <v/>
      </c>
      <c r="BU403">
        <f>'T_TTAFStock'!BS33</f>
        <v/>
      </c>
      <c r="BV403">
        <f>'T_TTAFStock'!BT33</f>
        <v/>
      </c>
      <c r="BW403">
        <f>'T_TTAFStock'!BU33</f>
        <v/>
      </c>
      <c r="BX403">
        <f>'T_TTAFStock'!BV33</f>
        <v/>
      </c>
      <c r="BY403">
        <f>'T_TTAFStock'!BW33</f>
        <v/>
      </c>
      <c r="BZ403">
        <f>'T_TTAFStock'!BX33</f>
        <v/>
      </c>
      <c r="CA403">
        <f>'T_TTAFStock'!BY33</f>
        <v/>
      </c>
      <c r="CB403">
        <f>'T_TTAFStock'!BZ33</f>
        <v/>
      </c>
      <c r="CC403">
        <f>'T_TTAFStock'!CA33</f>
        <v/>
      </c>
      <c r="CD403">
        <f>'T_TTAFStock'!CB33</f>
        <v/>
      </c>
      <c r="CE403">
        <f>'T_TTAFStock'!CC33</f>
        <v/>
      </c>
      <c r="CF403">
        <f>'T_TTAFStock'!CD33</f>
        <v/>
      </c>
      <c r="CG403">
        <f>'T_TTAFStock'!CE33</f>
        <v/>
      </c>
      <c r="CH403">
        <f>'T_TTAFStock'!CF33</f>
        <v/>
      </c>
      <c r="CI403">
        <f>'T_TTAFStock'!CG33</f>
        <v/>
      </c>
      <c r="CJ403">
        <f>'T_TTAFStock'!CH33</f>
        <v/>
      </c>
      <c r="CK403">
        <f>'T_TTAFStock'!CI33</f>
        <v/>
      </c>
      <c r="CL403">
        <f>'T_TTAFStock'!CJ33</f>
        <v/>
      </c>
      <c r="CM403">
        <f>'T_TTAFStock'!CK33</f>
        <v/>
      </c>
      <c r="CN403">
        <f>'T_TTAFStock'!CL33</f>
        <v/>
      </c>
      <c r="CO403">
        <f>'T_TTAFStock'!CM33</f>
        <v/>
      </c>
      <c r="CP403">
        <f>'T_TTAFStock'!CN33</f>
        <v/>
      </c>
      <c r="CQ403">
        <f>'T_TTAFStock'!CO33</f>
        <v/>
      </c>
      <c r="CR403">
        <f>'T_TTAFStock'!CP33</f>
        <v/>
      </c>
      <c r="CS403">
        <f>'T_TTAFStock'!CQ33</f>
        <v/>
      </c>
      <c r="CT403">
        <f>'T_TTAFStock'!CR33</f>
        <v/>
      </c>
      <c r="CU403">
        <f>'T_TTAFStock'!CS33</f>
        <v/>
      </c>
      <c r="CV403">
        <f>'T_TTAFStock'!CT33</f>
        <v/>
      </c>
      <c r="CW403">
        <f>'T_TTAFStock'!CU33</f>
        <v/>
      </c>
      <c r="CX403">
        <f>'T_TTAFStock'!CV33</f>
        <v/>
      </c>
      <c r="CY403">
        <f>'T_TTAFStock'!CW33</f>
        <v/>
      </c>
      <c r="CZ403">
        <f>'T_TTAFStock'!CX33</f>
        <v/>
      </c>
      <c r="DA403">
        <f>'T_TTAFStock'!CY33</f>
        <v/>
      </c>
      <c r="DB403">
        <f>'T_TTAFStock'!CZ33</f>
        <v/>
      </c>
      <c r="DC403">
        <f>'T_TTAFStock'!DA33</f>
        <v/>
      </c>
    </row>
    <row r="404">
      <c r="B404" t="inlineStr">
        <is>
          <t>自社在庫(実績,kg)</t>
        </is>
      </c>
      <c r="D404">
        <f>'T_SelfStock'!B33</f>
        <v/>
      </c>
      <c r="E404">
        <f>'T_SelfStock'!C33</f>
        <v/>
      </c>
      <c r="F404">
        <f>'T_SelfStock'!D33</f>
        <v/>
      </c>
      <c r="G404">
        <f>'T_SelfStock'!E33</f>
        <v/>
      </c>
      <c r="H404">
        <f>'T_SelfStock'!F33</f>
        <v/>
      </c>
      <c r="I404">
        <f>'T_SelfStock'!G33</f>
        <v/>
      </c>
      <c r="J404">
        <f>'T_SelfStock'!H33</f>
        <v/>
      </c>
      <c r="K404">
        <f>'T_SelfStock'!I33</f>
        <v/>
      </c>
      <c r="L404">
        <f>'T_SelfStock'!J33</f>
        <v/>
      </c>
      <c r="M404">
        <f>'T_SelfStock'!K33</f>
        <v/>
      </c>
      <c r="N404">
        <f>'T_SelfStock'!L33</f>
        <v/>
      </c>
      <c r="O404">
        <f>'T_SelfStock'!M33</f>
        <v/>
      </c>
      <c r="P404">
        <f>'T_SelfStock'!N33</f>
        <v/>
      </c>
      <c r="Q404">
        <f>'T_SelfStock'!O33</f>
        <v/>
      </c>
      <c r="R404">
        <f>'T_SelfStock'!P33</f>
        <v/>
      </c>
      <c r="S404">
        <f>'T_SelfStock'!Q33</f>
        <v/>
      </c>
      <c r="T404">
        <f>'T_SelfStock'!R33</f>
        <v/>
      </c>
      <c r="U404">
        <f>'T_SelfStock'!S33</f>
        <v/>
      </c>
      <c r="V404">
        <f>'T_SelfStock'!T33</f>
        <v/>
      </c>
      <c r="W404">
        <f>'T_SelfStock'!U33</f>
        <v/>
      </c>
      <c r="X404">
        <f>'T_SelfStock'!V33</f>
        <v/>
      </c>
      <c r="Y404">
        <f>'T_SelfStock'!W33</f>
        <v/>
      </c>
      <c r="Z404">
        <f>'T_SelfStock'!X33</f>
        <v/>
      </c>
      <c r="AA404">
        <f>'T_SelfStock'!Y33</f>
        <v/>
      </c>
      <c r="AB404">
        <f>'T_SelfStock'!Z33</f>
        <v/>
      </c>
      <c r="AC404">
        <f>'T_SelfStock'!AA33</f>
        <v/>
      </c>
      <c r="AD404">
        <f>'T_SelfStock'!AB33</f>
        <v/>
      </c>
      <c r="AE404">
        <f>'T_SelfStock'!AC33</f>
        <v/>
      </c>
      <c r="AF404">
        <f>'T_SelfStock'!AD33</f>
        <v/>
      </c>
      <c r="AG404">
        <f>'T_SelfStock'!AE33</f>
        <v/>
      </c>
      <c r="AH404">
        <f>'T_SelfStock'!AF33</f>
        <v/>
      </c>
      <c r="AI404">
        <f>'T_SelfStock'!AG33</f>
        <v/>
      </c>
      <c r="AJ404">
        <f>'T_SelfStock'!AH33</f>
        <v/>
      </c>
      <c r="AK404">
        <f>'T_SelfStock'!AI33</f>
        <v/>
      </c>
      <c r="AL404">
        <f>'T_SelfStock'!AJ33</f>
        <v/>
      </c>
      <c r="AM404">
        <f>'T_SelfStock'!AK33</f>
        <v/>
      </c>
      <c r="AN404">
        <f>'T_SelfStock'!AL33</f>
        <v/>
      </c>
      <c r="AO404">
        <f>'T_SelfStock'!AM33</f>
        <v/>
      </c>
      <c r="AP404">
        <f>'T_SelfStock'!AN33</f>
        <v/>
      </c>
      <c r="AQ404">
        <f>'T_SelfStock'!AO33</f>
        <v/>
      </c>
      <c r="AR404">
        <f>'T_SelfStock'!AP33</f>
        <v/>
      </c>
      <c r="AS404">
        <f>'T_SelfStock'!AQ33</f>
        <v/>
      </c>
      <c r="AT404">
        <f>'T_SelfStock'!AR33</f>
        <v/>
      </c>
      <c r="AU404">
        <f>'T_SelfStock'!AS33</f>
        <v/>
      </c>
      <c r="AV404">
        <f>'T_SelfStock'!AT33</f>
        <v/>
      </c>
      <c r="AW404">
        <f>'T_SelfStock'!AU33</f>
        <v/>
      </c>
      <c r="AX404">
        <f>'T_SelfStock'!AV33</f>
        <v/>
      </c>
      <c r="AY404">
        <f>'T_SelfStock'!AW33</f>
        <v/>
      </c>
      <c r="AZ404">
        <f>'T_SelfStock'!AX33</f>
        <v/>
      </c>
      <c r="BA404">
        <f>'T_SelfStock'!AY33</f>
        <v/>
      </c>
      <c r="BB404">
        <f>'T_SelfStock'!AZ33</f>
        <v/>
      </c>
      <c r="BC404">
        <f>'T_SelfStock'!BA33</f>
        <v/>
      </c>
      <c r="BD404">
        <f>'T_SelfStock'!BB33</f>
        <v/>
      </c>
      <c r="BE404">
        <f>'T_SelfStock'!BC33</f>
        <v/>
      </c>
      <c r="BF404">
        <f>'T_SelfStock'!BD33</f>
        <v/>
      </c>
      <c r="BG404">
        <f>'T_SelfStock'!BE33</f>
        <v/>
      </c>
      <c r="BH404">
        <f>'T_SelfStock'!BF33</f>
        <v/>
      </c>
      <c r="BI404">
        <f>'T_SelfStock'!BG33</f>
        <v/>
      </c>
      <c r="BJ404">
        <f>'T_SelfStock'!BH33</f>
        <v/>
      </c>
      <c r="BK404">
        <f>'T_SelfStock'!BI33</f>
        <v/>
      </c>
      <c r="BL404">
        <f>'T_SelfStock'!BJ33</f>
        <v/>
      </c>
      <c r="BM404">
        <f>'T_SelfStock'!BK33</f>
        <v/>
      </c>
      <c r="BN404">
        <f>'T_SelfStock'!BL33</f>
        <v/>
      </c>
      <c r="BO404">
        <f>'T_SelfStock'!BM33</f>
        <v/>
      </c>
      <c r="BP404">
        <f>'T_SelfStock'!BN33</f>
        <v/>
      </c>
      <c r="BQ404">
        <f>'T_SelfStock'!BO33</f>
        <v/>
      </c>
      <c r="BR404">
        <f>'T_SelfStock'!BP33</f>
        <v/>
      </c>
      <c r="BS404">
        <f>'T_SelfStock'!BQ33</f>
        <v/>
      </c>
      <c r="BT404">
        <f>'T_SelfStock'!BR33</f>
        <v/>
      </c>
      <c r="BU404">
        <f>'T_SelfStock'!BS33</f>
        <v/>
      </c>
      <c r="BV404">
        <f>'T_SelfStock'!BT33</f>
        <v/>
      </c>
      <c r="BW404">
        <f>'T_SelfStock'!BU33</f>
        <v/>
      </c>
      <c r="BX404">
        <f>'T_SelfStock'!BV33</f>
        <v/>
      </c>
      <c r="BY404">
        <f>'T_SelfStock'!BW33</f>
        <v/>
      </c>
      <c r="BZ404">
        <f>'T_SelfStock'!BX33</f>
        <v/>
      </c>
      <c r="CA404">
        <f>'T_SelfStock'!BY33</f>
        <v/>
      </c>
      <c r="CB404">
        <f>'T_SelfStock'!BZ33</f>
        <v/>
      </c>
      <c r="CC404">
        <f>'T_SelfStock'!CA33</f>
        <v/>
      </c>
      <c r="CD404">
        <f>'T_SelfStock'!CB33</f>
        <v/>
      </c>
      <c r="CE404">
        <f>'T_SelfStock'!CC33</f>
        <v/>
      </c>
      <c r="CF404">
        <f>'T_SelfStock'!CD33</f>
        <v/>
      </c>
      <c r="CG404">
        <f>'T_SelfStock'!CE33</f>
        <v/>
      </c>
      <c r="CH404">
        <f>'T_SelfStock'!CF33</f>
        <v/>
      </c>
      <c r="CI404">
        <f>'T_SelfStock'!CG33</f>
        <v/>
      </c>
      <c r="CJ404">
        <f>'T_SelfStock'!CH33</f>
        <v/>
      </c>
      <c r="CK404">
        <f>'T_SelfStock'!CI33</f>
        <v/>
      </c>
      <c r="CL404">
        <f>'T_SelfStock'!CJ33</f>
        <v/>
      </c>
      <c r="CM404">
        <f>'T_SelfStock'!CK33</f>
        <v/>
      </c>
      <c r="CN404">
        <f>'T_SelfStock'!CL33</f>
        <v/>
      </c>
      <c r="CO404">
        <f>'T_SelfStock'!CM33</f>
        <v/>
      </c>
      <c r="CP404">
        <f>'T_SelfStock'!CN33</f>
        <v/>
      </c>
      <c r="CQ404">
        <f>'T_SelfStock'!CO33</f>
        <v/>
      </c>
      <c r="CR404">
        <f>'T_SelfStock'!CP33</f>
        <v/>
      </c>
      <c r="CS404">
        <f>'T_SelfStock'!CQ33</f>
        <v/>
      </c>
      <c r="CT404">
        <f>'T_SelfStock'!CR33</f>
        <v/>
      </c>
      <c r="CU404">
        <f>'T_SelfStock'!CS33</f>
        <v/>
      </c>
      <c r="CV404">
        <f>'T_SelfStock'!CT33</f>
        <v/>
      </c>
      <c r="CW404">
        <f>'T_SelfStock'!CU33</f>
        <v/>
      </c>
      <c r="CX404">
        <f>'T_SelfStock'!CV33</f>
        <v/>
      </c>
      <c r="CY404">
        <f>'T_SelfStock'!CW33</f>
        <v/>
      </c>
      <c r="CZ404">
        <f>'T_SelfStock'!CX33</f>
        <v/>
      </c>
      <c r="DA404">
        <f>'T_SelfStock'!CY33</f>
        <v/>
      </c>
      <c r="DB404">
        <f>'T_SelfStock'!CZ33</f>
        <v/>
      </c>
      <c r="DC404">
        <f>'T_SelfStock'!DA33</f>
        <v/>
      </c>
    </row>
    <row r="405">
      <c r="B405" t="inlineStr">
        <is>
          <t>Order(発注予定,kg)</t>
        </is>
      </c>
      <c r="D405">
        <f>IF(SUMIFS(T_PlannedOrders[EffectiveQty],T_PlannedOrders[Part Name],$A393,T_PlannedOrders[WeekIndex],1)=0,"",SUMIFS(T_PlannedOrders[EffectiveQty],T_PlannedOrders[Part Name],$A393,T_PlannedOrders[WeekIndex],1)&amp;" ("&amp;TEXT(SUMPRODUCT(MAX((T_PlannedOrders[Part Name]=$A393)*(T_PlannedOrders[WeekIndex]=1)*(T_PlannedOrders[EffectiveQty]&gt;0)*T_PlannedOrders[Order_Month])),"m月")&amp;"発注)")</f>
        <v/>
      </c>
      <c r="E405">
        <f>IF(SUMIFS(T_PlannedOrders[EffectiveQty],T_PlannedOrders[Part Name],$A393,T_PlannedOrders[WeekIndex],2)=0,"",SUMIFS(T_PlannedOrders[EffectiveQty],T_PlannedOrders[Part Name],$A393,T_PlannedOrders[WeekIndex],2)&amp;" ("&amp;TEXT(SUMPRODUCT(MAX((T_PlannedOrders[Part Name]=$A393)*(T_PlannedOrders[WeekIndex]=2)*(T_PlannedOrders[EffectiveQty]&gt;0)*T_PlannedOrders[Order_Month])),"m月")&amp;"発注)")</f>
        <v/>
      </c>
      <c r="F405">
        <f>IF(SUMIFS(T_PlannedOrders[EffectiveQty],T_PlannedOrders[Part Name],$A393,T_PlannedOrders[WeekIndex],3)=0,"",SUMIFS(T_PlannedOrders[EffectiveQty],T_PlannedOrders[Part Name],$A393,T_PlannedOrders[WeekIndex],3)&amp;" ("&amp;TEXT(SUMPRODUCT(MAX((T_PlannedOrders[Part Name]=$A393)*(T_PlannedOrders[WeekIndex]=3)*(T_PlannedOrders[EffectiveQty]&gt;0)*T_PlannedOrders[Order_Month])),"m月")&amp;"発注)")</f>
        <v/>
      </c>
      <c r="G405">
        <f>IF(SUMIFS(T_PlannedOrders[EffectiveQty],T_PlannedOrders[Part Name],$A393,T_PlannedOrders[WeekIndex],4)=0,"",SUMIFS(T_PlannedOrders[EffectiveQty],T_PlannedOrders[Part Name],$A393,T_PlannedOrders[WeekIndex],4)&amp;" ("&amp;TEXT(SUMPRODUCT(MAX((T_PlannedOrders[Part Name]=$A393)*(T_PlannedOrders[WeekIndex]=4)*(T_PlannedOrders[EffectiveQty]&gt;0)*T_PlannedOrders[Order_Month])),"m月")&amp;"発注)")</f>
        <v/>
      </c>
      <c r="H405">
        <f>IF(SUMIFS(T_PlannedOrders[EffectiveQty],T_PlannedOrders[Part Name],$A393,T_PlannedOrders[WeekIndex],5)=0,"",SUMIFS(T_PlannedOrders[EffectiveQty],T_PlannedOrders[Part Name],$A393,T_PlannedOrders[WeekIndex],5)&amp;" ("&amp;TEXT(SUMPRODUCT(MAX((T_PlannedOrders[Part Name]=$A393)*(T_PlannedOrders[WeekIndex]=5)*(T_PlannedOrders[EffectiveQty]&gt;0)*T_PlannedOrders[Order_Month])),"m月")&amp;"発注)")</f>
        <v/>
      </c>
      <c r="I405">
        <f>IF(SUMIFS(T_PlannedOrders[EffectiveQty],T_PlannedOrders[Part Name],$A393,T_PlannedOrders[WeekIndex],6)=0,"",SUMIFS(T_PlannedOrders[EffectiveQty],T_PlannedOrders[Part Name],$A393,T_PlannedOrders[WeekIndex],6)&amp;" ("&amp;TEXT(SUMPRODUCT(MAX((T_PlannedOrders[Part Name]=$A393)*(T_PlannedOrders[WeekIndex]=6)*(T_PlannedOrders[EffectiveQty]&gt;0)*T_PlannedOrders[Order_Month])),"m月")&amp;"発注)")</f>
        <v/>
      </c>
      <c r="J405">
        <f>IF(SUMIFS(T_PlannedOrders[EffectiveQty],T_PlannedOrders[Part Name],$A393,T_PlannedOrders[WeekIndex],7)=0,"",SUMIFS(T_PlannedOrders[EffectiveQty],T_PlannedOrders[Part Name],$A393,T_PlannedOrders[WeekIndex],7)&amp;" ("&amp;TEXT(SUMPRODUCT(MAX((T_PlannedOrders[Part Name]=$A393)*(T_PlannedOrders[WeekIndex]=7)*(T_PlannedOrders[EffectiveQty]&gt;0)*T_PlannedOrders[Order_Month])),"m月")&amp;"発注)")</f>
        <v/>
      </c>
      <c r="K405">
        <f>IF(SUMIFS(T_PlannedOrders[EffectiveQty],T_PlannedOrders[Part Name],$A393,T_PlannedOrders[WeekIndex],8)=0,"",SUMIFS(T_PlannedOrders[EffectiveQty],T_PlannedOrders[Part Name],$A393,T_PlannedOrders[WeekIndex],8)&amp;" ("&amp;TEXT(SUMPRODUCT(MAX((T_PlannedOrders[Part Name]=$A393)*(T_PlannedOrders[WeekIndex]=8)*(T_PlannedOrders[EffectiveQty]&gt;0)*T_PlannedOrders[Order_Month])),"m月")&amp;"発注)")</f>
        <v/>
      </c>
      <c r="L405">
        <f>IF(SUMIFS(T_PlannedOrders[EffectiveQty],T_PlannedOrders[Part Name],$A393,T_PlannedOrders[WeekIndex],9)=0,"",SUMIFS(T_PlannedOrders[EffectiveQty],T_PlannedOrders[Part Name],$A393,T_PlannedOrders[WeekIndex],9)&amp;" ("&amp;TEXT(SUMPRODUCT(MAX((T_PlannedOrders[Part Name]=$A393)*(T_PlannedOrders[WeekIndex]=9)*(T_PlannedOrders[EffectiveQty]&gt;0)*T_PlannedOrders[Order_Month])),"m月")&amp;"発注)")</f>
        <v/>
      </c>
      <c r="M405">
        <f>IF(SUMIFS(T_PlannedOrders[EffectiveQty],T_PlannedOrders[Part Name],$A393,T_PlannedOrders[WeekIndex],10)=0,"",SUMIFS(T_PlannedOrders[EffectiveQty],T_PlannedOrders[Part Name],$A393,T_PlannedOrders[WeekIndex],10)&amp;" ("&amp;TEXT(SUMPRODUCT(MAX((T_PlannedOrders[Part Name]=$A393)*(T_PlannedOrders[WeekIndex]=10)*(T_PlannedOrders[EffectiveQty]&gt;0)*T_PlannedOrders[Order_Month])),"m月")&amp;"発注)")</f>
        <v/>
      </c>
      <c r="N405">
        <f>IF(SUMIFS(T_PlannedOrders[EffectiveQty],T_PlannedOrders[Part Name],$A393,T_PlannedOrders[WeekIndex],11)=0,"",SUMIFS(T_PlannedOrders[EffectiveQty],T_PlannedOrders[Part Name],$A393,T_PlannedOrders[WeekIndex],11)&amp;" ("&amp;TEXT(SUMPRODUCT(MAX((T_PlannedOrders[Part Name]=$A393)*(T_PlannedOrders[WeekIndex]=11)*(T_PlannedOrders[EffectiveQty]&gt;0)*T_PlannedOrders[Order_Month])),"m月")&amp;"発注)")</f>
        <v/>
      </c>
      <c r="O405">
        <f>IF(SUMIFS(T_PlannedOrders[EffectiveQty],T_PlannedOrders[Part Name],$A393,T_PlannedOrders[WeekIndex],12)=0,"",SUMIFS(T_PlannedOrders[EffectiveQty],T_PlannedOrders[Part Name],$A393,T_PlannedOrders[WeekIndex],12)&amp;" ("&amp;TEXT(SUMPRODUCT(MAX((T_PlannedOrders[Part Name]=$A393)*(T_PlannedOrders[WeekIndex]=12)*(T_PlannedOrders[EffectiveQty]&gt;0)*T_PlannedOrders[Order_Month])),"m月")&amp;"発注)")</f>
        <v/>
      </c>
      <c r="P405">
        <f>IF(SUMIFS(T_PlannedOrders[EffectiveQty],T_PlannedOrders[Part Name],$A393,T_PlannedOrders[WeekIndex],13)=0,"",SUMIFS(T_PlannedOrders[EffectiveQty],T_PlannedOrders[Part Name],$A393,T_PlannedOrders[WeekIndex],13)&amp;" ("&amp;TEXT(SUMPRODUCT(MAX((T_PlannedOrders[Part Name]=$A393)*(T_PlannedOrders[WeekIndex]=13)*(T_PlannedOrders[EffectiveQty]&gt;0)*T_PlannedOrders[Order_Month])),"m月")&amp;"発注)")</f>
        <v/>
      </c>
      <c r="Q405">
        <f>IF(SUMIFS(T_PlannedOrders[EffectiveQty],T_PlannedOrders[Part Name],$A393,T_PlannedOrders[WeekIndex],14)=0,"",SUMIFS(T_PlannedOrders[EffectiveQty],T_PlannedOrders[Part Name],$A393,T_PlannedOrders[WeekIndex],14)&amp;" ("&amp;TEXT(SUMPRODUCT(MAX((T_PlannedOrders[Part Name]=$A393)*(T_PlannedOrders[WeekIndex]=14)*(T_PlannedOrders[EffectiveQty]&gt;0)*T_PlannedOrders[Order_Month])),"m月")&amp;"発注)")</f>
        <v/>
      </c>
      <c r="R405">
        <f>IF(SUMIFS(T_PlannedOrders[EffectiveQty],T_PlannedOrders[Part Name],$A393,T_PlannedOrders[WeekIndex],15)=0,"",SUMIFS(T_PlannedOrders[EffectiveQty],T_PlannedOrders[Part Name],$A393,T_PlannedOrders[WeekIndex],15)&amp;" ("&amp;TEXT(SUMPRODUCT(MAX((T_PlannedOrders[Part Name]=$A393)*(T_PlannedOrders[WeekIndex]=15)*(T_PlannedOrders[EffectiveQty]&gt;0)*T_PlannedOrders[Order_Month])),"m月")&amp;"発注)")</f>
        <v/>
      </c>
      <c r="S405">
        <f>IF(SUMIFS(T_PlannedOrders[EffectiveQty],T_PlannedOrders[Part Name],$A393,T_PlannedOrders[WeekIndex],16)=0,"",SUMIFS(T_PlannedOrders[EffectiveQty],T_PlannedOrders[Part Name],$A393,T_PlannedOrders[WeekIndex],16)&amp;" ("&amp;TEXT(SUMPRODUCT(MAX((T_PlannedOrders[Part Name]=$A393)*(T_PlannedOrders[WeekIndex]=16)*(T_PlannedOrders[EffectiveQty]&gt;0)*T_PlannedOrders[Order_Month])),"m月")&amp;"発注)")</f>
        <v/>
      </c>
      <c r="T405">
        <f>IF(SUMIFS(T_PlannedOrders[EffectiveQty],T_PlannedOrders[Part Name],$A393,T_PlannedOrders[WeekIndex],17)=0,"",SUMIFS(T_PlannedOrders[EffectiveQty],T_PlannedOrders[Part Name],$A393,T_PlannedOrders[WeekIndex],17)&amp;" ("&amp;TEXT(SUMPRODUCT(MAX((T_PlannedOrders[Part Name]=$A393)*(T_PlannedOrders[WeekIndex]=17)*(T_PlannedOrders[EffectiveQty]&gt;0)*T_PlannedOrders[Order_Month])),"m月")&amp;"発注)")</f>
        <v/>
      </c>
      <c r="U405">
        <f>IF(SUMIFS(T_PlannedOrders[EffectiveQty],T_PlannedOrders[Part Name],$A393,T_PlannedOrders[WeekIndex],18)=0,"",SUMIFS(T_PlannedOrders[EffectiveQty],T_PlannedOrders[Part Name],$A393,T_PlannedOrders[WeekIndex],18)&amp;" ("&amp;TEXT(SUMPRODUCT(MAX((T_PlannedOrders[Part Name]=$A393)*(T_PlannedOrders[WeekIndex]=18)*(T_PlannedOrders[EffectiveQty]&gt;0)*T_PlannedOrders[Order_Month])),"m月")&amp;"発注)")</f>
        <v/>
      </c>
      <c r="V405">
        <f>IF(SUMIFS(T_PlannedOrders[EffectiveQty],T_PlannedOrders[Part Name],$A393,T_PlannedOrders[WeekIndex],19)=0,"",SUMIFS(T_PlannedOrders[EffectiveQty],T_PlannedOrders[Part Name],$A393,T_PlannedOrders[WeekIndex],19)&amp;" ("&amp;TEXT(SUMPRODUCT(MAX((T_PlannedOrders[Part Name]=$A393)*(T_PlannedOrders[WeekIndex]=19)*(T_PlannedOrders[EffectiveQty]&gt;0)*T_PlannedOrders[Order_Month])),"m月")&amp;"発注)")</f>
        <v/>
      </c>
      <c r="W405">
        <f>IF(SUMIFS(T_PlannedOrders[EffectiveQty],T_PlannedOrders[Part Name],$A393,T_PlannedOrders[WeekIndex],20)=0,"",SUMIFS(T_PlannedOrders[EffectiveQty],T_PlannedOrders[Part Name],$A393,T_PlannedOrders[WeekIndex],20)&amp;" ("&amp;TEXT(SUMPRODUCT(MAX((T_PlannedOrders[Part Name]=$A393)*(T_PlannedOrders[WeekIndex]=20)*(T_PlannedOrders[EffectiveQty]&gt;0)*T_PlannedOrders[Order_Month])),"m月")&amp;"発注)")</f>
        <v/>
      </c>
      <c r="X405">
        <f>IF(SUMIFS(T_PlannedOrders[EffectiveQty],T_PlannedOrders[Part Name],$A393,T_PlannedOrders[WeekIndex],21)=0,"",SUMIFS(T_PlannedOrders[EffectiveQty],T_PlannedOrders[Part Name],$A393,T_PlannedOrders[WeekIndex],21)&amp;" ("&amp;TEXT(SUMPRODUCT(MAX((T_PlannedOrders[Part Name]=$A393)*(T_PlannedOrders[WeekIndex]=21)*(T_PlannedOrders[EffectiveQty]&gt;0)*T_PlannedOrders[Order_Month])),"m月")&amp;"発注)")</f>
        <v/>
      </c>
      <c r="Y405">
        <f>IF(SUMIFS(T_PlannedOrders[EffectiveQty],T_PlannedOrders[Part Name],$A393,T_PlannedOrders[WeekIndex],22)=0,"",SUMIFS(T_PlannedOrders[EffectiveQty],T_PlannedOrders[Part Name],$A393,T_PlannedOrders[WeekIndex],22)&amp;" ("&amp;TEXT(SUMPRODUCT(MAX((T_PlannedOrders[Part Name]=$A393)*(T_PlannedOrders[WeekIndex]=22)*(T_PlannedOrders[EffectiveQty]&gt;0)*T_PlannedOrders[Order_Month])),"m月")&amp;"発注)")</f>
        <v/>
      </c>
      <c r="Z405">
        <f>IF(SUMIFS(T_PlannedOrders[EffectiveQty],T_PlannedOrders[Part Name],$A393,T_PlannedOrders[WeekIndex],23)=0,"",SUMIFS(T_PlannedOrders[EffectiveQty],T_PlannedOrders[Part Name],$A393,T_PlannedOrders[WeekIndex],23)&amp;" ("&amp;TEXT(SUMPRODUCT(MAX((T_PlannedOrders[Part Name]=$A393)*(T_PlannedOrders[WeekIndex]=23)*(T_PlannedOrders[EffectiveQty]&gt;0)*T_PlannedOrders[Order_Month])),"m月")&amp;"発注)")</f>
        <v/>
      </c>
      <c r="AA405">
        <f>IF(SUMIFS(T_PlannedOrders[EffectiveQty],T_PlannedOrders[Part Name],$A393,T_PlannedOrders[WeekIndex],24)=0,"",SUMIFS(T_PlannedOrders[EffectiveQty],T_PlannedOrders[Part Name],$A393,T_PlannedOrders[WeekIndex],24)&amp;" ("&amp;TEXT(SUMPRODUCT(MAX((T_PlannedOrders[Part Name]=$A393)*(T_PlannedOrders[WeekIndex]=24)*(T_PlannedOrders[EffectiveQty]&gt;0)*T_PlannedOrders[Order_Month])),"m月")&amp;"発注)")</f>
        <v/>
      </c>
      <c r="AB405">
        <f>IF(SUMIFS(T_PlannedOrders[EffectiveQty],T_PlannedOrders[Part Name],$A393,T_PlannedOrders[WeekIndex],25)=0,"",SUMIFS(T_PlannedOrders[EffectiveQty],T_PlannedOrders[Part Name],$A393,T_PlannedOrders[WeekIndex],25)&amp;" ("&amp;TEXT(SUMPRODUCT(MAX((T_PlannedOrders[Part Name]=$A393)*(T_PlannedOrders[WeekIndex]=25)*(T_PlannedOrders[EffectiveQty]&gt;0)*T_PlannedOrders[Order_Month])),"m月")&amp;"発注)")</f>
        <v/>
      </c>
      <c r="AC405">
        <f>IF(SUMIFS(T_PlannedOrders[EffectiveQty],T_PlannedOrders[Part Name],$A393,T_PlannedOrders[WeekIndex],26)=0,"",SUMIFS(T_PlannedOrders[EffectiveQty],T_PlannedOrders[Part Name],$A393,T_PlannedOrders[WeekIndex],26)&amp;" ("&amp;TEXT(SUMPRODUCT(MAX((T_PlannedOrders[Part Name]=$A393)*(T_PlannedOrders[WeekIndex]=26)*(T_PlannedOrders[EffectiveQty]&gt;0)*T_PlannedOrders[Order_Month])),"m月")&amp;"発注)")</f>
        <v/>
      </c>
      <c r="AD405">
        <f>IF(SUMIFS(T_PlannedOrders[EffectiveQty],T_PlannedOrders[Part Name],$A393,T_PlannedOrders[WeekIndex],27)=0,"",SUMIFS(T_PlannedOrders[EffectiveQty],T_PlannedOrders[Part Name],$A393,T_PlannedOrders[WeekIndex],27)&amp;" ("&amp;TEXT(SUMPRODUCT(MAX((T_PlannedOrders[Part Name]=$A393)*(T_PlannedOrders[WeekIndex]=27)*(T_PlannedOrders[EffectiveQty]&gt;0)*T_PlannedOrders[Order_Month])),"m月")&amp;"発注)")</f>
        <v/>
      </c>
      <c r="AE405">
        <f>IF(SUMIFS(T_PlannedOrders[EffectiveQty],T_PlannedOrders[Part Name],$A393,T_PlannedOrders[WeekIndex],28)=0,"",SUMIFS(T_PlannedOrders[EffectiveQty],T_PlannedOrders[Part Name],$A393,T_PlannedOrders[WeekIndex],28)&amp;" ("&amp;TEXT(SUMPRODUCT(MAX((T_PlannedOrders[Part Name]=$A393)*(T_PlannedOrders[WeekIndex]=28)*(T_PlannedOrders[EffectiveQty]&gt;0)*T_PlannedOrders[Order_Month])),"m月")&amp;"発注)")</f>
        <v/>
      </c>
      <c r="AF405">
        <f>IF(SUMIFS(T_PlannedOrders[EffectiveQty],T_PlannedOrders[Part Name],$A393,T_PlannedOrders[WeekIndex],29)=0,"",SUMIFS(T_PlannedOrders[EffectiveQty],T_PlannedOrders[Part Name],$A393,T_PlannedOrders[WeekIndex],29)&amp;" ("&amp;TEXT(SUMPRODUCT(MAX((T_PlannedOrders[Part Name]=$A393)*(T_PlannedOrders[WeekIndex]=29)*(T_PlannedOrders[EffectiveQty]&gt;0)*T_PlannedOrders[Order_Month])),"m月")&amp;"発注)")</f>
        <v/>
      </c>
      <c r="AG405">
        <f>IF(SUMIFS(T_PlannedOrders[EffectiveQty],T_PlannedOrders[Part Name],$A393,T_PlannedOrders[WeekIndex],30)=0,"",SUMIFS(T_PlannedOrders[EffectiveQty],T_PlannedOrders[Part Name],$A393,T_PlannedOrders[WeekIndex],30)&amp;" ("&amp;TEXT(SUMPRODUCT(MAX((T_PlannedOrders[Part Name]=$A393)*(T_PlannedOrders[WeekIndex]=30)*(T_PlannedOrders[EffectiveQty]&gt;0)*T_PlannedOrders[Order_Month])),"m月")&amp;"発注)")</f>
        <v/>
      </c>
      <c r="AH405">
        <f>IF(SUMIFS(T_PlannedOrders[EffectiveQty],T_PlannedOrders[Part Name],$A393,T_PlannedOrders[WeekIndex],31)=0,"",SUMIFS(T_PlannedOrders[EffectiveQty],T_PlannedOrders[Part Name],$A393,T_PlannedOrders[WeekIndex],31)&amp;" ("&amp;TEXT(SUMPRODUCT(MAX((T_PlannedOrders[Part Name]=$A393)*(T_PlannedOrders[WeekIndex]=31)*(T_PlannedOrders[EffectiveQty]&gt;0)*T_PlannedOrders[Order_Month])),"m月")&amp;"発注)")</f>
        <v/>
      </c>
      <c r="AI405">
        <f>IF(SUMIFS(T_PlannedOrders[EffectiveQty],T_PlannedOrders[Part Name],$A393,T_PlannedOrders[WeekIndex],32)=0,"",SUMIFS(T_PlannedOrders[EffectiveQty],T_PlannedOrders[Part Name],$A393,T_PlannedOrders[WeekIndex],32)&amp;" ("&amp;TEXT(SUMPRODUCT(MAX((T_PlannedOrders[Part Name]=$A393)*(T_PlannedOrders[WeekIndex]=32)*(T_PlannedOrders[EffectiveQty]&gt;0)*T_PlannedOrders[Order_Month])),"m月")&amp;"発注)")</f>
        <v/>
      </c>
      <c r="AJ405">
        <f>IF(SUMIFS(T_PlannedOrders[EffectiveQty],T_PlannedOrders[Part Name],$A393,T_PlannedOrders[WeekIndex],33)=0,"",SUMIFS(T_PlannedOrders[EffectiveQty],T_PlannedOrders[Part Name],$A393,T_PlannedOrders[WeekIndex],33)&amp;" ("&amp;TEXT(SUMPRODUCT(MAX((T_PlannedOrders[Part Name]=$A393)*(T_PlannedOrders[WeekIndex]=33)*(T_PlannedOrders[EffectiveQty]&gt;0)*T_PlannedOrders[Order_Month])),"m月")&amp;"発注)")</f>
        <v/>
      </c>
      <c r="AK405">
        <f>IF(SUMIFS(T_PlannedOrders[EffectiveQty],T_PlannedOrders[Part Name],$A393,T_PlannedOrders[WeekIndex],34)=0,"",SUMIFS(T_PlannedOrders[EffectiveQty],T_PlannedOrders[Part Name],$A393,T_PlannedOrders[WeekIndex],34)&amp;" ("&amp;TEXT(SUMPRODUCT(MAX((T_PlannedOrders[Part Name]=$A393)*(T_PlannedOrders[WeekIndex]=34)*(T_PlannedOrders[EffectiveQty]&gt;0)*T_PlannedOrders[Order_Month])),"m月")&amp;"発注)")</f>
        <v/>
      </c>
      <c r="AL405">
        <f>IF(SUMIFS(T_PlannedOrders[EffectiveQty],T_PlannedOrders[Part Name],$A393,T_PlannedOrders[WeekIndex],35)=0,"",SUMIFS(T_PlannedOrders[EffectiveQty],T_PlannedOrders[Part Name],$A393,T_PlannedOrders[WeekIndex],35)&amp;" ("&amp;TEXT(SUMPRODUCT(MAX((T_PlannedOrders[Part Name]=$A393)*(T_PlannedOrders[WeekIndex]=35)*(T_PlannedOrders[EffectiveQty]&gt;0)*T_PlannedOrders[Order_Month])),"m月")&amp;"発注)")</f>
        <v/>
      </c>
      <c r="AM405">
        <f>IF(SUMIFS(T_PlannedOrders[EffectiveQty],T_PlannedOrders[Part Name],$A393,T_PlannedOrders[WeekIndex],36)=0,"",SUMIFS(T_PlannedOrders[EffectiveQty],T_PlannedOrders[Part Name],$A393,T_PlannedOrders[WeekIndex],36)&amp;" ("&amp;TEXT(SUMPRODUCT(MAX((T_PlannedOrders[Part Name]=$A393)*(T_PlannedOrders[WeekIndex]=36)*(T_PlannedOrders[EffectiveQty]&gt;0)*T_PlannedOrders[Order_Month])),"m月")&amp;"発注)")</f>
        <v/>
      </c>
      <c r="AN405">
        <f>IF(SUMIFS(T_PlannedOrders[EffectiveQty],T_PlannedOrders[Part Name],$A393,T_PlannedOrders[WeekIndex],37)=0,"",SUMIFS(T_PlannedOrders[EffectiveQty],T_PlannedOrders[Part Name],$A393,T_PlannedOrders[WeekIndex],37)&amp;" ("&amp;TEXT(SUMPRODUCT(MAX((T_PlannedOrders[Part Name]=$A393)*(T_PlannedOrders[WeekIndex]=37)*(T_PlannedOrders[EffectiveQty]&gt;0)*T_PlannedOrders[Order_Month])),"m月")&amp;"発注)")</f>
        <v/>
      </c>
      <c r="AO405">
        <f>IF(SUMIFS(T_PlannedOrders[EffectiveQty],T_PlannedOrders[Part Name],$A393,T_PlannedOrders[WeekIndex],38)=0,"",SUMIFS(T_PlannedOrders[EffectiveQty],T_PlannedOrders[Part Name],$A393,T_PlannedOrders[WeekIndex],38)&amp;" ("&amp;TEXT(SUMPRODUCT(MAX((T_PlannedOrders[Part Name]=$A393)*(T_PlannedOrders[WeekIndex]=38)*(T_PlannedOrders[EffectiveQty]&gt;0)*T_PlannedOrders[Order_Month])),"m月")&amp;"発注)")</f>
        <v/>
      </c>
      <c r="AP405">
        <f>IF(SUMIFS(T_PlannedOrders[EffectiveQty],T_PlannedOrders[Part Name],$A393,T_PlannedOrders[WeekIndex],39)=0,"",SUMIFS(T_PlannedOrders[EffectiveQty],T_PlannedOrders[Part Name],$A393,T_PlannedOrders[WeekIndex],39)&amp;" ("&amp;TEXT(SUMPRODUCT(MAX((T_PlannedOrders[Part Name]=$A393)*(T_PlannedOrders[WeekIndex]=39)*(T_PlannedOrders[EffectiveQty]&gt;0)*T_PlannedOrders[Order_Month])),"m月")&amp;"発注)")</f>
        <v/>
      </c>
      <c r="AQ405">
        <f>IF(SUMIFS(T_PlannedOrders[EffectiveQty],T_PlannedOrders[Part Name],$A393,T_PlannedOrders[WeekIndex],40)=0,"",SUMIFS(T_PlannedOrders[EffectiveQty],T_PlannedOrders[Part Name],$A393,T_PlannedOrders[WeekIndex],40)&amp;" ("&amp;TEXT(SUMPRODUCT(MAX((T_PlannedOrders[Part Name]=$A393)*(T_PlannedOrders[WeekIndex]=40)*(T_PlannedOrders[EffectiveQty]&gt;0)*T_PlannedOrders[Order_Month])),"m月")&amp;"発注)")</f>
        <v/>
      </c>
      <c r="AR405">
        <f>IF(SUMIFS(T_PlannedOrders[EffectiveQty],T_PlannedOrders[Part Name],$A393,T_PlannedOrders[WeekIndex],41)=0,"",SUMIFS(T_PlannedOrders[EffectiveQty],T_PlannedOrders[Part Name],$A393,T_PlannedOrders[WeekIndex],41)&amp;" ("&amp;TEXT(SUMPRODUCT(MAX((T_PlannedOrders[Part Name]=$A393)*(T_PlannedOrders[WeekIndex]=41)*(T_PlannedOrders[EffectiveQty]&gt;0)*T_PlannedOrders[Order_Month])),"m月")&amp;"発注)")</f>
        <v/>
      </c>
      <c r="AS405">
        <f>IF(SUMIFS(T_PlannedOrders[EffectiveQty],T_PlannedOrders[Part Name],$A393,T_PlannedOrders[WeekIndex],42)=0,"",SUMIFS(T_PlannedOrders[EffectiveQty],T_PlannedOrders[Part Name],$A393,T_PlannedOrders[WeekIndex],42)&amp;" ("&amp;TEXT(SUMPRODUCT(MAX((T_PlannedOrders[Part Name]=$A393)*(T_PlannedOrders[WeekIndex]=42)*(T_PlannedOrders[EffectiveQty]&gt;0)*T_PlannedOrders[Order_Month])),"m月")&amp;"発注)")</f>
        <v/>
      </c>
      <c r="AT405">
        <f>IF(SUMIFS(T_PlannedOrders[EffectiveQty],T_PlannedOrders[Part Name],$A393,T_PlannedOrders[WeekIndex],43)=0,"",SUMIFS(T_PlannedOrders[EffectiveQty],T_PlannedOrders[Part Name],$A393,T_PlannedOrders[WeekIndex],43)&amp;" ("&amp;TEXT(SUMPRODUCT(MAX((T_PlannedOrders[Part Name]=$A393)*(T_PlannedOrders[WeekIndex]=43)*(T_PlannedOrders[EffectiveQty]&gt;0)*T_PlannedOrders[Order_Month])),"m月")&amp;"発注)")</f>
        <v/>
      </c>
      <c r="AU405">
        <f>IF(SUMIFS(T_PlannedOrders[EffectiveQty],T_PlannedOrders[Part Name],$A393,T_PlannedOrders[WeekIndex],44)=0,"",SUMIFS(T_PlannedOrders[EffectiveQty],T_PlannedOrders[Part Name],$A393,T_PlannedOrders[WeekIndex],44)&amp;" ("&amp;TEXT(SUMPRODUCT(MAX((T_PlannedOrders[Part Name]=$A393)*(T_PlannedOrders[WeekIndex]=44)*(T_PlannedOrders[EffectiveQty]&gt;0)*T_PlannedOrders[Order_Month])),"m月")&amp;"発注)")</f>
        <v/>
      </c>
      <c r="AV405">
        <f>IF(SUMIFS(T_PlannedOrders[EffectiveQty],T_PlannedOrders[Part Name],$A393,T_PlannedOrders[WeekIndex],45)=0,"",SUMIFS(T_PlannedOrders[EffectiveQty],T_PlannedOrders[Part Name],$A393,T_PlannedOrders[WeekIndex],45)&amp;" ("&amp;TEXT(SUMPRODUCT(MAX((T_PlannedOrders[Part Name]=$A393)*(T_PlannedOrders[WeekIndex]=45)*(T_PlannedOrders[EffectiveQty]&gt;0)*T_PlannedOrders[Order_Month])),"m月")&amp;"発注)")</f>
        <v/>
      </c>
      <c r="AW405">
        <f>IF(SUMIFS(T_PlannedOrders[EffectiveQty],T_PlannedOrders[Part Name],$A393,T_PlannedOrders[WeekIndex],46)=0,"",SUMIFS(T_PlannedOrders[EffectiveQty],T_PlannedOrders[Part Name],$A393,T_PlannedOrders[WeekIndex],46)&amp;" ("&amp;TEXT(SUMPRODUCT(MAX((T_PlannedOrders[Part Name]=$A393)*(T_PlannedOrders[WeekIndex]=46)*(T_PlannedOrders[EffectiveQty]&gt;0)*T_PlannedOrders[Order_Month])),"m月")&amp;"発注)")</f>
        <v/>
      </c>
      <c r="AX405">
        <f>IF(SUMIFS(T_PlannedOrders[EffectiveQty],T_PlannedOrders[Part Name],$A393,T_PlannedOrders[WeekIndex],47)=0,"",SUMIFS(T_PlannedOrders[EffectiveQty],T_PlannedOrders[Part Name],$A393,T_PlannedOrders[WeekIndex],47)&amp;" ("&amp;TEXT(SUMPRODUCT(MAX((T_PlannedOrders[Part Name]=$A393)*(T_PlannedOrders[WeekIndex]=47)*(T_PlannedOrders[EffectiveQty]&gt;0)*T_PlannedOrders[Order_Month])),"m月")&amp;"発注)")</f>
        <v/>
      </c>
      <c r="AY405">
        <f>IF(SUMIFS(T_PlannedOrders[EffectiveQty],T_PlannedOrders[Part Name],$A393,T_PlannedOrders[WeekIndex],48)=0,"",SUMIFS(T_PlannedOrders[EffectiveQty],T_PlannedOrders[Part Name],$A393,T_PlannedOrders[WeekIndex],48)&amp;" ("&amp;TEXT(SUMPRODUCT(MAX((T_PlannedOrders[Part Name]=$A393)*(T_PlannedOrders[WeekIndex]=48)*(T_PlannedOrders[EffectiveQty]&gt;0)*T_PlannedOrders[Order_Month])),"m月")&amp;"発注)")</f>
        <v/>
      </c>
      <c r="AZ405">
        <f>IF(SUMIFS(T_PlannedOrders[EffectiveQty],T_PlannedOrders[Part Name],$A393,T_PlannedOrders[WeekIndex],49)=0,"",SUMIFS(T_PlannedOrders[EffectiveQty],T_PlannedOrders[Part Name],$A393,T_PlannedOrders[WeekIndex],49)&amp;" ("&amp;TEXT(SUMPRODUCT(MAX((T_PlannedOrders[Part Name]=$A393)*(T_PlannedOrders[WeekIndex]=49)*(T_PlannedOrders[EffectiveQty]&gt;0)*T_PlannedOrders[Order_Month])),"m月")&amp;"発注)")</f>
        <v/>
      </c>
      <c r="BA405">
        <f>IF(SUMIFS(T_PlannedOrders[EffectiveQty],T_PlannedOrders[Part Name],$A393,T_PlannedOrders[WeekIndex],50)=0,"",SUMIFS(T_PlannedOrders[EffectiveQty],T_PlannedOrders[Part Name],$A393,T_PlannedOrders[WeekIndex],50)&amp;" ("&amp;TEXT(SUMPRODUCT(MAX((T_PlannedOrders[Part Name]=$A393)*(T_PlannedOrders[WeekIndex]=50)*(T_PlannedOrders[EffectiveQty]&gt;0)*T_PlannedOrders[Order_Month])),"m月")&amp;"発注)")</f>
        <v/>
      </c>
      <c r="BB405">
        <f>IF(SUMIFS(T_PlannedOrders[EffectiveQty],T_PlannedOrders[Part Name],$A393,T_PlannedOrders[WeekIndex],51)=0,"",SUMIFS(T_PlannedOrders[EffectiveQty],T_PlannedOrders[Part Name],$A393,T_PlannedOrders[WeekIndex],51)&amp;" ("&amp;TEXT(SUMPRODUCT(MAX((T_PlannedOrders[Part Name]=$A393)*(T_PlannedOrders[WeekIndex]=51)*(T_PlannedOrders[EffectiveQty]&gt;0)*T_PlannedOrders[Order_Month])),"m月")&amp;"発注)")</f>
        <v/>
      </c>
      <c r="BC405">
        <f>IF(SUMIFS(T_PlannedOrders[EffectiveQty],T_PlannedOrders[Part Name],$A393,T_PlannedOrders[WeekIndex],52)=0,"",SUMIFS(T_PlannedOrders[EffectiveQty],T_PlannedOrders[Part Name],$A393,T_PlannedOrders[WeekIndex],52)&amp;" ("&amp;TEXT(SUMPRODUCT(MAX((T_PlannedOrders[Part Name]=$A393)*(T_PlannedOrders[WeekIndex]=52)*(T_PlannedOrders[EffectiveQty]&gt;0)*T_PlannedOrders[Order_Month])),"m月")&amp;"発注)")</f>
        <v/>
      </c>
      <c r="BD405">
        <f>IF(SUMIFS(T_PlannedOrders[EffectiveQty],T_PlannedOrders[Part Name],$A393,T_PlannedOrders[WeekIndex],53)=0,"",SUMIFS(T_PlannedOrders[EffectiveQty],T_PlannedOrders[Part Name],$A393,T_PlannedOrders[WeekIndex],53)&amp;" ("&amp;TEXT(SUMPRODUCT(MAX((T_PlannedOrders[Part Name]=$A393)*(T_PlannedOrders[WeekIndex]=53)*(T_PlannedOrders[EffectiveQty]&gt;0)*T_PlannedOrders[Order_Month])),"m月")&amp;"発注)")</f>
        <v/>
      </c>
      <c r="BE405">
        <f>IF(SUMIFS(T_PlannedOrders[EffectiveQty],T_PlannedOrders[Part Name],$A393,T_PlannedOrders[WeekIndex],54)=0,"",SUMIFS(T_PlannedOrders[EffectiveQty],T_PlannedOrders[Part Name],$A393,T_PlannedOrders[WeekIndex],54)&amp;" ("&amp;TEXT(SUMPRODUCT(MAX((T_PlannedOrders[Part Name]=$A393)*(T_PlannedOrders[WeekIndex]=54)*(T_PlannedOrders[EffectiveQty]&gt;0)*T_PlannedOrders[Order_Month])),"m月")&amp;"発注)")</f>
        <v/>
      </c>
      <c r="BF405">
        <f>IF(SUMIFS(T_PlannedOrders[EffectiveQty],T_PlannedOrders[Part Name],$A393,T_PlannedOrders[WeekIndex],55)=0,"",SUMIFS(T_PlannedOrders[EffectiveQty],T_PlannedOrders[Part Name],$A393,T_PlannedOrders[WeekIndex],55)&amp;" ("&amp;TEXT(SUMPRODUCT(MAX((T_PlannedOrders[Part Name]=$A393)*(T_PlannedOrders[WeekIndex]=55)*(T_PlannedOrders[EffectiveQty]&gt;0)*T_PlannedOrders[Order_Month])),"m月")&amp;"発注)")</f>
        <v/>
      </c>
      <c r="BG405">
        <f>IF(SUMIFS(T_PlannedOrders[EffectiveQty],T_PlannedOrders[Part Name],$A393,T_PlannedOrders[WeekIndex],56)=0,"",SUMIFS(T_PlannedOrders[EffectiveQty],T_PlannedOrders[Part Name],$A393,T_PlannedOrders[WeekIndex],56)&amp;" ("&amp;TEXT(SUMPRODUCT(MAX((T_PlannedOrders[Part Name]=$A393)*(T_PlannedOrders[WeekIndex]=56)*(T_PlannedOrders[EffectiveQty]&gt;0)*T_PlannedOrders[Order_Month])),"m月")&amp;"発注)")</f>
        <v/>
      </c>
      <c r="BH405">
        <f>IF(SUMIFS(T_PlannedOrders[EffectiveQty],T_PlannedOrders[Part Name],$A393,T_PlannedOrders[WeekIndex],57)=0,"",SUMIFS(T_PlannedOrders[EffectiveQty],T_PlannedOrders[Part Name],$A393,T_PlannedOrders[WeekIndex],57)&amp;" ("&amp;TEXT(SUMPRODUCT(MAX((T_PlannedOrders[Part Name]=$A393)*(T_PlannedOrders[WeekIndex]=57)*(T_PlannedOrders[EffectiveQty]&gt;0)*T_PlannedOrders[Order_Month])),"m月")&amp;"発注)")</f>
        <v/>
      </c>
      <c r="BI405">
        <f>IF(SUMIFS(T_PlannedOrders[EffectiveQty],T_PlannedOrders[Part Name],$A393,T_PlannedOrders[WeekIndex],58)=0,"",SUMIFS(T_PlannedOrders[EffectiveQty],T_PlannedOrders[Part Name],$A393,T_PlannedOrders[WeekIndex],58)&amp;" ("&amp;TEXT(SUMPRODUCT(MAX((T_PlannedOrders[Part Name]=$A393)*(T_PlannedOrders[WeekIndex]=58)*(T_PlannedOrders[EffectiveQty]&gt;0)*T_PlannedOrders[Order_Month])),"m月")&amp;"発注)")</f>
        <v/>
      </c>
      <c r="BJ405">
        <f>IF(SUMIFS(T_PlannedOrders[EffectiveQty],T_PlannedOrders[Part Name],$A393,T_PlannedOrders[WeekIndex],59)=0,"",SUMIFS(T_PlannedOrders[EffectiveQty],T_PlannedOrders[Part Name],$A393,T_PlannedOrders[WeekIndex],59)&amp;" ("&amp;TEXT(SUMPRODUCT(MAX((T_PlannedOrders[Part Name]=$A393)*(T_PlannedOrders[WeekIndex]=59)*(T_PlannedOrders[EffectiveQty]&gt;0)*T_PlannedOrders[Order_Month])),"m月")&amp;"発注)")</f>
        <v/>
      </c>
      <c r="BK405">
        <f>IF(SUMIFS(T_PlannedOrders[EffectiveQty],T_PlannedOrders[Part Name],$A393,T_PlannedOrders[WeekIndex],60)=0,"",SUMIFS(T_PlannedOrders[EffectiveQty],T_PlannedOrders[Part Name],$A393,T_PlannedOrders[WeekIndex],60)&amp;" ("&amp;TEXT(SUMPRODUCT(MAX((T_PlannedOrders[Part Name]=$A393)*(T_PlannedOrders[WeekIndex]=60)*(T_PlannedOrders[EffectiveQty]&gt;0)*T_PlannedOrders[Order_Month])),"m月")&amp;"発注)")</f>
        <v/>
      </c>
      <c r="BL405">
        <f>IF(SUMIFS(T_PlannedOrders[EffectiveQty],T_PlannedOrders[Part Name],$A393,T_PlannedOrders[WeekIndex],61)=0,"",SUMIFS(T_PlannedOrders[EffectiveQty],T_PlannedOrders[Part Name],$A393,T_PlannedOrders[WeekIndex],61)&amp;" ("&amp;TEXT(SUMPRODUCT(MAX((T_PlannedOrders[Part Name]=$A393)*(T_PlannedOrders[WeekIndex]=61)*(T_PlannedOrders[EffectiveQty]&gt;0)*T_PlannedOrders[Order_Month])),"m月")&amp;"発注)")</f>
        <v/>
      </c>
      <c r="BM405">
        <f>IF(SUMIFS(T_PlannedOrders[EffectiveQty],T_PlannedOrders[Part Name],$A393,T_PlannedOrders[WeekIndex],62)=0,"",SUMIFS(T_PlannedOrders[EffectiveQty],T_PlannedOrders[Part Name],$A393,T_PlannedOrders[WeekIndex],62)&amp;" ("&amp;TEXT(SUMPRODUCT(MAX((T_PlannedOrders[Part Name]=$A393)*(T_PlannedOrders[WeekIndex]=62)*(T_PlannedOrders[EffectiveQty]&gt;0)*T_PlannedOrders[Order_Month])),"m月")&amp;"発注)")</f>
        <v/>
      </c>
      <c r="BN405">
        <f>IF(SUMIFS(T_PlannedOrders[EffectiveQty],T_PlannedOrders[Part Name],$A393,T_PlannedOrders[WeekIndex],63)=0,"",SUMIFS(T_PlannedOrders[EffectiveQty],T_PlannedOrders[Part Name],$A393,T_PlannedOrders[WeekIndex],63)&amp;" ("&amp;TEXT(SUMPRODUCT(MAX((T_PlannedOrders[Part Name]=$A393)*(T_PlannedOrders[WeekIndex]=63)*(T_PlannedOrders[EffectiveQty]&gt;0)*T_PlannedOrders[Order_Month])),"m月")&amp;"発注)")</f>
        <v/>
      </c>
      <c r="BO405">
        <f>IF(SUMIFS(T_PlannedOrders[EffectiveQty],T_PlannedOrders[Part Name],$A393,T_PlannedOrders[WeekIndex],64)=0,"",SUMIFS(T_PlannedOrders[EffectiveQty],T_PlannedOrders[Part Name],$A393,T_PlannedOrders[WeekIndex],64)&amp;" ("&amp;TEXT(SUMPRODUCT(MAX((T_PlannedOrders[Part Name]=$A393)*(T_PlannedOrders[WeekIndex]=64)*(T_PlannedOrders[EffectiveQty]&gt;0)*T_PlannedOrders[Order_Month])),"m月")&amp;"発注)")</f>
        <v/>
      </c>
      <c r="BP405">
        <f>IF(SUMIFS(T_PlannedOrders[EffectiveQty],T_PlannedOrders[Part Name],$A393,T_PlannedOrders[WeekIndex],65)=0,"",SUMIFS(T_PlannedOrders[EffectiveQty],T_PlannedOrders[Part Name],$A393,T_PlannedOrders[WeekIndex],65)&amp;" ("&amp;TEXT(SUMPRODUCT(MAX((T_PlannedOrders[Part Name]=$A393)*(T_PlannedOrders[WeekIndex]=65)*(T_PlannedOrders[EffectiveQty]&gt;0)*T_PlannedOrders[Order_Month])),"m月")&amp;"発注)")</f>
        <v/>
      </c>
      <c r="BQ405">
        <f>IF(SUMIFS(T_PlannedOrders[EffectiveQty],T_PlannedOrders[Part Name],$A393,T_PlannedOrders[WeekIndex],66)=0,"",SUMIFS(T_PlannedOrders[EffectiveQty],T_PlannedOrders[Part Name],$A393,T_PlannedOrders[WeekIndex],66)&amp;" ("&amp;TEXT(SUMPRODUCT(MAX((T_PlannedOrders[Part Name]=$A393)*(T_PlannedOrders[WeekIndex]=66)*(T_PlannedOrders[EffectiveQty]&gt;0)*T_PlannedOrders[Order_Month])),"m月")&amp;"発注)")</f>
        <v/>
      </c>
      <c r="BR405">
        <f>IF(SUMIFS(T_PlannedOrders[EffectiveQty],T_PlannedOrders[Part Name],$A393,T_PlannedOrders[WeekIndex],67)=0,"",SUMIFS(T_PlannedOrders[EffectiveQty],T_PlannedOrders[Part Name],$A393,T_PlannedOrders[WeekIndex],67)&amp;" ("&amp;TEXT(SUMPRODUCT(MAX((T_PlannedOrders[Part Name]=$A393)*(T_PlannedOrders[WeekIndex]=67)*(T_PlannedOrders[EffectiveQty]&gt;0)*T_PlannedOrders[Order_Month])),"m月")&amp;"発注)")</f>
        <v/>
      </c>
      <c r="BS405">
        <f>IF(SUMIFS(T_PlannedOrders[EffectiveQty],T_PlannedOrders[Part Name],$A393,T_PlannedOrders[WeekIndex],68)=0,"",SUMIFS(T_PlannedOrders[EffectiveQty],T_PlannedOrders[Part Name],$A393,T_PlannedOrders[WeekIndex],68)&amp;" ("&amp;TEXT(SUMPRODUCT(MAX((T_PlannedOrders[Part Name]=$A393)*(T_PlannedOrders[WeekIndex]=68)*(T_PlannedOrders[EffectiveQty]&gt;0)*T_PlannedOrders[Order_Month])),"m月")&amp;"発注)")</f>
        <v/>
      </c>
      <c r="BT405">
        <f>IF(SUMIFS(T_PlannedOrders[EffectiveQty],T_PlannedOrders[Part Name],$A393,T_PlannedOrders[WeekIndex],69)=0,"",SUMIFS(T_PlannedOrders[EffectiveQty],T_PlannedOrders[Part Name],$A393,T_PlannedOrders[WeekIndex],69)&amp;" ("&amp;TEXT(SUMPRODUCT(MAX((T_PlannedOrders[Part Name]=$A393)*(T_PlannedOrders[WeekIndex]=69)*(T_PlannedOrders[EffectiveQty]&gt;0)*T_PlannedOrders[Order_Month])),"m月")&amp;"発注)")</f>
        <v/>
      </c>
      <c r="BU405">
        <f>IF(SUMIFS(T_PlannedOrders[EffectiveQty],T_PlannedOrders[Part Name],$A393,T_PlannedOrders[WeekIndex],70)=0,"",SUMIFS(T_PlannedOrders[EffectiveQty],T_PlannedOrders[Part Name],$A393,T_PlannedOrders[WeekIndex],70)&amp;" ("&amp;TEXT(SUMPRODUCT(MAX((T_PlannedOrders[Part Name]=$A393)*(T_PlannedOrders[WeekIndex]=70)*(T_PlannedOrders[EffectiveQty]&gt;0)*T_PlannedOrders[Order_Month])),"m月")&amp;"発注)")</f>
        <v/>
      </c>
      <c r="BV405">
        <f>IF(SUMIFS(T_PlannedOrders[EffectiveQty],T_PlannedOrders[Part Name],$A393,T_PlannedOrders[WeekIndex],71)=0,"",SUMIFS(T_PlannedOrders[EffectiveQty],T_PlannedOrders[Part Name],$A393,T_PlannedOrders[WeekIndex],71)&amp;" ("&amp;TEXT(SUMPRODUCT(MAX((T_PlannedOrders[Part Name]=$A393)*(T_PlannedOrders[WeekIndex]=71)*(T_PlannedOrders[EffectiveQty]&gt;0)*T_PlannedOrders[Order_Month])),"m月")&amp;"発注)")</f>
        <v/>
      </c>
      <c r="BW405">
        <f>IF(SUMIFS(T_PlannedOrders[EffectiveQty],T_PlannedOrders[Part Name],$A393,T_PlannedOrders[WeekIndex],72)=0,"",SUMIFS(T_PlannedOrders[EffectiveQty],T_PlannedOrders[Part Name],$A393,T_PlannedOrders[WeekIndex],72)&amp;" ("&amp;TEXT(SUMPRODUCT(MAX((T_PlannedOrders[Part Name]=$A393)*(T_PlannedOrders[WeekIndex]=72)*(T_PlannedOrders[EffectiveQty]&gt;0)*T_PlannedOrders[Order_Month])),"m月")&amp;"発注)")</f>
        <v/>
      </c>
      <c r="BX405">
        <f>IF(SUMIFS(T_PlannedOrders[EffectiveQty],T_PlannedOrders[Part Name],$A393,T_PlannedOrders[WeekIndex],73)=0,"",SUMIFS(T_PlannedOrders[EffectiveQty],T_PlannedOrders[Part Name],$A393,T_PlannedOrders[WeekIndex],73)&amp;" ("&amp;TEXT(SUMPRODUCT(MAX((T_PlannedOrders[Part Name]=$A393)*(T_PlannedOrders[WeekIndex]=73)*(T_PlannedOrders[EffectiveQty]&gt;0)*T_PlannedOrders[Order_Month])),"m月")&amp;"発注)")</f>
        <v/>
      </c>
      <c r="BY405">
        <f>IF(SUMIFS(T_PlannedOrders[EffectiveQty],T_PlannedOrders[Part Name],$A393,T_PlannedOrders[WeekIndex],74)=0,"",SUMIFS(T_PlannedOrders[EffectiveQty],T_PlannedOrders[Part Name],$A393,T_PlannedOrders[WeekIndex],74)&amp;" ("&amp;TEXT(SUMPRODUCT(MAX((T_PlannedOrders[Part Name]=$A393)*(T_PlannedOrders[WeekIndex]=74)*(T_PlannedOrders[EffectiveQty]&gt;0)*T_PlannedOrders[Order_Month])),"m月")&amp;"発注)")</f>
        <v/>
      </c>
      <c r="BZ405">
        <f>IF(SUMIFS(T_PlannedOrders[EffectiveQty],T_PlannedOrders[Part Name],$A393,T_PlannedOrders[WeekIndex],75)=0,"",SUMIFS(T_PlannedOrders[EffectiveQty],T_PlannedOrders[Part Name],$A393,T_PlannedOrders[WeekIndex],75)&amp;" ("&amp;TEXT(SUMPRODUCT(MAX((T_PlannedOrders[Part Name]=$A393)*(T_PlannedOrders[WeekIndex]=75)*(T_PlannedOrders[EffectiveQty]&gt;0)*T_PlannedOrders[Order_Month])),"m月")&amp;"発注)")</f>
        <v/>
      </c>
      <c r="CA405">
        <f>IF(SUMIFS(T_PlannedOrders[EffectiveQty],T_PlannedOrders[Part Name],$A393,T_PlannedOrders[WeekIndex],76)=0,"",SUMIFS(T_PlannedOrders[EffectiveQty],T_PlannedOrders[Part Name],$A393,T_PlannedOrders[WeekIndex],76)&amp;" ("&amp;TEXT(SUMPRODUCT(MAX((T_PlannedOrders[Part Name]=$A393)*(T_PlannedOrders[WeekIndex]=76)*(T_PlannedOrders[EffectiveQty]&gt;0)*T_PlannedOrders[Order_Month])),"m月")&amp;"発注)")</f>
        <v/>
      </c>
      <c r="CB405">
        <f>IF(SUMIFS(T_PlannedOrders[EffectiveQty],T_PlannedOrders[Part Name],$A393,T_PlannedOrders[WeekIndex],77)=0,"",SUMIFS(T_PlannedOrders[EffectiveQty],T_PlannedOrders[Part Name],$A393,T_PlannedOrders[WeekIndex],77)&amp;" ("&amp;TEXT(SUMPRODUCT(MAX((T_PlannedOrders[Part Name]=$A393)*(T_PlannedOrders[WeekIndex]=77)*(T_PlannedOrders[EffectiveQty]&gt;0)*T_PlannedOrders[Order_Month])),"m月")&amp;"発注)")</f>
        <v/>
      </c>
      <c r="CC405">
        <f>IF(SUMIFS(T_PlannedOrders[EffectiveQty],T_PlannedOrders[Part Name],$A393,T_PlannedOrders[WeekIndex],78)=0,"",SUMIFS(T_PlannedOrders[EffectiveQty],T_PlannedOrders[Part Name],$A393,T_PlannedOrders[WeekIndex],78)&amp;" ("&amp;TEXT(SUMPRODUCT(MAX((T_PlannedOrders[Part Name]=$A393)*(T_PlannedOrders[WeekIndex]=78)*(T_PlannedOrders[EffectiveQty]&gt;0)*T_PlannedOrders[Order_Month])),"m月")&amp;"発注)")</f>
        <v/>
      </c>
      <c r="CD405">
        <f>IF(SUMIFS(T_PlannedOrders[EffectiveQty],T_PlannedOrders[Part Name],$A393,T_PlannedOrders[WeekIndex],79)=0,"",SUMIFS(T_PlannedOrders[EffectiveQty],T_PlannedOrders[Part Name],$A393,T_PlannedOrders[WeekIndex],79)&amp;" ("&amp;TEXT(SUMPRODUCT(MAX((T_PlannedOrders[Part Name]=$A393)*(T_PlannedOrders[WeekIndex]=79)*(T_PlannedOrders[EffectiveQty]&gt;0)*T_PlannedOrders[Order_Month])),"m月")&amp;"発注)")</f>
        <v/>
      </c>
      <c r="CE405">
        <f>IF(SUMIFS(T_PlannedOrders[EffectiveQty],T_PlannedOrders[Part Name],$A393,T_PlannedOrders[WeekIndex],80)=0,"",SUMIFS(T_PlannedOrders[EffectiveQty],T_PlannedOrders[Part Name],$A393,T_PlannedOrders[WeekIndex],80)&amp;" ("&amp;TEXT(SUMPRODUCT(MAX((T_PlannedOrders[Part Name]=$A393)*(T_PlannedOrders[WeekIndex]=80)*(T_PlannedOrders[EffectiveQty]&gt;0)*T_PlannedOrders[Order_Month])),"m月")&amp;"発注)")</f>
        <v/>
      </c>
      <c r="CF405">
        <f>IF(SUMIFS(T_PlannedOrders[EffectiveQty],T_PlannedOrders[Part Name],$A393,T_PlannedOrders[WeekIndex],81)=0,"",SUMIFS(T_PlannedOrders[EffectiveQty],T_PlannedOrders[Part Name],$A393,T_PlannedOrders[WeekIndex],81)&amp;" ("&amp;TEXT(SUMPRODUCT(MAX((T_PlannedOrders[Part Name]=$A393)*(T_PlannedOrders[WeekIndex]=81)*(T_PlannedOrders[EffectiveQty]&gt;0)*T_PlannedOrders[Order_Month])),"m月")&amp;"発注)")</f>
        <v/>
      </c>
      <c r="CG405">
        <f>IF(SUMIFS(T_PlannedOrders[EffectiveQty],T_PlannedOrders[Part Name],$A393,T_PlannedOrders[WeekIndex],82)=0,"",SUMIFS(T_PlannedOrders[EffectiveQty],T_PlannedOrders[Part Name],$A393,T_PlannedOrders[WeekIndex],82)&amp;" ("&amp;TEXT(SUMPRODUCT(MAX((T_PlannedOrders[Part Name]=$A393)*(T_PlannedOrders[WeekIndex]=82)*(T_PlannedOrders[EffectiveQty]&gt;0)*T_PlannedOrders[Order_Month])),"m月")&amp;"発注)")</f>
        <v/>
      </c>
      <c r="CH405">
        <f>IF(SUMIFS(T_PlannedOrders[EffectiveQty],T_PlannedOrders[Part Name],$A393,T_PlannedOrders[WeekIndex],83)=0,"",SUMIFS(T_PlannedOrders[EffectiveQty],T_PlannedOrders[Part Name],$A393,T_PlannedOrders[WeekIndex],83)&amp;" ("&amp;TEXT(SUMPRODUCT(MAX((T_PlannedOrders[Part Name]=$A393)*(T_PlannedOrders[WeekIndex]=83)*(T_PlannedOrders[EffectiveQty]&gt;0)*T_PlannedOrders[Order_Month])),"m月")&amp;"発注)")</f>
        <v/>
      </c>
      <c r="CI405">
        <f>IF(SUMIFS(T_PlannedOrders[EffectiveQty],T_PlannedOrders[Part Name],$A393,T_PlannedOrders[WeekIndex],84)=0,"",SUMIFS(T_PlannedOrders[EffectiveQty],T_PlannedOrders[Part Name],$A393,T_PlannedOrders[WeekIndex],84)&amp;" ("&amp;TEXT(SUMPRODUCT(MAX((T_PlannedOrders[Part Name]=$A393)*(T_PlannedOrders[WeekIndex]=84)*(T_PlannedOrders[EffectiveQty]&gt;0)*T_PlannedOrders[Order_Month])),"m月")&amp;"発注)")</f>
        <v/>
      </c>
      <c r="CJ405">
        <f>IF(SUMIFS(T_PlannedOrders[EffectiveQty],T_PlannedOrders[Part Name],$A393,T_PlannedOrders[WeekIndex],85)=0,"",SUMIFS(T_PlannedOrders[EffectiveQty],T_PlannedOrders[Part Name],$A393,T_PlannedOrders[WeekIndex],85)&amp;" ("&amp;TEXT(SUMPRODUCT(MAX((T_PlannedOrders[Part Name]=$A393)*(T_PlannedOrders[WeekIndex]=85)*(T_PlannedOrders[EffectiveQty]&gt;0)*T_PlannedOrders[Order_Month])),"m月")&amp;"発注)")</f>
        <v/>
      </c>
      <c r="CK405">
        <f>IF(SUMIFS(T_PlannedOrders[EffectiveQty],T_PlannedOrders[Part Name],$A393,T_PlannedOrders[WeekIndex],86)=0,"",SUMIFS(T_PlannedOrders[EffectiveQty],T_PlannedOrders[Part Name],$A393,T_PlannedOrders[WeekIndex],86)&amp;" ("&amp;TEXT(SUMPRODUCT(MAX((T_PlannedOrders[Part Name]=$A393)*(T_PlannedOrders[WeekIndex]=86)*(T_PlannedOrders[EffectiveQty]&gt;0)*T_PlannedOrders[Order_Month])),"m月")&amp;"発注)")</f>
        <v/>
      </c>
      <c r="CL405">
        <f>IF(SUMIFS(T_PlannedOrders[EffectiveQty],T_PlannedOrders[Part Name],$A393,T_PlannedOrders[WeekIndex],87)=0,"",SUMIFS(T_PlannedOrders[EffectiveQty],T_PlannedOrders[Part Name],$A393,T_PlannedOrders[WeekIndex],87)&amp;" ("&amp;TEXT(SUMPRODUCT(MAX((T_PlannedOrders[Part Name]=$A393)*(T_PlannedOrders[WeekIndex]=87)*(T_PlannedOrders[EffectiveQty]&gt;0)*T_PlannedOrders[Order_Month])),"m月")&amp;"発注)")</f>
        <v/>
      </c>
      <c r="CM405">
        <f>IF(SUMIFS(T_PlannedOrders[EffectiveQty],T_PlannedOrders[Part Name],$A393,T_PlannedOrders[WeekIndex],88)=0,"",SUMIFS(T_PlannedOrders[EffectiveQty],T_PlannedOrders[Part Name],$A393,T_PlannedOrders[WeekIndex],88)&amp;" ("&amp;TEXT(SUMPRODUCT(MAX((T_PlannedOrders[Part Name]=$A393)*(T_PlannedOrders[WeekIndex]=88)*(T_PlannedOrders[EffectiveQty]&gt;0)*T_PlannedOrders[Order_Month])),"m月")&amp;"発注)")</f>
        <v/>
      </c>
      <c r="CN405">
        <f>IF(SUMIFS(T_PlannedOrders[EffectiveQty],T_PlannedOrders[Part Name],$A393,T_PlannedOrders[WeekIndex],89)=0,"",SUMIFS(T_PlannedOrders[EffectiveQty],T_PlannedOrders[Part Name],$A393,T_PlannedOrders[WeekIndex],89)&amp;" ("&amp;TEXT(SUMPRODUCT(MAX((T_PlannedOrders[Part Name]=$A393)*(T_PlannedOrders[WeekIndex]=89)*(T_PlannedOrders[EffectiveQty]&gt;0)*T_PlannedOrders[Order_Month])),"m月")&amp;"発注)")</f>
        <v/>
      </c>
      <c r="CO405">
        <f>IF(SUMIFS(T_PlannedOrders[EffectiveQty],T_PlannedOrders[Part Name],$A393,T_PlannedOrders[WeekIndex],90)=0,"",SUMIFS(T_PlannedOrders[EffectiveQty],T_PlannedOrders[Part Name],$A393,T_PlannedOrders[WeekIndex],90)&amp;" ("&amp;TEXT(SUMPRODUCT(MAX((T_PlannedOrders[Part Name]=$A393)*(T_PlannedOrders[WeekIndex]=90)*(T_PlannedOrders[EffectiveQty]&gt;0)*T_PlannedOrders[Order_Month])),"m月")&amp;"発注)")</f>
        <v/>
      </c>
      <c r="CP405">
        <f>IF(SUMIFS(T_PlannedOrders[EffectiveQty],T_PlannedOrders[Part Name],$A393,T_PlannedOrders[WeekIndex],91)=0,"",SUMIFS(T_PlannedOrders[EffectiveQty],T_PlannedOrders[Part Name],$A393,T_PlannedOrders[WeekIndex],91)&amp;" ("&amp;TEXT(SUMPRODUCT(MAX((T_PlannedOrders[Part Name]=$A393)*(T_PlannedOrders[WeekIndex]=91)*(T_PlannedOrders[EffectiveQty]&gt;0)*T_PlannedOrders[Order_Month])),"m月")&amp;"発注)")</f>
        <v/>
      </c>
      <c r="CQ405">
        <f>IF(SUMIFS(T_PlannedOrders[EffectiveQty],T_PlannedOrders[Part Name],$A393,T_PlannedOrders[WeekIndex],92)=0,"",SUMIFS(T_PlannedOrders[EffectiveQty],T_PlannedOrders[Part Name],$A393,T_PlannedOrders[WeekIndex],92)&amp;" ("&amp;TEXT(SUMPRODUCT(MAX((T_PlannedOrders[Part Name]=$A393)*(T_PlannedOrders[WeekIndex]=92)*(T_PlannedOrders[EffectiveQty]&gt;0)*T_PlannedOrders[Order_Month])),"m月")&amp;"発注)")</f>
        <v/>
      </c>
      <c r="CR405">
        <f>IF(SUMIFS(T_PlannedOrders[EffectiveQty],T_PlannedOrders[Part Name],$A393,T_PlannedOrders[WeekIndex],93)=0,"",SUMIFS(T_PlannedOrders[EffectiveQty],T_PlannedOrders[Part Name],$A393,T_PlannedOrders[WeekIndex],93)&amp;" ("&amp;TEXT(SUMPRODUCT(MAX((T_PlannedOrders[Part Name]=$A393)*(T_PlannedOrders[WeekIndex]=93)*(T_PlannedOrders[EffectiveQty]&gt;0)*T_PlannedOrders[Order_Month])),"m月")&amp;"発注)")</f>
        <v/>
      </c>
      <c r="CS405">
        <f>IF(SUMIFS(T_PlannedOrders[EffectiveQty],T_PlannedOrders[Part Name],$A393,T_PlannedOrders[WeekIndex],94)=0,"",SUMIFS(T_PlannedOrders[EffectiveQty],T_PlannedOrders[Part Name],$A393,T_PlannedOrders[WeekIndex],94)&amp;" ("&amp;TEXT(SUMPRODUCT(MAX((T_PlannedOrders[Part Name]=$A393)*(T_PlannedOrders[WeekIndex]=94)*(T_PlannedOrders[EffectiveQty]&gt;0)*T_PlannedOrders[Order_Month])),"m月")&amp;"発注)")</f>
        <v/>
      </c>
      <c r="CT405">
        <f>IF(SUMIFS(T_PlannedOrders[EffectiveQty],T_PlannedOrders[Part Name],$A393,T_PlannedOrders[WeekIndex],95)=0,"",SUMIFS(T_PlannedOrders[EffectiveQty],T_PlannedOrders[Part Name],$A393,T_PlannedOrders[WeekIndex],95)&amp;" ("&amp;TEXT(SUMPRODUCT(MAX((T_PlannedOrders[Part Name]=$A393)*(T_PlannedOrders[WeekIndex]=95)*(T_PlannedOrders[EffectiveQty]&gt;0)*T_PlannedOrders[Order_Month])),"m月")&amp;"発注)")</f>
        <v/>
      </c>
      <c r="CU405">
        <f>IF(SUMIFS(T_PlannedOrders[EffectiveQty],T_PlannedOrders[Part Name],$A393,T_PlannedOrders[WeekIndex],96)=0,"",SUMIFS(T_PlannedOrders[EffectiveQty],T_PlannedOrders[Part Name],$A393,T_PlannedOrders[WeekIndex],96)&amp;" ("&amp;TEXT(SUMPRODUCT(MAX((T_PlannedOrders[Part Name]=$A393)*(T_PlannedOrders[WeekIndex]=96)*(T_PlannedOrders[EffectiveQty]&gt;0)*T_PlannedOrders[Order_Month])),"m月")&amp;"発注)")</f>
        <v/>
      </c>
      <c r="CV405">
        <f>IF(SUMIFS(T_PlannedOrders[EffectiveQty],T_PlannedOrders[Part Name],$A393,T_PlannedOrders[WeekIndex],97)=0,"",SUMIFS(T_PlannedOrders[EffectiveQty],T_PlannedOrders[Part Name],$A393,T_PlannedOrders[WeekIndex],97)&amp;" ("&amp;TEXT(SUMPRODUCT(MAX((T_PlannedOrders[Part Name]=$A393)*(T_PlannedOrders[WeekIndex]=97)*(T_PlannedOrders[EffectiveQty]&gt;0)*T_PlannedOrders[Order_Month])),"m月")&amp;"発注)")</f>
        <v/>
      </c>
      <c r="CW405">
        <f>IF(SUMIFS(T_PlannedOrders[EffectiveQty],T_PlannedOrders[Part Name],$A393,T_PlannedOrders[WeekIndex],98)=0,"",SUMIFS(T_PlannedOrders[EffectiveQty],T_PlannedOrders[Part Name],$A393,T_PlannedOrders[WeekIndex],98)&amp;" ("&amp;TEXT(SUMPRODUCT(MAX((T_PlannedOrders[Part Name]=$A393)*(T_PlannedOrders[WeekIndex]=98)*(T_PlannedOrders[EffectiveQty]&gt;0)*T_PlannedOrders[Order_Month])),"m月")&amp;"発注)")</f>
        <v/>
      </c>
      <c r="CX405">
        <f>IF(SUMIFS(T_PlannedOrders[EffectiveQty],T_PlannedOrders[Part Name],$A393,T_PlannedOrders[WeekIndex],99)=0,"",SUMIFS(T_PlannedOrders[EffectiveQty],T_PlannedOrders[Part Name],$A393,T_PlannedOrders[WeekIndex],99)&amp;" ("&amp;TEXT(SUMPRODUCT(MAX((T_PlannedOrders[Part Name]=$A393)*(T_PlannedOrders[WeekIndex]=99)*(T_PlannedOrders[EffectiveQty]&gt;0)*T_PlannedOrders[Order_Month])),"m月")&amp;"発注)")</f>
        <v/>
      </c>
      <c r="CY405">
        <f>IF(SUMIFS(T_PlannedOrders[EffectiveQty],T_PlannedOrders[Part Name],$A393,T_PlannedOrders[WeekIndex],100)=0,"",SUMIFS(T_PlannedOrders[EffectiveQty],T_PlannedOrders[Part Name],$A393,T_PlannedOrders[WeekIndex],100)&amp;" ("&amp;TEXT(SUMPRODUCT(MAX((T_PlannedOrders[Part Name]=$A393)*(T_PlannedOrders[WeekIndex]=100)*(T_PlannedOrders[EffectiveQty]&gt;0)*T_PlannedOrders[Order_Month])),"m月")&amp;"発注)")</f>
        <v/>
      </c>
      <c r="CZ405">
        <f>IF(SUMIFS(T_PlannedOrders[EffectiveQty],T_PlannedOrders[Part Name],$A393,T_PlannedOrders[WeekIndex],101)=0,"",SUMIFS(T_PlannedOrders[EffectiveQty],T_PlannedOrders[Part Name],$A393,T_PlannedOrders[WeekIndex],101)&amp;" ("&amp;TEXT(SUMPRODUCT(MAX((T_PlannedOrders[Part Name]=$A393)*(T_PlannedOrders[WeekIndex]=101)*(T_PlannedOrders[EffectiveQty]&gt;0)*T_PlannedOrders[Order_Month])),"m月")&amp;"発注)")</f>
        <v/>
      </c>
      <c r="DA405">
        <f>IF(SUMIFS(T_PlannedOrders[EffectiveQty],T_PlannedOrders[Part Name],$A393,T_PlannedOrders[WeekIndex],102)=0,"",SUMIFS(T_PlannedOrders[EffectiveQty],T_PlannedOrders[Part Name],$A393,T_PlannedOrders[WeekIndex],102)&amp;" ("&amp;TEXT(SUMPRODUCT(MAX((T_PlannedOrders[Part Name]=$A393)*(T_PlannedOrders[WeekIndex]=102)*(T_PlannedOrders[EffectiveQty]&gt;0)*T_PlannedOrders[Order_Month])),"m月")&amp;"発注)")</f>
        <v/>
      </c>
      <c r="DB405">
        <f>IF(SUMIFS(T_PlannedOrders[EffectiveQty],T_PlannedOrders[Part Name],$A393,T_PlannedOrders[WeekIndex],103)=0,"",SUMIFS(T_PlannedOrders[EffectiveQty],T_PlannedOrders[Part Name],$A393,T_PlannedOrders[WeekIndex],103)&amp;" ("&amp;TEXT(SUMPRODUCT(MAX((T_PlannedOrders[Part Name]=$A393)*(T_PlannedOrders[WeekIndex]=103)*(T_PlannedOrders[EffectiveQty]&gt;0)*T_PlannedOrders[Order_Month])),"m月")&amp;"発注)")</f>
        <v/>
      </c>
      <c r="DC405">
        <f>IF(SUMIFS(T_PlannedOrders[EffectiveQty],T_PlannedOrders[Part Name],$A393,T_PlannedOrders[WeekIndex],104)=0,"",SUMIFS(T_PlannedOrders[EffectiveQty],T_PlannedOrders[Part Name],$A393,T_PlannedOrders[WeekIndex],104)&amp;" ("&amp;TEXT(SUMPRODUCT(MAX((T_PlannedOrders[Part Name]=$A393)*(T_PlannedOrders[WeekIndex]=104)*(T_PlannedOrders[EffectiveQty]&gt;0)*T_PlannedOrders[Order_Month])),"m月")&amp;"発注)")</f>
        <v/>
      </c>
    </row>
    <row r="406">
      <c r="B406" s="5" t="inlineStr">
        <is>
          <t>合計在庫(週末時点,kg)</t>
        </is>
      </c>
      <c r="D406">
        <f>'Grid_Stock'!B29</f>
        <v/>
      </c>
      <c r="E406">
        <f>'Grid_Stock'!C29</f>
        <v/>
      </c>
      <c r="F406">
        <f>'Grid_Stock'!D29</f>
        <v/>
      </c>
      <c r="G406">
        <f>'Grid_Stock'!E29</f>
        <v/>
      </c>
      <c r="H406">
        <f>'Grid_Stock'!F29</f>
        <v/>
      </c>
      <c r="I406">
        <f>'Grid_Stock'!G29</f>
        <v/>
      </c>
      <c r="J406">
        <f>'Grid_Stock'!H29</f>
        <v/>
      </c>
      <c r="K406">
        <f>'Grid_Stock'!I29</f>
        <v/>
      </c>
      <c r="L406">
        <f>'Grid_Stock'!J29</f>
        <v/>
      </c>
      <c r="M406">
        <f>'Grid_Stock'!K29</f>
        <v/>
      </c>
      <c r="N406">
        <f>'Grid_Stock'!L29</f>
        <v/>
      </c>
      <c r="O406">
        <f>'Grid_Stock'!M29</f>
        <v/>
      </c>
      <c r="P406">
        <f>'Grid_Stock'!N29</f>
        <v/>
      </c>
      <c r="Q406">
        <f>'Grid_Stock'!O29</f>
        <v/>
      </c>
      <c r="R406">
        <f>'Grid_Stock'!P29</f>
        <v/>
      </c>
      <c r="S406">
        <f>'Grid_Stock'!Q29</f>
        <v/>
      </c>
      <c r="T406">
        <f>'Grid_Stock'!R29</f>
        <v/>
      </c>
      <c r="U406">
        <f>'Grid_Stock'!S29</f>
        <v/>
      </c>
      <c r="V406">
        <f>'Grid_Stock'!T29</f>
        <v/>
      </c>
      <c r="W406">
        <f>'Grid_Stock'!U29</f>
        <v/>
      </c>
      <c r="X406">
        <f>'Grid_Stock'!V29</f>
        <v/>
      </c>
      <c r="Y406">
        <f>'Grid_Stock'!W29</f>
        <v/>
      </c>
      <c r="Z406">
        <f>'Grid_Stock'!X29</f>
        <v/>
      </c>
      <c r="AA406">
        <f>'Grid_Stock'!Y29</f>
        <v/>
      </c>
      <c r="AB406">
        <f>'Grid_Stock'!Z29</f>
        <v/>
      </c>
      <c r="AC406">
        <f>'Grid_Stock'!AA29</f>
        <v/>
      </c>
      <c r="AD406">
        <f>'Grid_Stock'!AB29</f>
        <v/>
      </c>
      <c r="AE406">
        <f>'Grid_Stock'!AC29</f>
        <v/>
      </c>
      <c r="AF406">
        <f>'Grid_Stock'!AD29</f>
        <v/>
      </c>
      <c r="AG406">
        <f>'Grid_Stock'!AE29</f>
        <v/>
      </c>
      <c r="AH406">
        <f>'Grid_Stock'!AF29</f>
        <v/>
      </c>
      <c r="AI406">
        <f>'Grid_Stock'!AG29</f>
        <v/>
      </c>
      <c r="AJ406">
        <f>'Grid_Stock'!AH29</f>
        <v/>
      </c>
      <c r="AK406">
        <f>'Grid_Stock'!AI29</f>
        <v/>
      </c>
      <c r="AL406">
        <f>'Grid_Stock'!AJ29</f>
        <v/>
      </c>
      <c r="AM406">
        <f>'Grid_Stock'!AK29</f>
        <v/>
      </c>
      <c r="AN406">
        <f>'Grid_Stock'!AL29</f>
        <v/>
      </c>
      <c r="AO406">
        <f>'Grid_Stock'!AM29</f>
        <v/>
      </c>
      <c r="AP406">
        <f>'Grid_Stock'!AN29</f>
        <v/>
      </c>
      <c r="AQ406">
        <f>'Grid_Stock'!AO29</f>
        <v/>
      </c>
      <c r="AR406">
        <f>'Grid_Stock'!AP29</f>
        <v/>
      </c>
      <c r="AS406">
        <f>'Grid_Stock'!AQ29</f>
        <v/>
      </c>
      <c r="AT406">
        <f>'Grid_Stock'!AR29</f>
        <v/>
      </c>
      <c r="AU406">
        <f>'Grid_Stock'!AS29</f>
        <v/>
      </c>
      <c r="AV406">
        <f>'Grid_Stock'!AT29</f>
        <v/>
      </c>
      <c r="AW406">
        <f>'Grid_Stock'!AU29</f>
        <v/>
      </c>
      <c r="AX406">
        <f>'Grid_Stock'!AV29</f>
        <v/>
      </c>
      <c r="AY406">
        <f>'Grid_Stock'!AW29</f>
        <v/>
      </c>
      <c r="AZ406">
        <f>'Grid_Stock'!AX29</f>
        <v/>
      </c>
      <c r="BA406">
        <f>'Grid_Stock'!AY29</f>
        <v/>
      </c>
      <c r="BB406">
        <f>'Grid_Stock'!AZ29</f>
        <v/>
      </c>
      <c r="BC406">
        <f>'Grid_Stock'!BA29</f>
        <v/>
      </c>
      <c r="BD406">
        <f>'Grid_Stock'!BB29</f>
        <v/>
      </c>
      <c r="BE406">
        <f>'Grid_Stock'!BC29</f>
        <v/>
      </c>
      <c r="BF406">
        <f>'Grid_Stock'!BD29</f>
        <v/>
      </c>
      <c r="BG406">
        <f>'Grid_Stock'!BE29</f>
        <v/>
      </c>
      <c r="BH406">
        <f>'Grid_Stock'!BF29</f>
        <v/>
      </c>
      <c r="BI406">
        <f>'Grid_Stock'!BG29</f>
        <v/>
      </c>
      <c r="BJ406">
        <f>'Grid_Stock'!BH29</f>
        <v/>
      </c>
      <c r="BK406">
        <f>'Grid_Stock'!BI29</f>
        <v/>
      </c>
      <c r="BL406">
        <f>'Grid_Stock'!BJ29</f>
        <v/>
      </c>
      <c r="BM406">
        <f>'Grid_Stock'!BK29</f>
        <v/>
      </c>
      <c r="BN406">
        <f>'Grid_Stock'!BL29</f>
        <v/>
      </c>
      <c r="BO406">
        <f>'Grid_Stock'!BM29</f>
        <v/>
      </c>
      <c r="BP406">
        <f>'Grid_Stock'!BN29</f>
        <v/>
      </c>
      <c r="BQ406">
        <f>'Grid_Stock'!BO29</f>
        <v/>
      </c>
      <c r="BR406">
        <f>'Grid_Stock'!BP29</f>
        <v/>
      </c>
      <c r="BS406">
        <f>'Grid_Stock'!BQ29</f>
        <v/>
      </c>
      <c r="BT406">
        <f>'Grid_Stock'!BR29</f>
        <v/>
      </c>
      <c r="BU406">
        <f>'Grid_Stock'!BS29</f>
        <v/>
      </c>
      <c r="BV406">
        <f>'Grid_Stock'!BT29</f>
        <v/>
      </c>
      <c r="BW406">
        <f>'Grid_Stock'!BU29</f>
        <v/>
      </c>
      <c r="BX406">
        <f>'Grid_Stock'!BV29</f>
        <v/>
      </c>
      <c r="BY406">
        <f>'Grid_Stock'!BW29</f>
        <v/>
      </c>
      <c r="BZ406">
        <f>'Grid_Stock'!BX29</f>
        <v/>
      </c>
      <c r="CA406">
        <f>'Grid_Stock'!BY29</f>
        <v/>
      </c>
      <c r="CB406">
        <f>'Grid_Stock'!BZ29</f>
        <v/>
      </c>
      <c r="CC406">
        <f>'Grid_Stock'!CA29</f>
        <v/>
      </c>
      <c r="CD406">
        <f>'Grid_Stock'!CB29</f>
        <v/>
      </c>
      <c r="CE406">
        <f>'Grid_Stock'!CC29</f>
        <v/>
      </c>
      <c r="CF406">
        <f>'Grid_Stock'!CD29</f>
        <v/>
      </c>
      <c r="CG406">
        <f>'Grid_Stock'!CE29</f>
        <v/>
      </c>
      <c r="CH406">
        <f>'Grid_Stock'!CF29</f>
        <v/>
      </c>
      <c r="CI406">
        <f>'Grid_Stock'!CG29</f>
        <v/>
      </c>
      <c r="CJ406">
        <f>'Grid_Stock'!CH29</f>
        <v/>
      </c>
      <c r="CK406">
        <f>'Grid_Stock'!CI29</f>
        <v/>
      </c>
      <c r="CL406">
        <f>'Grid_Stock'!CJ29</f>
        <v/>
      </c>
      <c r="CM406">
        <f>'Grid_Stock'!CK29</f>
        <v/>
      </c>
      <c r="CN406">
        <f>'Grid_Stock'!CL29</f>
        <v/>
      </c>
      <c r="CO406">
        <f>'Grid_Stock'!CM29</f>
        <v/>
      </c>
      <c r="CP406">
        <f>'Grid_Stock'!CN29</f>
        <v/>
      </c>
      <c r="CQ406">
        <f>'Grid_Stock'!CO29</f>
        <v/>
      </c>
      <c r="CR406">
        <f>'Grid_Stock'!CP29</f>
        <v/>
      </c>
      <c r="CS406">
        <f>'Grid_Stock'!CQ29</f>
        <v/>
      </c>
      <c r="CT406">
        <f>'Grid_Stock'!CR29</f>
        <v/>
      </c>
      <c r="CU406">
        <f>'Grid_Stock'!CS29</f>
        <v/>
      </c>
      <c r="CV406">
        <f>'Grid_Stock'!CT29</f>
        <v/>
      </c>
      <c r="CW406">
        <f>'Grid_Stock'!CU29</f>
        <v/>
      </c>
      <c r="CX406">
        <f>'Grid_Stock'!CV29</f>
        <v/>
      </c>
      <c r="CY406">
        <f>'Grid_Stock'!CW29</f>
        <v/>
      </c>
      <c r="CZ406">
        <f>'Grid_Stock'!CX29</f>
        <v/>
      </c>
      <c r="DA406">
        <f>'Grid_Stock'!CY29</f>
        <v/>
      </c>
      <c r="DB406">
        <f>'Grid_Stock'!CZ29</f>
        <v/>
      </c>
      <c r="DC406">
        <f>'Grid_Stock'!DA29</f>
        <v/>
      </c>
    </row>
    <row r="407">
      <c r="B407" s="23" t="inlineStr">
        <is>
          <t>（発注の目安はDashboardの基準在庫[下限/上限]と色分けを参照）</t>
        </is>
      </c>
    </row>
    <row r="409">
      <c r="A409" s="21" t="inlineStr">
        <is>
          <t>CHEM-1250</t>
        </is>
      </c>
      <c r="B409" s="21" t="inlineStr">
        <is>
          <t>Barium Sulfate [B-55]</t>
        </is>
      </c>
      <c r="C409" s="22" t="n"/>
      <c r="D409" s="21" t="n"/>
      <c r="E409" s="21" t="n"/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  <c r="AA409" s="21" t="n"/>
      <c r="AB409" s="21" t="n"/>
      <c r="AC409" s="21" t="n"/>
      <c r="AD409" s="21" t="n"/>
      <c r="AE409" s="21" t="n"/>
      <c r="AF409" s="21" t="n"/>
      <c r="AG409" s="21" t="n"/>
      <c r="AH409" s="21" t="n"/>
      <c r="AI409" s="21" t="n"/>
      <c r="AJ409" s="21" t="n"/>
      <c r="AK409" s="21" t="n"/>
      <c r="AL409" s="21" t="n"/>
      <c r="AM409" s="21" t="n"/>
      <c r="AN409" s="21" t="n"/>
      <c r="AO409" s="21" t="n"/>
      <c r="AP409" s="21" t="n"/>
      <c r="AQ409" s="21" t="n"/>
      <c r="AR409" s="21" t="n"/>
      <c r="AS409" s="21" t="n"/>
      <c r="AT409" s="21" t="n"/>
      <c r="AU409" s="21" t="n"/>
      <c r="AV409" s="21" t="n"/>
      <c r="AW409" s="21" t="n"/>
      <c r="AX409" s="21" t="n"/>
      <c r="AY409" s="21" t="n"/>
      <c r="AZ409" s="21" t="n"/>
      <c r="BA409" s="21" t="n"/>
      <c r="BB409" s="21" t="n"/>
      <c r="BC409" s="21" t="n"/>
      <c r="BD409" s="21" t="n"/>
      <c r="BE409" s="21" t="n"/>
      <c r="BF409" s="21" t="n"/>
      <c r="BG409" s="21" t="n"/>
      <c r="BH409" s="21" t="n"/>
      <c r="BI409" s="21" t="n"/>
      <c r="BJ409" s="21" t="n"/>
      <c r="BK409" s="21" t="n"/>
      <c r="BL409" s="21" t="n"/>
      <c r="BM409" s="21" t="n"/>
      <c r="BN409" s="21" t="n"/>
      <c r="BO409" s="21" t="n"/>
      <c r="BP409" s="21" t="n"/>
      <c r="BQ409" s="21" t="n"/>
      <c r="BR409" s="21" t="n"/>
      <c r="BS409" s="21" t="n"/>
      <c r="BT409" s="21" t="n"/>
      <c r="BU409" s="21" t="n"/>
      <c r="BV409" s="21" t="n"/>
      <c r="BW409" s="21" t="n"/>
      <c r="BX409" s="21" t="n"/>
      <c r="BY409" s="21" t="n"/>
      <c r="BZ409" s="21" t="n"/>
      <c r="CA409" s="21" t="n"/>
      <c r="CB409" s="21" t="n"/>
      <c r="CC409" s="21" t="n"/>
      <c r="CD409" s="21" t="n"/>
      <c r="CE409" s="21" t="n"/>
      <c r="CF409" s="21" t="n"/>
      <c r="CG409" s="21" t="n"/>
      <c r="CH409" s="21" t="n"/>
      <c r="CI409" s="21" t="n"/>
      <c r="CJ409" s="21" t="n"/>
      <c r="CK409" s="21" t="n"/>
      <c r="CL409" s="21" t="n"/>
      <c r="CM409" s="21" t="n"/>
      <c r="CN409" s="21" t="n"/>
      <c r="CO409" s="21" t="n"/>
      <c r="CP409" s="21" t="n"/>
      <c r="CQ409" s="21" t="n"/>
      <c r="CR409" s="21" t="n"/>
      <c r="CS409" s="21" t="n"/>
      <c r="CT409" s="21" t="n"/>
      <c r="CU409" s="21" t="n"/>
      <c r="CV409" s="21" t="n"/>
      <c r="CW409" s="21" t="n"/>
      <c r="CX409" s="21" t="n"/>
      <c r="CY409" s="21" t="n"/>
      <c r="CZ409" s="21" t="n"/>
      <c r="DA409" s="21" t="n"/>
      <c r="DB409" s="21" t="n"/>
      <c r="DC409" s="21" t="n"/>
    </row>
    <row r="410">
      <c r="B410" t="inlineStr">
        <is>
          <t>TSP-049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12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Name],$A409)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TSP-067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12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Name],$A409)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TSP-069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12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Name],$A409)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TSP-104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12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Name],$A409)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TSP-199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12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Name],$A409)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TSP-205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12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Name],$A409)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TSP-656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12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Name],$A409)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TSP-668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12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Name],$A409)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TSP-669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12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Name],$A409)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TSP-670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12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Name],$A409)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TSP-966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12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Name],$A409)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s="5" t="inlineStr">
        <is>
          <t>合計使用量(kg)/週</t>
        </is>
      </c>
      <c r="D432">
        <f>'Grid_Requirement'!B27</f>
        <v/>
      </c>
      <c r="E432">
        <f>'Grid_Requirement'!C27</f>
        <v/>
      </c>
      <c r="F432">
        <f>'Grid_Requirement'!D27</f>
        <v/>
      </c>
      <c r="G432">
        <f>'Grid_Requirement'!E27</f>
        <v/>
      </c>
      <c r="H432">
        <f>'Grid_Requirement'!F27</f>
        <v/>
      </c>
      <c r="I432">
        <f>'Grid_Requirement'!G27</f>
        <v/>
      </c>
      <c r="J432">
        <f>'Grid_Requirement'!H27</f>
        <v/>
      </c>
      <c r="K432">
        <f>'Grid_Requirement'!I27</f>
        <v/>
      </c>
      <c r="L432">
        <f>'Grid_Requirement'!J27</f>
        <v/>
      </c>
      <c r="M432">
        <f>'Grid_Requirement'!K27</f>
        <v/>
      </c>
      <c r="N432">
        <f>'Grid_Requirement'!L27</f>
        <v/>
      </c>
      <c r="O432">
        <f>'Grid_Requirement'!M27</f>
        <v/>
      </c>
      <c r="P432">
        <f>'Grid_Requirement'!N27</f>
        <v/>
      </c>
      <c r="Q432">
        <f>'Grid_Requirement'!O27</f>
        <v/>
      </c>
      <c r="R432">
        <f>'Grid_Requirement'!P27</f>
        <v/>
      </c>
      <c r="S432">
        <f>'Grid_Requirement'!Q27</f>
        <v/>
      </c>
      <c r="T432">
        <f>'Grid_Requirement'!R27</f>
        <v/>
      </c>
      <c r="U432">
        <f>'Grid_Requirement'!S27</f>
        <v/>
      </c>
      <c r="V432">
        <f>'Grid_Requirement'!T27</f>
        <v/>
      </c>
      <c r="W432">
        <f>'Grid_Requirement'!U27</f>
        <v/>
      </c>
      <c r="X432">
        <f>'Grid_Requirement'!V27</f>
        <v/>
      </c>
      <c r="Y432">
        <f>'Grid_Requirement'!W27</f>
        <v/>
      </c>
      <c r="Z432">
        <f>'Grid_Requirement'!X27</f>
        <v/>
      </c>
      <c r="AA432">
        <f>'Grid_Requirement'!Y27</f>
        <v/>
      </c>
      <c r="AB432">
        <f>'Grid_Requirement'!Z27</f>
        <v/>
      </c>
      <c r="AC432">
        <f>'Grid_Requirement'!AA27</f>
        <v/>
      </c>
      <c r="AD432">
        <f>'Grid_Requirement'!AB27</f>
        <v/>
      </c>
      <c r="AE432">
        <f>'Grid_Requirement'!AC27</f>
        <v/>
      </c>
      <c r="AF432">
        <f>'Grid_Requirement'!AD27</f>
        <v/>
      </c>
      <c r="AG432">
        <f>'Grid_Requirement'!AE27</f>
        <v/>
      </c>
      <c r="AH432">
        <f>'Grid_Requirement'!AF27</f>
        <v/>
      </c>
      <c r="AI432">
        <f>'Grid_Requirement'!AG27</f>
        <v/>
      </c>
      <c r="AJ432">
        <f>'Grid_Requirement'!AH27</f>
        <v/>
      </c>
      <c r="AK432">
        <f>'Grid_Requirement'!AI27</f>
        <v/>
      </c>
      <c r="AL432">
        <f>'Grid_Requirement'!AJ27</f>
        <v/>
      </c>
      <c r="AM432">
        <f>'Grid_Requirement'!AK27</f>
        <v/>
      </c>
      <c r="AN432">
        <f>'Grid_Requirement'!AL27</f>
        <v/>
      </c>
      <c r="AO432">
        <f>'Grid_Requirement'!AM27</f>
        <v/>
      </c>
      <c r="AP432">
        <f>'Grid_Requirement'!AN27</f>
        <v/>
      </c>
      <c r="AQ432">
        <f>'Grid_Requirement'!AO27</f>
        <v/>
      </c>
      <c r="AR432">
        <f>'Grid_Requirement'!AP27</f>
        <v/>
      </c>
      <c r="AS432">
        <f>'Grid_Requirement'!AQ27</f>
        <v/>
      </c>
      <c r="AT432">
        <f>'Grid_Requirement'!AR27</f>
        <v/>
      </c>
      <c r="AU432">
        <f>'Grid_Requirement'!AS27</f>
        <v/>
      </c>
      <c r="AV432">
        <f>'Grid_Requirement'!AT27</f>
        <v/>
      </c>
      <c r="AW432">
        <f>'Grid_Requirement'!AU27</f>
        <v/>
      </c>
      <c r="AX432">
        <f>'Grid_Requirement'!AV27</f>
        <v/>
      </c>
      <c r="AY432">
        <f>'Grid_Requirement'!AW27</f>
        <v/>
      </c>
      <c r="AZ432">
        <f>'Grid_Requirement'!AX27</f>
        <v/>
      </c>
      <c r="BA432">
        <f>'Grid_Requirement'!AY27</f>
        <v/>
      </c>
      <c r="BB432">
        <f>'Grid_Requirement'!AZ27</f>
        <v/>
      </c>
      <c r="BC432">
        <f>'Grid_Requirement'!BA27</f>
        <v/>
      </c>
      <c r="BD432">
        <f>'Grid_Requirement'!BB27</f>
        <v/>
      </c>
      <c r="BE432">
        <f>'Grid_Requirement'!BC27</f>
        <v/>
      </c>
      <c r="BF432">
        <f>'Grid_Requirement'!BD27</f>
        <v/>
      </c>
      <c r="BG432">
        <f>'Grid_Requirement'!BE27</f>
        <v/>
      </c>
      <c r="BH432">
        <f>'Grid_Requirement'!BF27</f>
        <v/>
      </c>
      <c r="BI432">
        <f>'Grid_Requirement'!BG27</f>
        <v/>
      </c>
      <c r="BJ432">
        <f>'Grid_Requirement'!BH27</f>
        <v/>
      </c>
      <c r="BK432">
        <f>'Grid_Requirement'!BI27</f>
        <v/>
      </c>
      <c r="BL432">
        <f>'Grid_Requirement'!BJ27</f>
        <v/>
      </c>
      <c r="BM432">
        <f>'Grid_Requirement'!BK27</f>
        <v/>
      </c>
      <c r="BN432">
        <f>'Grid_Requirement'!BL27</f>
        <v/>
      </c>
      <c r="BO432">
        <f>'Grid_Requirement'!BM27</f>
        <v/>
      </c>
      <c r="BP432">
        <f>'Grid_Requirement'!BN27</f>
        <v/>
      </c>
      <c r="BQ432">
        <f>'Grid_Requirement'!BO27</f>
        <v/>
      </c>
      <c r="BR432">
        <f>'Grid_Requirement'!BP27</f>
        <v/>
      </c>
      <c r="BS432">
        <f>'Grid_Requirement'!BQ27</f>
        <v/>
      </c>
      <c r="BT432">
        <f>'Grid_Requirement'!BR27</f>
        <v/>
      </c>
      <c r="BU432">
        <f>'Grid_Requirement'!BS27</f>
        <v/>
      </c>
      <c r="BV432">
        <f>'Grid_Requirement'!BT27</f>
        <v/>
      </c>
      <c r="BW432">
        <f>'Grid_Requirement'!BU27</f>
        <v/>
      </c>
      <c r="BX432">
        <f>'Grid_Requirement'!BV27</f>
        <v/>
      </c>
      <c r="BY432">
        <f>'Grid_Requirement'!BW27</f>
        <v/>
      </c>
      <c r="BZ432">
        <f>'Grid_Requirement'!BX27</f>
        <v/>
      </c>
      <c r="CA432">
        <f>'Grid_Requirement'!BY27</f>
        <v/>
      </c>
      <c r="CB432">
        <f>'Grid_Requirement'!BZ27</f>
        <v/>
      </c>
      <c r="CC432">
        <f>'Grid_Requirement'!CA27</f>
        <v/>
      </c>
      <c r="CD432">
        <f>'Grid_Requirement'!CB27</f>
        <v/>
      </c>
      <c r="CE432">
        <f>'Grid_Requirement'!CC27</f>
        <v/>
      </c>
      <c r="CF432">
        <f>'Grid_Requirement'!CD27</f>
        <v/>
      </c>
      <c r="CG432">
        <f>'Grid_Requirement'!CE27</f>
        <v/>
      </c>
      <c r="CH432">
        <f>'Grid_Requirement'!CF27</f>
        <v/>
      </c>
      <c r="CI432">
        <f>'Grid_Requirement'!CG27</f>
        <v/>
      </c>
      <c r="CJ432">
        <f>'Grid_Requirement'!CH27</f>
        <v/>
      </c>
      <c r="CK432">
        <f>'Grid_Requirement'!CI27</f>
        <v/>
      </c>
      <c r="CL432">
        <f>'Grid_Requirement'!CJ27</f>
        <v/>
      </c>
      <c r="CM432">
        <f>'Grid_Requirement'!CK27</f>
        <v/>
      </c>
      <c r="CN432">
        <f>'Grid_Requirement'!CL27</f>
        <v/>
      </c>
      <c r="CO432">
        <f>'Grid_Requirement'!CM27</f>
        <v/>
      </c>
      <c r="CP432">
        <f>'Grid_Requirement'!CN27</f>
        <v/>
      </c>
      <c r="CQ432">
        <f>'Grid_Requirement'!CO27</f>
        <v/>
      </c>
      <c r="CR432">
        <f>'Grid_Requirement'!CP27</f>
        <v/>
      </c>
      <c r="CS432">
        <f>'Grid_Requirement'!CQ27</f>
        <v/>
      </c>
      <c r="CT432">
        <f>'Grid_Requirement'!CR27</f>
        <v/>
      </c>
      <c r="CU432">
        <f>'Grid_Requirement'!CS27</f>
        <v/>
      </c>
      <c r="CV432">
        <f>'Grid_Requirement'!CT27</f>
        <v/>
      </c>
      <c r="CW432">
        <f>'Grid_Requirement'!CU27</f>
        <v/>
      </c>
      <c r="CX432">
        <f>'Grid_Requirement'!CV27</f>
        <v/>
      </c>
      <c r="CY432">
        <f>'Grid_Requirement'!CW27</f>
        <v/>
      </c>
      <c r="CZ432">
        <f>'Grid_Requirement'!CX27</f>
        <v/>
      </c>
      <c r="DA432">
        <f>'Grid_Requirement'!CY27</f>
        <v/>
      </c>
      <c r="DB432">
        <f>'Grid_Requirement'!CZ27</f>
        <v/>
      </c>
      <c r="DC432">
        <f>'Grid_Requirement'!DA27</f>
        <v/>
      </c>
    </row>
    <row r="433">
      <c r="B433" t="inlineStr">
        <is>
          <t>TTAF在庫(実績,kg)</t>
        </is>
      </c>
      <c r="D433">
        <f>'T_TTAFStock'!B31</f>
        <v/>
      </c>
      <c r="E433">
        <f>'T_TTAFStock'!C31</f>
        <v/>
      </c>
      <c r="F433">
        <f>'T_TTAFStock'!D31</f>
        <v/>
      </c>
      <c r="G433">
        <f>'T_TTAFStock'!E31</f>
        <v/>
      </c>
      <c r="H433">
        <f>'T_TTAFStock'!F31</f>
        <v/>
      </c>
      <c r="I433">
        <f>'T_TTAFStock'!G31</f>
        <v/>
      </c>
      <c r="J433">
        <f>'T_TTAFStock'!H31</f>
        <v/>
      </c>
      <c r="K433">
        <f>'T_TTAFStock'!I31</f>
        <v/>
      </c>
      <c r="L433">
        <f>'T_TTAFStock'!J31</f>
        <v/>
      </c>
      <c r="M433">
        <f>'T_TTAFStock'!K31</f>
        <v/>
      </c>
      <c r="N433">
        <f>'T_TTAFStock'!L31</f>
        <v/>
      </c>
      <c r="O433">
        <f>'T_TTAFStock'!M31</f>
        <v/>
      </c>
      <c r="P433">
        <f>'T_TTAFStock'!N31</f>
        <v/>
      </c>
      <c r="Q433">
        <f>'T_TTAFStock'!O31</f>
        <v/>
      </c>
      <c r="R433">
        <f>'T_TTAFStock'!P31</f>
        <v/>
      </c>
      <c r="S433">
        <f>'T_TTAFStock'!Q31</f>
        <v/>
      </c>
      <c r="T433">
        <f>'T_TTAFStock'!R31</f>
        <v/>
      </c>
      <c r="U433">
        <f>'T_TTAFStock'!S31</f>
        <v/>
      </c>
      <c r="V433">
        <f>'T_TTAFStock'!T31</f>
        <v/>
      </c>
      <c r="W433">
        <f>'T_TTAFStock'!U31</f>
        <v/>
      </c>
      <c r="X433">
        <f>'T_TTAFStock'!V31</f>
        <v/>
      </c>
      <c r="Y433">
        <f>'T_TTAFStock'!W31</f>
        <v/>
      </c>
      <c r="Z433">
        <f>'T_TTAFStock'!X31</f>
        <v/>
      </c>
      <c r="AA433">
        <f>'T_TTAFStock'!Y31</f>
        <v/>
      </c>
      <c r="AB433">
        <f>'T_TTAFStock'!Z31</f>
        <v/>
      </c>
      <c r="AC433">
        <f>'T_TTAFStock'!AA31</f>
        <v/>
      </c>
      <c r="AD433">
        <f>'T_TTAFStock'!AB31</f>
        <v/>
      </c>
      <c r="AE433">
        <f>'T_TTAFStock'!AC31</f>
        <v/>
      </c>
      <c r="AF433">
        <f>'T_TTAFStock'!AD31</f>
        <v/>
      </c>
      <c r="AG433">
        <f>'T_TTAFStock'!AE31</f>
        <v/>
      </c>
      <c r="AH433">
        <f>'T_TTAFStock'!AF31</f>
        <v/>
      </c>
      <c r="AI433">
        <f>'T_TTAFStock'!AG31</f>
        <v/>
      </c>
      <c r="AJ433">
        <f>'T_TTAFStock'!AH31</f>
        <v/>
      </c>
      <c r="AK433">
        <f>'T_TTAFStock'!AI31</f>
        <v/>
      </c>
      <c r="AL433">
        <f>'T_TTAFStock'!AJ31</f>
        <v/>
      </c>
      <c r="AM433">
        <f>'T_TTAFStock'!AK31</f>
        <v/>
      </c>
      <c r="AN433">
        <f>'T_TTAFStock'!AL31</f>
        <v/>
      </c>
      <c r="AO433">
        <f>'T_TTAFStock'!AM31</f>
        <v/>
      </c>
      <c r="AP433">
        <f>'T_TTAFStock'!AN31</f>
        <v/>
      </c>
      <c r="AQ433">
        <f>'T_TTAFStock'!AO31</f>
        <v/>
      </c>
      <c r="AR433">
        <f>'T_TTAFStock'!AP31</f>
        <v/>
      </c>
      <c r="AS433">
        <f>'T_TTAFStock'!AQ31</f>
        <v/>
      </c>
      <c r="AT433">
        <f>'T_TTAFStock'!AR31</f>
        <v/>
      </c>
      <c r="AU433">
        <f>'T_TTAFStock'!AS31</f>
        <v/>
      </c>
      <c r="AV433">
        <f>'T_TTAFStock'!AT31</f>
        <v/>
      </c>
      <c r="AW433">
        <f>'T_TTAFStock'!AU31</f>
        <v/>
      </c>
      <c r="AX433">
        <f>'T_TTAFStock'!AV31</f>
        <v/>
      </c>
      <c r="AY433">
        <f>'T_TTAFStock'!AW31</f>
        <v/>
      </c>
      <c r="AZ433">
        <f>'T_TTAFStock'!AX31</f>
        <v/>
      </c>
      <c r="BA433">
        <f>'T_TTAFStock'!AY31</f>
        <v/>
      </c>
      <c r="BB433">
        <f>'T_TTAFStock'!AZ31</f>
        <v/>
      </c>
      <c r="BC433">
        <f>'T_TTAFStock'!BA31</f>
        <v/>
      </c>
      <c r="BD433">
        <f>'T_TTAFStock'!BB31</f>
        <v/>
      </c>
      <c r="BE433">
        <f>'T_TTAFStock'!BC31</f>
        <v/>
      </c>
      <c r="BF433">
        <f>'T_TTAFStock'!BD31</f>
        <v/>
      </c>
      <c r="BG433">
        <f>'T_TTAFStock'!BE31</f>
        <v/>
      </c>
      <c r="BH433">
        <f>'T_TTAFStock'!BF31</f>
        <v/>
      </c>
      <c r="BI433">
        <f>'T_TTAFStock'!BG31</f>
        <v/>
      </c>
      <c r="BJ433">
        <f>'T_TTAFStock'!BH31</f>
        <v/>
      </c>
      <c r="BK433">
        <f>'T_TTAFStock'!BI31</f>
        <v/>
      </c>
      <c r="BL433">
        <f>'T_TTAFStock'!BJ31</f>
        <v/>
      </c>
      <c r="BM433">
        <f>'T_TTAFStock'!BK31</f>
        <v/>
      </c>
      <c r="BN433">
        <f>'T_TTAFStock'!BL31</f>
        <v/>
      </c>
      <c r="BO433">
        <f>'T_TTAFStock'!BM31</f>
        <v/>
      </c>
      <c r="BP433">
        <f>'T_TTAFStock'!BN31</f>
        <v/>
      </c>
      <c r="BQ433">
        <f>'T_TTAFStock'!BO31</f>
        <v/>
      </c>
      <c r="BR433">
        <f>'T_TTAFStock'!BP31</f>
        <v/>
      </c>
      <c r="BS433">
        <f>'T_TTAFStock'!BQ31</f>
        <v/>
      </c>
      <c r="BT433">
        <f>'T_TTAFStock'!BR31</f>
        <v/>
      </c>
      <c r="BU433">
        <f>'T_TTAFStock'!BS31</f>
        <v/>
      </c>
      <c r="BV433">
        <f>'T_TTAFStock'!BT31</f>
        <v/>
      </c>
      <c r="BW433">
        <f>'T_TTAFStock'!BU31</f>
        <v/>
      </c>
      <c r="BX433">
        <f>'T_TTAFStock'!BV31</f>
        <v/>
      </c>
      <c r="BY433">
        <f>'T_TTAFStock'!BW31</f>
        <v/>
      </c>
      <c r="BZ433">
        <f>'T_TTAFStock'!BX31</f>
        <v/>
      </c>
      <c r="CA433">
        <f>'T_TTAFStock'!BY31</f>
        <v/>
      </c>
      <c r="CB433">
        <f>'T_TTAFStock'!BZ31</f>
        <v/>
      </c>
      <c r="CC433">
        <f>'T_TTAFStock'!CA31</f>
        <v/>
      </c>
      <c r="CD433">
        <f>'T_TTAFStock'!CB31</f>
        <v/>
      </c>
      <c r="CE433">
        <f>'T_TTAFStock'!CC31</f>
        <v/>
      </c>
      <c r="CF433">
        <f>'T_TTAFStock'!CD31</f>
        <v/>
      </c>
      <c r="CG433">
        <f>'T_TTAFStock'!CE31</f>
        <v/>
      </c>
      <c r="CH433">
        <f>'T_TTAFStock'!CF31</f>
        <v/>
      </c>
      <c r="CI433">
        <f>'T_TTAFStock'!CG31</f>
        <v/>
      </c>
      <c r="CJ433">
        <f>'T_TTAFStock'!CH31</f>
        <v/>
      </c>
      <c r="CK433">
        <f>'T_TTAFStock'!CI31</f>
        <v/>
      </c>
      <c r="CL433">
        <f>'T_TTAFStock'!CJ31</f>
        <v/>
      </c>
      <c r="CM433">
        <f>'T_TTAFStock'!CK31</f>
        <v/>
      </c>
      <c r="CN433">
        <f>'T_TTAFStock'!CL31</f>
        <v/>
      </c>
      <c r="CO433">
        <f>'T_TTAFStock'!CM31</f>
        <v/>
      </c>
      <c r="CP433">
        <f>'T_TTAFStock'!CN31</f>
        <v/>
      </c>
      <c r="CQ433">
        <f>'T_TTAFStock'!CO31</f>
        <v/>
      </c>
      <c r="CR433">
        <f>'T_TTAFStock'!CP31</f>
        <v/>
      </c>
      <c r="CS433">
        <f>'T_TTAFStock'!CQ31</f>
        <v/>
      </c>
      <c r="CT433">
        <f>'T_TTAFStock'!CR31</f>
        <v/>
      </c>
      <c r="CU433">
        <f>'T_TTAFStock'!CS31</f>
        <v/>
      </c>
      <c r="CV433">
        <f>'T_TTAFStock'!CT31</f>
        <v/>
      </c>
      <c r="CW433">
        <f>'T_TTAFStock'!CU31</f>
        <v/>
      </c>
      <c r="CX433">
        <f>'T_TTAFStock'!CV31</f>
        <v/>
      </c>
      <c r="CY433">
        <f>'T_TTAFStock'!CW31</f>
        <v/>
      </c>
      <c r="CZ433">
        <f>'T_TTAFStock'!CX31</f>
        <v/>
      </c>
      <c r="DA433">
        <f>'T_TTAFStock'!CY31</f>
        <v/>
      </c>
      <c r="DB433">
        <f>'T_TTAFStock'!CZ31</f>
        <v/>
      </c>
      <c r="DC433">
        <f>'T_TTAFStock'!DA31</f>
        <v/>
      </c>
    </row>
    <row r="434">
      <c r="B434" t="inlineStr">
        <is>
          <t>自社在庫(実績,kg)</t>
        </is>
      </c>
      <c r="D434">
        <f>'T_SelfStock'!B31</f>
        <v/>
      </c>
      <c r="E434">
        <f>'T_SelfStock'!C31</f>
        <v/>
      </c>
      <c r="F434">
        <f>'T_SelfStock'!D31</f>
        <v/>
      </c>
      <c r="G434">
        <f>'T_SelfStock'!E31</f>
        <v/>
      </c>
      <c r="H434">
        <f>'T_SelfStock'!F31</f>
        <v/>
      </c>
      <c r="I434">
        <f>'T_SelfStock'!G31</f>
        <v/>
      </c>
      <c r="J434">
        <f>'T_SelfStock'!H31</f>
        <v/>
      </c>
      <c r="K434">
        <f>'T_SelfStock'!I31</f>
        <v/>
      </c>
      <c r="L434">
        <f>'T_SelfStock'!J31</f>
        <v/>
      </c>
      <c r="M434">
        <f>'T_SelfStock'!K31</f>
        <v/>
      </c>
      <c r="N434">
        <f>'T_SelfStock'!L31</f>
        <v/>
      </c>
      <c r="O434">
        <f>'T_SelfStock'!M31</f>
        <v/>
      </c>
      <c r="P434">
        <f>'T_SelfStock'!N31</f>
        <v/>
      </c>
      <c r="Q434">
        <f>'T_SelfStock'!O31</f>
        <v/>
      </c>
      <c r="R434">
        <f>'T_SelfStock'!P31</f>
        <v/>
      </c>
      <c r="S434">
        <f>'T_SelfStock'!Q31</f>
        <v/>
      </c>
      <c r="T434">
        <f>'T_SelfStock'!R31</f>
        <v/>
      </c>
      <c r="U434">
        <f>'T_SelfStock'!S31</f>
        <v/>
      </c>
      <c r="V434">
        <f>'T_SelfStock'!T31</f>
        <v/>
      </c>
      <c r="W434">
        <f>'T_SelfStock'!U31</f>
        <v/>
      </c>
      <c r="X434">
        <f>'T_SelfStock'!V31</f>
        <v/>
      </c>
      <c r="Y434">
        <f>'T_SelfStock'!W31</f>
        <v/>
      </c>
      <c r="Z434">
        <f>'T_SelfStock'!X31</f>
        <v/>
      </c>
      <c r="AA434">
        <f>'T_SelfStock'!Y31</f>
        <v/>
      </c>
      <c r="AB434">
        <f>'T_SelfStock'!Z31</f>
        <v/>
      </c>
      <c r="AC434">
        <f>'T_SelfStock'!AA31</f>
        <v/>
      </c>
      <c r="AD434">
        <f>'T_SelfStock'!AB31</f>
        <v/>
      </c>
      <c r="AE434">
        <f>'T_SelfStock'!AC31</f>
        <v/>
      </c>
      <c r="AF434">
        <f>'T_SelfStock'!AD31</f>
        <v/>
      </c>
      <c r="AG434">
        <f>'T_SelfStock'!AE31</f>
        <v/>
      </c>
      <c r="AH434">
        <f>'T_SelfStock'!AF31</f>
        <v/>
      </c>
      <c r="AI434">
        <f>'T_SelfStock'!AG31</f>
        <v/>
      </c>
      <c r="AJ434">
        <f>'T_SelfStock'!AH31</f>
        <v/>
      </c>
      <c r="AK434">
        <f>'T_SelfStock'!AI31</f>
        <v/>
      </c>
      <c r="AL434">
        <f>'T_SelfStock'!AJ31</f>
        <v/>
      </c>
      <c r="AM434">
        <f>'T_SelfStock'!AK31</f>
        <v/>
      </c>
      <c r="AN434">
        <f>'T_SelfStock'!AL31</f>
        <v/>
      </c>
      <c r="AO434">
        <f>'T_SelfStock'!AM31</f>
        <v/>
      </c>
      <c r="AP434">
        <f>'T_SelfStock'!AN31</f>
        <v/>
      </c>
      <c r="AQ434">
        <f>'T_SelfStock'!AO31</f>
        <v/>
      </c>
      <c r="AR434">
        <f>'T_SelfStock'!AP31</f>
        <v/>
      </c>
      <c r="AS434">
        <f>'T_SelfStock'!AQ31</f>
        <v/>
      </c>
      <c r="AT434">
        <f>'T_SelfStock'!AR31</f>
        <v/>
      </c>
      <c r="AU434">
        <f>'T_SelfStock'!AS31</f>
        <v/>
      </c>
      <c r="AV434">
        <f>'T_SelfStock'!AT31</f>
        <v/>
      </c>
      <c r="AW434">
        <f>'T_SelfStock'!AU31</f>
        <v/>
      </c>
      <c r="AX434">
        <f>'T_SelfStock'!AV31</f>
        <v/>
      </c>
      <c r="AY434">
        <f>'T_SelfStock'!AW31</f>
        <v/>
      </c>
      <c r="AZ434">
        <f>'T_SelfStock'!AX31</f>
        <v/>
      </c>
      <c r="BA434">
        <f>'T_SelfStock'!AY31</f>
        <v/>
      </c>
      <c r="BB434">
        <f>'T_SelfStock'!AZ31</f>
        <v/>
      </c>
      <c r="BC434">
        <f>'T_SelfStock'!BA31</f>
        <v/>
      </c>
      <c r="BD434">
        <f>'T_SelfStock'!BB31</f>
        <v/>
      </c>
      <c r="BE434">
        <f>'T_SelfStock'!BC31</f>
        <v/>
      </c>
      <c r="BF434">
        <f>'T_SelfStock'!BD31</f>
        <v/>
      </c>
      <c r="BG434">
        <f>'T_SelfStock'!BE31</f>
        <v/>
      </c>
      <c r="BH434">
        <f>'T_SelfStock'!BF31</f>
        <v/>
      </c>
      <c r="BI434">
        <f>'T_SelfStock'!BG31</f>
        <v/>
      </c>
      <c r="BJ434">
        <f>'T_SelfStock'!BH31</f>
        <v/>
      </c>
      <c r="BK434">
        <f>'T_SelfStock'!BI31</f>
        <v/>
      </c>
      <c r="BL434">
        <f>'T_SelfStock'!BJ31</f>
        <v/>
      </c>
      <c r="BM434">
        <f>'T_SelfStock'!BK31</f>
        <v/>
      </c>
      <c r="BN434">
        <f>'T_SelfStock'!BL31</f>
        <v/>
      </c>
      <c r="BO434">
        <f>'T_SelfStock'!BM31</f>
        <v/>
      </c>
      <c r="BP434">
        <f>'T_SelfStock'!BN31</f>
        <v/>
      </c>
      <c r="BQ434">
        <f>'T_SelfStock'!BO31</f>
        <v/>
      </c>
      <c r="BR434">
        <f>'T_SelfStock'!BP31</f>
        <v/>
      </c>
      <c r="BS434">
        <f>'T_SelfStock'!BQ31</f>
        <v/>
      </c>
      <c r="BT434">
        <f>'T_SelfStock'!BR31</f>
        <v/>
      </c>
      <c r="BU434">
        <f>'T_SelfStock'!BS31</f>
        <v/>
      </c>
      <c r="BV434">
        <f>'T_SelfStock'!BT31</f>
        <v/>
      </c>
      <c r="BW434">
        <f>'T_SelfStock'!BU31</f>
        <v/>
      </c>
      <c r="BX434">
        <f>'T_SelfStock'!BV31</f>
        <v/>
      </c>
      <c r="BY434">
        <f>'T_SelfStock'!BW31</f>
        <v/>
      </c>
      <c r="BZ434">
        <f>'T_SelfStock'!BX31</f>
        <v/>
      </c>
      <c r="CA434">
        <f>'T_SelfStock'!BY31</f>
        <v/>
      </c>
      <c r="CB434">
        <f>'T_SelfStock'!BZ31</f>
        <v/>
      </c>
      <c r="CC434">
        <f>'T_SelfStock'!CA31</f>
        <v/>
      </c>
      <c r="CD434">
        <f>'T_SelfStock'!CB31</f>
        <v/>
      </c>
      <c r="CE434">
        <f>'T_SelfStock'!CC31</f>
        <v/>
      </c>
      <c r="CF434">
        <f>'T_SelfStock'!CD31</f>
        <v/>
      </c>
      <c r="CG434">
        <f>'T_SelfStock'!CE31</f>
        <v/>
      </c>
      <c r="CH434">
        <f>'T_SelfStock'!CF31</f>
        <v/>
      </c>
      <c r="CI434">
        <f>'T_SelfStock'!CG31</f>
        <v/>
      </c>
      <c r="CJ434">
        <f>'T_SelfStock'!CH31</f>
        <v/>
      </c>
      <c r="CK434">
        <f>'T_SelfStock'!CI31</f>
        <v/>
      </c>
      <c r="CL434">
        <f>'T_SelfStock'!CJ31</f>
        <v/>
      </c>
      <c r="CM434">
        <f>'T_SelfStock'!CK31</f>
        <v/>
      </c>
      <c r="CN434">
        <f>'T_SelfStock'!CL31</f>
        <v/>
      </c>
      <c r="CO434">
        <f>'T_SelfStock'!CM31</f>
        <v/>
      </c>
      <c r="CP434">
        <f>'T_SelfStock'!CN31</f>
        <v/>
      </c>
      <c r="CQ434">
        <f>'T_SelfStock'!CO31</f>
        <v/>
      </c>
      <c r="CR434">
        <f>'T_SelfStock'!CP31</f>
        <v/>
      </c>
      <c r="CS434">
        <f>'T_SelfStock'!CQ31</f>
        <v/>
      </c>
      <c r="CT434">
        <f>'T_SelfStock'!CR31</f>
        <v/>
      </c>
      <c r="CU434">
        <f>'T_SelfStock'!CS31</f>
        <v/>
      </c>
      <c r="CV434">
        <f>'T_SelfStock'!CT31</f>
        <v/>
      </c>
      <c r="CW434">
        <f>'T_SelfStock'!CU31</f>
        <v/>
      </c>
      <c r="CX434">
        <f>'T_SelfStock'!CV31</f>
        <v/>
      </c>
      <c r="CY434">
        <f>'T_SelfStock'!CW31</f>
        <v/>
      </c>
      <c r="CZ434">
        <f>'T_SelfStock'!CX31</f>
        <v/>
      </c>
      <c r="DA434">
        <f>'T_SelfStock'!CY31</f>
        <v/>
      </c>
      <c r="DB434">
        <f>'T_SelfStock'!CZ31</f>
        <v/>
      </c>
      <c r="DC434">
        <f>'T_SelfStock'!DA31</f>
        <v/>
      </c>
    </row>
    <row r="435">
      <c r="B435" t="inlineStr">
        <is>
          <t>Order(発注予定,kg)</t>
        </is>
      </c>
      <c r="D435">
        <f>IF(SUMIFS(T_PlannedOrders[EffectiveQty],T_PlannedOrders[Part Name],$A409,T_PlannedOrders[WeekIndex],1)=0,"",SUMIFS(T_PlannedOrders[EffectiveQty],T_PlannedOrders[Part Name],$A409,T_PlannedOrders[WeekIndex],1)&amp;" ("&amp;TEXT(SUMPRODUCT(MAX((T_PlannedOrders[Part Name]=$A409)*(T_PlannedOrders[WeekIndex]=1)*(T_PlannedOrders[EffectiveQty]&gt;0)*T_PlannedOrders[Order_Month])),"m月")&amp;"発注)")</f>
        <v/>
      </c>
      <c r="E435">
        <f>IF(SUMIFS(T_PlannedOrders[EffectiveQty],T_PlannedOrders[Part Name],$A409,T_PlannedOrders[WeekIndex],2)=0,"",SUMIFS(T_PlannedOrders[EffectiveQty],T_PlannedOrders[Part Name],$A409,T_PlannedOrders[WeekIndex],2)&amp;" ("&amp;TEXT(SUMPRODUCT(MAX((T_PlannedOrders[Part Name]=$A409)*(T_PlannedOrders[WeekIndex]=2)*(T_PlannedOrders[EffectiveQty]&gt;0)*T_PlannedOrders[Order_Month])),"m月")&amp;"発注)")</f>
        <v/>
      </c>
      <c r="F435">
        <f>IF(SUMIFS(T_PlannedOrders[EffectiveQty],T_PlannedOrders[Part Name],$A409,T_PlannedOrders[WeekIndex],3)=0,"",SUMIFS(T_PlannedOrders[EffectiveQty],T_PlannedOrders[Part Name],$A409,T_PlannedOrders[WeekIndex],3)&amp;" ("&amp;TEXT(SUMPRODUCT(MAX((T_PlannedOrders[Part Name]=$A409)*(T_PlannedOrders[WeekIndex]=3)*(T_PlannedOrders[EffectiveQty]&gt;0)*T_PlannedOrders[Order_Month])),"m月")&amp;"発注)")</f>
        <v/>
      </c>
      <c r="G435">
        <f>IF(SUMIFS(T_PlannedOrders[EffectiveQty],T_PlannedOrders[Part Name],$A409,T_PlannedOrders[WeekIndex],4)=0,"",SUMIFS(T_PlannedOrders[EffectiveQty],T_PlannedOrders[Part Name],$A409,T_PlannedOrders[WeekIndex],4)&amp;" ("&amp;TEXT(SUMPRODUCT(MAX((T_PlannedOrders[Part Name]=$A409)*(T_PlannedOrders[WeekIndex]=4)*(T_PlannedOrders[EffectiveQty]&gt;0)*T_PlannedOrders[Order_Month])),"m月")&amp;"発注)")</f>
        <v/>
      </c>
      <c r="H435">
        <f>IF(SUMIFS(T_PlannedOrders[EffectiveQty],T_PlannedOrders[Part Name],$A409,T_PlannedOrders[WeekIndex],5)=0,"",SUMIFS(T_PlannedOrders[EffectiveQty],T_PlannedOrders[Part Name],$A409,T_PlannedOrders[WeekIndex],5)&amp;" ("&amp;TEXT(SUMPRODUCT(MAX((T_PlannedOrders[Part Name]=$A409)*(T_PlannedOrders[WeekIndex]=5)*(T_PlannedOrders[EffectiveQty]&gt;0)*T_PlannedOrders[Order_Month])),"m月")&amp;"発注)")</f>
        <v/>
      </c>
      <c r="I435">
        <f>IF(SUMIFS(T_PlannedOrders[EffectiveQty],T_PlannedOrders[Part Name],$A409,T_PlannedOrders[WeekIndex],6)=0,"",SUMIFS(T_PlannedOrders[EffectiveQty],T_PlannedOrders[Part Name],$A409,T_PlannedOrders[WeekIndex],6)&amp;" ("&amp;TEXT(SUMPRODUCT(MAX((T_PlannedOrders[Part Name]=$A409)*(T_PlannedOrders[WeekIndex]=6)*(T_PlannedOrders[EffectiveQty]&gt;0)*T_PlannedOrders[Order_Month])),"m月")&amp;"発注)")</f>
        <v/>
      </c>
      <c r="J435">
        <f>IF(SUMIFS(T_PlannedOrders[EffectiveQty],T_PlannedOrders[Part Name],$A409,T_PlannedOrders[WeekIndex],7)=0,"",SUMIFS(T_PlannedOrders[EffectiveQty],T_PlannedOrders[Part Name],$A409,T_PlannedOrders[WeekIndex],7)&amp;" ("&amp;TEXT(SUMPRODUCT(MAX((T_PlannedOrders[Part Name]=$A409)*(T_PlannedOrders[WeekIndex]=7)*(T_PlannedOrders[EffectiveQty]&gt;0)*T_PlannedOrders[Order_Month])),"m月")&amp;"発注)")</f>
        <v/>
      </c>
      <c r="K435">
        <f>IF(SUMIFS(T_PlannedOrders[EffectiveQty],T_PlannedOrders[Part Name],$A409,T_PlannedOrders[WeekIndex],8)=0,"",SUMIFS(T_PlannedOrders[EffectiveQty],T_PlannedOrders[Part Name],$A409,T_PlannedOrders[WeekIndex],8)&amp;" ("&amp;TEXT(SUMPRODUCT(MAX((T_PlannedOrders[Part Name]=$A409)*(T_PlannedOrders[WeekIndex]=8)*(T_PlannedOrders[EffectiveQty]&gt;0)*T_PlannedOrders[Order_Month])),"m月")&amp;"発注)")</f>
        <v/>
      </c>
      <c r="L435">
        <f>IF(SUMIFS(T_PlannedOrders[EffectiveQty],T_PlannedOrders[Part Name],$A409,T_PlannedOrders[WeekIndex],9)=0,"",SUMIFS(T_PlannedOrders[EffectiveQty],T_PlannedOrders[Part Name],$A409,T_PlannedOrders[WeekIndex],9)&amp;" ("&amp;TEXT(SUMPRODUCT(MAX((T_PlannedOrders[Part Name]=$A409)*(T_PlannedOrders[WeekIndex]=9)*(T_PlannedOrders[EffectiveQty]&gt;0)*T_PlannedOrders[Order_Month])),"m月")&amp;"発注)")</f>
        <v/>
      </c>
      <c r="M435">
        <f>IF(SUMIFS(T_PlannedOrders[EffectiveQty],T_PlannedOrders[Part Name],$A409,T_PlannedOrders[WeekIndex],10)=0,"",SUMIFS(T_PlannedOrders[EffectiveQty],T_PlannedOrders[Part Name],$A409,T_PlannedOrders[WeekIndex],10)&amp;" ("&amp;TEXT(SUMPRODUCT(MAX((T_PlannedOrders[Part Name]=$A409)*(T_PlannedOrders[WeekIndex]=10)*(T_PlannedOrders[EffectiveQty]&gt;0)*T_PlannedOrders[Order_Month])),"m月")&amp;"発注)")</f>
        <v/>
      </c>
      <c r="N435">
        <f>IF(SUMIFS(T_PlannedOrders[EffectiveQty],T_PlannedOrders[Part Name],$A409,T_PlannedOrders[WeekIndex],11)=0,"",SUMIFS(T_PlannedOrders[EffectiveQty],T_PlannedOrders[Part Name],$A409,T_PlannedOrders[WeekIndex],11)&amp;" ("&amp;TEXT(SUMPRODUCT(MAX((T_PlannedOrders[Part Name]=$A409)*(T_PlannedOrders[WeekIndex]=11)*(T_PlannedOrders[EffectiveQty]&gt;0)*T_PlannedOrders[Order_Month])),"m月")&amp;"発注)")</f>
        <v/>
      </c>
      <c r="O435">
        <f>IF(SUMIFS(T_PlannedOrders[EffectiveQty],T_PlannedOrders[Part Name],$A409,T_PlannedOrders[WeekIndex],12)=0,"",SUMIFS(T_PlannedOrders[EffectiveQty],T_PlannedOrders[Part Name],$A409,T_PlannedOrders[WeekIndex],12)&amp;" ("&amp;TEXT(SUMPRODUCT(MAX((T_PlannedOrders[Part Name]=$A409)*(T_PlannedOrders[WeekIndex]=12)*(T_PlannedOrders[EffectiveQty]&gt;0)*T_PlannedOrders[Order_Month])),"m月")&amp;"発注)")</f>
        <v/>
      </c>
      <c r="P435">
        <f>IF(SUMIFS(T_PlannedOrders[EffectiveQty],T_PlannedOrders[Part Name],$A409,T_PlannedOrders[WeekIndex],13)=0,"",SUMIFS(T_PlannedOrders[EffectiveQty],T_PlannedOrders[Part Name],$A409,T_PlannedOrders[WeekIndex],13)&amp;" ("&amp;TEXT(SUMPRODUCT(MAX((T_PlannedOrders[Part Name]=$A409)*(T_PlannedOrders[WeekIndex]=13)*(T_PlannedOrders[EffectiveQty]&gt;0)*T_PlannedOrders[Order_Month])),"m月")&amp;"発注)")</f>
        <v/>
      </c>
      <c r="Q435">
        <f>IF(SUMIFS(T_PlannedOrders[EffectiveQty],T_PlannedOrders[Part Name],$A409,T_PlannedOrders[WeekIndex],14)=0,"",SUMIFS(T_PlannedOrders[EffectiveQty],T_PlannedOrders[Part Name],$A409,T_PlannedOrders[WeekIndex],14)&amp;" ("&amp;TEXT(SUMPRODUCT(MAX((T_PlannedOrders[Part Name]=$A409)*(T_PlannedOrders[WeekIndex]=14)*(T_PlannedOrders[EffectiveQty]&gt;0)*T_PlannedOrders[Order_Month])),"m月")&amp;"発注)")</f>
        <v/>
      </c>
      <c r="R435">
        <f>IF(SUMIFS(T_PlannedOrders[EffectiveQty],T_PlannedOrders[Part Name],$A409,T_PlannedOrders[WeekIndex],15)=0,"",SUMIFS(T_PlannedOrders[EffectiveQty],T_PlannedOrders[Part Name],$A409,T_PlannedOrders[WeekIndex],15)&amp;" ("&amp;TEXT(SUMPRODUCT(MAX((T_PlannedOrders[Part Name]=$A409)*(T_PlannedOrders[WeekIndex]=15)*(T_PlannedOrders[EffectiveQty]&gt;0)*T_PlannedOrders[Order_Month])),"m月")&amp;"発注)")</f>
        <v/>
      </c>
      <c r="S435">
        <f>IF(SUMIFS(T_PlannedOrders[EffectiveQty],T_PlannedOrders[Part Name],$A409,T_PlannedOrders[WeekIndex],16)=0,"",SUMIFS(T_PlannedOrders[EffectiveQty],T_PlannedOrders[Part Name],$A409,T_PlannedOrders[WeekIndex],16)&amp;" ("&amp;TEXT(SUMPRODUCT(MAX((T_PlannedOrders[Part Name]=$A409)*(T_PlannedOrders[WeekIndex]=16)*(T_PlannedOrders[EffectiveQty]&gt;0)*T_PlannedOrders[Order_Month])),"m月")&amp;"発注)")</f>
        <v/>
      </c>
      <c r="T435">
        <f>IF(SUMIFS(T_PlannedOrders[EffectiveQty],T_PlannedOrders[Part Name],$A409,T_PlannedOrders[WeekIndex],17)=0,"",SUMIFS(T_PlannedOrders[EffectiveQty],T_PlannedOrders[Part Name],$A409,T_PlannedOrders[WeekIndex],17)&amp;" ("&amp;TEXT(SUMPRODUCT(MAX((T_PlannedOrders[Part Name]=$A409)*(T_PlannedOrders[WeekIndex]=17)*(T_PlannedOrders[EffectiveQty]&gt;0)*T_PlannedOrders[Order_Month])),"m月")&amp;"発注)")</f>
        <v/>
      </c>
      <c r="U435">
        <f>IF(SUMIFS(T_PlannedOrders[EffectiveQty],T_PlannedOrders[Part Name],$A409,T_PlannedOrders[WeekIndex],18)=0,"",SUMIFS(T_PlannedOrders[EffectiveQty],T_PlannedOrders[Part Name],$A409,T_PlannedOrders[WeekIndex],18)&amp;" ("&amp;TEXT(SUMPRODUCT(MAX((T_PlannedOrders[Part Name]=$A409)*(T_PlannedOrders[WeekIndex]=18)*(T_PlannedOrders[EffectiveQty]&gt;0)*T_PlannedOrders[Order_Month])),"m月")&amp;"発注)")</f>
        <v/>
      </c>
      <c r="V435">
        <f>IF(SUMIFS(T_PlannedOrders[EffectiveQty],T_PlannedOrders[Part Name],$A409,T_PlannedOrders[WeekIndex],19)=0,"",SUMIFS(T_PlannedOrders[EffectiveQty],T_PlannedOrders[Part Name],$A409,T_PlannedOrders[WeekIndex],19)&amp;" ("&amp;TEXT(SUMPRODUCT(MAX((T_PlannedOrders[Part Name]=$A409)*(T_PlannedOrders[WeekIndex]=19)*(T_PlannedOrders[EffectiveQty]&gt;0)*T_PlannedOrders[Order_Month])),"m月")&amp;"発注)")</f>
        <v/>
      </c>
      <c r="W435">
        <f>IF(SUMIFS(T_PlannedOrders[EffectiveQty],T_PlannedOrders[Part Name],$A409,T_PlannedOrders[WeekIndex],20)=0,"",SUMIFS(T_PlannedOrders[EffectiveQty],T_PlannedOrders[Part Name],$A409,T_PlannedOrders[WeekIndex],20)&amp;" ("&amp;TEXT(SUMPRODUCT(MAX((T_PlannedOrders[Part Name]=$A409)*(T_PlannedOrders[WeekIndex]=20)*(T_PlannedOrders[EffectiveQty]&gt;0)*T_PlannedOrders[Order_Month])),"m月")&amp;"発注)")</f>
        <v/>
      </c>
      <c r="X435">
        <f>IF(SUMIFS(T_PlannedOrders[EffectiveQty],T_PlannedOrders[Part Name],$A409,T_PlannedOrders[WeekIndex],21)=0,"",SUMIFS(T_PlannedOrders[EffectiveQty],T_PlannedOrders[Part Name],$A409,T_PlannedOrders[WeekIndex],21)&amp;" ("&amp;TEXT(SUMPRODUCT(MAX((T_PlannedOrders[Part Name]=$A409)*(T_PlannedOrders[WeekIndex]=21)*(T_PlannedOrders[EffectiveQty]&gt;0)*T_PlannedOrders[Order_Month])),"m月")&amp;"発注)")</f>
        <v/>
      </c>
      <c r="Y435">
        <f>IF(SUMIFS(T_PlannedOrders[EffectiveQty],T_PlannedOrders[Part Name],$A409,T_PlannedOrders[WeekIndex],22)=0,"",SUMIFS(T_PlannedOrders[EffectiveQty],T_PlannedOrders[Part Name],$A409,T_PlannedOrders[WeekIndex],22)&amp;" ("&amp;TEXT(SUMPRODUCT(MAX((T_PlannedOrders[Part Name]=$A409)*(T_PlannedOrders[WeekIndex]=22)*(T_PlannedOrders[EffectiveQty]&gt;0)*T_PlannedOrders[Order_Month])),"m月")&amp;"発注)")</f>
        <v/>
      </c>
      <c r="Z435">
        <f>IF(SUMIFS(T_PlannedOrders[EffectiveQty],T_PlannedOrders[Part Name],$A409,T_PlannedOrders[WeekIndex],23)=0,"",SUMIFS(T_PlannedOrders[EffectiveQty],T_PlannedOrders[Part Name],$A409,T_PlannedOrders[WeekIndex],23)&amp;" ("&amp;TEXT(SUMPRODUCT(MAX((T_PlannedOrders[Part Name]=$A409)*(T_PlannedOrders[WeekIndex]=23)*(T_PlannedOrders[EffectiveQty]&gt;0)*T_PlannedOrders[Order_Month])),"m月")&amp;"発注)")</f>
        <v/>
      </c>
      <c r="AA435">
        <f>IF(SUMIFS(T_PlannedOrders[EffectiveQty],T_PlannedOrders[Part Name],$A409,T_PlannedOrders[WeekIndex],24)=0,"",SUMIFS(T_PlannedOrders[EffectiveQty],T_PlannedOrders[Part Name],$A409,T_PlannedOrders[WeekIndex],24)&amp;" ("&amp;TEXT(SUMPRODUCT(MAX((T_PlannedOrders[Part Name]=$A409)*(T_PlannedOrders[WeekIndex]=24)*(T_PlannedOrders[EffectiveQty]&gt;0)*T_PlannedOrders[Order_Month])),"m月")&amp;"発注)")</f>
        <v/>
      </c>
      <c r="AB435">
        <f>IF(SUMIFS(T_PlannedOrders[EffectiveQty],T_PlannedOrders[Part Name],$A409,T_PlannedOrders[WeekIndex],25)=0,"",SUMIFS(T_PlannedOrders[EffectiveQty],T_PlannedOrders[Part Name],$A409,T_PlannedOrders[WeekIndex],25)&amp;" ("&amp;TEXT(SUMPRODUCT(MAX((T_PlannedOrders[Part Name]=$A409)*(T_PlannedOrders[WeekIndex]=25)*(T_PlannedOrders[EffectiveQty]&gt;0)*T_PlannedOrders[Order_Month])),"m月")&amp;"発注)")</f>
        <v/>
      </c>
      <c r="AC435">
        <f>IF(SUMIFS(T_PlannedOrders[EffectiveQty],T_PlannedOrders[Part Name],$A409,T_PlannedOrders[WeekIndex],26)=0,"",SUMIFS(T_PlannedOrders[EffectiveQty],T_PlannedOrders[Part Name],$A409,T_PlannedOrders[WeekIndex],26)&amp;" ("&amp;TEXT(SUMPRODUCT(MAX((T_PlannedOrders[Part Name]=$A409)*(T_PlannedOrders[WeekIndex]=26)*(T_PlannedOrders[EffectiveQty]&gt;0)*T_PlannedOrders[Order_Month])),"m月")&amp;"発注)")</f>
        <v/>
      </c>
      <c r="AD435">
        <f>IF(SUMIFS(T_PlannedOrders[EffectiveQty],T_PlannedOrders[Part Name],$A409,T_PlannedOrders[WeekIndex],27)=0,"",SUMIFS(T_PlannedOrders[EffectiveQty],T_PlannedOrders[Part Name],$A409,T_PlannedOrders[WeekIndex],27)&amp;" ("&amp;TEXT(SUMPRODUCT(MAX((T_PlannedOrders[Part Name]=$A409)*(T_PlannedOrders[WeekIndex]=27)*(T_PlannedOrders[EffectiveQty]&gt;0)*T_PlannedOrders[Order_Month])),"m月")&amp;"発注)")</f>
        <v/>
      </c>
      <c r="AE435">
        <f>IF(SUMIFS(T_PlannedOrders[EffectiveQty],T_PlannedOrders[Part Name],$A409,T_PlannedOrders[WeekIndex],28)=0,"",SUMIFS(T_PlannedOrders[EffectiveQty],T_PlannedOrders[Part Name],$A409,T_PlannedOrders[WeekIndex],28)&amp;" ("&amp;TEXT(SUMPRODUCT(MAX((T_PlannedOrders[Part Name]=$A409)*(T_PlannedOrders[WeekIndex]=28)*(T_PlannedOrders[EffectiveQty]&gt;0)*T_PlannedOrders[Order_Month])),"m月")&amp;"発注)")</f>
        <v/>
      </c>
      <c r="AF435">
        <f>IF(SUMIFS(T_PlannedOrders[EffectiveQty],T_PlannedOrders[Part Name],$A409,T_PlannedOrders[WeekIndex],29)=0,"",SUMIFS(T_PlannedOrders[EffectiveQty],T_PlannedOrders[Part Name],$A409,T_PlannedOrders[WeekIndex],29)&amp;" ("&amp;TEXT(SUMPRODUCT(MAX((T_PlannedOrders[Part Name]=$A409)*(T_PlannedOrders[WeekIndex]=29)*(T_PlannedOrders[EffectiveQty]&gt;0)*T_PlannedOrders[Order_Month])),"m月")&amp;"発注)")</f>
        <v/>
      </c>
      <c r="AG435">
        <f>IF(SUMIFS(T_PlannedOrders[EffectiveQty],T_PlannedOrders[Part Name],$A409,T_PlannedOrders[WeekIndex],30)=0,"",SUMIFS(T_PlannedOrders[EffectiveQty],T_PlannedOrders[Part Name],$A409,T_PlannedOrders[WeekIndex],30)&amp;" ("&amp;TEXT(SUMPRODUCT(MAX((T_PlannedOrders[Part Name]=$A409)*(T_PlannedOrders[WeekIndex]=30)*(T_PlannedOrders[EffectiveQty]&gt;0)*T_PlannedOrders[Order_Month])),"m月")&amp;"発注)")</f>
        <v/>
      </c>
      <c r="AH435">
        <f>IF(SUMIFS(T_PlannedOrders[EffectiveQty],T_PlannedOrders[Part Name],$A409,T_PlannedOrders[WeekIndex],31)=0,"",SUMIFS(T_PlannedOrders[EffectiveQty],T_PlannedOrders[Part Name],$A409,T_PlannedOrders[WeekIndex],31)&amp;" ("&amp;TEXT(SUMPRODUCT(MAX((T_PlannedOrders[Part Name]=$A409)*(T_PlannedOrders[WeekIndex]=31)*(T_PlannedOrders[EffectiveQty]&gt;0)*T_PlannedOrders[Order_Month])),"m月")&amp;"発注)")</f>
        <v/>
      </c>
      <c r="AI435">
        <f>IF(SUMIFS(T_PlannedOrders[EffectiveQty],T_PlannedOrders[Part Name],$A409,T_PlannedOrders[WeekIndex],32)=0,"",SUMIFS(T_PlannedOrders[EffectiveQty],T_PlannedOrders[Part Name],$A409,T_PlannedOrders[WeekIndex],32)&amp;" ("&amp;TEXT(SUMPRODUCT(MAX((T_PlannedOrders[Part Name]=$A409)*(T_PlannedOrders[WeekIndex]=32)*(T_PlannedOrders[EffectiveQty]&gt;0)*T_PlannedOrders[Order_Month])),"m月")&amp;"発注)")</f>
        <v/>
      </c>
      <c r="AJ435">
        <f>IF(SUMIFS(T_PlannedOrders[EffectiveQty],T_PlannedOrders[Part Name],$A409,T_PlannedOrders[WeekIndex],33)=0,"",SUMIFS(T_PlannedOrders[EffectiveQty],T_PlannedOrders[Part Name],$A409,T_PlannedOrders[WeekIndex],33)&amp;" ("&amp;TEXT(SUMPRODUCT(MAX((T_PlannedOrders[Part Name]=$A409)*(T_PlannedOrders[WeekIndex]=33)*(T_PlannedOrders[EffectiveQty]&gt;0)*T_PlannedOrders[Order_Month])),"m月")&amp;"発注)")</f>
        <v/>
      </c>
      <c r="AK435">
        <f>IF(SUMIFS(T_PlannedOrders[EffectiveQty],T_PlannedOrders[Part Name],$A409,T_PlannedOrders[WeekIndex],34)=0,"",SUMIFS(T_PlannedOrders[EffectiveQty],T_PlannedOrders[Part Name],$A409,T_PlannedOrders[WeekIndex],34)&amp;" ("&amp;TEXT(SUMPRODUCT(MAX((T_PlannedOrders[Part Name]=$A409)*(T_PlannedOrders[WeekIndex]=34)*(T_PlannedOrders[EffectiveQty]&gt;0)*T_PlannedOrders[Order_Month])),"m月")&amp;"発注)")</f>
        <v/>
      </c>
      <c r="AL435">
        <f>IF(SUMIFS(T_PlannedOrders[EffectiveQty],T_PlannedOrders[Part Name],$A409,T_PlannedOrders[WeekIndex],35)=0,"",SUMIFS(T_PlannedOrders[EffectiveQty],T_PlannedOrders[Part Name],$A409,T_PlannedOrders[WeekIndex],35)&amp;" ("&amp;TEXT(SUMPRODUCT(MAX((T_PlannedOrders[Part Name]=$A409)*(T_PlannedOrders[WeekIndex]=35)*(T_PlannedOrders[EffectiveQty]&gt;0)*T_PlannedOrders[Order_Month])),"m月")&amp;"発注)")</f>
        <v/>
      </c>
      <c r="AM435">
        <f>IF(SUMIFS(T_PlannedOrders[EffectiveQty],T_PlannedOrders[Part Name],$A409,T_PlannedOrders[WeekIndex],36)=0,"",SUMIFS(T_PlannedOrders[EffectiveQty],T_PlannedOrders[Part Name],$A409,T_PlannedOrders[WeekIndex],36)&amp;" ("&amp;TEXT(SUMPRODUCT(MAX((T_PlannedOrders[Part Name]=$A409)*(T_PlannedOrders[WeekIndex]=36)*(T_PlannedOrders[EffectiveQty]&gt;0)*T_PlannedOrders[Order_Month])),"m月")&amp;"発注)")</f>
        <v/>
      </c>
      <c r="AN435">
        <f>IF(SUMIFS(T_PlannedOrders[EffectiveQty],T_PlannedOrders[Part Name],$A409,T_PlannedOrders[WeekIndex],37)=0,"",SUMIFS(T_PlannedOrders[EffectiveQty],T_PlannedOrders[Part Name],$A409,T_PlannedOrders[WeekIndex],37)&amp;" ("&amp;TEXT(SUMPRODUCT(MAX((T_PlannedOrders[Part Name]=$A409)*(T_PlannedOrders[WeekIndex]=37)*(T_PlannedOrders[EffectiveQty]&gt;0)*T_PlannedOrders[Order_Month])),"m月")&amp;"発注)")</f>
        <v/>
      </c>
      <c r="AO435">
        <f>IF(SUMIFS(T_PlannedOrders[EffectiveQty],T_PlannedOrders[Part Name],$A409,T_PlannedOrders[WeekIndex],38)=0,"",SUMIFS(T_PlannedOrders[EffectiveQty],T_PlannedOrders[Part Name],$A409,T_PlannedOrders[WeekIndex],38)&amp;" ("&amp;TEXT(SUMPRODUCT(MAX((T_PlannedOrders[Part Name]=$A409)*(T_PlannedOrders[WeekIndex]=38)*(T_PlannedOrders[EffectiveQty]&gt;0)*T_PlannedOrders[Order_Month])),"m月")&amp;"発注)")</f>
        <v/>
      </c>
      <c r="AP435">
        <f>IF(SUMIFS(T_PlannedOrders[EffectiveQty],T_PlannedOrders[Part Name],$A409,T_PlannedOrders[WeekIndex],39)=0,"",SUMIFS(T_PlannedOrders[EffectiveQty],T_PlannedOrders[Part Name],$A409,T_PlannedOrders[WeekIndex],39)&amp;" ("&amp;TEXT(SUMPRODUCT(MAX((T_PlannedOrders[Part Name]=$A409)*(T_PlannedOrders[WeekIndex]=39)*(T_PlannedOrders[EffectiveQty]&gt;0)*T_PlannedOrders[Order_Month])),"m月")&amp;"発注)")</f>
        <v/>
      </c>
      <c r="AQ435">
        <f>IF(SUMIFS(T_PlannedOrders[EffectiveQty],T_PlannedOrders[Part Name],$A409,T_PlannedOrders[WeekIndex],40)=0,"",SUMIFS(T_PlannedOrders[EffectiveQty],T_PlannedOrders[Part Name],$A409,T_PlannedOrders[WeekIndex],40)&amp;" ("&amp;TEXT(SUMPRODUCT(MAX((T_PlannedOrders[Part Name]=$A409)*(T_PlannedOrders[WeekIndex]=40)*(T_PlannedOrders[EffectiveQty]&gt;0)*T_PlannedOrders[Order_Month])),"m月")&amp;"発注)")</f>
        <v/>
      </c>
      <c r="AR435">
        <f>IF(SUMIFS(T_PlannedOrders[EffectiveQty],T_PlannedOrders[Part Name],$A409,T_PlannedOrders[WeekIndex],41)=0,"",SUMIFS(T_PlannedOrders[EffectiveQty],T_PlannedOrders[Part Name],$A409,T_PlannedOrders[WeekIndex],41)&amp;" ("&amp;TEXT(SUMPRODUCT(MAX((T_PlannedOrders[Part Name]=$A409)*(T_PlannedOrders[WeekIndex]=41)*(T_PlannedOrders[EffectiveQty]&gt;0)*T_PlannedOrders[Order_Month])),"m月")&amp;"発注)")</f>
        <v/>
      </c>
      <c r="AS435">
        <f>IF(SUMIFS(T_PlannedOrders[EffectiveQty],T_PlannedOrders[Part Name],$A409,T_PlannedOrders[WeekIndex],42)=0,"",SUMIFS(T_PlannedOrders[EffectiveQty],T_PlannedOrders[Part Name],$A409,T_PlannedOrders[WeekIndex],42)&amp;" ("&amp;TEXT(SUMPRODUCT(MAX((T_PlannedOrders[Part Name]=$A409)*(T_PlannedOrders[WeekIndex]=42)*(T_PlannedOrders[EffectiveQty]&gt;0)*T_PlannedOrders[Order_Month])),"m月")&amp;"発注)")</f>
        <v/>
      </c>
      <c r="AT435">
        <f>IF(SUMIFS(T_PlannedOrders[EffectiveQty],T_PlannedOrders[Part Name],$A409,T_PlannedOrders[WeekIndex],43)=0,"",SUMIFS(T_PlannedOrders[EffectiveQty],T_PlannedOrders[Part Name],$A409,T_PlannedOrders[WeekIndex],43)&amp;" ("&amp;TEXT(SUMPRODUCT(MAX((T_PlannedOrders[Part Name]=$A409)*(T_PlannedOrders[WeekIndex]=43)*(T_PlannedOrders[EffectiveQty]&gt;0)*T_PlannedOrders[Order_Month])),"m月")&amp;"発注)")</f>
        <v/>
      </c>
      <c r="AU435">
        <f>IF(SUMIFS(T_PlannedOrders[EffectiveQty],T_PlannedOrders[Part Name],$A409,T_PlannedOrders[WeekIndex],44)=0,"",SUMIFS(T_PlannedOrders[EffectiveQty],T_PlannedOrders[Part Name],$A409,T_PlannedOrders[WeekIndex],44)&amp;" ("&amp;TEXT(SUMPRODUCT(MAX((T_PlannedOrders[Part Name]=$A409)*(T_PlannedOrders[WeekIndex]=44)*(T_PlannedOrders[EffectiveQty]&gt;0)*T_PlannedOrders[Order_Month])),"m月")&amp;"発注)")</f>
        <v/>
      </c>
      <c r="AV435">
        <f>IF(SUMIFS(T_PlannedOrders[EffectiveQty],T_PlannedOrders[Part Name],$A409,T_PlannedOrders[WeekIndex],45)=0,"",SUMIFS(T_PlannedOrders[EffectiveQty],T_PlannedOrders[Part Name],$A409,T_PlannedOrders[WeekIndex],45)&amp;" ("&amp;TEXT(SUMPRODUCT(MAX((T_PlannedOrders[Part Name]=$A409)*(T_PlannedOrders[WeekIndex]=45)*(T_PlannedOrders[EffectiveQty]&gt;0)*T_PlannedOrders[Order_Month])),"m月")&amp;"発注)")</f>
        <v/>
      </c>
      <c r="AW435">
        <f>IF(SUMIFS(T_PlannedOrders[EffectiveQty],T_PlannedOrders[Part Name],$A409,T_PlannedOrders[WeekIndex],46)=0,"",SUMIFS(T_PlannedOrders[EffectiveQty],T_PlannedOrders[Part Name],$A409,T_PlannedOrders[WeekIndex],46)&amp;" ("&amp;TEXT(SUMPRODUCT(MAX((T_PlannedOrders[Part Name]=$A409)*(T_PlannedOrders[WeekIndex]=46)*(T_PlannedOrders[EffectiveQty]&gt;0)*T_PlannedOrders[Order_Month])),"m月")&amp;"発注)")</f>
        <v/>
      </c>
      <c r="AX435">
        <f>IF(SUMIFS(T_PlannedOrders[EffectiveQty],T_PlannedOrders[Part Name],$A409,T_PlannedOrders[WeekIndex],47)=0,"",SUMIFS(T_PlannedOrders[EffectiveQty],T_PlannedOrders[Part Name],$A409,T_PlannedOrders[WeekIndex],47)&amp;" ("&amp;TEXT(SUMPRODUCT(MAX((T_PlannedOrders[Part Name]=$A409)*(T_PlannedOrders[WeekIndex]=47)*(T_PlannedOrders[EffectiveQty]&gt;0)*T_PlannedOrders[Order_Month])),"m月")&amp;"発注)")</f>
        <v/>
      </c>
      <c r="AY435">
        <f>IF(SUMIFS(T_PlannedOrders[EffectiveQty],T_PlannedOrders[Part Name],$A409,T_PlannedOrders[WeekIndex],48)=0,"",SUMIFS(T_PlannedOrders[EffectiveQty],T_PlannedOrders[Part Name],$A409,T_PlannedOrders[WeekIndex],48)&amp;" ("&amp;TEXT(SUMPRODUCT(MAX((T_PlannedOrders[Part Name]=$A409)*(T_PlannedOrders[WeekIndex]=48)*(T_PlannedOrders[EffectiveQty]&gt;0)*T_PlannedOrders[Order_Month])),"m月")&amp;"発注)")</f>
        <v/>
      </c>
      <c r="AZ435">
        <f>IF(SUMIFS(T_PlannedOrders[EffectiveQty],T_PlannedOrders[Part Name],$A409,T_PlannedOrders[WeekIndex],49)=0,"",SUMIFS(T_PlannedOrders[EffectiveQty],T_PlannedOrders[Part Name],$A409,T_PlannedOrders[WeekIndex],49)&amp;" ("&amp;TEXT(SUMPRODUCT(MAX((T_PlannedOrders[Part Name]=$A409)*(T_PlannedOrders[WeekIndex]=49)*(T_PlannedOrders[EffectiveQty]&gt;0)*T_PlannedOrders[Order_Month])),"m月")&amp;"発注)")</f>
        <v/>
      </c>
      <c r="BA435">
        <f>IF(SUMIFS(T_PlannedOrders[EffectiveQty],T_PlannedOrders[Part Name],$A409,T_PlannedOrders[WeekIndex],50)=0,"",SUMIFS(T_PlannedOrders[EffectiveQty],T_PlannedOrders[Part Name],$A409,T_PlannedOrders[WeekIndex],50)&amp;" ("&amp;TEXT(SUMPRODUCT(MAX((T_PlannedOrders[Part Name]=$A409)*(T_PlannedOrders[WeekIndex]=50)*(T_PlannedOrders[EffectiveQty]&gt;0)*T_PlannedOrders[Order_Month])),"m月")&amp;"発注)")</f>
        <v/>
      </c>
      <c r="BB435">
        <f>IF(SUMIFS(T_PlannedOrders[EffectiveQty],T_PlannedOrders[Part Name],$A409,T_PlannedOrders[WeekIndex],51)=0,"",SUMIFS(T_PlannedOrders[EffectiveQty],T_PlannedOrders[Part Name],$A409,T_PlannedOrders[WeekIndex],51)&amp;" ("&amp;TEXT(SUMPRODUCT(MAX((T_PlannedOrders[Part Name]=$A409)*(T_PlannedOrders[WeekIndex]=51)*(T_PlannedOrders[EffectiveQty]&gt;0)*T_PlannedOrders[Order_Month])),"m月")&amp;"発注)")</f>
        <v/>
      </c>
      <c r="BC435">
        <f>IF(SUMIFS(T_PlannedOrders[EffectiveQty],T_PlannedOrders[Part Name],$A409,T_PlannedOrders[WeekIndex],52)=0,"",SUMIFS(T_PlannedOrders[EffectiveQty],T_PlannedOrders[Part Name],$A409,T_PlannedOrders[WeekIndex],52)&amp;" ("&amp;TEXT(SUMPRODUCT(MAX((T_PlannedOrders[Part Name]=$A409)*(T_PlannedOrders[WeekIndex]=52)*(T_PlannedOrders[EffectiveQty]&gt;0)*T_PlannedOrders[Order_Month])),"m月")&amp;"発注)")</f>
        <v/>
      </c>
      <c r="BD435">
        <f>IF(SUMIFS(T_PlannedOrders[EffectiveQty],T_PlannedOrders[Part Name],$A409,T_PlannedOrders[WeekIndex],53)=0,"",SUMIFS(T_PlannedOrders[EffectiveQty],T_PlannedOrders[Part Name],$A409,T_PlannedOrders[WeekIndex],53)&amp;" ("&amp;TEXT(SUMPRODUCT(MAX((T_PlannedOrders[Part Name]=$A409)*(T_PlannedOrders[WeekIndex]=53)*(T_PlannedOrders[EffectiveQty]&gt;0)*T_PlannedOrders[Order_Month])),"m月")&amp;"発注)")</f>
        <v/>
      </c>
      <c r="BE435">
        <f>IF(SUMIFS(T_PlannedOrders[EffectiveQty],T_PlannedOrders[Part Name],$A409,T_PlannedOrders[WeekIndex],54)=0,"",SUMIFS(T_PlannedOrders[EffectiveQty],T_PlannedOrders[Part Name],$A409,T_PlannedOrders[WeekIndex],54)&amp;" ("&amp;TEXT(SUMPRODUCT(MAX((T_PlannedOrders[Part Name]=$A409)*(T_PlannedOrders[WeekIndex]=54)*(T_PlannedOrders[EffectiveQty]&gt;0)*T_PlannedOrders[Order_Month])),"m月")&amp;"発注)")</f>
        <v/>
      </c>
      <c r="BF435">
        <f>IF(SUMIFS(T_PlannedOrders[EffectiveQty],T_PlannedOrders[Part Name],$A409,T_PlannedOrders[WeekIndex],55)=0,"",SUMIFS(T_PlannedOrders[EffectiveQty],T_PlannedOrders[Part Name],$A409,T_PlannedOrders[WeekIndex],55)&amp;" ("&amp;TEXT(SUMPRODUCT(MAX((T_PlannedOrders[Part Name]=$A409)*(T_PlannedOrders[WeekIndex]=55)*(T_PlannedOrders[EffectiveQty]&gt;0)*T_PlannedOrders[Order_Month])),"m月")&amp;"発注)")</f>
        <v/>
      </c>
      <c r="BG435">
        <f>IF(SUMIFS(T_PlannedOrders[EffectiveQty],T_PlannedOrders[Part Name],$A409,T_PlannedOrders[WeekIndex],56)=0,"",SUMIFS(T_PlannedOrders[EffectiveQty],T_PlannedOrders[Part Name],$A409,T_PlannedOrders[WeekIndex],56)&amp;" ("&amp;TEXT(SUMPRODUCT(MAX((T_PlannedOrders[Part Name]=$A409)*(T_PlannedOrders[WeekIndex]=56)*(T_PlannedOrders[EffectiveQty]&gt;0)*T_PlannedOrders[Order_Month])),"m月")&amp;"発注)")</f>
        <v/>
      </c>
      <c r="BH435">
        <f>IF(SUMIFS(T_PlannedOrders[EffectiveQty],T_PlannedOrders[Part Name],$A409,T_PlannedOrders[WeekIndex],57)=0,"",SUMIFS(T_PlannedOrders[EffectiveQty],T_PlannedOrders[Part Name],$A409,T_PlannedOrders[WeekIndex],57)&amp;" ("&amp;TEXT(SUMPRODUCT(MAX((T_PlannedOrders[Part Name]=$A409)*(T_PlannedOrders[WeekIndex]=57)*(T_PlannedOrders[EffectiveQty]&gt;0)*T_PlannedOrders[Order_Month])),"m月")&amp;"発注)")</f>
        <v/>
      </c>
      <c r="BI435">
        <f>IF(SUMIFS(T_PlannedOrders[EffectiveQty],T_PlannedOrders[Part Name],$A409,T_PlannedOrders[WeekIndex],58)=0,"",SUMIFS(T_PlannedOrders[EffectiveQty],T_PlannedOrders[Part Name],$A409,T_PlannedOrders[WeekIndex],58)&amp;" ("&amp;TEXT(SUMPRODUCT(MAX((T_PlannedOrders[Part Name]=$A409)*(T_PlannedOrders[WeekIndex]=58)*(T_PlannedOrders[EffectiveQty]&gt;0)*T_PlannedOrders[Order_Month])),"m月")&amp;"発注)")</f>
        <v/>
      </c>
      <c r="BJ435">
        <f>IF(SUMIFS(T_PlannedOrders[EffectiveQty],T_PlannedOrders[Part Name],$A409,T_PlannedOrders[WeekIndex],59)=0,"",SUMIFS(T_PlannedOrders[EffectiveQty],T_PlannedOrders[Part Name],$A409,T_PlannedOrders[WeekIndex],59)&amp;" ("&amp;TEXT(SUMPRODUCT(MAX((T_PlannedOrders[Part Name]=$A409)*(T_PlannedOrders[WeekIndex]=59)*(T_PlannedOrders[EffectiveQty]&gt;0)*T_PlannedOrders[Order_Month])),"m月")&amp;"発注)")</f>
        <v/>
      </c>
      <c r="BK435">
        <f>IF(SUMIFS(T_PlannedOrders[EffectiveQty],T_PlannedOrders[Part Name],$A409,T_PlannedOrders[WeekIndex],60)=0,"",SUMIFS(T_PlannedOrders[EffectiveQty],T_PlannedOrders[Part Name],$A409,T_PlannedOrders[WeekIndex],60)&amp;" ("&amp;TEXT(SUMPRODUCT(MAX((T_PlannedOrders[Part Name]=$A409)*(T_PlannedOrders[WeekIndex]=60)*(T_PlannedOrders[EffectiveQty]&gt;0)*T_PlannedOrders[Order_Month])),"m月")&amp;"発注)")</f>
        <v/>
      </c>
      <c r="BL435">
        <f>IF(SUMIFS(T_PlannedOrders[EffectiveQty],T_PlannedOrders[Part Name],$A409,T_PlannedOrders[WeekIndex],61)=0,"",SUMIFS(T_PlannedOrders[EffectiveQty],T_PlannedOrders[Part Name],$A409,T_PlannedOrders[WeekIndex],61)&amp;" ("&amp;TEXT(SUMPRODUCT(MAX((T_PlannedOrders[Part Name]=$A409)*(T_PlannedOrders[WeekIndex]=61)*(T_PlannedOrders[EffectiveQty]&gt;0)*T_PlannedOrders[Order_Month])),"m月")&amp;"発注)")</f>
        <v/>
      </c>
      <c r="BM435">
        <f>IF(SUMIFS(T_PlannedOrders[EffectiveQty],T_PlannedOrders[Part Name],$A409,T_PlannedOrders[WeekIndex],62)=0,"",SUMIFS(T_PlannedOrders[EffectiveQty],T_PlannedOrders[Part Name],$A409,T_PlannedOrders[WeekIndex],62)&amp;" ("&amp;TEXT(SUMPRODUCT(MAX((T_PlannedOrders[Part Name]=$A409)*(T_PlannedOrders[WeekIndex]=62)*(T_PlannedOrders[EffectiveQty]&gt;0)*T_PlannedOrders[Order_Month])),"m月")&amp;"発注)")</f>
        <v/>
      </c>
      <c r="BN435">
        <f>IF(SUMIFS(T_PlannedOrders[EffectiveQty],T_PlannedOrders[Part Name],$A409,T_PlannedOrders[WeekIndex],63)=0,"",SUMIFS(T_PlannedOrders[EffectiveQty],T_PlannedOrders[Part Name],$A409,T_PlannedOrders[WeekIndex],63)&amp;" ("&amp;TEXT(SUMPRODUCT(MAX((T_PlannedOrders[Part Name]=$A409)*(T_PlannedOrders[WeekIndex]=63)*(T_PlannedOrders[EffectiveQty]&gt;0)*T_PlannedOrders[Order_Month])),"m月")&amp;"発注)")</f>
        <v/>
      </c>
      <c r="BO435">
        <f>IF(SUMIFS(T_PlannedOrders[EffectiveQty],T_PlannedOrders[Part Name],$A409,T_PlannedOrders[WeekIndex],64)=0,"",SUMIFS(T_PlannedOrders[EffectiveQty],T_PlannedOrders[Part Name],$A409,T_PlannedOrders[WeekIndex],64)&amp;" ("&amp;TEXT(SUMPRODUCT(MAX((T_PlannedOrders[Part Name]=$A409)*(T_PlannedOrders[WeekIndex]=64)*(T_PlannedOrders[EffectiveQty]&gt;0)*T_PlannedOrders[Order_Month])),"m月")&amp;"発注)")</f>
        <v/>
      </c>
      <c r="BP435">
        <f>IF(SUMIFS(T_PlannedOrders[EffectiveQty],T_PlannedOrders[Part Name],$A409,T_PlannedOrders[WeekIndex],65)=0,"",SUMIFS(T_PlannedOrders[EffectiveQty],T_PlannedOrders[Part Name],$A409,T_PlannedOrders[WeekIndex],65)&amp;" ("&amp;TEXT(SUMPRODUCT(MAX((T_PlannedOrders[Part Name]=$A409)*(T_PlannedOrders[WeekIndex]=65)*(T_PlannedOrders[EffectiveQty]&gt;0)*T_PlannedOrders[Order_Month])),"m月")&amp;"発注)")</f>
        <v/>
      </c>
      <c r="BQ435">
        <f>IF(SUMIFS(T_PlannedOrders[EffectiveQty],T_PlannedOrders[Part Name],$A409,T_PlannedOrders[WeekIndex],66)=0,"",SUMIFS(T_PlannedOrders[EffectiveQty],T_PlannedOrders[Part Name],$A409,T_PlannedOrders[WeekIndex],66)&amp;" ("&amp;TEXT(SUMPRODUCT(MAX((T_PlannedOrders[Part Name]=$A409)*(T_PlannedOrders[WeekIndex]=66)*(T_PlannedOrders[EffectiveQty]&gt;0)*T_PlannedOrders[Order_Month])),"m月")&amp;"発注)")</f>
        <v/>
      </c>
      <c r="BR435">
        <f>IF(SUMIFS(T_PlannedOrders[EffectiveQty],T_PlannedOrders[Part Name],$A409,T_PlannedOrders[WeekIndex],67)=0,"",SUMIFS(T_PlannedOrders[EffectiveQty],T_PlannedOrders[Part Name],$A409,T_PlannedOrders[WeekIndex],67)&amp;" ("&amp;TEXT(SUMPRODUCT(MAX((T_PlannedOrders[Part Name]=$A409)*(T_PlannedOrders[WeekIndex]=67)*(T_PlannedOrders[EffectiveQty]&gt;0)*T_PlannedOrders[Order_Month])),"m月")&amp;"発注)")</f>
        <v/>
      </c>
      <c r="BS435">
        <f>IF(SUMIFS(T_PlannedOrders[EffectiveQty],T_PlannedOrders[Part Name],$A409,T_PlannedOrders[WeekIndex],68)=0,"",SUMIFS(T_PlannedOrders[EffectiveQty],T_PlannedOrders[Part Name],$A409,T_PlannedOrders[WeekIndex],68)&amp;" ("&amp;TEXT(SUMPRODUCT(MAX((T_PlannedOrders[Part Name]=$A409)*(T_PlannedOrders[WeekIndex]=68)*(T_PlannedOrders[EffectiveQty]&gt;0)*T_PlannedOrders[Order_Month])),"m月")&amp;"発注)")</f>
        <v/>
      </c>
      <c r="BT435">
        <f>IF(SUMIFS(T_PlannedOrders[EffectiveQty],T_PlannedOrders[Part Name],$A409,T_PlannedOrders[WeekIndex],69)=0,"",SUMIFS(T_PlannedOrders[EffectiveQty],T_PlannedOrders[Part Name],$A409,T_PlannedOrders[WeekIndex],69)&amp;" ("&amp;TEXT(SUMPRODUCT(MAX((T_PlannedOrders[Part Name]=$A409)*(T_PlannedOrders[WeekIndex]=69)*(T_PlannedOrders[EffectiveQty]&gt;0)*T_PlannedOrders[Order_Month])),"m月")&amp;"発注)")</f>
        <v/>
      </c>
      <c r="BU435">
        <f>IF(SUMIFS(T_PlannedOrders[EffectiveQty],T_PlannedOrders[Part Name],$A409,T_PlannedOrders[WeekIndex],70)=0,"",SUMIFS(T_PlannedOrders[EffectiveQty],T_PlannedOrders[Part Name],$A409,T_PlannedOrders[WeekIndex],70)&amp;" ("&amp;TEXT(SUMPRODUCT(MAX((T_PlannedOrders[Part Name]=$A409)*(T_PlannedOrders[WeekIndex]=70)*(T_PlannedOrders[EffectiveQty]&gt;0)*T_PlannedOrders[Order_Month])),"m月")&amp;"発注)")</f>
        <v/>
      </c>
      <c r="BV435">
        <f>IF(SUMIFS(T_PlannedOrders[EffectiveQty],T_PlannedOrders[Part Name],$A409,T_PlannedOrders[WeekIndex],71)=0,"",SUMIFS(T_PlannedOrders[EffectiveQty],T_PlannedOrders[Part Name],$A409,T_PlannedOrders[WeekIndex],71)&amp;" ("&amp;TEXT(SUMPRODUCT(MAX((T_PlannedOrders[Part Name]=$A409)*(T_PlannedOrders[WeekIndex]=71)*(T_PlannedOrders[EffectiveQty]&gt;0)*T_PlannedOrders[Order_Month])),"m月")&amp;"発注)")</f>
        <v/>
      </c>
      <c r="BW435">
        <f>IF(SUMIFS(T_PlannedOrders[EffectiveQty],T_PlannedOrders[Part Name],$A409,T_PlannedOrders[WeekIndex],72)=0,"",SUMIFS(T_PlannedOrders[EffectiveQty],T_PlannedOrders[Part Name],$A409,T_PlannedOrders[WeekIndex],72)&amp;" ("&amp;TEXT(SUMPRODUCT(MAX((T_PlannedOrders[Part Name]=$A409)*(T_PlannedOrders[WeekIndex]=72)*(T_PlannedOrders[EffectiveQty]&gt;0)*T_PlannedOrders[Order_Month])),"m月")&amp;"発注)")</f>
        <v/>
      </c>
      <c r="BX435">
        <f>IF(SUMIFS(T_PlannedOrders[EffectiveQty],T_PlannedOrders[Part Name],$A409,T_PlannedOrders[WeekIndex],73)=0,"",SUMIFS(T_PlannedOrders[EffectiveQty],T_PlannedOrders[Part Name],$A409,T_PlannedOrders[WeekIndex],73)&amp;" ("&amp;TEXT(SUMPRODUCT(MAX((T_PlannedOrders[Part Name]=$A409)*(T_PlannedOrders[WeekIndex]=73)*(T_PlannedOrders[EffectiveQty]&gt;0)*T_PlannedOrders[Order_Month])),"m月")&amp;"発注)")</f>
        <v/>
      </c>
      <c r="BY435">
        <f>IF(SUMIFS(T_PlannedOrders[EffectiveQty],T_PlannedOrders[Part Name],$A409,T_PlannedOrders[WeekIndex],74)=0,"",SUMIFS(T_PlannedOrders[EffectiveQty],T_PlannedOrders[Part Name],$A409,T_PlannedOrders[WeekIndex],74)&amp;" ("&amp;TEXT(SUMPRODUCT(MAX((T_PlannedOrders[Part Name]=$A409)*(T_PlannedOrders[WeekIndex]=74)*(T_PlannedOrders[EffectiveQty]&gt;0)*T_PlannedOrders[Order_Month])),"m月")&amp;"発注)")</f>
        <v/>
      </c>
      <c r="BZ435">
        <f>IF(SUMIFS(T_PlannedOrders[EffectiveQty],T_PlannedOrders[Part Name],$A409,T_PlannedOrders[WeekIndex],75)=0,"",SUMIFS(T_PlannedOrders[EffectiveQty],T_PlannedOrders[Part Name],$A409,T_PlannedOrders[WeekIndex],75)&amp;" ("&amp;TEXT(SUMPRODUCT(MAX((T_PlannedOrders[Part Name]=$A409)*(T_PlannedOrders[WeekIndex]=75)*(T_PlannedOrders[EffectiveQty]&gt;0)*T_PlannedOrders[Order_Month])),"m月")&amp;"発注)")</f>
        <v/>
      </c>
      <c r="CA435">
        <f>IF(SUMIFS(T_PlannedOrders[EffectiveQty],T_PlannedOrders[Part Name],$A409,T_PlannedOrders[WeekIndex],76)=0,"",SUMIFS(T_PlannedOrders[EffectiveQty],T_PlannedOrders[Part Name],$A409,T_PlannedOrders[WeekIndex],76)&amp;" ("&amp;TEXT(SUMPRODUCT(MAX((T_PlannedOrders[Part Name]=$A409)*(T_PlannedOrders[WeekIndex]=76)*(T_PlannedOrders[EffectiveQty]&gt;0)*T_PlannedOrders[Order_Month])),"m月")&amp;"発注)")</f>
        <v/>
      </c>
      <c r="CB435">
        <f>IF(SUMIFS(T_PlannedOrders[EffectiveQty],T_PlannedOrders[Part Name],$A409,T_PlannedOrders[WeekIndex],77)=0,"",SUMIFS(T_PlannedOrders[EffectiveQty],T_PlannedOrders[Part Name],$A409,T_PlannedOrders[WeekIndex],77)&amp;" ("&amp;TEXT(SUMPRODUCT(MAX((T_PlannedOrders[Part Name]=$A409)*(T_PlannedOrders[WeekIndex]=77)*(T_PlannedOrders[EffectiveQty]&gt;0)*T_PlannedOrders[Order_Month])),"m月")&amp;"発注)")</f>
        <v/>
      </c>
      <c r="CC435">
        <f>IF(SUMIFS(T_PlannedOrders[EffectiveQty],T_PlannedOrders[Part Name],$A409,T_PlannedOrders[WeekIndex],78)=0,"",SUMIFS(T_PlannedOrders[EffectiveQty],T_PlannedOrders[Part Name],$A409,T_PlannedOrders[WeekIndex],78)&amp;" ("&amp;TEXT(SUMPRODUCT(MAX((T_PlannedOrders[Part Name]=$A409)*(T_PlannedOrders[WeekIndex]=78)*(T_PlannedOrders[EffectiveQty]&gt;0)*T_PlannedOrders[Order_Month])),"m月")&amp;"発注)")</f>
        <v/>
      </c>
      <c r="CD435">
        <f>IF(SUMIFS(T_PlannedOrders[EffectiveQty],T_PlannedOrders[Part Name],$A409,T_PlannedOrders[WeekIndex],79)=0,"",SUMIFS(T_PlannedOrders[EffectiveQty],T_PlannedOrders[Part Name],$A409,T_PlannedOrders[WeekIndex],79)&amp;" ("&amp;TEXT(SUMPRODUCT(MAX((T_PlannedOrders[Part Name]=$A409)*(T_PlannedOrders[WeekIndex]=79)*(T_PlannedOrders[EffectiveQty]&gt;0)*T_PlannedOrders[Order_Month])),"m月")&amp;"発注)")</f>
        <v/>
      </c>
      <c r="CE435">
        <f>IF(SUMIFS(T_PlannedOrders[EffectiveQty],T_PlannedOrders[Part Name],$A409,T_PlannedOrders[WeekIndex],80)=0,"",SUMIFS(T_PlannedOrders[EffectiveQty],T_PlannedOrders[Part Name],$A409,T_PlannedOrders[WeekIndex],80)&amp;" ("&amp;TEXT(SUMPRODUCT(MAX((T_PlannedOrders[Part Name]=$A409)*(T_PlannedOrders[WeekIndex]=80)*(T_PlannedOrders[EffectiveQty]&gt;0)*T_PlannedOrders[Order_Month])),"m月")&amp;"発注)")</f>
        <v/>
      </c>
      <c r="CF435">
        <f>IF(SUMIFS(T_PlannedOrders[EffectiveQty],T_PlannedOrders[Part Name],$A409,T_PlannedOrders[WeekIndex],81)=0,"",SUMIFS(T_PlannedOrders[EffectiveQty],T_PlannedOrders[Part Name],$A409,T_PlannedOrders[WeekIndex],81)&amp;" ("&amp;TEXT(SUMPRODUCT(MAX((T_PlannedOrders[Part Name]=$A409)*(T_PlannedOrders[WeekIndex]=81)*(T_PlannedOrders[EffectiveQty]&gt;0)*T_PlannedOrders[Order_Month])),"m月")&amp;"発注)")</f>
        <v/>
      </c>
      <c r="CG435">
        <f>IF(SUMIFS(T_PlannedOrders[EffectiveQty],T_PlannedOrders[Part Name],$A409,T_PlannedOrders[WeekIndex],82)=0,"",SUMIFS(T_PlannedOrders[EffectiveQty],T_PlannedOrders[Part Name],$A409,T_PlannedOrders[WeekIndex],82)&amp;" ("&amp;TEXT(SUMPRODUCT(MAX((T_PlannedOrders[Part Name]=$A409)*(T_PlannedOrders[WeekIndex]=82)*(T_PlannedOrders[EffectiveQty]&gt;0)*T_PlannedOrders[Order_Month])),"m月")&amp;"発注)")</f>
        <v/>
      </c>
      <c r="CH435">
        <f>IF(SUMIFS(T_PlannedOrders[EffectiveQty],T_PlannedOrders[Part Name],$A409,T_PlannedOrders[WeekIndex],83)=0,"",SUMIFS(T_PlannedOrders[EffectiveQty],T_PlannedOrders[Part Name],$A409,T_PlannedOrders[WeekIndex],83)&amp;" ("&amp;TEXT(SUMPRODUCT(MAX((T_PlannedOrders[Part Name]=$A409)*(T_PlannedOrders[WeekIndex]=83)*(T_PlannedOrders[EffectiveQty]&gt;0)*T_PlannedOrders[Order_Month])),"m月")&amp;"発注)")</f>
        <v/>
      </c>
      <c r="CI435">
        <f>IF(SUMIFS(T_PlannedOrders[EffectiveQty],T_PlannedOrders[Part Name],$A409,T_PlannedOrders[WeekIndex],84)=0,"",SUMIFS(T_PlannedOrders[EffectiveQty],T_PlannedOrders[Part Name],$A409,T_PlannedOrders[WeekIndex],84)&amp;" ("&amp;TEXT(SUMPRODUCT(MAX((T_PlannedOrders[Part Name]=$A409)*(T_PlannedOrders[WeekIndex]=84)*(T_PlannedOrders[EffectiveQty]&gt;0)*T_PlannedOrders[Order_Month])),"m月")&amp;"発注)")</f>
        <v/>
      </c>
      <c r="CJ435">
        <f>IF(SUMIFS(T_PlannedOrders[EffectiveQty],T_PlannedOrders[Part Name],$A409,T_PlannedOrders[WeekIndex],85)=0,"",SUMIFS(T_PlannedOrders[EffectiveQty],T_PlannedOrders[Part Name],$A409,T_PlannedOrders[WeekIndex],85)&amp;" ("&amp;TEXT(SUMPRODUCT(MAX((T_PlannedOrders[Part Name]=$A409)*(T_PlannedOrders[WeekIndex]=85)*(T_PlannedOrders[EffectiveQty]&gt;0)*T_PlannedOrders[Order_Month])),"m月")&amp;"発注)")</f>
        <v/>
      </c>
      <c r="CK435">
        <f>IF(SUMIFS(T_PlannedOrders[EffectiveQty],T_PlannedOrders[Part Name],$A409,T_PlannedOrders[WeekIndex],86)=0,"",SUMIFS(T_PlannedOrders[EffectiveQty],T_PlannedOrders[Part Name],$A409,T_PlannedOrders[WeekIndex],86)&amp;" ("&amp;TEXT(SUMPRODUCT(MAX((T_PlannedOrders[Part Name]=$A409)*(T_PlannedOrders[WeekIndex]=86)*(T_PlannedOrders[EffectiveQty]&gt;0)*T_PlannedOrders[Order_Month])),"m月")&amp;"発注)")</f>
        <v/>
      </c>
      <c r="CL435">
        <f>IF(SUMIFS(T_PlannedOrders[EffectiveQty],T_PlannedOrders[Part Name],$A409,T_PlannedOrders[WeekIndex],87)=0,"",SUMIFS(T_PlannedOrders[EffectiveQty],T_PlannedOrders[Part Name],$A409,T_PlannedOrders[WeekIndex],87)&amp;" ("&amp;TEXT(SUMPRODUCT(MAX((T_PlannedOrders[Part Name]=$A409)*(T_PlannedOrders[WeekIndex]=87)*(T_PlannedOrders[EffectiveQty]&gt;0)*T_PlannedOrders[Order_Month])),"m月")&amp;"発注)")</f>
        <v/>
      </c>
      <c r="CM435">
        <f>IF(SUMIFS(T_PlannedOrders[EffectiveQty],T_PlannedOrders[Part Name],$A409,T_PlannedOrders[WeekIndex],88)=0,"",SUMIFS(T_PlannedOrders[EffectiveQty],T_PlannedOrders[Part Name],$A409,T_PlannedOrders[WeekIndex],88)&amp;" ("&amp;TEXT(SUMPRODUCT(MAX((T_PlannedOrders[Part Name]=$A409)*(T_PlannedOrders[WeekIndex]=88)*(T_PlannedOrders[EffectiveQty]&gt;0)*T_PlannedOrders[Order_Month])),"m月")&amp;"発注)")</f>
        <v/>
      </c>
      <c r="CN435">
        <f>IF(SUMIFS(T_PlannedOrders[EffectiveQty],T_PlannedOrders[Part Name],$A409,T_PlannedOrders[WeekIndex],89)=0,"",SUMIFS(T_PlannedOrders[EffectiveQty],T_PlannedOrders[Part Name],$A409,T_PlannedOrders[WeekIndex],89)&amp;" ("&amp;TEXT(SUMPRODUCT(MAX((T_PlannedOrders[Part Name]=$A409)*(T_PlannedOrders[WeekIndex]=89)*(T_PlannedOrders[EffectiveQty]&gt;0)*T_PlannedOrders[Order_Month])),"m月")&amp;"発注)")</f>
        <v/>
      </c>
      <c r="CO435">
        <f>IF(SUMIFS(T_PlannedOrders[EffectiveQty],T_PlannedOrders[Part Name],$A409,T_PlannedOrders[WeekIndex],90)=0,"",SUMIFS(T_PlannedOrders[EffectiveQty],T_PlannedOrders[Part Name],$A409,T_PlannedOrders[WeekIndex],90)&amp;" ("&amp;TEXT(SUMPRODUCT(MAX((T_PlannedOrders[Part Name]=$A409)*(T_PlannedOrders[WeekIndex]=90)*(T_PlannedOrders[EffectiveQty]&gt;0)*T_PlannedOrders[Order_Month])),"m月")&amp;"発注)")</f>
        <v/>
      </c>
      <c r="CP435">
        <f>IF(SUMIFS(T_PlannedOrders[EffectiveQty],T_PlannedOrders[Part Name],$A409,T_PlannedOrders[WeekIndex],91)=0,"",SUMIFS(T_PlannedOrders[EffectiveQty],T_PlannedOrders[Part Name],$A409,T_PlannedOrders[WeekIndex],91)&amp;" ("&amp;TEXT(SUMPRODUCT(MAX((T_PlannedOrders[Part Name]=$A409)*(T_PlannedOrders[WeekIndex]=91)*(T_PlannedOrders[EffectiveQty]&gt;0)*T_PlannedOrders[Order_Month])),"m月")&amp;"発注)")</f>
        <v/>
      </c>
      <c r="CQ435">
        <f>IF(SUMIFS(T_PlannedOrders[EffectiveQty],T_PlannedOrders[Part Name],$A409,T_PlannedOrders[WeekIndex],92)=0,"",SUMIFS(T_PlannedOrders[EffectiveQty],T_PlannedOrders[Part Name],$A409,T_PlannedOrders[WeekIndex],92)&amp;" ("&amp;TEXT(SUMPRODUCT(MAX((T_PlannedOrders[Part Name]=$A409)*(T_PlannedOrders[WeekIndex]=92)*(T_PlannedOrders[EffectiveQty]&gt;0)*T_PlannedOrders[Order_Month])),"m月")&amp;"発注)")</f>
        <v/>
      </c>
      <c r="CR435">
        <f>IF(SUMIFS(T_PlannedOrders[EffectiveQty],T_PlannedOrders[Part Name],$A409,T_PlannedOrders[WeekIndex],93)=0,"",SUMIFS(T_PlannedOrders[EffectiveQty],T_PlannedOrders[Part Name],$A409,T_PlannedOrders[WeekIndex],93)&amp;" ("&amp;TEXT(SUMPRODUCT(MAX((T_PlannedOrders[Part Name]=$A409)*(T_PlannedOrders[WeekIndex]=93)*(T_PlannedOrders[EffectiveQty]&gt;0)*T_PlannedOrders[Order_Month])),"m月")&amp;"発注)")</f>
        <v/>
      </c>
      <c r="CS435">
        <f>IF(SUMIFS(T_PlannedOrders[EffectiveQty],T_PlannedOrders[Part Name],$A409,T_PlannedOrders[WeekIndex],94)=0,"",SUMIFS(T_PlannedOrders[EffectiveQty],T_PlannedOrders[Part Name],$A409,T_PlannedOrders[WeekIndex],94)&amp;" ("&amp;TEXT(SUMPRODUCT(MAX((T_PlannedOrders[Part Name]=$A409)*(T_PlannedOrders[WeekIndex]=94)*(T_PlannedOrders[EffectiveQty]&gt;0)*T_PlannedOrders[Order_Month])),"m月")&amp;"発注)")</f>
        <v/>
      </c>
      <c r="CT435">
        <f>IF(SUMIFS(T_PlannedOrders[EffectiveQty],T_PlannedOrders[Part Name],$A409,T_PlannedOrders[WeekIndex],95)=0,"",SUMIFS(T_PlannedOrders[EffectiveQty],T_PlannedOrders[Part Name],$A409,T_PlannedOrders[WeekIndex],95)&amp;" ("&amp;TEXT(SUMPRODUCT(MAX((T_PlannedOrders[Part Name]=$A409)*(T_PlannedOrders[WeekIndex]=95)*(T_PlannedOrders[EffectiveQty]&gt;0)*T_PlannedOrders[Order_Month])),"m月")&amp;"発注)")</f>
        <v/>
      </c>
      <c r="CU435">
        <f>IF(SUMIFS(T_PlannedOrders[EffectiveQty],T_PlannedOrders[Part Name],$A409,T_PlannedOrders[WeekIndex],96)=0,"",SUMIFS(T_PlannedOrders[EffectiveQty],T_PlannedOrders[Part Name],$A409,T_PlannedOrders[WeekIndex],96)&amp;" ("&amp;TEXT(SUMPRODUCT(MAX((T_PlannedOrders[Part Name]=$A409)*(T_PlannedOrders[WeekIndex]=96)*(T_PlannedOrders[EffectiveQty]&gt;0)*T_PlannedOrders[Order_Month])),"m月")&amp;"発注)")</f>
        <v/>
      </c>
      <c r="CV435">
        <f>IF(SUMIFS(T_PlannedOrders[EffectiveQty],T_PlannedOrders[Part Name],$A409,T_PlannedOrders[WeekIndex],97)=0,"",SUMIFS(T_PlannedOrders[EffectiveQty],T_PlannedOrders[Part Name],$A409,T_PlannedOrders[WeekIndex],97)&amp;" ("&amp;TEXT(SUMPRODUCT(MAX((T_PlannedOrders[Part Name]=$A409)*(T_PlannedOrders[WeekIndex]=97)*(T_PlannedOrders[EffectiveQty]&gt;0)*T_PlannedOrders[Order_Month])),"m月")&amp;"発注)")</f>
        <v/>
      </c>
      <c r="CW435">
        <f>IF(SUMIFS(T_PlannedOrders[EffectiveQty],T_PlannedOrders[Part Name],$A409,T_PlannedOrders[WeekIndex],98)=0,"",SUMIFS(T_PlannedOrders[EffectiveQty],T_PlannedOrders[Part Name],$A409,T_PlannedOrders[WeekIndex],98)&amp;" ("&amp;TEXT(SUMPRODUCT(MAX((T_PlannedOrders[Part Name]=$A409)*(T_PlannedOrders[WeekIndex]=98)*(T_PlannedOrders[EffectiveQty]&gt;0)*T_PlannedOrders[Order_Month])),"m月")&amp;"発注)")</f>
        <v/>
      </c>
      <c r="CX435">
        <f>IF(SUMIFS(T_PlannedOrders[EffectiveQty],T_PlannedOrders[Part Name],$A409,T_PlannedOrders[WeekIndex],99)=0,"",SUMIFS(T_PlannedOrders[EffectiveQty],T_PlannedOrders[Part Name],$A409,T_PlannedOrders[WeekIndex],99)&amp;" ("&amp;TEXT(SUMPRODUCT(MAX((T_PlannedOrders[Part Name]=$A409)*(T_PlannedOrders[WeekIndex]=99)*(T_PlannedOrders[EffectiveQty]&gt;0)*T_PlannedOrders[Order_Month])),"m月")&amp;"発注)")</f>
        <v/>
      </c>
      <c r="CY435">
        <f>IF(SUMIFS(T_PlannedOrders[EffectiveQty],T_PlannedOrders[Part Name],$A409,T_PlannedOrders[WeekIndex],100)=0,"",SUMIFS(T_PlannedOrders[EffectiveQty],T_PlannedOrders[Part Name],$A409,T_PlannedOrders[WeekIndex],100)&amp;" ("&amp;TEXT(SUMPRODUCT(MAX((T_PlannedOrders[Part Name]=$A409)*(T_PlannedOrders[WeekIndex]=100)*(T_PlannedOrders[EffectiveQty]&gt;0)*T_PlannedOrders[Order_Month])),"m月")&amp;"発注)")</f>
        <v/>
      </c>
      <c r="CZ435">
        <f>IF(SUMIFS(T_PlannedOrders[EffectiveQty],T_PlannedOrders[Part Name],$A409,T_PlannedOrders[WeekIndex],101)=0,"",SUMIFS(T_PlannedOrders[EffectiveQty],T_PlannedOrders[Part Name],$A409,T_PlannedOrders[WeekIndex],101)&amp;" ("&amp;TEXT(SUMPRODUCT(MAX((T_PlannedOrders[Part Name]=$A409)*(T_PlannedOrders[WeekIndex]=101)*(T_PlannedOrders[EffectiveQty]&gt;0)*T_PlannedOrders[Order_Month])),"m月")&amp;"発注)")</f>
        <v/>
      </c>
      <c r="DA435">
        <f>IF(SUMIFS(T_PlannedOrders[EffectiveQty],T_PlannedOrders[Part Name],$A409,T_PlannedOrders[WeekIndex],102)=0,"",SUMIFS(T_PlannedOrders[EffectiveQty],T_PlannedOrders[Part Name],$A409,T_PlannedOrders[WeekIndex],102)&amp;" ("&amp;TEXT(SUMPRODUCT(MAX((T_PlannedOrders[Part Name]=$A409)*(T_PlannedOrders[WeekIndex]=102)*(T_PlannedOrders[EffectiveQty]&gt;0)*T_PlannedOrders[Order_Month])),"m月")&amp;"発注)")</f>
        <v/>
      </c>
      <c r="DB435">
        <f>IF(SUMIFS(T_PlannedOrders[EffectiveQty],T_PlannedOrders[Part Name],$A409,T_PlannedOrders[WeekIndex],103)=0,"",SUMIFS(T_PlannedOrders[EffectiveQty],T_PlannedOrders[Part Name],$A409,T_PlannedOrders[WeekIndex],103)&amp;" ("&amp;TEXT(SUMPRODUCT(MAX((T_PlannedOrders[Part Name]=$A409)*(T_PlannedOrders[WeekIndex]=103)*(T_PlannedOrders[EffectiveQty]&gt;0)*T_PlannedOrders[Order_Month])),"m月")&amp;"発注)")</f>
        <v/>
      </c>
      <c r="DC435">
        <f>IF(SUMIFS(T_PlannedOrders[EffectiveQty],T_PlannedOrders[Part Name],$A409,T_PlannedOrders[WeekIndex],104)=0,"",SUMIFS(T_PlannedOrders[EffectiveQty],T_PlannedOrders[Part Name],$A409,T_PlannedOrders[WeekIndex],104)&amp;" ("&amp;TEXT(SUMPRODUCT(MAX((T_PlannedOrders[Part Name]=$A409)*(T_PlannedOrders[WeekIndex]=104)*(T_PlannedOrders[EffectiveQty]&gt;0)*T_PlannedOrders[Order_Month])),"m月")&amp;"発注)")</f>
        <v/>
      </c>
    </row>
    <row r="436">
      <c r="B436" s="5" t="inlineStr">
        <is>
          <t>合計在庫(週末時点,kg)</t>
        </is>
      </c>
      <c r="D436">
        <f>'Grid_Stock'!B27</f>
        <v/>
      </c>
      <c r="E436">
        <f>'Grid_Stock'!C27</f>
        <v/>
      </c>
      <c r="F436">
        <f>'Grid_Stock'!D27</f>
        <v/>
      </c>
      <c r="G436">
        <f>'Grid_Stock'!E27</f>
        <v/>
      </c>
      <c r="H436">
        <f>'Grid_Stock'!F27</f>
        <v/>
      </c>
      <c r="I436">
        <f>'Grid_Stock'!G27</f>
        <v/>
      </c>
      <c r="J436">
        <f>'Grid_Stock'!H27</f>
        <v/>
      </c>
      <c r="K436">
        <f>'Grid_Stock'!I27</f>
        <v/>
      </c>
      <c r="L436">
        <f>'Grid_Stock'!J27</f>
        <v/>
      </c>
      <c r="M436">
        <f>'Grid_Stock'!K27</f>
        <v/>
      </c>
      <c r="N436">
        <f>'Grid_Stock'!L27</f>
        <v/>
      </c>
      <c r="O436">
        <f>'Grid_Stock'!M27</f>
        <v/>
      </c>
      <c r="P436">
        <f>'Grid_Stock'!N27</f>
        <v/>
      </c>
      <c r="Q436">
        <f>'Grid_Stock'!O27</f>
        <v/>
      </c>
      <c r="R436">
        <f>'Grid_Stock'!P27</f>
        <v/>
      </c>
      <c r="S436">
        <f>'Grid_Stock'!Q27</f>
        <v/>
      </c>
      <c r="T436">
        <f>'Grid_Stock'!R27</f>
        <v/>
      </c>
      <c r="U436">
        <f>'Grid_Stock'!S27</f>
        <v/>
      </c>
      <c r="V436">
        <f>'Grid_Stock'!T27</f>
        <v/>
      </c>
      <c r="W436">
        <f>'Grid_Stock'!U27</f>
        <v/>
      </c>
      <c r="X436">
        <f>'Grid_Stock'!V27</f>
        <v/>
      </c>
      <c r="Y436">
        <f>'Grid_Stock'!W27</f>
        <v/>
      </c>
      <c r="Z436">
        <f>'Grid_Stock'!X27</f>
        <v/>
      </c>
      <c r="AA436">
        <f>'Grid_Stock'!Y27</f>
        <v/>
      </c>
      <c r="AB436">
        <f>'Grid_Stock'!Z27</f>
        <v/>
      </c>
      <c r="AC436">
        <f>'Grid_Stock'!AA27</f>
        <v/>
      </c>
      <c r="AD436">
        <f>'Grid_Stock'!AB27</f>
        <v/>
      </c>
      <c r="AE436">
        <f>'Grid_Stock'!AC27</f>
        <v/>
      </c>
      <c r="AF436">
        <f>'Grid_Stock'!AD27</f>
        <v/>
      </c>
      <c r="AG436">
        <f>'Grid_Stock'!AE27</f>
        <v/>
      </c>
      <c r="AH436">
        <f>'Grid_Stock'!AF27</f>
        <v/>
      </c>
      <c r="AI436">
        <f>'Grid_Stock'!AG27</f>
        <v/>
      </c>
      <c r="AJ436">
        <f>'Grid_Stock'!AH27</f>
        <v/>
      </c>
      <c r="AK436">
        <f>'Grid_Stock'!AI27</f>
        <v/>
      </c>
      <c r="AL436">
        <f>'Grid_Stock'!AJ27</f>
        <v/>
      </c>
      <c r="AM436">
        <f>'Grid_Stock'!AK27</f>
        <v/>
      </c>
      <c r="AN436">
        <f>'Grid_Stock'!AL27</f>
        <v/>
      </c>
      <c r="AO436">
        <f>'Grid_Stock'!AM27</f>
        <v/>
      </c>
      <c r="AP436">
        <f>'Grid_Stock'!AN27</f>
        <v/>
      </c>
      <c r="AQ436">
        <f>'Grid_Stock'!AO27</f>
        <v/>
      </c>
      <c r="AR436">
        <f>'Grid_Stock'!AP27</f>
        <v/>
      </c>
      <c r="AS436">
        <f>'Grid_Stock'!AQ27</f>
        <v/>
      </c>
      <c r="AT436">
        <f>'Grid_Stock'!AR27</f>
        <v/>
      </c>
      <c r="AU436">
        <f>'Grid_Stock'!AS27</f>
        <v/>
      </c>
      <c r="AV436">
        <f>'Grid_Stock'!AT27</f>
        <v/>
      </c>
      <c r="AW436">
        <f>'Grid_Stock'!AU27</f>
        <v/>
      </c>
      <c r="AX436">
        <f>'Grid_Stock'!AV27</f>
        <v/>
      </c>
      <c r="AY436">
        <f>'Grid_Stock'!AW27</f>
        <v/>
      </c>
      <c r="AZ436">
        <f>'Grid_Stock'!AX27</f>
        <v/>
      </c>
      <c r="BA436">
        <f>'Grid_Stock'!AY27</f>
        <v/>
      </c>
      <c r="BB436">
        <f>'Grid_Stock'!AZ27</f>
        <v/>
      </c>
      <c r="BC436">
        <f>'Grid_Stock'!BA27</f>
        <v/>
      </c>
      <c r="BD436">
        <f>'Grid_Stock'!BB27</f>
        <v/>
      </c>
      <c r="BE436">
        <f>'Grid_Stock'!BC27</f>
        <v/>
      </c>
      <c r="BF436">
        <f>'Grid_Stock'!BD27</f>
        <v/>
      </c>
      <c r="BG436">
        <f>'Grid_Stock'!BE27</f>
        <v/>
      </c>
      <c r="BH436">
        <f>'Grid_Stock'!BF27</f>
        <v/>
      </c>
      <c r="BI436">
        <f>'Grid_Stock'!BG27</f>
        <v/>
      </c>
      <c r="BJ436">
        <f>'Grid_Stock'!BH27</f>
        <v/>
      </c>
      <c r="BK436">
        <f>'Grid_Stock'!BI27</f>
        <v/>
      </c>
      <c r="BL436">
        <f>'Grid_Stock'!BJ27</f>
        <v/>
      </c>
      <c r="BM436">
        <f>'Grid_Stock'!BK27</f>
        <v/>
      </c>
      <c r="BN436">
        <f>'Grid_Stock'!BL27</f>
        <v/>
      </c>
      <c r="BO436">
        <f>'Grid_Stock'!BM27</f>
        <v/>
      </c>
      <c r="BP436">
        <f>'Grid_Stock'!BN27</f>
        <v/>
      </c>
      <c r="BQ436">
        <f>'Grid_Stock'!BO27</f>
        <v/>
      </c>
      <c r="BR436">
        <f>'Grid_Stock'!BP27</f>
        <v/>
      </c>
      <c r="BS436">
        <f>'Grid_Stock'!BQ27</f>
        <v/>
      </c>
      <c r="BT436">
        <f>'Grid_Stock'!BR27</f>
        <v/>
      </c>
      <c r="BU436">
        <f>'Grid_Stock'!BS27</f>
        <v/>
      </c>
      <c r="BV436">
        <f>'Grid_Stock'!BT27</f>
        <v/>
      </c>
      <c r="BW436">
        <f>'Grid_Stock'!BU27</f>
        <v/>
      </c>
      <c r="BX436">
        <f>'Grid_Stock'!BV27</f>
        <v/>
      </c>
      <c r="BY436">
        <f>'Grid_Stock'!BW27</f>
        <v/>
      </c>
      <c r="BZ436">
        <f>'Grid_Stock'!BX27</f>
        <v/>
      </c>
      <c r="CA436">
        <f>'Grid_Stock'!BY27</f>
        <v/>
      </c>
      <c r="CB436">
        <f>'Grid_Stock'!BZ27</f>
        <v/>
      </c>
      <c r="CC436">
        <f>'Grid_Stock'!CA27</f>
        <v/>
      </c>
      <c r="CD436">
        <f>'Grid_Stock'!CB27</f>
        <v/>
      </c>
      <c r="CE436">
        <f>'Grid_Stock'!CC27</f>
        <v/>
      </c>
      <c r="CF436">
        <f>'Grid_Stock'!CD27</f>
        <v/>
      </c>
      <c r="CG436">
        <f>'Grid_Stock'!CE27</f>
        <v/>
      </c>
      <c r="CH436">
        <f>'Grid_Stock'!CF27</f>
        <v/>
      </c>
      <c r="CI436">
        <f>'Grid_Stock'!CG27</f>
        <v/>
      </c>
      <c r="CJ436">
        <f>'Grid_Stock'!CH27</f>
        <v/>
      </c>
      <c r="CK436">
        <f>'Grid_Stock'!CI27</f>
        <v/>
      </c>
      <c r="CL436">
        <f>'Grid_Stock'!CJ27</f>
        <v/>
      </c>
      <c r="CM436">
        <f>'Grid_Stock'!CK27</f>
        <v/>
      </c>
      <c r="CN436">
        <f>'Grid_Stock'!CL27</f>
        <v/>
      </c>
      <c r="CO436">
        <f>'Grid_Stock'!CM27</f>
        <v/>
      </c>
      <c r="CP436">
        <f>'Grid_Stock'!CN27</f>
        <v/>
      </c>
      <c r="CQ436">
        <f>'Grid_Stock'!CO27</f>
        <v/>
      </c>
      <c r="CR436">
        <f>'Grid_Stock'!CP27</f>
        <v/>
      </c>
      <c r="CS436">
        <f>'Grid_Stock'!CQ27</f>
        <v/>
      </c>
      <c r="CT436">
        <f>'Grid_Stock'!CR27</f>
        <v/>
      </c>
      <c r="CU436">
        <f>'Grid_Stock'!CS27</f>
        <v/>
      </c>
      <c r="CV436">
        <f>'Grid_Stock'!CT27</f>
        <v/>
      </c>
      <c r="CW436">
        <f>'Grid_Stock'!CU27</f>
        <v/>
      </c>
      <c r="CX436">
        <f>'Grid_Stock'!CV27</f>
        <v/>
      </c>
      <c r="CY436">
        <f>'Grid_Stock'!CW27</f>
        <v/>
      </c>
      <c r="CZ436">
        <f>'Grid_Stock'!CX27</f>
        <v/>
      </c>
      <c r="DA436">
        <f>'Grid_Stock'!CY27</f>
        <v/>
      </c>
      <c r="DB436">
        <f>'Grid_Stock'!CZ27</f>
        <v/>
      </c>
      <c r="DC436">
        <f>'Grid_Stock'!DA27</f>
        <v/>
      </c>
    </row>
    <row r="437">
      <c r="B437" s="23" t="inlineStr">
        <is>
          <t>（発注の目安はDashboardの基準在庫[下限/上限]と色分けを参照）</t>
        </is>
      </c>
    </row>
    <row r="439">
      <c r="A439" s="21" t="inlineStr">
        <is>
          <t>CHEM-1420</t>
        </is>
      </c>
      <c r="B439" s="21" t="inlineStr">
        <is>
          <t>HEC SE900</t>
        </is>
      </c>
      <c r="C439" s="22" t="n"/>
      <c r="D439" s="21" t="n"/>
      <c r="E439" s="21" t="n"/>
      <c r="F439" s="21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  <c r="AA439" s="21" t="n"/>
      <c r="AB439" s="21" t="n"/>
      <c r="AC439" s="21" t="n"/>
      <c r="AD439" s="21" t="n"/>
      <c r="AE439" s="21" t="n"/>
      <c r="AF439" s="21" t="n"/>
      <c r="AG439" s="21" t="n"/>
      <c r="AH439" s="21" t="n"/>
      <c r="AI439" s="21" t="n"/>
      <c r="AJ439" s="21" t="n"/>
      <c r="AK439" s="21" t="n"/>
      <c r="AL439" s="21" t="n"/>
      <c r="AM439" s="21" t="n"/>
      <c r="AN439" s="21" t="n"/>
      <c r="AO439" s="21" t="n"/>
      <c r="AP439" s="21" t="n"/>
      <c r="AQ439" s="21" t="n"/>
      <c r="AR439" s="21" t="n"/>
      <c r="AS439" s="21" t="n"/>
      <c r="AT439" s="21" t="n"/>
      <c r="AU439" s="21" t="n"/>
      <c r="AV439" s="21" t="n"/>
      <c r="AW439" s="21" t="n"/>
      <c r="AX439" s="21" t="n"/>
      <c r="AY439" s="21" t="n"/>
      <c r="AZ439" s="21" t="n"/>
      <c r="BA439" s="21" t="n"/>
      <c r="BB439" s="21" t="n"/>
      <c r="BC439" s="21" t="n"/>
      <c r="BD439" s="21" t="n"/>
      <c r="BE439" s="21" t="n"/>
      <c r="BF439" s="21" t="n"/>
      <c r="BG439" s="21" t="n"/>
      <c r="BH439" s="21" t="n"/>
      <c r="BI439" s="21" t="n"/>
      <c r="BJ439" s="21" t="n"/>
      <c r="BK439" s="21" t="n"/>
      <c r="BL439" s="21" t="n"/>
      <c r="BM439" s="21" t="n"/>
      <c r="BN439" s="21" t="n"/>
      <c r="BO439" s="21" t="n"/>
      <c r="BP439" s="21" t="n"/>
      <c r="BQ439" s="21" t="n"/>
      <c r="BR439" s="21" t="n"/>
      <c r="BS439" s="21" t="n"/>
      <c r="BT439" s="21" t="n"/>
      <c r="BU439" s="21" t="n"/>
      <c r="BV439" s="21" t="n"/>
      <c r="BW439" s="21" t="n"/>
      <c r="BX439" s="21" t="n"/>
      <c r="BY439" s="21" t="n"/>
      <c r="BZ439" s="21" t="n"/>
      <c r="CA439" s="21" t="n"/>
      <c r="CB439" s="21" t="n"/>
      <c r="CC439" s="21" t="n"/>
      <c r="CD439" s="21" t="n"/>
      <c r="CE439" s="21" t="n"/>
      <c r="CF439" s="21" t="n"/>
      <c r="CG439" s="21" t="n"/>
      <c r="CH439" s="21" t="n"/>
      <c r="CI439" s="21" t="n"/>
      <c r="CJ439" s="21" t="n"/>
      <c r="CK439" s="21" t="n"/>
      <c r="CL439" s="21" t="n"/>
      <c r="CM439" s="21" t="n"/>
      <c r="CN439" s="21" t="n"/>
      <c r="CO439" s="21" t="n"/>
      <c r="CP439" s="21" t="n"/>
      <c r="CQ439" s="21" t="n"/>
      <c r="CR439" s="21" t="n"/>
      <c r="CS439" s="21" t="n"/>
      <c r="CT439" s="21" t="n"/>
      <c r="CU439" s="21" t="n"/>
      <c r="CV439" s="21" t="n"/>
      <c r="CW439" s="21" t="n"/>
      <c r="CX439" s="21" t="n"/>
      <c r="CY439" s="21" t="n"/>
      <c r="CZ439" s="21" t="n"/>
      <c r="DA439" s="21" t="n"/>
      <c r="DB439" s="21" t="n"/>
      <c r="DC439" s="21" t="n"/>
    </row>
    <row r="440">
      <c r="B440" t="inlineStr">
        <is>
          <t>TSP-049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12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Name],$A439)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TSP-050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12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Name],$A439)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TSP-067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12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Name],$A439)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t="inlineStr">
        <is>
          <t>TSP-069</t>
        </is>
      </c>
      <c r="C446" t="inlineStr">
        <is>
          <t>No. of batches</t>
        </is>
      </c>
      <c r="D446">
        <f>IFERROR(INDEX(PP_Grid[#Data],$DD446,2),0)</f>
        <v/>
      </c>
      <c r="E446">
        <f>IFERROR(INDEX(PP_Grid[#Data],$DD446,3),0)</f>
        <v/>
      </c>
      <c r="F446">
        <f>IFERROR(INDEX(PP_Grid[#Data],$DD446,4),0)</f>
        <v/>
      </c>
      <c r="G446">
        <f>IFERROR(INDEX(PP_Grid[#Data],$DD446,5),0)</f>
        <v/>
      </c>
      <c r="H446">
        <f>IFERROR(INDEX(PP_Grid[#Data],$DD446,6),0)</f>
        <v/>
      </c>
      <c r="I446">
        <f>IFERROR(INDEX(PP_Grid[#Data],$DD446,7),0)</f>
        <v/>
      </c>
      <c r="J446">
        <f>IFERROR(INDEX(PP_Grid[#Data],$DD446,8),0)</f>
        <v/>
      </c>
      <c r="K446">
        <f>IFERROR(INDEX(PP_Grid[#Data],$DD446,9),0)</f>
        <v/>
      </c>
      <c r="L446">
        <f>IFERROR(INDEX(PP_Grid[#Data],$DD446,10),0)</f>
        <v/>
      </c>
      <c r="M446">
        <f>IFERROR(INDEX(PP_Grid[#Data],$DD446,11),0)</f>
        <v/>
      </c>
      <c r="N446">
        <f>IFERROR(INDEX(PP_Grid[#Data],$DD446,12),0)</f>
        <v/>
      </c>
      <c r="O446">
        <f>IFERROR(INDEX(PP_Grid[#Data],$DD446,13),0)</f>
        <v/>
      </c>
      <c r="P446">
        <f>IFERROR(INDEX(PP_Grid[#Data],$DD446,14),0)</f>
        <v/>
      </c>
      <c r="Q446">
        <f>IFERROR(INDEX(PP_Grid[#Data],$DD446,15),0)</f>
        <v/>
      </c>
      <c r="R446">
        <f>IFERROR(INDEX(PP_Grid[#Data],$DD446,16),0)</f>
        <v/>
      </c>
      <c r="S446">
        <f>IFERROR(INDEX(PP_Grid[#Data],$DD446,17),0)</f>
        <v/>
      </c>
      <c r="T446">
        <f>IFERROR(INDEX(PP_Grid[#Data],$DD446,18),0)</f>
        <v/>
      </c>
      <c r="U446">
        <f>IFERROR(INDEX(PP_Grid[#Data],$DD446,19),0)</f>
        <v/>
      </c>
      <c r="V446">
        <f>IFERROR(INDEX(PP_Grid[#Data],$DD446,20),0)</f>
        <v/>
      </c>
      <c r="W446">
        <f>IFERROR(INDEX(PP_Grid[#Data],$DD446,21),0)</f>
        <v/>
      </c>
      <c r="X446">
        <f>IFERROR(INDEX(PP_Grid[#Data],$DD446,22),0)</f>
        <v/>
      </c>
      <c r="Y446">
        <f>IFERROR(INDEX(PP_Grid[#Data],$DD446,23),0)</f>
        <v/>
      </c>
      <c r="Z446">
        <f>IFERROR(INDEX(PP_Grid[#Data],$DD446,24),0)</f>
        <v/>
      </c>
      <c r="AA446">
        <f>IFERROR(INDEX(PP_Grid[#Data],$DD446,25),0)</f>
        <v/>
      </c>
      <c r="AB446">
        <f>IFERROR(INDEX(PP_Grid[#Data],$DD446,26),0)</f>
        <v/>
      </c>
      <c r="AC446">
        <f>IFERROR(INDEX(PP_Grid[#Data],$DD446,27),0)</f>
        <v/>
      </c>
      <c r="AD446">
        <f>IFERROR(INDEX(PP_Grid[#Data],$DD446,28),0)</f>
        <v/>
      </c>
      <c r="AE446">
        <f>IFERROR(INDEX(PP_Grid[#Data],$DD446,29),0)</f>
        <v/>
      </c>
      <c r="AF446">
        <f>IFERROR(INDEX(PP_Grid[#Data],$DD446,30),0)</f>
        <v/>
      </c>
      <c r="AG446">
        <f>IFERROR(INDEX(PP_Grid[#Data],$DD446,31),0)</f>
        <v/>
      </c>
      <c r="AH446">
        <f>IFERROR(INDEX(PP_Grid[#Data],$DD446,32),0)</f>
        <v/>
      </c>
      <c r="AI446">
        <f>IFERROR(INDEX(PP_Grid[#Data],$DD446,33),0)</f>
        <v/>
      </c>
      <c r="AJ446">
        <f>IFERROR(INDEX(PP_Grid[#Data],$DD446,34),0)</f>
        <v/>
      </c>
      <c r="AK446">
        <f>IFERROR(INDEX(PP_Grid[#Data],$DD446,35),0)</f>
        <v/>
      </c>
      <c r="AL446">
        <f>IFERROR(INDEX(PP_Grid[#Data],$DD446,36),0)</f>
        <v/>
      </c>
      <c r="AM446">
        <f>IFERROR(INDEX(PP_Grid[#Data],$DD446,37),0)</f>
        <v/>
      </c>
      <c r="AN446">
        <f>IFERROR(INDEX(PP_Grid[#Data],$DD446,38),0)</f>
        <v/>
      </c>
      <c r="AO446">
        <f>IFERROR(INDEX(PP_Grid[#Data],$DD446,39),0)</f>
        <v/>
      </c>
      <c r="AP446">
        <f>IFERROR(INDEX(PP_Grid[#Data],$DD446,40),0)</f>
        <v/>
      </c>
      <c r="AQ446">
        <f>IFERROR(INDEX(PP_Grid[#Data],$DD446,41),0)</f>
        <v/>
      </c>
      <c r="AR446">
        <f>IFERROR(INDEX(PP_Grid[#Data],$DD446,42),0)</f>
        <v/>
      </c>
      <c r="AS446">
        <f>IFERROR(INDEX(PP_Grid[#Data],$DD446,43),0)</f>
        <v/>
      </c>
      <c r="AT446">
        <f>IFERROR(INDEX(PP_Grid[#Data],$DD446,44),0)</f>
        <v/>
      </c>
      <c r="AU446">
        <f>IFERROR(INDEX(PP_Grid[#Data],$DD446,45),0)</f>
        <v/>
      </c>
      <c r="AV446">
        <f>IFERROR(INDEX(PP_Grid[#Data],$DD446,46),0)</f>
        <v/>
      </c>
      <c r="AW446">
        <f>IFERROR(INDEX(PP_Grid[#Data],$DD446,47),0)</f>
        <v/>
      </c>
      <c r="AX446">
        <f>IFERROR(INDEX(PP_Grid[#Data],$DD446,48),0)</f>
        <v/>
      </c>
      <c r="AY446">
        <f>IFERROR(INDEX(PP_Grid[#Data],$DD446,49),0)</f>
        <v/>
      </c>
      <c r="AZ446">
        <f>IFERROR(INDEX(PP_Grid[#Data],$DD446,50),0)</f>
        <v/>
      </c>
      <c r="BA446">
        <f>IFERROR(INDEX(PP_Grid[#Data],$DD446,51),0)</f>
        <v/>
      </c>
      <c r="BB446">
        <f>IFERROR(INDEX(PP_Grid[#Data],$DD446,52),0)</f>
        <v/>
      </c>
      <c r="BC446">
        <f>IFERROR(INDEX(PP_Grid[#Data],$DD446,53),0)</f>
        <v/>
      </c>
      <c r="BD446">
        <f>IFERROR(INDEX(PP_Grid[#Data],$DD446,54),0)</f>
        <v/>
      </c>
      <c r="BE446">
        <f>IFERROR(INDEX(PP_Grid[#Data],$DD446,55),0)</f>
        <v/>
      </c>
      <c r="BF446">
        <f>IFERROR(INDEX(PP_Grid[#Data],$DD446,56),0)</f>
        <v/>
      </c>
      <c r="BG446">
        <f>IFERROR(INDEX(PP_Grid[#Data],$DD446,57),0)</f>
        <v/>
      </c>
      <c r="BH446">
        <f>IFERROR(INDEX(PP_Grid[#Data],$DD446,58),0)</f>
        <v/>
      </c>
      <c r="BI446">
        <f>IFERROR(INDEX(PP_Grid[#Data],$DD446,59),0)</f>
        <v/>
      </c>
      <c r="BJ446">
        <f>IFERROR(INDEX(PP_Grid[#Data],$DD446,60),0)</f>
        <v/>
      </c>
      <c r="BK446">
        <f>IFERROR(INDEX(PP_Grid[#Data],$DD446,61),0)</f>
        <v/>
      </c>
      <c r="BL446">
        <f>IFERROR(INDEX(PP_Grid[#Data],$DD446,62),0)</f>
        <v/>
      </c>
      <c r="BM446">
        <f>IFERROR(INDEX(PP_Grid[#Data],$DD446,63),0)</f>
        <v/>
      </c>
      <c r="BN446">
        <f>IFERROR(INDEX(PP_Grid[#Data],$DD446,64),0)</f>
        <v/>
      </c>
      <c r="BO446">
        <f>IFERROR(INDEX(PP_Grid[#Data],$DD446,65),0)</f>
        <v/>
      </c>
      <c r="BP446">
        <f>IFERROR(INDEX(PP_Grid[#Data],$DD446,66),0)</f>
        <v/>
      </c>
      <c r="BQ446">
        <f>IFERROR(INDEX(PP_Grid[#Data],$DD446,67),0)</f>
        <v/>
      </c>
      <c r="BR446">
        <f>IFERROR(INDEX(PP_Grid[#Data],$DD446,68),0)</f>
        <v/>
      </c>
      <c r="BS446">
        <f>IFERROR(INDEX(PP_Grid[#Data],$DD446,69),0)</f>
        <v/>
      </c>
      <c r="BT446">
        <f>IFERROR(INDEX(PP_Grid[#Data],$DD446,70),0)</f>
        <v/>
      </c>
      <c r="BU446">
        <f>IFERROR(INDEX(PP_Grid[#Data],$DD446,71),0)</f>
        <v/>
      </c>
      <c r="BV446">
        <f>IFERROR(INDEX(PP_Grid[#Data],$DD446,72),0)</f>
        <v/>
      </c>
      <c r="BW446">
        <f>IFERROR(INDEX(PP_Grid[#Data],$DD446,73),0)</f>
        <v/>
      </c>
      <c r="BX446">
        <f>IFERROR(INDEX(PP_Grid[#Data],$DD446,74),0)</f>
        <v/>
      </c>
      <c r="BY446">
        <f>IFERROR(INDEX(PP_Grid[#Data],$DD446,75),0)</f>
        <v/>
      </c>
      <c r="BZ446">
        <f>IFERROR(INDEX(PP_Grid[#Data],$DD446,76),0)</f>
        <v/>
      </c>
      <c r="CA446">
        <f>IFERROR(INDEX(PP_Grid[#Data],$DD446,77),0)</f>
        <v/>
      </c>
      <c r="CB446">
        <f>IFERROR(INDEX(PP_Grid[#Data],$DD446,78),0)</f>
        <v/>
      </c>
      <c r="CC446">
        <f>IFERROR(INDEX(PP_Grid[#Data],$DD446,79),0)</f>
        <v/>
      </c>
      <c r="CD446">
        <f>IFERROR(INDEX(PP_Grid[#Data],$DD446,80),0)</f>
        <v/>
      </c>
      <c r="CE446">
        <f>IFERROR(INDEX(PP_Grid[#Data],$DD446,81),0)</f>
        <v/>
      </c>
      <c r="CF446">
        <f>IFERROR(INDEX(PP_Grid[#Data],$DD446,82),0)</f>
        <v/>
      </c>
      <c r="CG446">
        <f>IFERROR(INDEX(PP_Grid[#Data],$DD446,83),0)</f>
        <v/>
      </c>
      <c r="CH446">
        <f>IFERROR(INDEX(PP_Grid[#Data],$DD446,84),0)</f>
        <v/>
      </c>
      <c r="CI446">
        <f>IFERROR(INDEX(PP_Grid[#Data],$DD446,85),0)</f>
        <v/>
      </c>
      <c r="CJ446">
        <f>IFERROR(INDEX(PP_Grid[#Data],$DD446,86),0)</f>
        <v/>
      </c>
      <c r="CK446">
        <f>IFERROR(INDEX(PP_Grid[#Data],$DD446,87),0)</f>
        <v/>
      </c>
      <c r="CL446">
        <f>IFERROR(INDEX(PP_Grid[#Data],$DD446,88),0)</f>
        <v/>
      </c>
      <c r="CM446">
        <f>IFERROR(INDEX(PP_Grid[#Data],$DD446,89),0)</f>
        <v/>
      </c>
      <c r="CN446">
        <f>IFERROR(INDEX(PP_Grid[#Data],$DD446,90),0)</f>
        <v/>
      </c>
      <c r="CO446">
        <f>IFERROR(INDEX(PP_Grid[#Data],$DD446,91),0)</f>
        <v/>
      </c>
      <c r="CP446">
        <f>IFERROR(INDEX(PP_Grid[#Data],$DD446,92),0)</f>
        <v/>
      </c>
      <c r="CQ446">
        <f>IFERROR(INDEX(PP_Grid[#Data],$DD446,93),0)</f>
        <v/>
      </c>
      <c r="CR446">
        <f>IFERROR(INDEX(PP_Grid[#Data],$DD446,94),0)</f>
        <v/>
      </c>
      <c r="CS446">
        <f>IFERROR(INDEX(PP_Grid[#Data],$DD446,95),0)</f>
        <v/>
      </c>
      <c r="CT446">
        <f>IFERROR(INDEX(PP_Grid[#Data],$DD446,96),0)</f>
        <v/>
      </c>
      <c r="CU446">
        <f>IFERROR(INDEX(PP_Grid[#Data],$DD446,97),0)</f>
        <v/>
      </c>
      <c r="CV446">
        <f>IFERROR(INDEX(PP_Grid[#Data],$DD446,98),0)</f>
        <v/>
      </c>
      <c r="CW446">
        <f>IFERROR(INDEX(PP_Grid[#Data],$DD446,99),0)</f>
        <v/>
      </c>
      <c r="CX446">
        <f>IFERROR(INDEX(PP_Grid[#Data],$DD446,100),0)</f>
        <v/>
      </c>
      <c r="CY446">
        <f>IFERROR(INDEX(PP_Grid[#Data],$DD446,101),0)</f>
        <v/>
      </c>
      <c r="CZ446">
        <f>IFERROR(INDEX(PP_Grid[#Data],$DD446,102),0)</f>
        <v/>
      </c>
      <c r="DA446">
        <f>IFERROR(INDEX(PP_Grid[#Data],$DD446,103),0)</f>
        <v/>
      </c>
      <c r="DB446">
        <f>IFERROR(INDEX(PP_Grid[#Data],$DD446,104),0)</f>
        <v/>
      </c>
      <c r="DC446">
        <f>IFERROR(INDEX(PP_Grid[#Data],$DD446,105),0)</f>
        <v/>
      </c>
      <c r="DD446" s="12">
        <f>IFERROR(MATCH($B446,PP_Grid[Intermediate],0),99999)</f>
        <v/>
      </c>
    </row>
    <row r="447">
      <c r="B447" t="inlineStr">
        <is>
          <t>使用量(kg)</t>
        </is>
      </c>
      <c r="C447">
        <f>SUMIFS(M_BOM[RM_Qty_Per_Batch],M_BOM[Intermediate],$B446,M_BOM[Part Name],$A439)</f>
        <v/>
      </c>
      <c r="D447">
        <f>$C447*D446</f>
        <v/>
      </c>
      <c r="E447">
        <f>$C447*E446</f>
        <v/>
      </c>
      <c r="F447">
        <f>$C447*F446</f>
        <v/>
      </c>
      <c r="G447">
        <f>$C447*G446</f>
        <v/>
      </c>
      <c r="H447">
        <f>$C447*H446</f>
        <v/>
      </c>
      <c r="I447">
        <f>$C447*I446</f>
        <v/>
      </c>
      <c r="J447">
        <f>$C447*J446</f>
        <v/>
      </c>
      <c r="K447">
        <f>$C447*K446</f>
        <v/>
      </c>
      <c r="L447">
        <f>$C447*L446</f>
        <v/>
      </c>
      <c r="M447">
        <f>$C447*M446</f>
        <v/>
      </c>
      <c r="N447">
        <f>$C447*N446</f>
        <v/>
      </c>
      <c r="O447">
        <f>$C447*O446</f>
        <v/>
      </c>
      <c r="P447">
        <f>$C447*P446</f>
        <v/>
      </c>
      <c r="Q447">
        <f>$C447*Q446</f>
        <v/>
      </c>
      <c r="R447">
        <f>$C447*R446</f>
        <v/>
      </c>
      <c r="S447">
        <f>$C447*S446</f>
        <v/>
      </c>
      <c r="T447">
        <f>$C447*T446</f>
        <v/>
      </c>
      <c r="U447">
        <f>$C447*U446</f>
        <v/>
      </c>
      <c r="V447">
        <f>$C447*V446</f>
        <v/>
      </c>
      <c r="W447">
        <f>$C447*W446</f>
        <v/>
      </c>
      <c r="X447">
        <f>$C447*X446</f>
        <v/>
      </c>
      <c r="Y447">
        <f>$C447*Y446</f>
        <v/>
      </c>
      <c r="Z447">
        <f>$C447*Z446</f>
        <v/>
      </c>
      <c r="AA447">
        <f>$C447*AA446</f>
        <v/>
      </c>
      <c r="AB447">
        <f>$C447*AB446</f>
        <v/>
      </c>
      <c r="AC447">
        <f>$C447*AC446</f>
        <v/>
      </c>
      <c r="AD447">
        <f>$C447*AD446</f>
        <v/>
      </c>
      <c r="AE447">
        <f>$C447*AE446</f>
        <v/>
      </c>
      <c r="AF447">
        <f>$C447*AF446</f>
        <v/>
      </c>
      <c r="AG447">
        <f>$C447*AG446</f>
        <v/>
      </c>
      <c r="AH447">
        <f>$C447*AH446</f>
        <v/>
      </c>
      <c r="AI447">
        <f>$C447*AI446</f>
        <v/>
      </c>
      <c r="AJ447">
        <f>$C447*AJ446</f>
        <v/>
      </c>
      <c r="AK447">
        <f>$C447*AK446</f>
        <v/>
      </c>
      <c r="AL447">
        <f>$C447*AL446</f>
        <v/>
      </c>
      <c r="AM447">
        <f>$C447*AM446</f>
        <v/>
      </c>
      <c r="AN447">
        <f>$C447*AN446</f>
        <v/>
      </c>
      <c r="AO447">
        <f>$C447*AO446</f>
        <v/>
      </c>
      <c r="AP447">
        <f>$C447*AP446</f>
        <v/>
      </c>
      <c r="AQ447">
        <f>$C447*AQ446</f>
        <v/>
      </c>
      <c r="AR447">
        <f>$C447*AR446</f>
        <v/>
      </c>
      <c r="AS447">
        <f>$C447*AS446</f>
        <v/>
      </c>
      <c r="AT447">
        <f>$C447*AT446</f>
        <v/>
      </c>
      <c r="AU447">
        <f>$C447*AU446</f>
        <v/>
      </c>
      <c r="AV447">
        <f>$C447*AV446</f>
        <v/>
      </c>
      <c r="AW447">
        <f>$C447*AW446</f>
        <v/>
      </c>
      <c r="AX447">
        <f>$C447*AX446</f>
        <v/>
      </c>
      <c r="AY447">
        <f>$C447*AY446</f>
        <v/>
      </c>
      <c r="AZ447">
        <f>$C447*AZ446</f>
        <v/>
      </c>
      <c r="BA447">
        <f>$C447*BA446</f>
        <v/>
      </c>
      <c r="BB447">
        <f>$C447*BB446</f>
        <v/>
      </c>
      <c r="BC447">
        <f>$C447*BC446</f>
        <v/>
      </c>
      <c r="BD447">
        <f>$C447*BD446</f>
        <v/>
      </c>
      <c r="BE447">
        <f>$C447*BE446</f>
        <v/>
      </c>
      <c r="BF447">
        <f>$C447*BF446</f>
        <v/>
      </c>
      <c r="BG447">
        <f>$C447*BG446</f>
        <v/>
      </c>
      <c r="BH447">
        <f>$C447*BH446</f>
        <v/>
      </c>
      <c r="BI447">
        <f>$C447*BI446</f>
        <v/>
      </c>
      <c r="BJ447">
        <f>$C447*BJ446</f>
        <v/>
      </c>
      <c r="BK447">
        <f>$C447*BK446</f>
        <v/>
      </c>
      <c r="BL447">
        <f>$C447*BL446</f>
        <v/>
      </c>
      <c r="BM447">
        <f>$C447*BM446</f>
        <v/>
      </c>
      <c r="BN447">
        <f>$C447*BN446</f>
        <v/>
      </c>
      <c r="BO447">
        <f>$C447*BO446</f>
        <v/>
      </c>
      <c r="BP447">
        <f>$C447*BP446</f>
        <v/>
      </c>
      <c r="BQ447">
        <f>$C447*BQ446</f>
        <v/>
      </c>
      <c r="BR447">
        <f>$C447*BR446</f>
        <v/>
      </c>
      <c r="BS447">
        <f>$C447*BS446</f>
        <v/>
      </c>
      <c r="BT447">
        <f>$C447*BT446</f>
        <v/>
      </c>
      <c r="BU447">
        <f>$C447*BU446</f>
        <v/>
      </c>
      <c r="BV447">
        <f>$C447*BV446</f>
        <v/>
      </c>
      <c r="BW447">
        <f>$C447*BW446</f>
        <v/>
      </c>
      <c r="BX447">
        <f>$C447*BX446</f>
        <v/>
      </c>
      <c r="BY447">
        <f>$C447*BY446</f>
        <v/>
      </c>
      <c r="BZ447">
        <f>$C447*BZ446</f>
        <v/>
      </c>
      <c r="CA447">
        <f>$C447*CA446</f>
        <v/>
      </c>
      <c r="CB447">
        <f>$C447*CB446</f>
        <v/>
      </c>
      <c r="CC447">
        <f>$C447*CC446</f>
        <v/>
      </c>
      <c r="CD447">
        <f>$C447*CD446</f>
        <v/>
      </c>
      <c r="CE447">
        <f>$C447*CE446</f>
        <v/>
      </c>
      <c r="CF447">
        <f>$C447*CF446</f>
        <v/>
      </c>
      <c r="CG447">
        <f>$C447*CG446</f>
        <v/>
      </c>
      <c r="CH447">
        <f>$C447*CH446</f>
        <v/>
      </c>
      <c r="CI447">
        <f>$C447*CI446</f>
        <v/>
      </c>
      <c r="CJ447">
        <f>$C447*CJ446</f>
        <v/>
      </c>
      <c r="CK447">
        <f>$C447*CK446</f>
        <v/>
      </c>
      <c r="CL447">
        <f>$C447*CL446</f>
        <v/>
      </c>
      <c r="CM447">
        <f>$C447*CM446</f>
        <v/>
      </c>
      <c r="CN447">
        <f>$C447*CN446</f>
        <v/>
      </c>
      <c r="CO447">
        <f>$C447*CO446</f>
        <v/>
      </c>
      <c r="CP447">
        <f>$C447*CP446</f>
        <v/>
      </c>
      <c r="CQ447">
        <f>$C447*CQ446</f>
        <v/>
      </c>
      <c r="CR447">
        <f>$C447*CR446</f>
        <v/>
      </c>
      <c r="CS447">
        <f>$C447*CS446</f>
        <v/>
      </c>
      <c r="CT447">
        <f>$C447*CT446</f>
        <v/>
      </c>
      <c r="CU447">
        <f>$C447*CU446</f>
        <v/>
      </c>
      <c r="CV447">
        <f>$C447*CV446</f>
        <v/>
      </c>
      <c r="CW447">
        <f>$C447*CW446</f>
        <v/>
      </c>
      <c r="CX447">
        <f>$C447*CX446</f>
        <v/>
      </c>
      <c r="CY447">
        <f>$C447*CY446</f>
        <v/>
      </c>
      <c r="CZ447">
        <f>$C447*CZ446</f>
        <v/>
      </c>
      <c r="DA447">
        <f>$C447*DA446</f>
        <v/>
      </c>
      <c r="DB447">
        <f>$C447*DB446</f>
        <v/>
      </c>
      <c r="DC447">
        <f>$C447*DC446</f>
        <v/>
      </c>
    </row>
    <row r="448">
      <c r="B448" t="inlineStr">
        <is>
          <t>TSP-078</t>
        </is>
      </c>
      <c r="C448" t="inlineStr">
        <is>
          <t>No. of batches</t>
        </is>
      </c>
      <c r="D448">
        <f>IFERROR(INDEX(PP_Grid[#Data],$DD448,2),0)</f>
        <v/>
      </c>
      <c r="E448">
        <f>IFERROR(INDEX(PP_Grid[#Data],$DD448,3),0)</f>
        <v/>
      </c>
      <c r="F448">
        <f>IFERROR(INDEX(PP_Grid[#Data],$DD448,4),0)</f>
        <v/>
      </c>
      <c r="G448">
        <f>IFERROR(INDEX(PP_Grid[#Data],$DD448,5),0)</f>
        <v/>
      </c>
      <c r="H448">
        <f>IFERROR(INDEX(PP_Grid[#Data],$DD448,6),0)</f>
        <v/>
      </c>
      <c r="I448">
        <f>IFERROR(INDEX(PP_Grid[#Data],$DD448,7),0)</f>
        <v/>
      </c>
      <c r="J448">
        <f>IFERROR(INDEX(PP_Grid[#Data],$DD448,8),0)</f>
        <v/>
      </c>
      <c r="K448">
        <f>IFERROR(INDEX(PP_Grid[#Data],$DD448,9),0)</f>
        <v/>
      </c>
      <c r="L448">
        <f>IFERROR(INDEX(PP_Grid[#Data],$DD448,10),0)</f>
        <v/>
      </c>
      <c r="M448">
        <f>IFERROR(INDEX(PP_Grid[#Data],$DD448,11),0)</f>
        <v/>
      </c>
      <c r="N448">
        <f>IFERROR(INDEX(PP_Grid[#Data],$DD448,12),0)</f>
        <v/>
      </c>
      <c r="O448">
        <f>IFERROR(INDEX(PP_Grid[#Data],$DD448,13),0)</f>
        <v/>
      </c>
      <c r="P448">
        <f>IFERROR(INDEX(PP_Grid[#Data],$DD448,14),0)</f>
        <v/>
      </c>
      <c r="Q448">
        <f>IFERROR(INDEX(PP_Grid[#Data],$DD448,15),0)</f>
        <v/>
      </c>
      <c r="R448">
        <f>IFERROR(INDEX(PP_Grid[#Data],$DD448,16),0)</f>
        <v/>
      </c>
      <c r="S448">
        <f>IFERROR(INDEX(PP_Grid[#Data],$DD448,17),0)</f>
        <v/>
      </c>
      <c r="T448">
        <f>IFERROR(INDEX(PP_Grid[#Data],$DD448,18),0)</f>
        <v/>
      </c>
      <c r="U448">
        <f>IFERROR(INDEX(PP_Grid[#Data],$DD448,19),0)</f>
        <v/>
      </c>
      <c r="V448">
        <f>IFERROR(INDEX(PP_Grid[#Data],$DD448,20),0)</f>
        <v/>
      </c>
      <c r="W448">
        <f>IFERROR(INDEX(PP_Grid[#Data],$DD448,21),0)</f>
        <v/>
      </c>
      <c r="X448">
        <f>IFERROR(INDEX(PP_Grid[#Data],$DD448,22),0)</f>
        <v/>
      </c>
      <c r="Y448">
        <f>IFERROR(INDEX(PP_Grid[#Data],$DD448,23),0)</f>
        <v/>
      </c>
      <c r="Z448">
        <f>IFERROR(INDEX(PP_Grid[#Data],$DD448,24),0)</f>
        <v/>
      </c>
      <c r="AA448">
        <f>IFERROR(INDEX(PP_Grid[#Data],$DD448,25),0)</f>
        <v/>
      </c>
      <c r="AB448">
        <f>IFERROR(INDEX(PP_Grid[#Data],$DD448,26),0)</f>
        <v/>
      </c>
      <c r="AC448">
        <f>IFERROR(INDEX(PP_Grid[#Data],$DD448,27),0)</f>
        <v/>
      </c>
      <c r="AD448">
        <f>IFERROR(INDEX(PP_Grid[#Data],$DD448,28),0)</f>
        <v/>
      </c>
      <c r="AE448">
        <f>IFERROR(INDEX(PP_Grid[#Data],$DD448,29),0)</f>
        <v/>
      </c>
      <c r="AF448">
        <f>IFERROR(INDEX(PP_Grid[#Data],$DD448,30),0)</f>
        <v/>
      </c>
      <c r="AG448">
        <f>IFERROR(INDEX(PP_Grid[#Data],$DD448,31),0)</f>
        <v/>
      </c>
      <c r="AH448">
        <f>IFERROR(INDEX(PP_Grid[#Data],$DD448,32),0)</f>
        <v/>
      </c>
      <c r="AI448">
        <f>IFERROR(INDEX(PP_Grid[#Data],$DD448,33),0)</f>
        <v/>
      </c>
      <c r="AJ448">
        <f>IFERROR(INDEX(PP_Grid[#Data],$DD448,34),0)</f>
        <v/>
      </c>
      <c r="AK448">
        <f>IFERROR(INDEX(PP_Grid[#Data],$DD448,35),0)</f>
        <v/>
      </c>
      <c r="AL448">
        <f>IFERROR(INDEX(PP_Grid[#Data],$DD448,36),0)</f>
        <v/>
      </c>
      <c r="AM448">
        <f>IFERROR(INDEX(PP_Grid[#Data],$DD448,37),0)</f>
        <v/>
      </c>
      <c r="AN448">
        <f>IFERROR(INDEX(PP_Grid[#Data],$DD448,38),0)</f>
        <v/>
      </c>
      <c r="AO448">
        <f>IFERROR(INDEX(PP_Grid[#Data],$DD448,39),0)</f>
        <v/>
      </c>
      <c r="AP448">
        <f>IFERROR(INDEX(PP_Grid[#Data],$DD448,40),0)</f>
        <v/>
      </c>
      <c r="AQ448">
        <f>IFERROR(INDEX(PP_Grid[#Data],$DD448,41),0)</f>
        <v/>
      </c>
      <c r="AR448">
        <f>IFERROR(INDEX(PP_Grid[#Data],$DD448,42),0)</f>
        <v/>
      </c>
      <c r="AS448">
        <f>IFERROR(INDEX(PP_Grid[#Data],$DD448,43),0)</f>
        <v/>
      </c>
      <c r="AT448">
        <f>IFERROR(INDEX(PP_Grid[#Data],$DD448,44),0)</f>
        <v/>
      </c>
      <c r="AU448">
        <f>IFERROR(INDEX(PP_Grid[#Data],$DD448,45),0)</f>
        <v/>
      </c>
      <c r="AV448">
        <f>IFERROR(INDEX(PP_Grid[#Data],$DD448,46),0)</f>
        <v/>
      </c>
      <c r="AW448">
        <f>IFERROR(INDEX(PP_Grid[#Data],$DD448,47),0)</f>
        <v/>
      </c>
      <c r="AX448">
        <f>IFERROR(INDEX(PP_Grid[#Data],$DD448,48),0)</f>
        <v/>
      </c>
      <c r="AY448">
        <f>IFERROR(INDEX(PP_Grid[#Data],$DD448,49),0)</f>
        <v/>
      </c>
      <c r="AZ448">
        <f>IFERROR(INDEX(PP_Grid[#Data],$DD448,50),0)</f>
        <v/>
      </c>
      <c r="BA448">
        <f>IFERROR(INDEX(PP_Grid[#Data],$DD448,51),0)</f>
        <v/>
      </c>
      <c r="BB448">
        <f>IFERROR(INDEX(PP_Grid[#Data],$DD448,52),0)</f>
        <v/>
      </c>
      <c r="BC448">
        <f>IFERROR(INDEX(PP_Grid[#Data],$DD448,53),0)</f>
        <v/>
      </c>
      <c r="BD448">
        <f>IFERROR(INDEX(PP_Grid[#Data],$DD448,54),0)</f>
        <v/>
      </c>
      <c r="BE448">
        <f>IFERROR(INDEX(PP_Grid[#Data],$DD448,55),0)</f>
        <v/>
      </c>
      <c r="BF448">
        <f>IFERROR(INDEX(PP_Grid[#Data],$DD448,56),0)</f>
        <v/>
      </c>
      <c r="BG448">
        <f>IFERROR(INDEX(PP_Grid[#Data],$DD448,57),0)</f>
        <v/>
      </c>
      <c r="BH448">
        <f>IFERROR(INDEX(PP_Grid[#Data],$DD448,58),0)</f>
        <v/>
      </c>
      <c r="BI448">
        <f>IFERROR(INDEX(PP_Grid[#Data],$DD448,59),0)</f>
        <v/>
      </c>
      <c r="BJ448">
        <f>IFERROR(INDEX(PP_Grid[#Data],$DD448,60),0)</f>
        <v/>
      </c>
      <c r="BK448">
        <f>IFERROR(INDEX(PP_Grid[#Data],$DD448,61),0)</f>
        <v/>
      </c>
      <c r="BL448">
        <f>IFERROR(INDEX(PP_Grid[#Data],$DD448,62),0)</f>
        <v/>
      </c>
      <c r="BM448">
        <f>IFERROR(INDEX(PP_Grid[#Data],$DD448,63),0)</f>
        <v/>
      </c>
      <c r="BN448">
        <f>IFERROR(INDEX(PP_Grid[#Data],$DD448,64),0)</f>
        <v/>
      </c>
      <c r="BO448">
        <f>IFERROR(INDEX(PP_Grid[#Data],$DD448,65),0)</f>
        <v/>
      </c>
      <c r="BP448">
        <f>IFERROR(INDEX(PP_Grid[#Data],$DD448,66),0)</f>
        <v/>
      </c>
      <c r="BQ448">
        <f>IFERROR(INDEX(PP_Grid[#Data],$DD448,67),0)</f>
        <v/>
      </c>
      <c r="BR448">
        <f>IFERROR(INDEX(PP_Grid[#Data],$DD448,68),0)</f>
        <v/>
      </c>
      <c r="BS448">
        <f>IFERROR(INDEX(PP_Grid[#Data],$DD448,69),0)</f>
        <v/>
      </c>
      <c r="BT448">
        <f>IFERROR(INDEX(PP_Grid[#Data],$DD448,70),0)</f>
        <v/>
      </c>
      <c r="BU448">
        <f>IFERROR(INDEX(PP_Grid[#Data],$DD448,71),0)</f>
        <v/>
      </c>
      <c r="BV448">
        <f>IFERROR(INDEX(PP_Grid[#Data],$DD448,72),0)</f>
        <v/>
      </c>
      <c r="BW448">
        <f>IFERROR(INDEX(PP_Grid[#Data],$DD448,73),0)</f>
        <v/>
      </c>
      <c r="BX448">
        <f>IFERROR(INDEX(PP_Grid[#Data],$DD448,74),0)</f>
        <v/>
      </c>
      <c r="BY448">
        <f>IFERROR(INDEX(PP_Grid[#Data],$DD448,75),0)</f>
        <v/>
      </c>
      <c r="BZ448">
        <f>IFERROR(INDEX(PP_Grid[#Data],$DD448,76),0)</f>
        <v/>
      </c>
      <c r="CA448">
        <f>IFERROR(INDEX(PP_Grid[#Data],$DD448,77),0)</f>
        <v/>
      </c>
      <c r="CB448">
        <f>IFERROR(INDEX(PP_Grid[#Data],$DD448,78),0)</f>
        <v/>
      </c>
      <c r="CC448">
        <f>IFERROR(INDEX(PP_Grid[#Data],$DD448,79),0)</f>
        <v/>
      </c>
      <c r="CD448">
        <f>IFERROR(INDEX(PP_Grid[#Data],$DD448,80),0)</f>
        <v/>
      </c>
      <c r="CE448">
        <f>IFERROR(INDEX(PP_Grid[#Data],$DD448,81),0)</f>
        <v/>
      </c>
      <c r="CF448">
        <f>IFERROR(INDEX(PP_Grid[#Data],$DD448,82),0)</f>
        <v/>
      </c>
      <c r="CG448">
        <f>IFERROR(INDEX(PP_Grid[#Data],$DD448,83),0)</f>
        <v/>
      </c>
      <c r="CH448">
        <f>IFERROR(INDEX(PP_Grid[#Data],$DD448,84),0)</f>
        <v/>
      </c>
      <c r="CI448">
        <f>IFERROR(INDEX(PP_Grid[#Data],$DD448,85),0)</f>
        <v/>
      </c>
      <c r="CJ448">
        <f>IFERROR(INDEX(PP_Grid[#Data],$DD448,86),0)</f>
        <v/>
      </c>
      <c r="CK448">
        <f>IFERROR(INDEX(PP_Grid[#Data],$DD448,87),0)</f>
        <v/>
      </c>
      <c r="CL448">
        <f>IFERROR(INDEX(PP_Grid[#Data],$DD448,88),0)</f>
        <v/>
      </c>
      <c r="CM448">
        <f>IFERROR(INDEX(PP_Grid[#Data],$DD448,89),0)</f>
        <v/>
      </c>
      <c r="CN448">
        <f>IFERROR(INDEX(PP_Grid[#Data],$DD448,90),0)</f>
        <v/>
      </c>
      <c r="CO448">
        <f>IFERROR(INDEX(PP_Grid[#Data],$DD448,91),0)</f>
        <v/>
      </c>
      <c r="CP448">
        <f>IFERROR(INDEX(PP_Grid[#Data],$DD448,92),0)</f>
        <v/>
      </c>
      <c r="CQ448">
        <f>IFERROR(INDEX(PP_Grid[#Data],$DD448,93),0)</f>
        <v/>
      </c>
      <c r="CR448">
        <f>IFERROR(INDEX(PP_Grid[#Data],$DD448,94),0)</f>
        <v/>
      </c>
      <c r="CS448">
        <f>IFERROR(INDEX(PP_Grid[#Data],$DD448,95),0)</f>
        <v/>
      </c>
      <c r="CT448">
        <f>IFERROR(INDEX(PP_Grid[#Data],$DD448,96),0)</f>
        <v/>
      </c>
      <c r="CU448">
        <f>IFERROR(INDEX(PP_Grid[#Data],$DD448,97),0)</f>
        <v/>
      </c>
      <c r="CV448">
        <f>IFERROR(INDEX(PP_Grid[#Data],$DD448,98),0)</f>
        <v/>
      </c>
      <c r="CW448">
        <f>IFERROR(INDEX(PP_Grid[#Data],$DD448,99),0)</f>
        <v/>
      </c>
      <c r="CX448">
        <f>IFERROR(INDEX(PP_Grid[#Data],$DD448,100),0)</f>
        <v/>
      </c>
      <c r="CY448">
        <f>IFERROR(INDEX(PP_Grid[#Data],$DD448,101),0)</f>
        <v/>
      </c>
      <c r="CZ448">
        <f>IFERROR(INDEX(PP_Grid[#Data],$DD448,102),0)</f>
        <v/>
      </c>
      <c r="DA448">
        <f>IFERROR(INDEX(PP_Grid[#Data],$DD448,103),0)</f>
        <v/>
      </c>
      <c r="DB448">
        <f>IFERROR(INDEX(PP_Grid[#Data],$DD448,104),0)</f>
        <v/>
      </c>
      <c r="DC448">
        <f>IFERROR(INDEX(PP_Grid[#Data],$DD448,105),0)</f>
        <v/>
      </c>
      <c r="DD448" s="12">
        <f>IFERROR(MATCH($B448,PP_Grid[Intermediate],0),99999)</f>
        <v/>
      </c>
    </row>
    <row r="449">
      <c r="B449" t="inlineStr">
        <is>
          <t>使用量(kg)</t>
        </is>
      </c>
      <c r="C449">
        <f>SUMIFS(M_BOM[RM_Qty_Per_Batch],M_BOM[Intermediate],$B448,M_BOM[Part Name],$A439)</f>
        <v/>
      </c>
      <c r="D449">
        <f>$C449*D448</f>
        <v/>
      </c>
      <c r="E449">
        <f>$C449*E448</f>
        <v/>
      </c>
      <c r="F449">
        <f>$C449*F448</f>
        <v/>
      </c>
      <c r="G449">
        <f>$C449*G448</f>
        <v/>
      </c>
      <c r="H449">
        <f>$C449*H448</f>
        <v/>
      </c>
      <c r="I449">
        <f>$C449*I448</f>
        <v/>
      </c>
      <c r="J449">
        <f>$C449*J448</f>
        <v/>
      </c>
      <c r="K449">
        <f>$C449*K448</f>
        <v/>
      </c>
      <c r="L449">
        <f>$C449*L448</f>
        <v/>
      </c>
      <c r="M449">
        <f>$C449*M448</f>
        <v/>
      </c>
      <c r="N449">
        <f>$C449*N448</f>
        <v/>
      </c>
      <c r="O449">
        <f>$C449*O448</f>
        <v/>
      </c>
      <c r="P449">
        <f>$C449*P448</f>
        <v/>
      </c>
      <c r="Q449">
        <f>$C449*Q448</f>
        <v/>
      </c>
      <c r="R449">
        <f>$C449*R448</f>
        <v/>
      </c>
      <c r="S449">
        <f>$C449*S448</f>
        <v/>
      </c>
      <c r="T449">
        <f>$C449*T448</f>
        <v/>
      </c>
      <c r="U449">
        <f>$C449*U448</f>
        <v/>
      </c>
      <c r="V449">
        <f>$C449*V448</f>
        <v/>
      </c>
      <c r="W449">
        <f>$C449*W448</f>
        <v/>
      </c>
      <c r="X449">
        <f>$C449*X448</f>
        <v/>
      </c>
      <c r="Y449">
        <f>$C449*Y448</f>
        <v/>
      </c>
      <c r="Z449">
        <f>$C449*Z448</f>
        <v/>
      </c>
      <c r="AA449">
        <f>$C449*AA448</f>
        <v/>
      </c>
      <c r="AB449">
        <f>$C449*AB448</f>
        <v/>
      </c>
      <c r="AC449">
        <f>$C449*AC448</f>
        <v/>
      </c>
      <c r="AD449">
        <f>$C449*AD448</f>
        <v/>
      </c>
      <c r="AE449">
        <f>$C449*AE448</f>
        <v/>
      </c>
      <c r="AF449">
        <f>$C449*AF448</f>
        <v/>
      </c>
      <c r="AG449">
        <f>$C449*AG448</f>
        <v/>
      </c>
      <c r="AH449">
        <f>$C449*AH448</f>
        <v/>
      </c>
      <c r="AI449">
        <f>$C449*AI448</f>
        <v/>
      </c>
      <c r="AJ449">
        <f>$C449*AJ448</f>
        <v/>
      </c>
      <c r="AK449">
        <f>$C449*AK448</f>
        <v/>
      </c>
      <c r="AL449">
        <f>$C449*AL448</f>
        <v/>
      </c>
      <c r="AM449">
        <f>$C449*AM448</f>
        <v/>
      </c>
      <c r="AN449">
        <f>$C449*AN448</f>
        <v/>
      </c>
      <c r="AO449">
        <f>$C449*AO448</f>
        <v/>
      </c>
      <c r="AP449">
        <f>$C449*AP448</f>
        <v/>
      </c>
      <c r="AQ449">
        <f>$C449*AQ448</f>
        <v/>
      </c>
      <c r="AR449">
        <f>$C449*AR448</f>
        <v/>
      </c>
      <c r="AS449">
        <f>$C449*AS448</f>
        <v/>
      </c>
      <c r="AT449">
        <f>$C449*AT448</f>
        <v/>
      </c>
      <c r="AU449">
        <f>$C449*AU448</f>
        <v/>
      </c>
      <c r="AV449">
        <f>$C449*AV448</f>
        <v/>
      </c>
      <c r="AW449">
        <f>$C449*AW448</f>
        <v/>
      </c>
      <c r="AX449">
        <f>$C449*AX448</f>
        <v/>
      </c>
      <c r="AY449">
        <f>$C449*AY448</f>
        <v/>
      </c>
      <c r="AZ449">
        <f>$C449*AZ448</f>
        <v/>
      </c>
      <c r="BA449">
        <f>$C449*BA448</f>
        <v/>
      </c>
      <c r="BB449">
        <f>$C449*BB448</f>
        <v/>
      </c>
      <c r="BC449">
        <f>$C449*BC448</f>
        <v/>
      </c>
      <c r="BD449">
        <f>$C449*BD448</f>
        <v/>
      </c>
      <c r="BE449">
        <f>$C449*BE448</f>
        <v/>
      </c>
      <c r="BF449">
        <f>$C449*BF448</f>
        <v/>
      </c>
      <c r="BG449">
        <f>$C449*BG448</f>
        <v/>
      </c>
      <c r="BH449">
        <f>$C449*BH448</f>
        <v/>
      </c>
      <c r="BI449">
        <f>$C449*BI448</f>
        <v/>
      </c>
      <c r="BJ449">
        <f>$C449*BJ448</f>
        <v/>
      </c>
      <c r="BK449">
        <f>$C449*BK448</f>
        <v/>
      </c>
      <c r="BL449">
        <f>$C449*BL448</f>
        <v/>
      </c>
      <c r="BM449">
        <f>$C449*BM448</f>
        <v/>
      </c>
      <c r="BN449">
        <f>$C449*BN448</f>
        <v/>
      </c>
      <c r="BO449">
        <f>$C449*BO448</f>
        <v/>
      </c>
      <c r="BP449">
        <f>$C449*BP448</f>
        <v/>
      </c>
      <c r="BQ449">
        <f>$C449*BQ448</f>
        <v/>
      </c>
      <c r="BR449">
        <f>$C449*BR448</f>
        <v/>
      </c>
      <c r="BS449">
        <f>$C449*BS448</f>
        <v/>
      </c>
      <c r="BT449">
        <f>$C449*BT448</f>
        <v/>
      </c>
      <c r="BU449">
        <f>$C449*BU448</f>
        <v/>
      </c>
      <c r="BV449">
        <f>$C449*BV448</f>
        <v/>
      </c>
      <c r="BW449">
        <f>$C449*BW448</f>
        <v/>
      </c>
      <c r="BX449">
        <f>$C449*BX448</f>
        <v/>
      </c>
      <c r="BY449">
        <f>$C449*BY448</f>
        <v/>
      </c>
      <c r="BZ449">
        <f>$C449*BZ448</f>
        <v/>
      </c>
      <c r="CA449">
        <f>$C449*CA448</f>
        <v/>
      </c>
      <c r="CB449">
        <f>$C449*CB448</f>
        <v/>
      </c>
      <c r="CC449">
        <f>$C449*CC448</f>
        <v/>
      </c>
      <c r="CD449">
        <f>$C449*CD448</f>
        <v/>
      </c>
      <c r="CE449">
        <f>$C449*CE448</f>
        <v/>
      </c>
      <c r="CF449">
        <f>$C449*CF448</f>
        <v/>
      </c>
      <c r="CG449">
        <f>$C449*CG448</f>
        <v/>
      </c>
      <c r="CH449">
        <f>$C449*CH448</f>
        <v/>
      </c>
      <c r="CI449">
        <f>$C449*CI448</f>
        <v/>
      </c>
      <c r="CJ449">
        <f>$C449*CJ448</f>
        <v/>
      </c>
      <c r="CK449">
        <f>$C449*CK448</f>
        <v/>
      </c>
      <c r="CL449">
        <f>$C449*CL448</f>
        <v/>
      </c>
      <c r="CM449">
        <f>$C449*CM448</f>
        <v/>
      </c>
      <c r="CN449">
        <f>$C449*CN448</f>
        <v/>
      </c>
      <c r="CO449">
        <f>$C449*CO448</f>
        <v/>
      </c>
      <c r="CP449">
        <f>$C449*CP448</f>
        <v/>
      </c>
      <c r="CQ449">
        <f>$C449*CQ448</f>
        <v/>
      </c>
      <c r="CR449">
        <f>$C449*CR448</f>
        <v/>
      </c>
      <c r="CS449">
        <f>$C449*CS448</f>
        <v/>
      </c>
      <c r="CT449">
        <f>$C449*CT448</f>
        <v/>
      </c>
      <c r="CU449">
        <f>$C449*CU448</f>
        <v/>
      </c>
      <c r="CV449">
        <f>$C449*CV448</f>
        <v/>
      </c>
      <c r="CW449">
        <f>$C449*CW448</f>
        <v/>
      </c>
      <c r="CX449">
        <f>$C449*CX448</f>
        <v/>
      </c>
      <c r="CY449">
        <f>$C449*CY448</f>
        <v/>
      </c>
      <c r="CZ449">
        <f>$C449*CZ448</f>
        <v/>
      </c>
      <c r="DA449">
        <f>$C449*DA448</f>
        <v/>
      </c>
      <c r="DB449">
        <f>$C449*DB448</f>
        <v/>
      </c>
      <c r="DC449">
        <f>$C449*DC448</f>
        <v/>
      </c>
    </row>
    <row r="450">
      <c r="B450" t="inlineStr">
        <is>
          <t>TSP-080</t>
        </is>
      </c>
      <c r="C450" t="inlineStr">
        <is>
          <t>No. of batches</t>
        </is>
      </c>
      <c r="D450">
        <f>IFERROR(INDEX(PP_Grid[#Data],$DD450,2),0)</f>
        <v/>
      </c>
      <c r="E450">
        <f>IFERROR(INDEX(PP_Grid[#Data],$DD450,3),0)</f>
        <v/>
      </c>
      <c r="F450">
        <f>IFERROR(INDEX(PP_Grid[#Data],$DD450,4),0)</f>
        <v/>
      </c>
      <c r="G450">
        <f>IFERROR(INDEX(PP_Grid[#Data],$DD450,5),0)</f>
        <v/>
      </c>
      <c r="H450">
        <f>IFERROR(INDEX(PP_Grid[#Data],$DD450,6),0)</f>
        <v/>
      </c>
      <c r="I450">
        <f>IFERROR(INDEX(PP_Grid[#Data],$DD450,7),0)</f>
        <v/>
      </c>
      <c r="J450">
        <f>IFERROR(INDEX(PP_Grid[#Data],$DD450,8),0)</f>
        <v/>
      </c>
      <c r="K450">
        <f>IFERROR(INDEX(PP_Grid[#Data],$DD450,9),0)</f>
        <v/>
      </c>
      <c r="L450">
        <f>IFERROR(INDEX(PP_Grid[#Data],$DD450,10),0)</f>
        <v/>
      </c>
      <c r="M450">
        <f>IFERROR(INDEX(PP_Grid[#Data],$DD450,11),0)</f>
        <v/>
      </c>
      <c r="N450">
        <f>IFERROR(INDEX(PP_Grid[#Data],$DD450,12),0)</f>
        <v/>
      </c>
      <c r="O450">
        <f>IFERROR(INDEX(PP_Grid[#Data],$DD450,13),0)</f>
        <v/>
      </c>
      <c r="P450">
        <f>IFERROR(INDEX(PP_Grid[#Data],$DD450,14),0)</f>
        <v/>
      </c>
      <c r="Q450">
        <f>IFERROR(INDEX(PP_Grid[#Data],$DD450,15),0)</f>
        <v/>
      </c>
      <c r="R450">
        <f>IFERROR(INDEX(PP_Grid[#Data],$DD450,16),0)</f>
        <v/>
      </c>
      <c r="S450">
        <f>IFERROR(INDEX(PP_Grid[#Data],$DD450,17),0)</f>
        <v/>
      </c>
      <c r="T450">
        <f>IFERROR(INDEX(PP_Grid[#Data],$DD450,18),0)</f>
        <v/>
      </c>
      <c r="U450">
        <f>IFERROR(INDEX(PP_Grid[#Data],$DD450,19),0)</f>
        <v/>
      </c>
      <c r="V450">
        <f>IFERROR(INDEX(PP_Grid[#Data],$DD450,20),0)</f>
        <v/>
      </c>
      <c r="W450">
        <f>IFERROR(INDEX(PP_Grid[#Data],$DD450,21),0)</f>
        <v/>
      </c>
      <c r="X450">
        <f>IFERROR(INDEX(PP_Grid[#Data],$DD450,22),0)</f>
        <v/>
      </c>
      <c r="Y450">
        <f>IFERROR(INDEX(PP_Grid[#Data],$DD450,23),0)</f>
        <v/>
      </c>
      <c r="Z450">
        <f>IFERROR(INDEX(PP_Grid[#Data],$DD450,24),0)</f>
        <v/>
      </c>
      <c r="AA450">
        <f>IFERROR(INDEX(PP_Grid[#Data],$DD450,25),0)</f>
        <v/>
      </c>
      <c r="AB450">
        <f>IFERROR(INDEX(PP_Grid[#Data],$DD450,26),0)</f>
        <v/>
      </c>
      <c r="AC450">
        <f>IFERROR(INDEX(PP_Grid[#Data],$DD450,27),0)</f>
        <v/>
      </c>
      <c r="AD450">
        <f>IFERROR(INDEX(PP_Grid[#Data],$DD450,28),0)</f>
        <v/>
      </c>
      <c r="AE450">
        <f>IFERROR(INDEX(PP_Grid[#Data],$DD450,29),0)</f>
        <v/>
      </c>
      <c r="AF450">
        <f>IFERROR(INDEX(PP_Grid[#Data],$DD450,30),0)</f>
        <v/>
      </c>
      <c r="AG450">
        <f>IFERROR(INDEX(PP_Grid[#Data],$DD450,31),0)</f>
        <v/>
      </c>
      <c r="AH450">
        <f>IFERROR(INDEX(PP_Grid[#Data],$DD450,32),0)</f>
        <v/>
      </c>
      <c r="AI450">
        <f>IFERROR(INDEX(PP_Grid[#Data],$DD450,33),0)</f>
        <v/>
      </c>
      <c r="AJ450">
        <f>IFERROR(INDEX(PP_Grid[#Data],$DD450,34),0)</f>
        <v/>
      </c>
      <c r="AK450">
        <f>IFERROR(INDEX(PP_Grid[#Data],$DD450,35),0)</f>
        <v/>
      </c>
      <c r="AL450">
        <f>IFERROR(INDEX(PP_Grid[#Data],$DD450,36),0)</f>
        <v/>
      </c>
      <c r="AM450">
        <f>IFERROR(INDEX(PP_Grid[#Data],$DD450,37),0)</f>
        <v/>
      </c>
      <c r="AN450">
        <f>IFERROR(INDEX(PP_Grid[#Data],$DD450,38),0)</f>
        <v/>
      </c>
      <c r="AO450">
        <f>IFERROR(INDEX(PP_Grid[#Data],$DD450,39),0)</f>
        <v/>
      </c>
      <c r="AP450">
        <f>IFERROR(INDEX(PP_Grid[#Data],$DD450,40),0)</f>
        <v/>
      </c>
      <c r="AQ450">
        <f>IFERROR(INDEX(PP_Grid[#Data],$DD450,41),0)</f>
        <v/>
      </c>
      <c r="AR450">
        <f>IFERROR(INDEX(PP_Grid[#Data],$DD450,42),0)</f>
        <v/>
      </c>
      <c r="AS450">
        <f>IFERROR(INDEX(PP_Grid[#Data],$DD450,43),0)</f>
        <v/>
      </c>
      <c r="AT450">
        <f>IFERROR(INDEX(PP_Grid[#Data],$DD450,44),0)</f>
        <v/>
      </c>
      <c r="AU450">
        <f>IFERROR(INDEX(PP_Grid[#Data],$DD450,45),0)</f>
        <v/>
      </c>
      <c r="AV450">
        <f>IFERROR(INDEX(PP_Grid[#Data],$DD450,46),0)</f>
        <v/>
      </c>
      <c r="AW450">
        <f>IFERROR(INDEX(PP_Grid[#Data],$DD450,47),0)</f>
        <v/>
      </c>
      <c r="AX450">
        <f>IFERROR(INDEX(PP_Grid[#Data],$DD450,48),0)</f>
        <v/>
      </c>
      <c r="AY450">
        <f>IFERROR(INDEX(PP_Grid[#Data],$DD450,49),0)</f>
        <v/>
      </c>
      <c r="AZ450">
        <f>IFERROR(INDEX(PP_Grid[#Data],$DD450,50),0)</f>
        <v/>
      </c>
      <c r="BA450">
        <f>IFERROR(INDEX(PP_Grid[#Data],$DD450,51),0)</f>
        <v/>
      </c>
      <c r="BB450">
        <f>IFERROR(INDEX(PP_Grid[#Data],$DD450,52),0)</f>
        <v/>
      </c>
      <c r="BC450">
        <f>IFERROR(INDEX(PP_Grid[#Data],$DD450,53),0)</f>
        <v/>
      </c>
      <c r="BD450">
        <f>IFERROR(INDEX(PP_Grid[#Data],$DD450,54),0)</f>
        <v/>
      </c>
      <c r="BE450">
        <f>IFERROR(INDEX(PP_Grid[#Data],$DD450,55),0)</f>
        <v/>
      </c>
      <c r="BF450">
        <f>IFERROR(INDEX(PP_Grid[#Data],$DD450,56),0)</f>
        <v/>
      </c>
      <c r="BG450">
        <f>IFERROR(INDEX(PP_Grid[#Data],$DD450,57),0)</f>
        <v/>
      </c>
      <c r="BH450">
        <f>IFERROR(INDEX(PP_Grid[#Data],$DD450,58),0)</f>
        <v/>
      </c>
      <c r="BI450">
        <f>IFERROR(INDEX(PP_Grid[#Data],$DD450,59),0)</f>
        <v/>
      </c>
      <c r="BJ450">
        <f>IFERROR(INDEX(PP_Grid[#Data],$DD450,60),0)</f>
        <v/>
      </c>
      <c r="BK450">
        <f>IFERROR(INDEX(PP_Grid[#Data],$DD450,61),0)</f>
        <v/>
      </c>
      <c r="BL450">
        <f>IFERROR(INDEX(PP_Grid[#Data],$DD450,62),0)</f>
        <v/>
      </c>
      <c r="BM450">
        <f>IFERROR(INDEX(PP_Grid[#Data],$DD450,63),0)</f>
        <v/>
      </c>
      <c r="BN450">
        <f>IFERROR(INDEX(PP_Grid[#Data],$DD450,64),0)</f>
        <v/>
      </c>
      <c r="BO450">
        <f>IFERROR(INDEX(PP_Grid[#Data],$DD450,65),0)</f>
        <v/>
      </c>
      <c r="BP450">
        <f>IFERROR(INDEX(PP_Grid[#Data],$DD450,66),0)</f>
        <v/>
      </c>
      <c r="BQ450">
        <f>IFERROR(INDEX(PP_Grid[#Data],$DD450,67),0)</f>
        <v/>
      </c>
      <c r="BR450">
        <f>IFERROR(INDEX(PP_Grid[#Data],$DD450,68),0)</f>
        <v/>
      </c>
      <c r="BS450">
        <f>IFERROR(INDEX(PP_Grid[#Data],$DD450,69),0)</f>
        <v/>
      </c>
      <c r="BT450">
        <f>IFERROR(INDEX(PP_Grid[#Data],$DD450,70),0)</f>
        <v/>
      </c>
      <c r="BU450">
        <f>IFERROR(INDEX(PP_Grid[#Data],$DD450,71),0)</f>
        <v/>
      </c>
      <c r="BV450">
        <f>IFERROR(INDEX(PP_Grid[#Data],$DD450,72),0)</f>
        <v/>
      </c>
      <c r="BW450">
        <f>IFERROR(INDEX(PP_Grid[#Data],$DD450,73),0)</f>
        <v/>
      </c>
      <c r="BX450">
        <f>IFERROR(INDEX(PP_Grid[#Data],$DD450,74),0)</f>
        <v/>
      </c>
      <c r="BY450">
        <f>IFERROR(INDEX(PP_Grid[#Data],$DD450,75),0)</f>
        <v/>
      </c>
      <c r="BZ450">
        <f>IFERROR(INDEX(PP_Grid[#Data],$DD450,76),0)</f>
        <v/>
      </c>
      <c r="CA450">
        <f>IFERROR(INDEX(PP_Grid[#Data],$DD450,77),0)</f>
        <v/>
      </c>
      <c r="CB450">
        <f>IFERROR(INDEX(PP_Grid[#Data],$DD450,78),0)</f>
        <v/>
      </c>
      <c r="CC450">
        <f>IFERROR(INDEX(PP_Grid[#Data],$DD450,79),0)</f>
        <v/>
      </c>
      <c r="CD450">
        <f>IFERROR(INDEX(PP_Grid[#Data],$DD450,80),0)</f>
        <v/>
      </c>
      <c r="CE450">
        <f>IFERROR(INDEX(PP_Grid[#Data],$DD450,81),0)</f>
        <v/>
      </c>
      <c r="CF450">
        <f>IFERROR(INDEX(PP_Grid[#Data],$DD450,82),0)</f>
        <v/>
      </c>
      <c r="CG450">
        <f>IFERROR(INDEX(PP_Grid[#Data],$DD450,83),0)</f>
        <v/>
      </c>
      <c r="CH450">
        <f>IFERROR(INDEX(PP_Grid[#Data],$DD450,84),0)</f>
        <v/>
      </c>
      <c r="CI450">
        <f>IFERROR(INDEX(PP_Grid[#Data],$DD450,85),0)</f>
        <v/>
      </c>
      <c r="CJ450">
        <f>IFERROR(INDEX(PP_Grid[#Data],$DD450,86),0)</f>
        <v/>
      </c>
      <c r="CK450">
        <f>IFERROR(INDEX(PP_Grid[#Data],$DD450,87),0)</f>
        <v/>
      </c>
      <c r="CL450">
        <f>IFERROR(INDEX(PP_Grid[#Data],$DD450,88),0)</f>
        <v/>
      </c>
      <c r="CM450">
        <f>IFERROR(INDEX(PP_Grid[#Data],$DD450,89),0)</f>
        <v/>
      </c>
      <c r="CN450">
        <f>IFERROR(INDEX(PP_Grid[#Data],$DD450,90),0)</f>
        <v/>
      </c>
      <c r="CO450">
        <f>IFERROR(INDEX(PP_Grid[#Data],$DD450,91),0)</f>
        <v/>
      </c>
      <c r="CP450">
        <f>IFERROR(INDEX(PP_Grid[#Data],$DD450,92),0)</f>
        <v/>
      </c>
      <c r="CQ450">
        <f>IFERROR(INDEX(PP_Grid[#Data],$DD450,93),0)</f>
        <v/>
      </c>
      <c r="CR450">
        <f>IFERROR(INDEX(PP_Grid[#Data],$DD450,94),0)</f>
        <v/>
      </c>
      <c r="CS450">
        <f>IFERROR(INDEX(PP_Grid[#Data],$DD450,95),0)</f>
        <v/>
      </c>
      <c r="CT450">
        <f>IFERROR(INDEX(PP_Grid[#Data],$DD450,96),0)</f>
        <v/>
      </c>
      <c r="CU450">
        <f>IFERROR(INDEX(PP_Grid[#Data],$DD450,97),0)</f>
        <v/>
      </c>
      <c r="CV450">
        <f>IFERROR(INDEX(PP_Grid[#Data],$DD450,98),0)</f>
        <v/>
      </c>
      <c r="CW450">
        <f>IFERROR(INDEX(PP_Grid[#Data],$DD450,99),0)</f>
        <v/>
      </c>
      <c r="CX450">
        <f>IFERROR(INDEX(PP_Grid[#Data],$DD450,100),0)</f>
        <v/>
      </c>
      <c r="CY450">
        <f>IFERROR(INDEX(PP_Grid[#Data],$DD450,101),0)</f>
        <v/>
      </c>
      <c r="CZ450">
        <f>IFERROR(INDEX(PP_Grid[#Data],$DD450,102),0)</f>
        <v/>
      </c>
      <c r="DA450">
        <f>IFERROR(INDEX(PP_Grid[#Data],$DD450,103),0)</f>
        <v/>
      </c>
      <c r="DB450">
        <f>IFERROR(INDEX(PP_Grid[#Data],$DD450,104),0)</f>
        <v/>
      </c>
      <c r="DC450">
        <f>IFERROR(INDEX(PP_Grid[#Data],$DD450,105),0)</f>
        <v/>
      </c>
      <c r="DD450" s="12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SUMIFS(M_BOM[RM_Qty_Per_Batch],M_BOM[Intermediate],$B450,M_BOM[Part Name],$A439)</f>
        <v/>
      </c>
      <c r="D451">
        <f>$C451*D450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</row>
    <row r="452">
      <c r="B452" t="inlineStr">
        <is>
          <t>TSP-104</t>
        </is>
      </c>
      <c r="C452" t="inlineStr">
        <is>
          <t>No. of batches</t>
        </is>
      </c>
      <c r="D452">
        <f>IFERROR(INDEX(PP_Grid[#Data],$DD452,2),0)</f>
        <v/>
      </c>
      <c r="E452">
        <f>IFERROR(INDEX(PP_Grid[#Data],$DD452,3),0)</f>
        <v/>
      </c>
      <c r="F452">
        <f>IFERROR(INDEX(PP_Grid[#Data],$DD452,4),0)</f>
        <v/>
      </c>
      <c r="G452">
        <f>IFERROR(INDEX(PP_Grid[#Data],$DD452,5),0)</f>
        <v/>
      </c>
      <c r="H452">
        <f>IFERROR(INDEX(PP_Grid[#Data],$DD452,6),0)</f>
        <v/>
      </c>
      <c r="I452">
        <f>IFERROR(INDEX(PP_Grid[#Data],$DD452,7),0)</f>
        <v/>
      </c>
      <c r="J452">
        <f>IFERROR(INDEX(PP_Grid[#Data],$DD452,8),0)</f>
        <v/>
      </c>
      <c r="K452">
        <f>IFERROR(INDEX(PP_Grid[#Data],$DD452,9),0)</f>
        <v/>
      </c>
      <c r="L452">
        <f>IFERROR(INDEX(PP_Grid[#Data],$DD452,10),0)</f>
        <v/>
      </c>
      <c r="M452">
        <f>IFERROR(INDEX(PP_Grid[#Data],$DD452,11),0)</f>
        <v/>
      </c>
      <c r="N452">
        <f>IFERROR(INDEX(PP_Grid[#Data],$DD452,12),0)</f>
        <v/>
      </c>
      <c r="O452">
        <f>IFERROR(INDEX(PP_Grid[#Data],$DD452,13),0)</f>
        <v/>
      </c>
      <c r="P452">
        <f>IFERROR(INDEX(PP_Grid[#Data],$DD452,14),0)</f>
        <v/>
      </c>
      <c r="Q452">
        <f>IFERROR(INDEX(PP_Grid[#Data],$DD452,15),0)</f>
        <v/>
      </c>
      <c r="R452">
        <f>IFERROR(INDEX(PP_Grid[#Data],$DD452,16),0)</f>
        <v/>
      </c>
      <c r="S452">
        <f>IFERROR(INDEX(PP_Grid[#Data],$DD452,17),0)</f>
        <v/>
      </c>
      <c r="T452">
        <f>IFERROR(INDEX(PP_Grid[#Data],$DD452,18),0)</f>
        <v/>
      </c>
      <c r="U452">
        <f>IFERROR(INDEX(PP_Grid[#Data],$DD452,19),0)</f>
        <v/>
      </c>
      <c r="V452">
        <f>IFERROR(INDEX(PP_Grid[#Data],$DD452,20),0)</f>
        <v/>
      </c>
      <c r="W452">
        <f>IFERROR(INDEX(PP_Grid[#Data],$DD452,21),0)</f>
        <v/>
      </c>
      <c r="X452">
        <f>IFERROR(INDEX(PP_Grid[#Data],$DD452,22),0)</f>
        <v/>
      </c>
      <c r="Y452">
        <f>IFERROR(INDEX(PP_Grid[#Data],$DD452,23),0)</f>
        <v/>
      </c>
      <c r="Z452">
        <f>IFERROR(INDEX(PP_Grid[#Data],$DD452,24),0)</f>
        <v/>
      </c>
      <c r="AA452">
        <f>IFERROR(INDEX(PP_Grid[#Data],$DD452,25),0)</f>
        <v/>
      </c>
      <c r="AB452">
        <f>IFERROR(INDEX(PP_Grid[#Data],$DD452,26),0)</f>
        <v/>
      </c>
      <c r="AC452">
        <f>IFERROR(INDEX(PP_Grid[#Data],$DD452,27),0)</f>
        <v/>
      </c>
      <c r="AD452">
        <f>IFERROR(INDEX(PP_Grid[#Data],$DD452,28),0)</f>
        <v/>
      </c>
      <c r="AE452">
        <f>IFERROR(INDEX(PP_Grid[#Data],$DD452,29),0)</f>
        <v/>
      </c>
      <c r="AF452">
        <f>IFERROR(INDEX(PP_Grid[#Data],$DD452,30),0)</f>
        <v/>
      </c>
      <c r="AG452">
        <f>IFERROR(INDEX(PP_Grid[#Data],$DD452,31),0)</f>
        <v/>
      </c>
      <c r="AH452">
        <f>IFERROR(INDEX(PP_Grid[#Data],$DD452,32),0)</f>
        <v/>
      </c>
      <c r="AI452">
        <f>IFERROR(INDEX(PP_Grid[#Data],$DD452,33),0)</f>
        <v/>
      </c>
      <c r="AJ452">
        <f>IFERROR(INDEX(PP_Grid[#Data],$DD452,34),0)</f>
        <v/>
      </c>
      <c r="AK452">
        <f>IFERROR(INDEX(PP_Grid[#Data],$DD452,35),0)</f>
        <v/>
      </c>
      <c r="AL452">
        <f>IFERROR(INDEX(PP_Grid[#Data],$DD452,36),0)</f>
        <v/>
      </c>
      <c r="AM452">
        <f>IFERROR(INDEX(PP_Grid[#Data],$DD452,37),0)</f>
        <v/>
      </c>
      <c r="AN452">
        <f>IFERROR(INDEX(PP_Grid[#Data],$DD452,38),0)</f>
        <v/>
      </c>
      <c r="AO452">
        <f>IFERROR(INDEX(PP_Grid[#Data],$DD452,39),0)</f>
        <v/>
      </c>
      <c r="AP452">
        <f>IFERROR(INDEX(PP_Grid[#Data],$DD452,40),0)</f>
        <v/>
      </c>
      <c r="AQ452">
        <f>IFERROR(INDEX(PP_Grid[#Data],$DD452,41),0)</f>
        <v/>
      </c>
      <c r="AR452">
        <f>IFERROR(INDEX(PP_Grid[#Data],$DD452,42),0)</f>
        <v/>
      </c>
      <c r="AS452">
        <f>IFERROR(INDEX(PP_Grid[#Data],$DD452,43),0)</f>
        <v/>
      </c>
      <c r="AT452">
        <f>IFERROR(INDEX(PP_Grid[#Data],$DD452,44),0)</f>
        <v/>
      </c>
      <c r="AU452">
        <f>IFERROR(INDEX(PP_Grid[#Data],$DD452,45),0)</f>
        <v/>
      </c>
      <c r="AV452">
        <f>IFERROR(INDEX(PP_Grid[#Data],$DD452,46),0)</f>
        <v/>
      </c>
      <c r="AW452">
        <f>IFERROR(INDEX(PP_Grid[#Data],$DD452,47),0)</f>
        <v/>
      </c>
      <c r="AX452">
        <f>IFERROR(INDEX(PP_Grid[#Data],$DD452,48),0)</f>
        <v/>
      </c>
      <c r="AY452">
        <f>IFERROR(INDEX(PP_Grid[#Data],$DD452,49),0)</f>
        <v/>
      </c>
      <c r="AZ452">
        <f>IFERROR(INDEX(PP_Grid[#Data],$DD452,50),0)</f>
        <v/>
      </c>
      <c r="BA452">
        <f>IFERROR(INDEX(PP_Grid[#Data],$DD452,51),0)</f>
        <v/>
      </c>
      <c r="BB452">
        <f>IFERROR(INDEX(PP_Grid[#Data],$DD452,52),0)</f>
        <v/>
      </c>
      <c r="BC452">
        <f>IFERROR(INDEX(PP_Grid[#Data],$DD452,53),0)</f>
        <v/>
      </c>
      <c r="BD452">
        <f>IFERROR(INDEX(PP_Grid[#Data],$DD452,54),0)</f>
        <v/>
      </c>
      <c r="BE452">
        <f>IFERROR(INDEX(PP_Grid[#Data],$DD452,55),0)</f>
        <v/>
      </c>
      <c r="BF452">
        <f>IFERROR(INDEX(PP_Grid[#Data],$DD452,56),0)</f>
        <v/>
      </c>
      <c r="BG452">
        <f>IFERROR(INDEX(PP_Grid[#Data],$DD452,57),0)</f>
        <v/>
      </c>
      <c r="BH452">
        <f>IFERROR(INDEX(PP_Grid[#Data],$DD452,58),0)</f>
        <v/>
      </c>
      <c r="BI452">
        <f>IFERROR(INDEX(PP_Grid[#Data],$DD452,59),0)</f>
        <v/>
      </c>
      <c r="BJ452">
        <f>IFERROR(INDEX(PP_Grid[#Data],$DD452,60),0)</f>
        <v/>
      </c>
      <c r="BK452">
        <f>IFERROR(INDEX(PP_Grid[#Data],$DD452,61),0)</f>
        <v/>
      </c>
      <c r="BL452">
        <f>IFERROR(INDEX(PP_Grid[#Data],$DD452,62),0)</f>
        <v/>
      </c>
      <c r="BM452">
        <f>IFERROR(INDEX(PP_Grid[#Data],$DD452,63),0)</f>
        <v/>
      </c>
      <c r="BN452">
        <f>IFERROR(INDEX(PP_Grid[#Data],$DD452,64),0)</f>
        <v/>
      </c>
      <c r="BO452">
        <f>IFERROR(INDEX(PP_Grid[#Data],$DD452,65),0)</f>
        <v/>
      </c>
      <c r="BP452">
        <f>IFERROR(INDEX(PP_Grid[#Data],$DD452,66),0)</f>
        <v/>
      </c>
      <c r="BQ452">
        <f>IFERROR(INDEX(PP_Grid[#Data],$DD452,67),0)</f>
        <v/>
      </c>
      <c r="BR452">
        <f>IFERROR(INDEX(PP_Grid[#Data],$DD452,68),0)</f>
        <v/>
      </c>
      <c r="BS452">
        <f>IFERROR(INDEX(PP_Grid[#Data],$DD452,69),0)</f>
        <v/>
      </c>
      <c r="BT452">
        <f>IFERROR(INDEX(PP_Grid[#Data],$DD452,70),0)</f>
        <v/>
      </c>
      <c r="BU452">
        <f>IFERROR(INDEX(PP_Grid[#Data],$DD452,71),0)</f>
        <v/>
      </c>
      <c r="BV452">
        <f>IFERROR(INDEX(PP_Grid[#Data],$DD452,72),0)</f>
        <v/>
      </c>
      <c r="BW452">
        <f>IFERROR(INDEX(PP_Grid[#Data],$DD452,73),0)</f>
        <v/>
      </c>
      <c r="BX452">
        <f>IFERROR(INDEX(PP_Grid[#Data],$DD452,74),0)</f>
        <v/>
      </c>
      <c r="BY452">
        <f>IFERROR(INDEX(PP_Grid[#Data],$DD452,75),0)</f>
        <v/>
      </c>
      <c r="BZ452">
        <f>IFERROR(INDEX(PP_Grid[#Data],$DD452,76),0)</f>
        <v/>
      </c>
      <c r="CA452">
        <f>IFERROR(INDEX(PP_Grid[#Data],$DD452,77),0)</f>
        <v/>
      </c>
      <c r="CB452">
        <f>IFERROR(INDEX(PP_Grid[#Data],$DD452,78),0)</f>
        <v/>
      </c>
      <c r="CC452">
        <f>IFERROR(INDEX(PP_Grid[#Data],$DD452,79),0)</f>
        <v/>
      </c>
      <c r="CD452">
        <f>IFERROR(INDEX(PP_Grid[#Data],$DD452,80),0)</f>
        <v/>
      </c>
      <c r="CE452">
        <f>IFERROR(INDEX(PP_Grid[#Data],$DD452,81),0)</f>
        <v/>
      </c>
      <c r="CF452">
        <f>IFERROR(INDEX(PP_Grid[#Data],$DD452,82),0)</f>
        <v/>
      </c>
      <c r="CG452">
        <f>IFERROR(INDEX(PP_Grid[#Data],$DD452,83),0)</f>
        <v/>
      </c>
      <c r="CH452">
        <f>IFERROR(INDEX(PP_Grid[#Data],$DD452,84),0)</f>
        <v/>
      </c>
      <c r="CI452">
        <f>IFERROR(INDEX(PP_Grid[#Data],$DD452,85),0)</f>
        <v/>
      </c>
      <c r="CJ452">
        <f>IFERROR(INDEX(PP_Grid[#Data],$DD452,86),0)</f>
        <v/>
      </c>
      <c r="CK452">
        <f>IFERROR(INDEX(PP_Grid[#Data],$DD452,87),0)</f>
        <v/>
      </c>
      <c r="CL452">
        <f>IFERROR(INDEX(PP_Grid[#Data],$DD452,88),0)</f>
        <v/>
      </c>
      <c r="CM452">
        <f>IFERROR(INDEX(PP_Grid[#Data],$DD452,89),0)</f>
        <v/>
      </c>
      <c r="CN452">
        <f>IFERROR(INDEX(PP_Grid[#Data],$DD452,90),0)</f>
        <v/>
      </c>
      <c r="CO452">
        <f>IFERROR(INDEX(PP_Grid[#Data],$DD452,91),0)</f>
        <v/>
      </c>
      <c r="CP452">
        <f>IFERROR(INDEX(PP_Grid[#Data],$DD452,92),0)</f>
        <v/>
      </c>
      <c r="CQ452">
        <f>IFERROR(INDEX(PP_Grid[#Data],$DD452,93),0)</f>
        <v/>
      </c>
      <c r="CR452">
        <f>IFERROR(INDEX(PP_Grid[#Data],$DD452,94),0)</f>
        <v/>
      </c>
      <c r="CS452">
        <f>IFERROR(INDEX(PP_Grid[#Data],$DD452,95),0)</f>
        <v/>
      </c>
      <c r="CT452">
        <f>IFERROR(INDEX(PP_Grid[#Data],$DD452,96),0)</f>
        <v/>
      </c>
      <c r="CU452">
        <f>IFERROR(INDEX(PP_Grid[#Data],$DD452,97),0)</f>
        <v/>
      </c>
      <c r="CV452">
        <f>IFERROR(INDEX(PP_Grid[#Data],$DD452,98),0)</f>
        <v/>
      </c>
      <c r="CW452">
        <f>IFERROR(INDEX(PP_Grid[#Data],$DD452,99),0)</f>
        <v/>
      </c>
      <c r="CX452">
        <f>IFERROR(INDEX(PP_Grid[#Data],$DD452,100),0)</f>
        <v/>
      </c>
      <c r="CY452">
        <f>IFERROR(INDEX(PP_Grid[#Data],$DD452,101),0)</f>
        <v/>
      </c>
      <c r="CZ452">
        <f>IFERROR(INDEX(PP_Grid[#Data],$DD452,102),0)</f>
        <v/>
      </c>
      <c r="DA452">
        <f>IFERROR(INDEX(PP_Grid[#Data],$DD452,103),0)</f>
        <v/>
      </c>
      <c r="DB452">
        <f>IFERROR(INDEX(PP_Grid[#Data],$DD452,104),0)</f>
        <v/>
      </c>
      <c r="DC452">
        <f>IFERROR(INDEX(PP_Grid[#Data],$DD452,105),0)</f>
        <v/>
      </c>
      <c r="DD452" s="12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SUMIFS(M_BOM[RM_Qty_Per_Batch],M_BOM[Intermediate],$B452,M_BOM[Part Name],$A439)</f>
        <v/>
      </c>
      <c r="D453">
        <f>$C453*D452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</row>
    <row r="454">
      <c r="B454" t="inlineStr">
        <is>
          <t>TSP-105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12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Name],$A439)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TSP-1388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12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Name],$A439)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TSP-1444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12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Name],$A439)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TSP-1445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12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Name],$A439)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TSP-1446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12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Name],$A439)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TSP-1448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12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Name],$A439)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TSP-1449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12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Name],$A439)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t="inlineStr">
        <is>
          <t>TSP-1499</t>
        </is>
      </c>
      <c r="C468" t="inlineStr">
        <is>
          <t>No. of batches</t>
        </is>
      </c>
      <c r="D468">
        <f>IFERROR(INDEX(PP_Grid[#Data],$DD468,2),0)</f>
        <v/>
      </c>
      <c r="E468">
        <f>IFERROR(INDEX(PP_Grid[#Data],$DD468,3),0)</f>
        <v/>
      </c>
      <c r="F468">
        <f>IFERROR(INDEX(PP_Grid[#Data],$DD468,4),0)</f>
        <v/>
      </c>
      <c r="G468">
        <f>IFERROR(INDEX(PP_Grid[#Data],$DD468,5),0)</f>
        <v/>
      </c>
      <c r="H468">
        <f>IFERROR(INDEX(PP_Grid[#Data],$DD468,6),0)</f>
        <v/>
      </c>
      <c r="I468">
        <f>IFERROR(INDEX(PP_Grid[#Data],$DD468,7),0)</f>
        <v/>
      </c>
      <c r="J468">
        <f>IFERROR(INDEX(PP_Grid[#Data],$DD468,8),0)</f>
        <v/>
      </c>
      <c r="K468">
        <f>IFERROR(INDEX(PP_Grid[#Data],$DD468,9),0)</f>
        <v/>
      </c>
      <c r="L468">
        <f>IFERROR(INDEX(PP_Grid[#Data],$DD468,10),0)</f>
        <v/>
      </c>
      <c r="M468">
        <f>IFERROR(INDEX(PP_Grid[#Data],$DD468,11),0)</f>
        <v/>
      </c>
      <c r="N468">
        <f>IFERROR(INDEX(PP_Grid[#Data],$DD468,12),0)</f>
        <v/>
      </c>
      <c r="O468">
        <f>IFERROR(INDEX(PP_Grid[#Data],$DD468,13),0)</f>
        <v/>
      </c>
      <c r="P468">
        <f>IFERROR(INDEX(PP_Grid[#Data],$DD468,14),0)</f>
        <v/>
      </c>
      <c r="Q468">
        <f>IFERROR(INDEX(PP_Grid[#Data],$DD468,15),0)</f>
        <v/>
      </c>
      <c r="R468">
        <f>IFERROR(INDEX(PP_Grid[#Data],$DD468,16),0)</f>
        <v/>
      </c>
      <c r="S468">
        <f>IFERROR(INDEX(PP_Grid[#Data],$DD468,17),0)</f>
        <v/>
      </c>
      <c r="T468">
        <f>IFERROR(INDEX(PP_Grid[#Data],$DD468,18),0)</f>
        <v/>
      </c>
      <c r="U468">
        <f>IFERROR(INDEX(PP_Grid[#Data],$DD468,19),0)</f>
        <v/>
      </c>
      <c r="V468">
        <f>IFERROR(INDEX(PP_Grid[#Data],$DD468,20),0)</f>
        <v/>
      </c>
      <c r="W468">
        <f>IFERROR(INDEX(PP_Grid[#Data],$DD468,21),0)</f>
        <v/>
      </c>
      <c r="X468">
        <f>IFERROR(INDEX(PP_Grid[#Data],$DD468,22),0)</f>
        <v/>
      </c>
      <c r="Y468">
        <f>IFERROR(INDEX(PP_Grid[#Data],$DD468,23),0)</f>
        <v/>
      </c>
      <c r="Z468">
        <f>IFERROR(INDEX(PP_Grid[#Data],$DD468,24),0)</f>
        <v/>
      </c>
      <c r="AA468">
        <f>IFERROR(INDEX(PP_Grid[#Data],$DD468,25),0)</f>
        <v/>
      </c>
      <c r="AB468">
        <f>IFERROR(INDEX(PP_Grid[#Data],$DD468,26),0)</f>
        <v/>
      </c>
      <c r="AC468">
        <f>IFERROR(INDEX(PP_Grid[#Data],$DD468,27),0)</f>
        <v/>
      </c>
      <c r="AD468">
        <f>IFERROR(INDEX(PP_Grid[#Data],$DD468,28),0)</f>
        <v/>
      </c>
      <c r="AE468">
        <f>IFERROR(INDEX(PP_Grid[#Data],$DD468,29),0)</f>
        <v/>
      </c>
      <c r="AF468">
        <f>IFERROR(INDEX(PP_Grid[#Data],$DD468,30),0)</f>
        <v/>
      </c>
      <c r="AG468">
        <f>IFERROR(INDEX(PP_Grid[#Data],$DD468,31),0)</f>
        <v/>
      </c>
      <c r="AH468">
        <f>IFERROR(INDEX(PP_Grid[#Data],$DD468,32),0)</f>
        <v/>
      </c>
      <c r="AI468">
        <f>IFERROR(INDEX(PP_Grid[#Data],$DD468,33),0)</f>
        <v/>
      </c>
      <c r="AJ468">
        <f>IFERROR(INDEX(PP_Grid[#Data],$DD468,34),0)</f>
        <v/>
      </c>
      <c r="AK468">
        <f>IFERROR(INDEX(PP_Grid[#Data],$DD468,35),0)</f>
        <v/>
      </c>
      <c r="AL468">
        <f>IFERROR(INDEX(PP_Grid[#Data],$DD468,36),0)</f>
        <v/>
      </c>
      <c r="AM468">
        <f>IFERROR(INDEX(PP_Grid[#Data],$DD468,37),0)</f>
        <v/>
      </c>
      <c r="AN468">
        <f>IFERROR(INDEX(PP_Grid[#Data],$DD468,38),0)</f>
        <v/>
      </c>
      <c r="AO468">
        <f>IFERROR(INDEX(PP_Grid[#Data],$DD468,39),0)</f>
        <v/>
      </c>
      <c r="AP468">
        <f>IFERROR(INDEX(PP_Grid[#Data],$DD468,40),0)</f>
        <v/>
      </c>
      <c r="AQ468">
        <f>IFERROR(INDEX(PP_Grid[#Data],$DD468,41),0)</f>
        <v/>
      </c>
      <c r="AR468">
        <f>IFERROR(INDEX(PP_Grid[#Data],$DD468,42),0)</f>
        <v/>
      </c>
      <c r="AS468">
        <f>IFERROR(INDEX(PP_Grid[#Data],$DD468,43),0)</f>
        <v/>
      </c>
      <c r="AT468">
        <f>IFERROR(INDEX(PP_Grid[#Data],$DD468,44),0)</f>
        <v/>
      </c>
      <c r="AU468">
        <f>IFERROR(INDEX(PP_Grid[#Data],$DD468,45),0)</f>
        <v/>
      </c>
      <c r="AV468">
        <f>IFERROR(INDEX(PP_Grid[#Data],$DD468,46),0)</f>
        <v/>
      </c>
      <c r="AW468">
        <f>IFERROR(INDEX(PP_Grid[#Data],$DD468,47),0)</f>
        <v/>
      </c>
      <c r="AX468">
        <f>IFERROR(INDEX(PP_Grid[#Data],$DD468,48),0)</f>
        <v/>
      </c>
      <c r="AY468">
        <f>IFERROR(INDEX(PP_Grid[#Data],$DD468,49),0)</f>
        <v/>
      </c>
      <c r="AZ468">
        <f>IFERROR(INDEX(PP_Grid[#Data],$DD468,50),0)</f>
        <v/>
      </c>
      <c r="BA468">
        <f>IFERROR(INDEX(PP_Grid[#Data],$DD468,51),0)</f>
        <v/>
      </c>
      <c r="BB468">
        <f>IFERROR(INDEX(PP_Grid[#Data],$DD468,52),0)</f>
        <v/>
      </c>
      <c r="BC468">
        <f>IFERROR(INDEX(PP_Grid[#Data],$DD468,53),0)</f>
        <v/>
      </c>
      <c r="BD468">
        <f>IFERROR(INDEX(PP_Grid[#Data],$DD468,54),0)</f>
        <v/>
      </c>
      <c r="BE468">
        <f>IFERROR(INDEX(PP_Grid[#Data],$DD468,55),0)</f>
        <v/>
      </c>
      <c r="BF468">
        <f>IFERROR(INDEX(PP_Grid[#Data],$DD468,56),0)</f>
        <v/>
      </c>
      <c r="BG468">
        <f>IFERROR(INDEX(PP_Grid[#Data],$DD468,57),0)</f>
        <v/>
      </c>
      <c r="BH468">
        <f>IFERROR(INDEX(PP_Grid[#Data],$DD468,58),0)</f>
        <v/>
      </c>
      <c r="BI468">
        <f>IFERROR(INDEX(PP_Grid[#Data],$DD468,59),0)</f>
        <v/>
      </c>
      <c r="BJ468">
        <f>IFERROR(INDEX(PP_Grid[#Data],$DD468,60),0)</f>
        <v/>
      </c>
      <c r="BK468">
        <f>IFERROR(INDEX(PP_Grid[#Data],$DD468,61),0)</f>
        <v/>
      </c>
      <c r="BL468">
        <f>IFERROR(INDEX(PP_Grid[#Data],$DD468,62),0)</f>
        <v/>
      </c>
      <c r="BM468">
        <f>IFERROR(INDEX(PP_Grid[#Data],$DD468,63),0)</f>
        <v/>
      </c>
      <c r="BN468">
        <f>IFERROR(INDEX(PP_Grid[#Data],$DD468,64),0)</f>
        <v/>
      </c>
      <c r="BO468">
        <f>IFERROR(INDEX(PP_Grid[#Data],$DD468,65),0)</f>
        <v/>
      </c>
      <c r="BP468">
        <f>IFERROR(INDEX(PP_Grid[#Data],$DD468,66),0)</f>
        <v/>
      </c>
      <c r="BQ468">
        <f>IFERROR(INDEX(PP_Grid[#Data],$DD468,67),0)</f>
        <v/>
      </c>
      <c r="BR468">
        <f>IFERROR(INDEX(PP_Grid[#Data],$DD468,68),0)</f>
        <v/>
      </c>
      <c r="BS468">
        <f>IFERROR(INDEX(PP_Grid[#Data],$DD468,69),0)</f>
        <v/>
      </c>
      <c r="BT468">
        <f>IFERROR(INDEX(PP_Grid[#Data],$DD468,70),0)</f>
        <v/>
      </c>
      <c r="BU468">
        <f>IFERROR(INDEX(PP_Grid[#Data],$DD468,71),0)</f>
        <v/>
      </c>
      <c r="BV468">
        <f>IFERROR(INDEX(PP_Grid[#Data],$DD468,72),0)</f>
        <v/>
      </c>
      <c r="BW468">
        <f>IFERROR(INDEX(PP_Grid[#Data],$DD468,73),0)</f>
        <v/>
      </c>
      <c r="BX468">
        <f>IFERROR(INDEX(PP_Grid[#Data],$DD468,74),0)</f>
        <v/>
      </c>
      <c r="BY468">
        <f>IFERROR(INDEX(PP_Grid[#Data],$DD468,75),0)</f>
        <v/>
      </c>
      <c r="BZ468">
        <f>IFERROR(INDEX(PP_Grid[#Data],$DD468,76),0)</f>
        <v/>
      </c>
      <c r="CA468">
        <f>IFERROR(INDEX(PP_Grid[#Data],$DD468,77),0)</f>
        <v/>
      </c>
      <c r="CB468">
        <f>IFERROR(INDEX(PP_Grid[#Data],$DD468,78),0)</f>
        <v/>
      </c>
      <c r="CC468">
        <f>IFERROR(INDEX(PP_Grid[#Data],$DD468,79),0)</f>
        <v/>
      </c>
      <c r="CD468">
        <f>IFERROR(INDEX(PP_Grid[#Data],$DD468,80),0)</f>
        <v/>
      </c>
      <c r="CE468">
        <f>IFERROR(INDEX(PP_Grid[#Data],$DD468,81),0)</f>
        <v/>
      </c>
      <c r="CF468">
        <f>IFERROR(INDEX(PP_Grid[#Data],$DD468,82),0)</f>
        <v/>
      </c>
      <c r="CG468">
        <f>IFERROR(INDEX(PP_Grid[#Data],$DD468,83),0)</f>
        <v/>
      </c>
      <c r="CH468">
        <f>IFERROR(INDEX(PP_Grid[#Data],$DD468,84),0)</f>
        <v/>
      </c>
      <c r="CI468">
        <f>IFERROR(INDEX(PP_Grid[#Data],$DD468,85),0)</f>
        <v/>
      </c>
      <c r="CJ468">
        <f>IFERROR(INDEX(PP_Grid[#Data],$DD468,86),0)</f>
        <v/>
      </c>
      <c r="CK468">
        <f>IFERROR(INDEX(PP_Grid[#Data],$DD468,87),0)</f>
        <v/>
      </c>
      <c r="CL468">
        <f>IFERROR(INDEX(PP_Grid[#Data],$DD468,88),0)</f>
        <v/>
      </c>
      <c r="CM468">
        <f>IFERROR(INDEX(PP_Grid[#Data],$DD468,89),0)</f>
        <v/>
      </c>
      <c r="CN468">
        <f>IFERROR(INDEX(PP_Grid[#Data],$DD468,90),0)</f>
        <v/>
      </c>
      <c r="CO468">
        <f>IFERROR(INDEX(PP_Grid[#Data],$DD468,91),0)</f>
        <v/>
      </c>
      <c r="CP468">
        <f>IFERROR(INDEX(PP_Grid[#Data],$DD468,92),0)</f>
        <v/>
      </c>
      <c r="CQ468">
        <f>IFERROR(INDEX(PP_Grid[#Data],$DD468,93),0)</f>
        <v/>
      </c>
      <c r="CR468">
        <f>IFERROR(INDEX(PP_Grid[#Data],$DD468,94),0)</f>
        <v/>
      </c>
      <c r="CS468">
        <f>IFERROR(INDEX(PP_Grid[#Data],$DD468,95),0)</f>
        <v/>
      </c>
      <c r="CT468">
        <f>IFERROR(INDEX(PP_Grid[#Data],$DD468,96),0)</f>
        <v/>
      </c>
      <c r="CU468">
        <f>IFERROR(INDEX(PP_Grid[#Data],$DD468,97),0)</f>
        <v/>
      </c>
      <c r="CV468">
        <f>IFERROR(INDEX(PP_Grid[#Data],$DD468,98),0)</f>
        <v/>
      </c>
      <c r="CW468">
        <f>IFERROR(INDEX(PP_Grid[#Data],$DD468,99),0)</f>
        <v/>
      </c>
      <c r="CX468">
        <f>IFERROR(INDEX(PP_Grid[#Data],$DD468,100),0)</f>
        <v/>
      </c>
      <c r="CY468">
        <f>IFERROR(INDEX(PP_Grid[#Data],$DD468,101),0)</f>
        <v/>
      </c>
      <c r="CZ468">
        <f>IFERROR(INDEX(PP_Grid[#Data],$DD468,102),0)</f>
        <v/>
      </c>
      <c r="DA468">
        <f>IFERROR(INDEX(PP_Grid[#Data],$DD468,103),0)</f>
        <v/>
      </c>
      <c r="DB468">
        <f>IFERROR(INDEX(PP_Grid[#Data],$DD468,104),0)</f>
        <v/>
      </c>
      <c r="DC468">
        <f>IFERROR(INDEX(PP_Grid[#Data],$DD468,105),0)</f>
        <v/>
      </c>
      <c r="DD468" s="12">
        <f>IFERROR(MATCH($B468,PP_Grid[Intermediate],0),99999)</f>
        <v/>
      </c>
    </row>
    <row r="469">
      <c r="B469" t="inlineStr">
        <is>
          <t>使用量(kg)</t>
        </is>
      </c>
      <c r="C469">
        <f>SUMIFS(M_BOM[RM_Qty_Per_Batch],M_BOM[Intermediate],$B468,M_BOM[Part Name],$A439)</f>
        <v/>
      </c>
      <c r="D469">
        <f>$C469*D468</f>
        <v/>
      </c>
      <c r="E469">
        <f>$C469*E468</f>
        <v/>
      </c>
      <c r="F469">
        <f>$C469*F468</f>
        <v/>
      </c>
      <c r="G469">
        <f>$C469*G468</f>
        <v/>
      </c>
      <c r="H469">
        <f>$C469*H468</f>
        <v/>
      </c>
      <c r="I469">
        <f>$C469*I468</f>
        <v/>
      </c>
      <c r="J469">
        <f>$C469*J468</f>
        <v/>
      </c>
      <c r="K469">
        <f>$C469*K468</f>
        <v/>
      </c>
      <c r="L469">
        <f>$C469*L468</f>
        <v/>
      </c>
      <c r="M469">
        <f>$C469*M468</f>
        <v/>
      </c>
      <c r="N469">
        <f>$C469*N468</f>
        <v/>
      </c>
      <c r="O469">
        <f>$C469*O468</f>
        <v/>
      </c>
      <c r="P469">
        <f>$C469*P468</f>
        <v/>
      </c>
      <c r="Q469">
        <f>$C469*Q468</f>
        <v/>
      </c>
      <c r="R469">
        <f>$C469*R468</f>
        <v/>
      </c>
      <c r="S469">
        <f>$C469*S468</f>
        <v/>
      </c>
      <c r="T469">
        <f>$C469*T468</f>
        <v/>
      </c>
      <c r="U469">
        <f>$C469*U468</f>
        <v/>
      </c>
      <c r="V469">
        <f>$C469*V468</f>
        <v/>
      </c>
      <c r="W469">
        <f>$C469*W468</f>
        <v/>
      </c>
      <c r="X469">
        <f>$C469*X468</f>
        <v/>
      </c>
      <c r="Y469">
        <f>$C469*Y468</f>
        <v/>
      </c>
      <c r="Z469">
        <f>$C469*Z468</f>
        <v/>
      </c>
      <c r="AA469">
        <f>$C469*AA468</f>
        <v/>
      </c>
      <c r="AB469">
        <f>$C469*AB468</f>
        <v/>
      </c>
      <c r="AC469">
        <f>$C469*AC468</f>
        <v/>
      </c>
      <c r="AD469">
        <f>$C469*AD468</f>
        <v/>
      </c>
      <c r="AE469">
        <f>$C469*AE468</f>
        <v/>
      </c>
      <c r="AF469">
        <f>$C469*AF468</f>
        <v/>
      </c>
      <c r="AG469">
        <f>$C469*AG468</f>
        <v/>
      </c>
      <c r="AH469">
        <f>$C469*AH468</f>
        <v/>
      </c>
      <c r="AI469">
        <f>$C469*AI468</f>
        <v/>
      </c>
      <c r="AJ469">
        <f>$C469*AJ468</f>
        <v/>
      </c>
      <c r="AK469">
        <f>$C469*AK468</f>
        <v/>
      </c>
      <c r="AL469">
        <f>$C469*AL468</f>
        <v/>
      </c>
      <c r="AM469">
        <f>$C469*AM468</f>
        <v/>
      </c>
      <c r="AN469">
        <f>$C469*AN468</f>
        <v/>
      </c>
      <c r="AO469">
        <f>$C469*AO468</f>
        <v/>
      </c>
      <c r="AP469">
        <f>$C469*AP468</f>
        <v/>
      </c>
      <c r="AQ469">
        <f>$C469*AQ468</f>
        <v/>
      </c>
      <c r="AR469">
        <f>$C469*AR468</f>
        <v/>
      </c>
      <c r="AS469">
        <f>$C469*AS468</f>
        <v/>
      </c>
      <c r="AT469">
        <f>$C469*AT468</f>
        <v/>
      </c>
      <c r="AU469">
        <f>$C469*AU468</f>
        <v/>
      </c>
      <c r="AV469">
        <f>$C469*AV468</f>
        <v/>
      </c>
      <c r="AW469">
        <f>$C469*AW468</f>
        <v/>
      </c>
      <c r="AX469">
        <f>$C469*AX468</f>
        <v/>
      </c>
      <c r="AY469">
        <f>$C469*AY468</f>
        <v/>
      </c>
      <c r="AZ469">
        <f>$C469*AZ468</f>
        <v/>
      </c>
      <c r="BA469">
        <f>$C469*BA468</f>
        <v/>
      </c>
      <c r="BB469">
        <f>$C469*BB468</f>
        <v/>
      </c>
      <c r="BC469">
        <f>$C469*BC468</f>
        <v/>
      </c>
      <c r="BD469">
        <f>$C469*BD468</f>
        <v/>
      </c>
      <c r="BE469">
        <f>$C469*BE468</f>
        <v/>
      </c>
      <c r="BF469">
        <f>$C469*BF468</f>
        <v/>
      </c>
      <c r="BG469">
        <f>$C469*BG468</f>
        <v/>
      </c>
      <c r="BH469">
        <f>$C469*BH468</f>
        <v/>
      </c>
      <c r="BI469">
        <f>$C469*BI468</f>
        <v/>
      </c>
      <c r="BJ469">
        <f>$C469*BJ468</f>
        <v/>
      </c>
      <c r="BK469">
        <f>$C469*BK468</f>
        <v/>
      </c>
      <c r="BL469">
        <f>$C469*BL468</f>
        <v/>
      </c>
      <c r="BM469">
        <f>$C469*BM468</f>
        <v/>
      </c>
      <c r="BN469">
        <f>$C469*BN468</f>
        <v/>
      </c>
      <c r="BO469">
        <f>$C469*BO468</f>
        <v/>
      </c>
      <c r="BP469">
        <f>$C469*BP468</f>
        <v/>
      </c>
      <c r="BQ469">
        <f>$C469*BQ468</f>
        <v/>
      </c>
      <c r="BR469">
        <f>$C469*BR468</f>
        <v/>
      </c>
      <c r="BS469">
        <f>$C469*BS468</f>
        <v/>
      </c>
      <c r="BT469">
        <f>$C469*BT468</f>
        <v/>
      </c>
      <c r="BU469">
        <f>$C469*BU468</f>
        <v/>
      </c>
      <c r="BV469">
        <f>$C469*BV468</f>
        <v/>
      </c>
      <c r="BW469">
        <f>$C469*BW468</f>
        <v/>
      </c>
      <c r="BX469">
        <f>$C469*BX468</f>
        <v/>
      </c>
      <c r="BY469">
        <f>$C469*BY468</f>
        <v/>
      </c>
      <c r="BZ469">
        <f>$C469*BZ468</f>
        <v/>
      </c>
      <c r="CA469">
        <f>$C469*CA468</f>
        <v/>
      </c>
      <c r="CB469">
        <f>$C469*CB468</f>
        <v/>
      </c>
      <c r="CC469">
        <f>$C469*CC468</f>
        <v/>
      </c>
      <c r="CD469">
        <f>$C469*CD468</f>
        <v/>
      </c>
      <c r="CE469">
        <f>$C469*CE468</f>
        <v/>
      </c>
      <c r="CF469">
        <f>$C469*CF468</f>
        <v/>
      </c>
      <c r="CG469">
        <f>$C469*CG468</f>
        <v/>
      </c>
      <c r="CH469">
        <f>$C469*CH468</f>
        <v/>
      </c>
      <c r="CI469">
        <f>$C469*CI468</f>
        <v/>
      </c>
      <c r="CJ469">
        <f>$C469*CJ468</f>
        <v/>
      </c>
      <c r="CK469">
        <f>$C469*CK468</f>
        <v/>
      </c>
      <c r="CL469">
        <f>$C469*CL468</f>
        <v/>
      </c>
      <c r="CM469">
        <f>$C469*CM468</f>
        <v/>
      </c>
      <c r="CN469">
        <f>$C469*CN468</f>
        <v/>
      </c>
      <c r="CO469">
        <f>$C469*CO468</f>
        <v/>
      </c>
      <c r="CP469">
        <f>$C469*CP468</f>
        <v/>
      </c>
      <c r="CQ469">
        <f>$C469*CQ468</f>
        <v/>
      </c>
      <c r="CR469">
        <f>$C469*CR468</f>
        <v/>
      </c>
      <c r="CS469">
        <f>$C469*CS468</f>
        <v/>
      </c>
      <c r="CT469">
        <f>$C469*CT468</f>
        <v/>
      </c>
      <c r="CU469">
        <f>$C469*CU468</f>
        <v/>
      </c>
      <c r="CV469">
        <f>$C469*CV468</f>
        <v/>
      </c>
      <c r="CW469">
        <f>$C469*CW468</f>
        <v/>
      </c>
      <c r="CX469">
        <f>$C469*CX468</f>
        <v/>
      </c>
      <c r="CY469">
        <f>$C469*CY468</f>
        <v/>
      </c>
      <c r="CZ469">
        <f>$C469*CZ468</f>
        <v/>
      </c>
      <c r="DA469">
        <f>$C469*DA468</f>
        <v/>
      </c>
      <c r="DB469">
        <f>$C469*DB468</f>
        <v/>
      </c>
      <c r="DC469">
        <f>$C469*DC468</f>
        <v/>
      </c>
    </row>
    <row r="470">
      <c r="B470" t="inlineStr">
        <is>
          <t>TSP-1555</t>
        </is>
      </c>
      <c r="C470" t="inlineStr">
        <is>
          <t>No. of batches</t>
        </is>
      </c>
      <c r="D470">
        <f>IFERROR(INDEX(PP_Grid[#Data],$DD470,2),0)</f>
        <v/>
      </c>
      <c r="E470">
        <f>IFERROR(INDEX(PP_Grid[#Data],$DD470,3),0)</f>
        <v/>
      </c>
      <c r="F470">
        <f>IFERROR(INDEX(PP_Grid[#Data],$DD470,4),0)</f>
        <v/>
      </c>
      <c r="G470">
        <f>IFERROR(INDEX(PP_Grid[#Data],$DD470,5),0)</f>
        <v/>
      </c>
      <c r="H470">
        <f>IFERROR(INDEX(PP_Grid[#Data],$DD470,6),0)</f>
        <v/>
      </c>
      <c r="I470">
        <f>IFERROR(INDEX(PP_Grid[#Data],$DD470,7),0)</f>
        <v/>
      </c>
      <c r="J470">
        <f>IFERROR(INDEX(PP_Grid[#Data],$DD470,8),0)</f>
        <v/>
      </c>
      <c r="K470">
        <f>IFERROR(INDEX(PP_Grid[#Data],$DD470,9),0)</f>
        <v/>
      </c>
      <c r="L470">
        <f>IFERROR(INDEX(PP_Grid[#Data],$DD470,10),0)</f>
        <v/>
      </c>
      <c r="M470">
        <f>IFERROR(INDEX(PP_Grid[#Data],$DD470,11),0)</f>
        <v/>
      </c>
      <c r="N470">
        <f>IFERROR(INDEX(PP_Grid[#Data],$DD470,12),0)</f>
        <v/>
      </c>
      <c r="O470">
        <f>IFERROR(INDEX(PP_Grid[#Data],$DD470,13),0)</f>
        <v/>
      </c>
      <c r="P470">
        <f>IFERROR(INDEX(PP_Grid[#Data],$DD470,14),0)</f>
        <v/>
      </c>
      <c r="Q470">
        <f>IFERROR(INDEX(PP_Grid[#Data],$DD470,15),0)</f>
        <v/>
      </c>
      <c r="R470">
        <f>IFERROR(INDEX(PP_Grid[#Data],$DD470,16),0)</f>
        <v/>
      </c>
      <c r="S470">
        <f>IFERROR(INDEX(PP_Grid[#Data],$DD470,17),0)</f>
        <v/>
      </c>
      <c r="T470">
        <f>IFERROR(INDEX(PP_Grid[#Data],$DD470,18),0)</f>
        <v/>
      </c>
      <c r="U470">
        <f>IFERROR(INDEX(PP_Grid[#Data],$DD470,19),0)</f>
        <v/>
      </c>
      <c r="V470">
        <f>IFERROR(INDEX(PP_Grid[#Data],$DD470,20),0)</f>
        <v/>
      </c>
      <c r="W470">
        <f>IFERROR(INDEX(PP_Grid[#Data],$DD470,21),0)</f>
        <v/>
      </c>
      <c r="X470">
        <f>IFERROR(INDEX(PP_Grid[#Data],$DD470,22),0)</f>
        <v/>
      </c>
      <c r="Y470">
        <f>IFERROR(INDEX(PP_Grid[#Data],$DD470,23),0)</f>
        <v/>
      </c>
      <c r="Z470">
        <f>IFERROR(INDEX(PP_Grid[#Data],$DD470,24),0)</f>
        <v/>
      </c>
      <c r="AA470">
        <f>IFERROR(INDEX(PP_Grid[#Data],$DD470,25),0)</f>
        <v/>
      </c>
      <c r="AB470">
        <f>IFERROR(INDEX(PP_Grid[#Data],$DD470,26),0)</f>
        <v/>
      </c>
      <c r="AC470">
        <f>IFERROR(INDEX(PP_Grid[#Data],$DD470,27),0)</f>
        <v/>
      </c>
      <c r="AD470">
        <f>IFERROR(INDEX(PP_Grid[#Data],$DD470,28),0)</f>
        <v/>
      </c>
      <c r="AE470">
        <f>IFERROR(INDEX(PP_Grid[#Data],$DD470,29),0)</f>
        <v/>
      </c>
      <c r="AF470">
        <f>IFERROR(INDEX(PP_Grid[#Data],$DD470,30),0)</f>
        <v/>
      </c>
      <c r="AG470">
        <f>IFERROR(INDEX(PP_Grid[#Data],$DD470,31),0)</f>
        <v/>
      </c>
      <c r="AH470">
        <f>IFERROR(INDEX(PP_Grid[#Data],$DD470,32),0)</f>
        <v/>
      </c>
      <c r="AI470">
        <f>IFERROR(INDEX(PP_Grid[#Data],$DD470,33),0)</f>
        <v/>
      </c>
      <c r="AJ470">
        <f>IFERROR(INDEX(PP_Grid[#Data],$DD470,34),0)</f>
        <v/>
      </c>
      <c r="AK470">
        <f>IFERROR(INDEX(PP_Grid[#Data],$DD470,35),0)</f>
        <v/>
      </c>
      <c r="AL470">
        <f>IFERROR(INDEX(PP_Grid[#Data],$DD470,36),0)</f>
        <v/>
      </c>
      <c r="AM470">
        <f>IFERROR(INDEX(PP_Grid[#Data],$DD470,37),0)</f>
        <v/>
      </c>
      <c r="AN470">
        <f>IFERROR(INDEX(PP_Grid[#Data],$DD470,38),0)</f>
        <v/>
      </c>
      <c r="AO470">
        <f>IFERROR(INDEX(PP_Grid[#Data],$DD470,39),0)</f>
        <v/>
      </c>
      <c r="AP470">
        <f>IFERROR(INDEX(PP_Grid[#Data],$DD470,40),0)</f>
        <v/>
      </c>
      <c r="AQ470">
        <f>IFERROR(INDEX(PP_Grid[#Data],$DD470,41),0)</f>
        <v/>
      </c>
      <c r="AR470">
        <f>IFERROR(INDEX(PP_Grid[#Data],$DD470,42),0)</f>
        <v/>
      </c>
      <c r="AS470">
        <f>IFERROR(INDEX(PP_Grid[#Data],$DD470,43),0)</f>
        <v/>
      </c>
      <c r="AT470">
        <f>IFERROR(INDEX(PP_Grid[#Data],$DD470,44),0)</f>
        <v/>
      </c>
      <c r="AU470">
        <f>IFERROR(INDEX(PP_Grid[#Data],$DD470,45),0)</f>
        <v/>
      </c>
      <c r="AV470">
        <f>IFERROR(INDEX(PP_Grid[#Data],$DD470,46),0)</f>
        <v/>
      </c>
      <c r="AW470">
        <f>IFERROR(INDEX(PP_Grid[#Data],$DD470,47),0)</f>
        <v/>
      </c>
      <c r="AX470">
        <f>IFERROR(INDEX(PP_Grid[#Data],$DD470,48),0)</f>
        <v/>
      </c>
      <c r="AY470">
        <f>IFERROR(INDEX(PP_Grid[#Data],$DD470,49),0)</f>
        <v/>
      </c>
      <c r="AZ470">
        <f>IFERROR(INDEX(PP_Grid[#Data],$DD470,50),0)</f>
        <v/>
      </c>
      <c r="BA470">
        <f>IFERROR(INDEX(PP_Grid[#Data],$DD470,51),0)</f>
        <v/>
      </c>
      <c r="BB470">
        <f>IFERROR(INDEX(PP_Grid[#Data],$DD470,52),0)</f>
        <v/>
      </c>
      <c r="BC470">
        <f>IFERROR(INDEX(PP_Grid[#Data],$DD470,53),0)</f>
        <v/>
      </c>
      <c r="BD470">
        <f>IFERROR(INDEX(PP_Grid[#Data],$DD470,54),0)</f>
        <v/>
      </c>
      <c r="BE470">
        <f>IFERROR(INDEX(PP_Grid[#Data],$DD470,55),0)</f>
        <v/>
      </c>
      <c r="BF470">
        <f>IFERROR(INDEX(PP_Grid[#Data],$DD470,56),0)</f>
        <v/>
      </c>
      <c r="BG470">
        <f>IFERROR(INDEX(PP_Grid[#Data],$DD470,57),0)</f>
        <v/>
      </c>
      <c r="BH470">
        <f>IFERROR(INDEX(PP_Grid[#Data],$DD470,58),0)</f>
        <v/>
      </c>
      <c r="BI470">
        <f>IFERROR(INDEX(PP_Grid[#Data],$DD470,59),0)</f>
        <v/>
      </c>
      <c r="BJ470">
        <f>IFERROR(INDEX(PP_Grid[#Data],$DD470,60),0)</f>
        <v/>
      </c>
      <c r="BK470">
        <f>IFERROR(INDEX(PP_Grid[#Data],$DD470,61),0)</f>
        <v/>
      </c>
      <c r="BL470">
        <f>IFERROR(INDEX(PP_Grid[#Data],$DD470,62),0)</f>
        <v/>
      </c>
      <c r="BM470">
        <f>IFERROR(INDEX(PP_Grid[#Data],$DD470,63),0)</f>
        <v/>
      </c>
      <c r="BN470">
        <f>IFERROR(INDEX(PP_Grid[#Data],$DD470,64),0)</f>
        <v/>
      </c>
      <c r="BO470">
        <f>IFERROR(INDEX(PP_Grid[#Data],$DD470,65),0)</f>
        <v/>
      </c>
      <c r="BP470">
        <f>IFERROR(INDEX(PP_Grid[#Data],$DD470,66),0)</f>
        <v/>
      </c>
      <c r="BQ470">
        <f>IFERROR(INDEX(PP_Grid[#Data],$DD470,67),0)</f>
        <v/>
      </c>
      <c r="BR470">
        <f>IFERROR(INDEX(PP_Grid[#Data],$DD470,68),0)</f>
        <v/>
      </c>
      <c r="BS470">
        <f>IFERROR(INDEX(PP_Grid[#Data],$DD470,69),0)</f>
        <v/>
      </c>
      <c r="BT470">
        <f>IFERROR(INDEX(PP_Grid[#Data],$DD470,70),0)</f>
        <v/>
      </c>
      <c r="BU470">
        <f>IFERROR(INDEX(PP_Grid[#Data],$DD470,71),0)</f>
        <v/>
      </c>
      <c r="BV470">
        <f>IFERROR(INDEX(PP_Grid[#Data],$DD470,72),0)</f>
        <v/>
      </c>
      <c r="BW470">
        <f>IFERROR(INDEX(PP_Grid[#Data],$DD470,73),0)</f>
        <v/>
      </c>
      <c r="BX470">
        <f>IFERROR(INDEX(PP_Grid[#Data],$DD470,74),0)</f>
        <v/>
      </c>
      <c r="BY470">
        <f>IFERROR(INDEX(PP_Grid[#Data],$DD470,75),0)</f>
        <v/>
      </c>
      <c r="BZ470">
        <f>IFERROR(INDEX(PP_Grid[#Data],$DD470,76),0)</f>
        <v/>
      </c>
      <c r="CA470">
        <f>IFERROR(INDEX(PP_Grid[#Data],$DD470,77),0)</f>
        <v/>
      </c>
      <c r="CB470">
        <f>IFERROR(INDEX(PP_Grid[#Data],$DD470,78),0)</f>
        <v/>
      </c>
      <c r="CC470">
        <f>IFERROR(INDEX(PP_Grid[#Data],$DD470,79),0)</f>
        <v/>
      </c>
      <c r="CD470">
        <f>IFERROR(INDEX(PP_Grid[#Data],$DD470,80),0)</f>
        <v/>
      </c>
      <c r="CE470">
        <f>IFERROR(INDEX(PP_Grid[#Data],$DD470,81),0)</f>
        <v/>
      </c>
      <c r="CF470">
        <f>IFERROR(INDEX(PP_Grid[#Data],$DD470,82),0)</f>
        <v/>
      </c>
      <c r="CG470">
        <f>IFERROR(INDEX(PP_Grid[#Data],$DD470,83),0)</f>
        <v/>
      </c>
      <c r="CH470">
        <f>IFERROR(INDEX(PP_Grid[#Data],$DD470,84),0)</f>
        <v/>
      </c>
      <c r="CI470">
        <f>IFERROR(INDEX(PP_Grid[#Data],$DD470,85),0)</f>
        <v/>
      </c>
      <c r="CJ470">
        <f>IFERROR(INDEX(PP_Grid[#Data],$DD470,86),0)</f>
        <v/>
      </c>
      <c r="CK470">
        <f>IFERROR(INDEX(PP_Grid[#Data],$DD470,87),0)</f>
        <v/>
      </c>
      <c r="CL470">
        <f>IFERROR(INDEX(PP_Grid[#Data],$DD470,88),0)</f>
        <v/>
      </c>
      <c r="CM470">
        <f>IFERROR(INDEX(PP_Grid[#Data],$DD470,89),0)</f>
        <v/>
      </c>
      <c r="CN470">
        <f>IFERROR(INDEX(PP_Grid[#Data],$DD470,90),0)</f>
        <v/>
      </c>
      <c r="CO470">
        <f>IFERROR(INDEX(PP_Grid[#Data],$DD470,91),0)</f>
        <v/>
      </c>
      <c r="CP470">
        <f>IFERROR(INDEX(PP_Grid[#Data],$DD470,92),0)</f>
        <v/>
      </c>
      <c r="CQ470">
        <f>IFERROR(INDEX(PP_Grid[#Data],$DD470,93),0)</f>
        <v/>
      </c>
      <c r="CR470">
        <f>IFERROR(INDEX(PP_Grid[#Data],$DD470,94),0)</f>
        <v/>
      </c>
      <c r="CS470">
        <f>IFERROR(INDEX(PP_Grid[#Data],$DD470,95),0)</f>
        <v/>
      </c>
      <c r="CT470">
        <f>IFERROR(INDEX(PP_Grid[#Data],$DD470,96),0)</f>
        <v/>
      </c>
      <c r="CU470">
        <f>IFERROR(INDEX(PP_Grid[#Data],$DD470,97),0)</f>
        <v/>
      </c>
      <c r="CV470">
        <f>IFERROR(INDEX(PP_Grid[#Data],$DD470,98),0)</f>
        <v/>
      </c>
      <c r="CW470">
        <f>IFERROR(INDEX(PP_Grid[#Data],$DD470,99),0)</f>
        <v/>
      </c>
      <c r="CX470">
        <f>IFERROR(INDEX(PP_Grid[#Data],$DD470,100),0)</f>
        <v/>
      </c>
      <c r="CY470">
        <f>IFERROR(INDEX(PP_Grid[#Data],$DD470,101),0)</f>
        <v/>
      </c>
      <c r="CZ470">
        <f>IFERROR(INDEX(PP_Grid[#Data],$DD470,102),0)</f>
        <v/>
      </c>
      <c r="DA470">
        <f>IFERROR(INDEX(PP_Grid[#Data],$DD470,103),0)</f>
        <v/>
      </c>
      <c r="DB470">
        <f>IFERROR(INDEX(PP_Grid[#Data],$DD470,104),0)</f>
        <v/>
      </c>
      <c r="DC470">
        <f>IFERROR(INDEX(PP_Grid[#Data],$DD470,105),0)</f>
        <v/>
      </c>
      <c r="DD470" s="12">
        <f>IFERROR(MATCH($B470,PP_Grid[Intermediate],0),99999)</f>
        <v/>
      </c>
    </row>
    <row r="471">
      <c r="B471" t="inlineStr">
        <is>
          <t>使用量(kg)</t>
        </is>
      </c>
      <c r="C471">
        <f>SUMIFS(M_BOM[RM_Qty_Per_Batch],M_BOM[Intermediate],$B470,M_BOM[Part Name],$A439)</f>
        <v/>
      </c>
      <c r="D471">
        <f>$C471*D470</f>
        <v/>
      </c>
      <c r="E471">
        <f>$C471*E470</f>
        <v/>
      </c>
      <c r="F471">
        <f>$C471*F470</f>
        <v/>
      </c>
      <c r="G471">
        <f>$C471*G470</f>
        <v/>
      </c>
      <c r="H471">
        <f>$C471*H470</f>
        <v/>
      </c>
      <c r="I471">
        <f>$C471*I470</f>
        <v/>
      </c>
      <c r="J471">
        <f>$C471*J470</f>
        <v/>
      </c>
      <c r="K471">
        <f>$C471*K470</f>
        <v/>
      </c>
      <c r="L471">
        <f>$C471*L470</f>
        <v/>
      </c>
      <c r="M471">
        <f>$C471*M470</f>
        <v/>
      </c>
      <c r="N471">
        <f>$C471*N470</f>
        <v/>
      </c>
      <c r="O471">
        <f>$C471*O470</f>
        <v/>
      </c>
      <c r="P471">
        <f>$C471*P470</f>
        <v/>
      </c>
      <c r="Q471">
        <f>$C471*Q470</f>
        <v/>
      </c>
      <c r="R471">
        <f>$C471*R470</f>
        <v/>
      </c>
      <c r="S471">
        <f>$C471*S470</f>
        <v/>
      </c>
      <c r="T471">
        <f>$C471*T470</f>
        <v/>
      </c>
      <c r="U471">
        <f>$C471*U470</f>
        <v/>
      </c>
      <c r="V471">
        <f>$C471*V470</f>
        <v/>
      </c>
      <c r="W471">
        <f>$C471*W470</f>
        <v/>
      </c>
      <c r="X471">
        <f>$C471*X470</f>
        <v/>
      </c>
      <c r="Y471">
        <f>$C471*Y470</f>
        <v/>
      </c>
      <c r="Z471">
        <f>$C471*Z470</f>
        <v/>
      </c>
      <c r="AA471">
        <f>$C471*AA470</f>
        <v/>
      </c>
      <c r="AB471">
        <f>$C471*AB470</f>
        <v/>
      </c>
      <c r="AC471">
        <f>$C471*AC470</f>
        <v/>
      </c>
      <c r="AD471">
        <f>$C471*AD470</f>
        <v/>
      </c>
      <c r="AE471">
        <f>$C471*AE470</f>
        <v/>
      </c>
      <c r="AF471">
        <f>$C471*AF470</f>
        <v/>
      </c>
      <c r="AG471">
        <f>$C471*AG470</f>
        <v/>
      </c>
      <c r="AH471">
        <f>$C471*AH470</f>
        <v/>
      </c>
      <c r="AI471">
        <f>$C471*AI470</f>
        <v/>
      </c>
      <c r="AJ471">
        <f>$C471*AJ470</f>
        <v/>
      </c>
      <c r="AK471">
        <f>$C471*AK470</f>
        <v/>
      </c>
      <c r="AL471">
        <f>$C471*AL470</f>
        <v/>
      </c>
      <c r="AM471">
        <f>$C471*AM470</f>
        <v/>
      </c>
      <c r="AN471">
        <f>$C471*AN470</f>
        <v/>
      </c>
      <c r="AO471">
        <f>$C471*AO470</f>
        <v/>
      </c>
      <c r="AP471">
        <f>$C471*AP470</f>
        <v/>
      </c>
      <c r="AQ471">
        <f>$C471*AQ470</f>
        <v/>
      </c>
      <c r="AR471">
        <f>$C471*AR470</f>
        <v/>
      </c>
      <c r="AS471">
        <f>$C471*AS470</f>
        <v/>
      </c>
      <c r="AT471">
        <f>$C471*AT470</f>
        <v/>
      </c>
      <c r="AU471">
        <f>$C471*AU470</f>
        <v/>
      </c>
      <c r="AV471">
        <f>$C471*AV470</f>
        <v/>
      </c>
      <c r="AW471">
        <f>$C471*AW470</f>
        <v/>
      </c>
      <c r="AX471">
        <f>$C471*AX470</f>
        <v/>
      </c>
      <c r="AY471">
        <f>$C471*AY470</f>
        <v/>
      </c>
      <c r="AZ471">
        <f>$C471*AZ470</f>
        <v/>
      </c>
      <c r="BA471">
        <f>$C471*BA470</f>
        <v/>
      </c>
      <c r="BB471">
        <f>$C471*BB470</f>
        <v/>
      </c>
      <c r="BC471">
        <f>$C471*BC470</f>
        <v/>
      </c>
      <c r="BD471">
        <f>$C471*BD470</f>
        <v/>
      </c>
      <c r="BE471">
        <f>$C471*BE470</f>
        <v/>
      </c>
      <c r="BF471">
        <f>$C471*BF470</f>
        <v/>
      </c>
      <c r="BG471">
        <f>$C471*BG470</f>
        <v/>
      </c>
      <c r="BH471">
        <f>$C471*BH470</f>
        <v/>
      </c>
      <c r="BI471">
        <f>$C471*BI470</f>
        <v/>
      </c>
      <c r="BJ471">
        <f>$C471*BJ470</f>
        <v/>
      </c>
      <c r="BK471">
        <f>$C471*BK470</f>
        <v/>
      </c>
      <c r="BL471">
        <f>$C471*BL470</f>
        <v/>
      </c>
      <c r="BM471">
        <f>$C471*BM470</f>
        <v/>
      </c>
      <c r="BN471">
        <f>$C471*BN470</f>
        <v/>
      </c>
      <c r="BO471">
        <f>$C471*BO470</f>
        <v/>
      </c>
      <c r="BP471">
        <f>$C471*BP470</f>
        <v/>
      </c>
      <c r="BQ471">
        <f>$C471*BQ470</f>
        <v/>
      </c>
      <c r="BR471">
        <f>$C471*BR470</f>
        <v/>
      </c>
      <c r="BS471">
        <f>$C471*BS470</f>
        <v/>
      </c>
      <c r="BT471">
        <f>$C471*BT470</f>
        <v/>
      </c>
      <c r="BU471">
        <f>$C471*BU470</f>
        <v/>
      </c>
      <c r="BV471">
        <f>$C471*BV470</f>
        <v/>
      </c>
      <c r="BW471">
        <f>$C471*BW470</f>
        <v/>
      </c>
      <c r="BX471">
        <f>$C471*BX470</f>
        <v/>
      </c>
      <c r="BY471">
        <f>$C471*BY470</f>
        <v/>
      </c>
      <c r="BZ471">
        <f>$C471*BZ470</f>
        <v/>
      </c>
      <c r="CA471">
        <f>$C471*CA470</f>
        <v/>
      </c>
      <c r="CB471">
        <f>$C471*CB470</f>
        <v/>
      </c>
      <c r="CC471">
        <f>$C471*CC470</f>
        <v/>
      </c>
      <c r="CD471">
        <f>$C471*CD470</f>
        <v/>
      </c>
      <c r="CE471">
        <f>$C471*CE470</f>
        <v/>
      </c>
      <c r="CF471">
        <f>$C471*CF470</f>
        <v/>
      </c>
      <c r="CG471">
        <f>$C471*CG470</f>
        <v/>
      </c>
      <c r="CH471">
        <f>$C471*CH470</f>
        <v/>
      </c>
      <c r="CI471">
        <f>$C471*CI470</f>
        <v/>
      </c>
      <c r="CJ471">
        <f>$C471*CJ470</f>
        <v/>
      </c>
      <c r="CK471">
        <f>$C471*CK470</f>
        <v/>
      </c>
      <c r="CL471">
        <f>$C471*CL470</f>
        <v/>
      </c>
      <c r="CM471">
        <f>$C471*CM470</f>
        <v/>
      </c>
      <c r="CN471">
        <f>$C471*CN470</f>
        <v/>
      </c>
      <c r="CO471">
        <f>$C471*CO470</f>
        <v/>
      </c>
      <c r="CP471">
        <f>$C471*CP470</f>
        <v/>
      </c>
      <c r="CQ471">
        <f>$C471*CQ470</f>
        <v/>
      </c>
      <c r="CR471">
        <f>$C471*CR470</f>
        <v/>
      </c>
      <c r="CS471">
        <f>$C471*CS470</f>
        <v/>
      </c>
      <c r="CT471">
        <f>$C471*CT470</f>
        <v/>
      </c>
      <c r="CU471">
        <f>$C471*CU470</f>
        <v/>
      </c>
      <c r="CV471">
        <f>$C471*CV470</f>
        <v/>
      </c>
      <c r="CW471">
        <f>$C471*CW470</f>
        <v/>
      </c>
      <c r="CX471">
        <f>$C471*CX470</f>
        <v/>
      </c>
      <c r="CY471">
        <f>$C471*CY470</f>
        <v/>
      </c>
      <c r="CZ471">
        <f>$C471*CZ470</f>
        <v/>
      </c>
      <c r="DA471">
        <f>$C471*DA470</f>
        <v/>
      </c>
      <c r="DB471">
        <f>$C471*DB470</f>
        <v/>
      </c>
      <c r="DC471">
        <f>$C471*DC470</f>
        <v/>
      </c>
    </row>
    <row r="472">
      <c r="B472" t="inlineStr">
        <is>
          <t>TSP-1558</t>
        </is>
      </c>
      <c r="C472" t="inlineStr">
        <is>
          <t>No. of batches</t>
        </is>
      </c>
      <c r="D472">
        <f>IFERROR(INDEX(PP_Grid[#Data],$DD472,2),0)</f>
        <v/>
      </c>
      <c r="E472">
        <f>IFERROR(INDEX(PP_Grid[#Data],$DD472,3),0)</f>
        <v/>
      </c>
      <c r="F472">
        <f>IFERROR(INDEX(PP_Grid[#Data],$DD472,4),0)</f>
        <v/>
      </c>
      <c r="G472">
        <f>IFERROR(INDEX(PP_Grid[#Data],$DD472,5),0)</f>
        <v/>
      </c>
      <c r="H472">
        <f>IFERROR(INDEX(PP_Grid[#Data],$DD472,6),0)</f>
        <v/>
      </c>
      <c r="I472">
        <f>IFERROR(INDEX(PP_Grid[#Data],$DD472,7),0)</f>
        <v/>
      </c>
      <c r="J472">
        <f>IFERROR(INDEX(PP_Grid[#Data],$DD472,8),0)</f>
        <v/>
      </c>
      <c r="K472">
        <f>IFERROR(INDEX(PP_Grid[#Data],$DD472,9),0)</f>
        <v/>
      </c>
      <c r="L472">
        <f>IFERROR(INDEX(PP_Grid[#Data],$DD472,10),0)</f>
        <v/>
      </c>
      <c r="M472">
        <f>IFERROR(INDEX(PP_Grid[#Data],$DD472,11),0)</f>
        <v/>
      </c>
      <c r="N472">
        <f>IFERROR(INDEX(PP_Grid[#Data],$DD472,12),0)</f>
        <v/>
      </c>
      <c r="O472">
        <f>IFERROR(INDEX(PP_Grid[#Data],$DD472,13),0)</f>
        <v/>
      </c>
      <c r="P472">
        <f>IFERROR(INDEX(PP_Grid[#Data],$DD472,14),0)</f>
        <v/>
      </c>
      <c r="Q472">
        <f>IFERROR(INDEX(PP_Grid[#Data],$DD472,15),0)</f>
        <v/>
      </c>
      <c r="R472">
        <f>IFERROR(INDEX(PP_Grid[#Data],$DD472,16),0)</f>
        <v/>
      </c>
      <c r="S472">
        <f>IFERROR(INDEX(PP_Grid[#Data],$DD472,17),0)</f>
        <v/>
      </c>
      <c r="T472">
        <f>IFERROR(INDEX(PP_Grid[#Data],$DD472,18),0)</f>
        <v/>
      </c>
      <c r="U472">
        <f>IFERROR(INDEX(PP_Grid[#Data],$DD472,19),0)</f>
        <v/>
      </c>
      <c r="V472">
        <f>IFERROR(INDEX(PP_Grid[#Data],$DD472,20),0)</f>
        <v/>
      </c>
      <c r="W472">
        <f>IFERROR(INDEX(PP_Grid[#Data],$DD472,21),0)</f>
        <v/>
      </c>
      <c r="X472">
        <f>IFERROR(INDEX(PP_Grid[#Data],$DD472,22),0)</f>
        <v/>
      </c>
      <c r="Y472">
        <f>IFERROR(INDEX(PP_Grid[#Data],$DD472,23),0)</f>
        <v/>
      </c>
      <c r="Z472">
        <f>IFERROR(INDEX(PP_Grid[#Data],$DD472,24),0)</f>
        <v/>
      </c>
      <c r="AA472">
        <f>IFERROR(INDEX(PP_Grid[#Data],$DD472,25),0)</f>
        <v/>
      </c>
      <c r="AB472">
        <f>IFERROR(INDEX(PP_Grid[#Data],$DD472,26),0)</f>
        <v/>
      </c>
      <c r="AC472">
        <f>IFERROR(INDEX(PP_Grid[#Data],$DD472,27),0)</f>
        <v/>
      </c>
      <c r="AD472">
        <f>IFERROR(INDEX(PP_Grid[#Data],$DD472,28),0)</f>
        <v/>
      </c>
      <c r="AE472">
        <f>IFERROR(INDEX(PP_Grid[#Data],$DD472,29),0)</f>
        <v/>
      </c>
      <c r="AF472">
        <f>IFERROR(INDEX(PP_Grid[#Data],$DD472,30),0)</f>
        <v/>
      </c>
      <c r="AG472">
        <f>IFERROR(INDEX(PP_Grid[#Data],$DD472,31),0)</f>
        <v/>
      </c>
      <c r="AH472">
        <f>IFERROR(INDEX(PP_Grid[#Data],$DD472,32),0)</f>
        <v/>
      </c>
      <c r="AI472">
        <f>IFERROR(INDEX(PP_Grid[#Data],$DD472,33),0)</f>
        <v/>
      </c>
      <c r="AJ472">
        <f>IFERROR(INDEX(PP_Grid[#Data],$DD472,34),0)</f>
        <v/>
      </c>
      <c r="AK472">
        <f>IFERROR(INDEX(PP_Grid[#Data],$DD472,35),0)</f>
        <v/>
      </c>
      <c r="AL472">
        <f>IFERROR(INDEX(PP_Grid[#Data],$DD472,36),0)</f>
        <v/>
      </c>
      <c r="AM472">
        <f>IFERROR(INDEX(PP_Grid[#Data],$DD472,37),0)</f>
        <v/>
      </c>
      <c r="AN472">
        <f>IFERROR(INDEX(PP_Grid[#Data],$DD472,38),0)</f>
        <v/>
      </c>
      <c r="AO472">
        <f>IFERROR(INDEX(PP_Grid[#Data],$DD472,39),0)</f>
        <v/>
      </c>
      <c r="AP472">
        <f>IFERROR(INDEX(PP_Grid[#Data],$DD472,40),0)</f>
        <v/>
      </c>
      <c r="AQ472">
        <f>IFERROR(INDEX(PP_Grid[#Data],$DD472,41),0)</f>
        <v/>
      </c>
      <c r="AR472">
        <f>IFERROR(INDEX(PP_Grid[#Data],$DD472,42),0)</f>
        <v/>
      </c>
      <c r="AS472">
        <f>IFERROR(INDEX(PP_Grid[#Data],$DD472,43),0)</f>
        <v/>
      </c>
      <c r="AT472">
        <f>IFERROR(INDEX(PP_Grid[#Data],$DD472,44),0)</f>
        <v/>
      </c>
      <c r="AU472">
        <f>IFERROR(INDEX(PP_Grid[#Data],$DD472,45),0)</f>
        <v/>
      </c>
      <c r="AV472">
        <f>IFERROR(INDEX(PP_Grid[#Data],$DD472,46),0)</f>
        <v/>
      </c>
      <c r="AW472">
        <f>IFERROR(INDEX(PP_Grid[#Data],$DD472,47),0)</f>
        <v/>
      </c>
      <c r="AX472">
        <f>IFERROR(INDEX(PP_Grid[#Data],$DD472,48),0)</f>
        <v/>
      </c>
      <c r="AY472">
        <f>IFERROR(INDEX(PP_Grid[#Data],$DD472,49),0)</f>
        <v/>
      </c>
      <c r="AZ472">
        <f>IFERROR(INDEX(PP_Grid[#Data],$DD472,50),0)</f>
        <v/>
      </c>
      <c r="BA472">
        <f>IFERROR(INDEX(PP_Grid[#Data],$DD472,51),0)</f>
        <v/>
      </c>
      <c r="BB472">
        <f>IFERROR(INDEX(PP_Grid[#Data],$DD472,52),0)</f>
        <v/>
      </c>
      <c r="BC472">
        <f>IFERROR(INDEX(PP_Grid[#Data],$DD472,53),0)</f>
        <v/>
      </c>
      <c r="BD472">
        <f>IFERROR(INDEX(PP_Grid[#Data],$DD472,54),0)</f>
        <v/>
      </c>
      <c r="BE472">
        <f>IFERROR(INDEX(PP_Grid[#Data],$DD472,55),0)</f>
        <v/>
      </c>
      <c r="BF472">
        <f>IFERROR(INDEX(PP_Grid[#Data],$DD472,56),0)</f>
        <v/>
      </c>
      <c r="BG472">
        <f>IFERROR(INDEX(PP_Grid[#Data],$DD472,57),0)</f>
        <v/>
      </c>
      <c r="BH472">
        <f>IFERROR(INDEX(PP_Grid[#Data],$DD472,58),0)</f>
        <v/>
      </c>
      <c r="BI472">
        <f>IFERROR(INDEX(PP_Grid[#Data],$DD472,59),0)</f>
        <v/>
      </c>
      <c r="BJ472">
        <f>IFERROR(INDEX(PP_Grid[#Data],$DD472,60),0)</f>
        <v/>
      </c>
      <c r="BK472">
        <f>IFERROR(INDEX(PP_Grid[#Data],$DD472,61),0)</f>
        <v/>
      </c>
      <c r="BL472">
        <f>IFERROR(INDEX(PP_Grid[#Data],$DD472,62),0)</f>
        <v/>
      </c>
      <c r="BM472">
        <f>IFERROR(INDEX(PP_Grid[#Data],$DD472,63),0)</f>
        <v/>
      </c>
      <c r="BN472">
        <f>IFERROR(INDEX(PP_Grid[#Data],$DD472,64),0)</f>
        <v/>
      </c>
      <c r="BO472">
        <f>IFERROR(INDEX(PP_Grid[#Data],$DD472,65),0)</f>
        <v/>
      </c>
      <c r="BP472">
        <f>IFERROR(INDEX(PP_Grid[#Data],$DD472,66),0)</f>
        <v/>
      </c>
      <c r="BQ472">
        <f>IFERROR(INDEX(PP_Grid[#Data],$DD472,67),0)</f>
        <v/>
      </c>
      <c r="BR472">
        <f>IFERROR(INDEX(PP_Grid[#Data],$DD472,68),0)</f>
        <v/>
      </c>
      <c r="BS472">
        <f>IFERROR(INDEX(PP_Grid[#Data],$DD472,69),0)</f>
        <v/>
      </c>
      <c r="BT472">
        <f>IFERROR(INDEX(PP_Grid[#Data],$DD472,70),0)</f>
        <v/>
      </c>
      <c r="BU472">
        <f>IFERROR(INDEX(PP_Grid[#Data],$DD472,71),0)</f>
        <v/>
      </c>
      <c r="BV472">
        <f>IFERROR(INDEX(PP_Grid[#Data],$DD472,72),0)</f>
        <v/>
      </c>
      <c r="BW472">
        <f>IFERROR(INDEX(PP_Grid[#Data],$DD472,73),0)</f>
        <v/>
      </c>
      <c r="BX472">
        <f>IFERROR(INDEX(PP_Grid[#Data],$DD472,74),0)</f>
        <v/>
      </c>
      <c r="BY472">
        <f>IFERROR(INDEX(PP_Grid[#Data],$DD472,75),0)</f>
        <v/>
      </c>
      <c r="BZ472">
        <f>IFERROR(INDEX(PP_Grid[#Data],$DD472,76),0)</f>
        <v/>
      </c>
      <c r="CA472">
        <f>IFERROR(INDEX(PP_Grid[#Data],$DD472,77),0)</f>
        <v/>
      </c>
      <c r="CB472">
        <f>IFERROR(INDEX(PP_Grid[#Data],$DD472,78),0)</f>
        <v/>
      </c>
      <c r="CC472">
        <f>IFERROR(INDEX(PP_Grid[#Data],$DD472,79),0)</f>
        <v/>
      </c>
      <c r="CD472">
        <f>IFERROR(INDEX(PP_Grid[#Data],$DD472,80),0)</f>
        <v/>
      </c>
      <c r="CE472">
        <f>IFERROR(INDEX(PP_Grid[#Data],$DD472,81),0)</f>
        <v/>
      </c>
      <c r="CF472">
        <f>IFERROR(INDEX(PP_Grid[#Data],$DD472,82),0)</f>
        <v/>
      </c>
      <c r="CG472">
        <f>IFERROR(INDEX(PP_Grid[#Data],$DD472,83),0)</f>
        <v/>
      </c>
      <c r="CH472">
        <f>IFERROR(INDEX(PP_Grid[#Data],$DD472,84),0)</f>
        <v/>
      </c>
      <c r="CI472">
        <f>IFERROR(INDEX(PP_Grid[#Data],$DD472,85),0)</f>
        <v/>
      </c>
      <c r="CJ472">
        <f>IFERROR(INDEX(PP_Grid[#Data],$DD472,86),0)</f>
        <v/>
      </c>
      <c r="CK472">
        <f>IFERROR(INDEX(PP_Grid[#Data],$DD472,87),0)</f>
        <v/>
      </c>
      <c r="CL472">
        <f>IFERROR(INDEX(PP_Grid[#Data],$DD472,88),0)</f>
        <v/>
      </c>
      <c r="CM472">
        <f>IFERROR(INDEX(PP_Grid[#Data],$DD472,89),0)</f>
        <v/>
      </c>
      <c r="CN472">
        <f>IFERROR(INDEX(PP_Grid[#Data],$DD472,90),0)</f>
        <v/>
      </c>
      <c r="CO472">
        <f>IFERROR(INDEX(PP_Grid[#Data],$DD472,91),0)</f>
        <v/>
      </c>
      <c r="CP472">
        <f>IFERROR(INDEX(PP_Grid[#Data],$DD472,92),0)</f>
        <v/>
      </c>
      <c r="CQ472">
        <f>IFERROR(INDEX(PP_Grid[#Data],$DD472,93),0)</f>
        <v/>
      </c>
      <c r="CR472">
        <f>IFERROR(INDEX(PP_Grid[#Data],$DD472,94),0)</f>
        <v/>
      </c>
      <c r="CS472">
        <f>IFERROR(INDEX(PP_Grid[#Data],$DD472,95),0)</f>
        <v/>
      </c>
      <c r="CT472">
        <f>IFERROR(INDEX(PP_Grid[#Data],$DD472,96),0)</f>
        <v/>
      </c>
      <c r="CU472">
        <f>IFERROR(INDEX(PP_Grid[#Data],$DD472,97),0)</f>
        <v/>
      </c>
      <c r="CV472">
        <f>IFERROR(INDEX(PP_Grid[#Data],$DD472,98),0)</f>
        <v/>
      </c>
      <c r="CW472">
        <f>IFERROR(INDEX(PP_Grid[#Data],$DD472,99),0)</f>
        <v/>
      </c>
      <c r="CX472">
        <f>IFERROR(INDEX(PP_Grid[#Data],$DD472,100),0)</f>
        <v/>
      </c>
      <c r="CY472">
        <f>IFERROR(INDEX(PP_Grid[#Data],$DD472,101),0)</f>
        <v/>
      </c>
      <c r="CZ472">
        <f>IFERROR(INDEX(PP_Grid[#Data],$DD472,102),0)</f>
        <v/>
      </c>
      <c r="DA472">
        <f>IFERROR(INDEX(PP_Grid[#Data],$DD472,103),0)</f>
        <v/>
      </c>
      <c r="DB472">
        <f>IFERROR(INDEX(PP_Grid[#Data],$DD472,104),0)</f>
        <v/>
      </c>
      <c r="DC472">
        <f>IFERROR(INDEX(PP_Grid[#Data],$DD472,105),0)</f>
        <v/>
      </c>
      <c r="DD472" s="12">
        <f>IFERROR(MATCH($B472,PP_Grid[Intermediate],0),99999)</f>
        <v/>
      </c>
    </row>
    <row r="473">
      <c r="B473" t="inlineStr">
        <is>
          <t>使用量(kg)</t>
        </is>
      </c>
      <c r="C473">
        <f>SUMIFS(M_BOM[RM_Qty_Per_Batch],M_BOM[Intermediate],$B472,M_BOM[Part Name],$A439)</f>
        <v/>
      </c>
      <c r="D473">
        <f>$C473*D472</f>
        <v/>
      </c>
      <c r="E473">
        <f>$C473*E472</f>
        <v/>
      </c>
      <c r="F473">
        <f>$C473*F472</f>
        <v/>
      </c>
      <c r="G473">
        <f>$C473*G472</f>
        <v/>
      </c>
      <c r="H473">
        <f>$C473*H472</f>
        <v/>
      </c>
      <c r="I473">
        <f>$C473*I472</f>
        <v/>
      </c>
      <c r="J473">
        <f>$C473*J472</f>
        <v/>
      </c>
      <c r="K473">
        <f>$C473*K472</f>
        <v/>
      </c>
      <c r="L473">
        <f>$C473*L472</f>
        <v/>
      </c>
      <c r="M473">
        <f>$C473*M472</f>
        <v/>
      </c>
      <c r="N473">
        <f>$C473*N472</f>
        <v/>
      </c>
      <c r="O473">
        <f>$C473*O472</f>
        <v/>
      </c>
      <c r="P473">
        <f>$C473*P472</f>
        <v/>
      </c>
      <c r="Q473">
        <f>$C473*Q472</f>
        <v/>
      </c>
      <c r="R473">
        <f>$C473*R472</f>
        <v/>
      </c>
      <c r="S473">
        <f>$C473*S472</f>
        <v/>
      </c>
      <c r="T473">
        <f>$C473*T472</f>
        <v/>
      </c>
      <c r="U473">
        <f>$C473*U472</f>
        <v/>
      </c>
      <c r="V473">
        <f>$C473*V472</f>
        <v/>
      </c>
      <c r="W473">
        <f>$C473*W472</f>
        <v/>
      </c>
      <c r="X473">
        <f>$C473*X472</f>
        <v/>
      </c>
      <c r="Y473">
        <f>$C473*Y472</f>
        <v/>
      </c>
      <c r="Z473">
        <f>$C473*Z472</f>
        <v/>
      </c>
      <c r="AA473">
        <f>$C473*AA472</f>
        <v/>
      </c>
      <c r="AB473">
        <f>$C473*AB472</f>
        <v/>
      </c>
      <c r="AC473">
        <f>$C473*AC472</f>
        <v/>
      </c>
      <c r="AD473">
        <f>$C473*AD472</f>
        <v/>
      </c>
      <c r="AE473">
        <f>$C473*AE472</f>
        <v/>
      </c>
      <c r="AF473">
        <f>$C473*AF472</f>
        <v/>
      </c>
      <c r="AG473">
        <f>$C473*AG472</f>
        <v/>
      </c>
      <c r="AH473">
        <f>$C473*AH472</f>
        <v/>
      </c>
      <c r="AI473">
        <f>$C473*AI472</f>
        <v/>
      </c>
      <c r="AJ473">
        <f>$C473*AJ472</f>
        <v/>
      </c>
      <c r="AK473">
        <f>$C473*AK472</f>
        <v/>
      </c>
      <c r="AL473">
        <f>$C473*AL472</f>
        <v/>
      </c>
      <c r="AM473">
        <f>$C473*AM472</f>
        <v/>
      </c>
      <c r="AN473">
        <f>$C473*AN472</f>
        <v/>
      </c>
      <c r="AO473">
        <f>$C473*AO472</f>
        <v/>
      </c>
      <c r="AP473">
        <f>$C473*AP472</f>
        <v/>
      </c>
      <c r="AQ473">
        <f>$C473*AQ472</f>
        <v/>
      </c>
      <c r="AR473">
        <f>$C473*AR472</f>
        <v/>
      </c>
      <c r="AS473">
        <f>$C473*AS472</f>
        <v/>
      </c>
      <c r="AT473">
        <f>$C473*AT472</f>
        <v/>
      </c>
      <c r="AU473">
        <f>$C473*AU472</f>
        <v/>
      </c>
      <c r="AV473">
        <f>$C473*AV472</f>
        <v/>
      </c>
      <c r="AW473">
        <f>$C473*AW472</f>
        <v/>
      </c>
      <c r="AX473">
        <f>$C473*AX472</f>
        <v/>
      </c>
      <c r="AY473">
        <f>$C473*AY472</f>
        <v/>
      </c>
      <c r="AZ473">
        <f>$C473*AZ472</f>
        <v/>
      </c>
      <c r="BA473">
        <f>$C473*BA472</f>
        <v/>
      </c>
      <c r="BB473">
        <f>$C473*BB472</f>
        <v/>
      </c>
      <c r="BC473">
        <f>$C473*BC472</f>
        <v/>
      </c>
      <c r="BD473">
        <f>$C473*BD472</f>
        <v/>
      </c>
      <c r="BE473">
        <f>$C473*BE472</f>
        <v/>
      </c>
      <c r="BF473">
        <f>$C473*BF472</f>
        <v/>
      </c>
      <c r="BG473">
        <f>$C473*BG472</f>
        <v/>
      </c>
      <c r="BH473">
        <f>$C473*BH472</f>
        <v/>
      </c>
      <c r="BI473">
        <f>$C473*BI472</f>
        <v/>
      </c>
      <c r="BJ473">
        <f>$C473*BJ472</f>
        <v/>
      </c>
      <c r="BK473">
        <f>$C473*BK472</f>
        <v/>
      </c>
      <c r="BL473">
        <f>$C473*BL472</f>
        <v/>
      </c>
      <c r="BM473">
        <f>$C473*BM472</f>
        <v/>
      </c>
      <c r="BN473">
        <f>$C473*BN472</f>
        <v/>
      </c>
      <c r="BO473">
        <f>$C473*BO472</f>
        <v/>
      </c>
      <c r="BP473">
        <f>$C473*BP472</f>
        <v/>
      </c>
      <c r="BQ473">
        <f>$C473*BQ472</f>
        <v/>
      </c>
      <c r="BR473">
        <f>$C473*BR472</f>
        <v/>
      </c>
      <c r="BS473">
        <f>$C473*BS472</f>
        <v/>
      </c>
      <c r="BT473">
        <f>$C473*BT472</f>
        <v/>
      </c>
      <c r="BU473">
        <f>$C473*BU472</f>
        <v/>
      </c>
      <c r="BV473">
        <f>$C473*BV472</f>
        <v/>
      </c>
      <c r="BW473">
        <f>$C473*BW472</f>
        <v/>
      </c>
      <c r="BX473">
        <f>$C473*BX472</f>
        <v/>
      </c>
      <c r="BY473">
        <f>$C473*BY472</f>
        <v/>
      </c>
      <c r="BZ473">
        <f>$C473*BZ472</f>
        <v/>
      </c>
      <c r="CA473">
        <f>$C473*CA472</f>
        <v/>
      </c>
      <c r="CB473">
        <f>$C473*CB472</f>
        <v/>
      </c>
      <c r="CC473">
        <f>$C473*CC472</f>
        <v/>
      </c>
      <c r="CD473">
        <f>$C473*CD472</f>
        <v/>
      </c>
      <c r="CE473">
        <f>$C473*CE472</f>
        <v/>
      </c>
      <c r="CF473">
        <f>$C473*CF472</f>
        <v/>
      </c>
      <c r="CG473">
        <f>$C473*CG472</f>
        <v/>
      </c>
      <c r="CH473">
        <f>$C473*CH472</f>
        <v/>
      </c>
      <c r="CI473">
        <f>$C473*CI472</f>
        <v/>
      </c>
      <c r="CJ473">
        <f>$C473*CJ472</f>
        <v/>
      </c>
      <c r="CK473">
        <f>$C473*CK472</f>
        <v/>
      </c>
      <c r="CL473">
        <f>$C473*CL472</f>
        <v/>
      </c>
      <c r="CM473">
        <f>$C473*CM472</f>
        <v/>
      </c>
      <c r="CN473">
        <f>$C473*CN472</f>
        <v/>
      </c>
      <c r="CO473">
        <f>$C473*CO472</f>
        <v/>
      </c>
      <c r="CP473">
        <f>$C473*CP472</f>
        <v/>
      </c>
      <c r="CQ473">
        <f>$C473*CQ472</f>
        <v/>
      </c>
      <c r="CR473">
        <f>$C473*CR472</f>
        <v/>
      </c>
      <c r="CS473">
        <f>$C473*CS472</f>
        <v/>
      </c>
      <c r="CT473">
        <f>$C473*CT472</f>
        <v/>
      </c>
      <c r="CU473">
        <f>$C473*CU472</f>
        <v/>
      </c>
      <c r="CV473">
        <f>$C473*CV472</f>
        <v/>
      </c>
      <c r="CW473">
        <f>$C473*CW472</f>
        <v/>
      </c>
      <c r="CX473">
        <f>$C473*CX472</f>
        <v/>
      </c>
      <c r="CY473">
        <f>$C473*CY472</f>
        <v/>
      </c>
      <c r="CZ473">
        <f>$C473*CZ472</f>
        <v/>
      </c>
      <c r="DA473">
        <f>$C473*DA472</f>
        <v/>
      </c>
      <c r="DB473">
        <f>$C473*DB472</f>
        <v/>
      </c>
      <c r="DC473">
        <f>$C473*DC472</f>
        <v/>
      </c>
    </row>
    <row r="474">
      <c r="B474" t="inlineStr">
        <is>
          <t>TSP-1559</t>
        </is>
      </c>
      <c r="C474" t="inlineStr">
        <is>
          <t>No. of batches</t>
        </is>
      </c>
      <c r="D474">
        <f>IFERROR(INDEX(PP_Grid[#Data],$DD474,2),0)</f>
        <v/>
      </c>
      <c r="E474">
        <f>IFERROR(INDEX(PP_Grid[#Data],$DD474,3),0)</f>
        <v/>
      </c>
      <c r="F474">
        <f>IFERROR(INDEX(PP_Grid[#Data],$DD474,4),0)</f>
        <v/>
      </c>
      <c r="G474">
        <f>IFERROR(INDEX(PP_Grid[#Data],$DD474,5),0)</f>
        <v/>
      </c>
      <c r="H474">
        <f>IFERROR(INDEX(PP_Grid[#Data],$DD474,6),0)</f>
        <v/>
      </c>
      <c r="I474">
        <f>IFERROR(INDEX(PP_Grid[#Data],$DD474,7),0)</f>
        <v/>
      </c>
      <c r="J474">
        <f>IFERROR(INDEX(PP_Grid[#Data],$DD474,8),0)</f>
        <v/>
      </c>
      <c r="K474">
        <f>IFERROR(INDEX(PP_Grid[#Data],$DD474,9),0)</f>
        <v/>
      </c>
      <c r="L474">
        <f>IFERROR(INDEX(PP_Grid[#Data],$DD474,10),0)</f>
        <v/>
      </c>
      <c r="M474">
        <f>IFERROR(INDEX(PP_Grid[#Data],$DD474,11),0)</f>
        <v/>
      </c>
      <c r="N474">
        <f>IFERROR(INDEX(PP_Grid[#Data],$DD474,12),0)</f>
        <v/>
      </c>
      <c r="O474">
        <f>IFERROR(INDEX(PP_Grid[#Data],$DD474,13),0)</f>
        <v/>
      </c>
      <c r="P474">
        <f>IFERROR(INDEX(PP_Grid[#Data],$DD474,14),0)</f>
        <v/>
      </c>
      <c r="Q474">
        <f>IFERROR(INDEX(PP_Grid[#Data],$DD474,15),0)</f>
        <v/>
      </c>
      <c r="R474">
        <f>IFERROR(INDEX(PP_Grid[#Data],$DD474,16),0)</f>
        <v/>
      </c>
      <c r="S474">
        <f>IFERROR(INDEX(PP_Grid[#Data],$DD474,17),0)</f>
        <v/>
      </c>
      <c r="T474">
        <f>IFERROR(INDEX(PP_Grid[#Data],$DD474,18),0)</f>
        <v/>
      </c>
      <c r="U474">
        <f>IFERROR(INDEX(PP_Grid[#Data],$DD474,19),0)</f>
        <v/>
      </c>
      <c r="V474">
        <f>IFERROR(INDEX(PP_Grid[#Data],$DD474,20),0)</f>
        <v/>
      </c>
      <c r="W474">
        <f>IFERROR(INDEX(PP_Grid[#Data],$DD474,21),0)</f>
        <v/>
      </c>
      <c r="X474">
        <f>IFERROR(INDEX(PP_Grid[#Data],$DD474,22),0)</f>
        <v/>
      </c>
      <c r="Y474">
        <f>IFERROR(INDEX(PP_Grid[#Data],$DD474,23),0)</f>
        <v/>
      </c>
      <c r="Z474">
        <f>IFERROR(INDEX(PP_Grid[#Data],$DD474,24),0)</f>
        <v/>
      </c>
      <c r="AA474">
        <f>IFERROR(INDEX(PP_Grid[#Data],$DD474,25),0)</f>
        <v/>
      </c>
      <c r="AB474">
        <f>IFERROR(INDEX(PP_Grid[#Data],$DD474,26),0)</f>
        <v/>
      </c>
      <c r="AC474">
        <f>IFERROR(INDEX(PP_Grid[#Data],$DD474,27),0)</f>
        <v/>
      </c>
      <c r="AD474">
        <f>IFERROR(INDEX(PP_Grid[#Data],$DD474,28),0)</f>
        <v/>
      </c>
      <c r="AE474">
        <f>IFERROR(INDEX(PP_Grid[#Data],$DD474,29),0)</f>
        <v/>
      </c>
      <c r="AF474">
        <f>IFERROR(INDEX(PP_Grid[#Data],$DD474,30),0)</f>
        <v/>
      </c>
      <c r="AG474">
        <f>IFERROR(INDEX(PP_Grid[#Data],$DD474,31),0)</f>
        <v/>
      </c>
      <c r="AH474">
        <f>IFERROR(INDEX(PP_Grid[#Data],$DD474,32),0)</f>
        <v/>
      </c>
      <c r="AI474">
        <f>IFERROR(INDEX(PP_Grid[#Data],$DD474,33),0)</f>
        <v/>
      </c>
      <c r="AJ474">
        <f>IFERROR(INDEX(PP_Grid[#Data],$DD474,34),0)</f>
        <v/>
      </c>
      <c r="AK474">
        <f>IFERROR(INDEX(PP_Grid[#Data],$DD474,35),0)</f>
        <v/>
      </c>
      <c r="AL474">
        <f>IFERROR(INDEX(PP_Grid[#Data],$DD474,36),0)</f>
        <v/>
      </c>
      <c r="AM474">
        <f>IFERROR(INDEX(PP_Grid[#Data],$DD474,37),0)</f>
        <v/>
      </c>
      <c r="AN474">
        <f>IFERROR(INDEX(PP_Grid[#Data],$DD474,38),0)</f>
        <v/>
      </c>
      <c r="AO474">
        <f>IFERROR(INDEX(PP_Grid[#Data],$DD474,39),0)</f>
        <v/>
      </c>
      <c r="AP474">
        <f>IFERROR(INDEX(PP_Grid[#Data],$DD474,40),0)</f>
        <v/>
      </c>
      <c r="AQ474">
        <f>IFERROR(INDEX(PP_Grid[#Data],$DD474,41),0)</f>
        <v/>
      </c>
      <c r="AR474">
        <f>IFERROR(INDEX(PP_Grid[#Data],$DD474,42),0)</f>
        <v/>
      </c>
      <c r="AS474">
        <f>IFERROR(INDEX(PP_Grid[#Data],$DD474,43),0)</f>
        <v/>
      </c>
      <c r="AT474">
        <f>IFERROR(INDEX(PP_Grid[#Data],$DD474,44),0)</f>
        <v/>
      </c>
      <c r="AU474">
        <f>IFERROR(INDEX(PP_Grid[#Data],$DD474,45),0)</f>
        <v/>
      </c>
      <c r="AV474">
        <f>IFERROR(INDEX(PP_Grid[#Data],$DD474,46),0)</f>
        <v/>
      </c>
      <c r="AW474">
        <f>IFERROR(INDEX(PP_Grid[#Data],$DD474,47),0)</f>
        <v/>
      </c>
      <c r="AX474">
        <f>IFERROR(INDEX(PP_Grid[#Data],$DD474,48),0)</f>
        <v/>
      </c>
      <c r="AY474">
        <f>IFERROR(INDEX(PP_Grid[#Data],$DD474,49),0)</f>
        <v/>
      </c>
      <c r="AZ474">
        <f>IFERROR(INDEX(PP_Grid[#Data],$DD474,50),0)</f>
        <v/>
      </c>
      <c r="BA474">
        <f>IFERROR(INDEX(PP_Grid[#Data],$DD474,51),0)</f>
        <v/>
      </c>
      <c r="BB474">
        <f>IFERROR(INDEX(PP_Grid[#Data],$DD474,52),0)</f>
        <v/>
      </c>
      <c r="BC474">
        <f>IFERROR(INDEX(PP_Grid[#Data],$DD474,53),0)</f>
        <v/>
      </c>
      <c r="BD474">
        <f>IFERROR(INDEX(PP_Grid[#Data],$DD474,54),0)</f>
        <v/>
      </c>
      <c r="BE474">
        <f>IFERROR(INDEX(PP_Grid[#Data],$DD474,55),0)</f>
        <v/>
      </c>
      <c r="BF474">
        <f>IFERROR(INDEX(PP_Grid[#Data],$DD474,56),0)</f>
        <v/>
      </c>
      <c r="BG474">
        <f>IFERROR(INDEX(PP_Grid[#Data],$DD474,57),0)</f>
        <v/>
      </c>
      <c r="BH474">
        <f>IFERROR(INDEX(PP_Grid[#Data],$DD474,58),0)</f>
        <v/>
      </c>
      <c r="BI474">
        <f>IFERROR(INDEX(PP_Grid[#Data],$DD474,59),0)</f>
        <v/>
      </c>
      <c r="BJ474">
        <f>IFERROR(INDEX(PP_Grid[#Data],$DD474,60),0)</f>
        <v/>
      </c>
      <c r="BK474">
        <f>IFERROR(INDEX(PP_Grid[#Data],$DD474,61),0)</f>
        <v/>
      </c>
      <c r="BL474">
        <f>IFERROR(INDEX(PP_Grid[#Data],$DD474,62),0)</f>
        <v/>
      </c>
      <c r="BM474">
        <f>IFERROR(INDEX(PP_Grid[#Data],$DD474,63),0)</f>
        <v/>
      </c>
      <c r="BN474">
        <f>IFERROR(INDEX(PP_Grid[#Data],$DD474,64),0)</f>
        <v/>
      </c>
      <c r="BO474">
        <f>IFERROR(INDEX(PP_Grid[#Data],$DD474,65),0)</f>
        <v/>
      </c>
      <c r="BP474">
        <f>IFERROR(INDEX(PP_Grid[#Data],$DD474,66),0)</f>
        <v/>
      </c>
      <c r="BQ474">
        <f>IFERROR(INDEX(PP_Grid[#Data],$DD474,67),0)</f>
        <v/>
      </c>
      <c r="BR474">
        <f>IFERROR(INDEX(PP_Grid[#Data],$DD474,68),0)</f>
        <v/>
      </c>
      <c r="BS474">
        <f>IFERROR(INDEX(PP_Grid[#Data],$DD474,69),0)</f>
        <v/>
      </c>
      <c r="BT474">
        <f>IFERROR(INDEX(PP_Grid[#Data],$DD474,70),0)</f>
        <v/>
      </c>
      <c r="BU474">
        <f>IFERROR(INDEX(PP_Grid[#Data],$DD474,71),0)</f>
        <v/>
      </c>
      <c r="BV474">
        <f>IFERROR(INDEX(PP_Grid[#Data],$DD474,72),0)</f>
        <v/>
      </c>
      <c r="BW474">
        <f>IFERROR(INDEX(PP_Grid[#Data],$DD474,73),0)</f>
        <v/>
      </c>
      <c r="BX474">
        <f>IFERROR(INDEX(PP_Grid[#Data],$DD474,74),0)</f>
        <v/>
      </c>
      <c r="BY474">
        <f>IFERROR(INDEX(PP_Grid[#Data],$DD474,75),0)</f>
        <v/>
      </c>
      <c r="BZ474">
        <f>IFERROR(INDEX(PP_Grid[#Data],$DD474,76),0)</f>
        <v/>
      </c>
      <c r="CA474">
        <f>IFERROR(INDEX(PP_Grid[#Data],$DD474,77),0)</f>
        <v/>
      </c>
      <c r="CB474">
        <f>IFERROR(INDEX(PP_Grid[#Data],$DD474,78),0)</f>
        <v/>
      </c>
      <c r="CC474">
        <f>IFERROR(INDEX(PP_Grid[#Data],$DD474,79),0)</f>
        <v/>
      </c>
      <c r="CD474">
        <f>IFERROR(INDEX(PP_Grid[#Data],$DD474,80),0)</f>
        <v/>
      </c>
      <c r="CE474">
        <f>IFERROR(INDEX(PP_Grid[#Data],$DD474,81),0)</f>
        <v/>
      </c>
      <c r="CF474">
        <f>IFERROR(INDEX(PP_Grid[#Data],$DD474,82),0)</f>
        <v/>
      </c>
      <c r="CG474">
        <f>IFERROR(INDEX(PP_Grid[#Data],$DD474,83),0)</f>
        <v/>
      </c>
      <c r="CH474">
        <f>IFERROR(INDEX(PP_Grid[#Data],$DD474,84),0)</f>
        <v/>
      </c>
      <c r="CI474">
        <f>IFERROR(INDEX(PP_Grid[#Data],$DD474,85),0)</f>
        <v/>
      </c>
      <c r="CJ474">
        <f>IFERROR(INDEX(PP_Grid[#Data],$DD474,86),0)</f>
        <v/>
      </c>
      <c r="CK474">
        <f>IFERROR(INDEX(PP_Grid[#Data],$DD474,87),0)</f>
        <v/>
      </c>
      <c r="CL474">
        <f>IFERROR(INDEX(PP_Grid[#Data],$DD474,88),0)</f>
        <v/>
      </c>
      <c r="CM474">
        <f>IFERROR(INDEX(PP_Grid[#Data],$DD474,89),0)</f>
        <v/>
      </c>
      <c r="CN474">
        <f>IFERROR(INDEX(PP_Grid[#Data],$DD474,90),0)</f>
        <v/>
      </c>
      <c r="CO474">
        <f>IFERROR(INDEX(PP_Grid[#Data],$DD474,91),0)</f>
        <v/>
      </c>
      <c r="CP474">
        <f>IFERROR(INDEX(PP_Grid[#Data],$DD474,92),0)</f>
        <v/>
      </c>
      <c r="CQ474">
        <f>IFERROR(INDEX(PP_Grid[#Data],$DD474,93),0)</f>
        <v/>
      </c>
      <c r="CR474">
        <f>IFERROR(INDEX(PP_Grid[#Data],$DD474,94),0)</f>
        <v/>
      </c>
      <c r="CS474">
        <f>IFERROR(INDEX(PP_Grid[#Data],$DD474,95),0)</f>
        <v/>
      </c>
      <c r="CT474">
        <f>IFERROR(INDEX(PP_Grid[#Data],$DD474,96),0)</f>
        <v/>
      </c>
      <c r="CU474">
        <f>IFERROR(INDEX(PP_Grid[#Data],$DD474,97),0)</f>
        <v/>
      </c>
      <c r="CV474">
        <f>IFERROR(INDEX(PP_Grid[#Data],$DD474,98),0)</f>
        <v/>
      </c>
      <c r="CW474">
        <f>IFERROR(INDEX(PP_Grid[#Data],$DD474,99),0)</f>
        <v/>
      </c>
      <c r="CX474">
        <f>IFERROR(INDEX(PP_Grid[#Data],$DD474,100),0)</f>
        <v/>
      </c>
      <c r="CY474">
        <f>IFERROR(INDEX(PP_Grid[#Data],$DD474,101),0)</f>
        <v/>
      </c>
      <c r="CZ474">
        <f>IFERROR(INDEX(PP_Grid[#Data],$DD474,102),0)</f>
        <v/>
      </c>
      <c r="DA474">
        <f>IFERROR(INDEX(PP_Grid[#Data],$DD474,103),0)</f>
        <v/>
      </c>
      <c r="DB474">
        <f>IFERROR(INDEX(PP_Grid[#Data],$DD474,104),0)</f>
        <v/>
      </c>
      <c r="DC474">
        <f>IFERROR(INDEX(PP_Grid[#Data],$DD474,105),0)</f>
        <v/>
      </c>
      <c r="DD474" s="12">
        <f>IFERROR(MATCH($B474,PP_Grid[Intermediate],0),99999)</f>
        <v/>
      </c>
    </row>
    <row r="475">
      <c r="B475" t="inlineStr">
        <is>
          <t>使用量(kg)</t>
        </is>
      </c>
      <c r="C475">
        <f>SUMIFS(M_BOM[RM_Qty_Per_Batch],M_BOM[Intermediate],$B474,M_BOM[Part Name],$A439)</f>
        <v/>
      </c>
      <c r="D475">
        <f>$C475*D474</f>
        <v/>
      </c>
      <c r="E475">
        <f>$C475*E474</f>
        <v/>
      </c>
      <c r="F475">
        <f>$C475*F474</f>
        <v/>
      </c>
      <c r="G475">
        <f>$C475*G474</f>
        <v/>
      </c>
      <c r="H475">
        <f>$C475*H474</f>
        <v/>
      </c>
      <c r="I475">
        <f>$C475*I474</f>
        <v/>
      </c>
      <c r="J475">
        <f>$C475*J474</f>
        <v/>
      </c>
      <c r="K475">
        <f>$C475*K474</f>
        <v/>
      </c>
      <c r="L475">
        <f>$C475*L474</f>
        <v/>
      </c>
      <c r="M475">
        <f>$C475*M474</f>
        <v/>
      </c>
      <c r="N475">
        <f>$C475*N474</f>
        <v/>
      </c>
      <c r="O475">
        <f>$C475*O474</f>
        <v/>
      </c>
      <c r="P475">
        <f>$C475*P474</f>
        <v/>
      </c>
      <c r="Q475">
        <f>$C475*Q474</f>
        <v/>
      </c>
      <c r="R475">
        <f>$C475*R474</f>
        <v/>
      </c>
      <c r="S475">
        <f>$C475*S474</f>
        <v/>
      </c>
      <c r="T475">
        <f>$C475*T474</f>
        <v/>
      </c>
      <c r="U475">
        <f>$C475*U474</f>
        <v/>
      </c>
      <c r="V475">
        <f>$C475*V474</f>
        <v/>
      </c>
      <c r="W475">
        <f>$C475*W474</f>
        <v/>
      </c>
      <c r="X475">
        <f>$C475*X474</f>
        <v/>
      </c>
      <c r="Y475">
        <f>$C475*Y474</f>
        <v/>
      </c>
      <c r="Z475">
        <f>$C475*Z474</f>
        <v/>
      </c>
      <c r="AA475">
        <f>$C475*AA474</f>
        <v/>
      </c>
      <c r="AB475">
        <f>$C475*AB474</f>
        <v/>
      </c>
      <c r="AC475">
        <f>$C475*AC474</f>
        <v/>
      </c>
      <c r="AD475">
        <f>$C475*AD474</f>
        <v/>
      </c>
      <c r="AE475">
        <f>$C475*AE474</f>
        <v/>
      </c>
      <c r="AF475">
        <f>$C475*AF474</f>
        <v/>
      </c>
      <c r="AG475">
        <f>$C475*AG474</f>
        <v/>
      </c>
      <c r="AH475">
        <f>$C475*AH474</f>
        <v/>
      </c>
      <c r="AI475">
        <f>$C475*AI474</f>
        <v/>
      </c>
      <c r="AJ475">
        <f>$C475*AJ474</f>
        <v/>
      </c>
      <c r="AK475">
        <f>$C475*AK474</f>
        <v/>
      </c>
      <c r="AL475">
        <f>$C475*AL474</f>
        <v/>
      </c>
      <c r="AM475">
        <f>$C475*AM474</f>
        <v/>
      </c>
      <c r="AN475">
        <f>$C475*AN474</f>
        <v/>
      </c>
      <c r="AO475">
        <f>$C475*AO474</f>
        <v/>
      </c>
      <c r="AP475">
        <f>$C475*AP474</f>
        <v/>
      </c>
      <c r="AQ475">
        <f>$C475*AQ474</f>
        <v/>
      </c>
      <c r="AR475">
        <f>$C475*AR474</f>
        <v/>
      </c>
      <c r="AS475">
        <f>$C475*AS474</f>
        <v/>
      </c>
      <c r="AT475">
        <f>$C475*AT474</f>
        <v/>
      </c>
      <c r="AU475">
        <f>$C475*AU474</f>
        <v/>
      </c>
      <c r="AV475">
        <f>$C475*AV474</f>
        <v/>
      </c>
      <c r="AW475">
        <f>$C475*AW474</f>
        <v/>
      </c>
      <c r="AX475">
        <f>$C475*AX474</f>
        <v/>
      </c>
      <c r="AY475">
        <f>$C475*AY474</f>
        <v/>
      </c>
      <c r="AZ475">
        <f>$C475*AZ474</f>
        <v/>
      </c>
      <c r="BA475">
        <f>$C475*BA474</f>
        <v/>
      </c>
      <c r="BB475">
        <f>$C475*BB474</f>
        <v/>
      </c>
      <c r="BC475">
        <f>$C475*BC474</f>
        <v/>
      </c>
      <c r="BD475">
        <f>$C475*BD474</f>
        <v/>
      </c>
      <c r="BE475">
        <f>$C475*BE474</f>
        <v/>
      </c>
      <c r="BF475">
        <f>$C475*BF474</f>
        <v/>
      </c>
      <c r="BG475">
        <f>$C475*BG474</f>
        <v/>
      </c>
      <c r="BH475">
        <f>$C475*BH474</f>
        <v/>
      </c>
      <c r="BI475">
        <f>$C475*BI474</f>
        <v/>
      </c>
      <c r="BJ475">
        <f>$C475*BJ474</f>
        <v/>
      </c>
      <c r="BK475">
        <f>$C475*BK474</f>
        <v/>
      </c>
      <c r="BL475">
        <f>$C475*BL474</f>
        <v/>
      </c>
      <c r="BM475">
        <f>$C475*BM474</f>
        <v/>
      </c>
      <c r="BN475">
        <f>$C475*BN474</f>
        <v/>
      </c>
      <c r="BO475">
        <f>$C475*BO474</f>
        <v/>
      </c>
      <c r="BP475">
        <f>$C475*BP474</f>
        <v/>
      </c>
      <c r="BQ475">
        <f>$C475*BQ474</f>
        <v/>
      </c>
      <c r="BR475">
        <f>$C475*BR474</f>
        <v/>
      </c>
      <c r="BS475">
        <f>$C475*BS474</f>
        <v/>
      </c>
      <c r="BT475">
        <f>$C475*BT474</f>
        <v/>
      </c>
      <c r="BU475">
        <f>$C475*BU474</f>
        <v/>
      </c>
      <c r="BV475">
        <f>$C475*BV474</f>
        <v/>
      </c>
      <c r="BW475">
        <f>$C475*BW474</f>
        <v/>
      </c>
      <c r="BX475">
        <f>$C475*BX474</f>
        <v/>
      </c>
      <c r="BY475">
        <f>$C475*BY474</f>
        <v/>
      </c>
      <c r="BZ475">
        <f>$C475*BZ474</f>
        <v/>
      </c>
      <c r="CA475">
        <f>$C475*CA474</f>
        <v/>
      </c>
      <c r="CB475">
        <f>$C475*CB474</f>
        <v/>
      </c>
      <c r="CC475">
        <f>$C475*CC474</f>
        <v/>
      </c>
      <c r="CD475">
        <f>$C475*CD474</f>
        <v/>
      </c>
      <c r="CE475">
        <f>$C475*CE474</f>
        <v/>
      </c>
      <c r="CF475">
        <f>$C475*CF474</f>
        <v/>
      </c>
      <c r="CG475">
        <f>$C475*CG474</f>
        <v/>
      </c>
      <c r="CH475">
        <f>$C475*CH474</f>
        <v/>
      </c>
      <c r="CI475">
        <f>$C475*CI474</f>
        <v/>
      </c>
      <c r="CJ475">
        <f>$C475*CJ474</f>
        <v/>
      </c>
      <c r="CK475">
        <f>$C475*CK474</f>
        <v/>
      </c>
      <c r="CL475">
        <f>$C475*CL474</f>
        <v/>
      </c>
      <c r="CM475">
        <f>$C475*CM474</f>
        <v/>
      </c>
      <c r="CN475">
        <f>$C475*CN474</f>
        <v/>
      </c>
      <c r="CO475">
        <f>$C475*CO474</f>
        <v/>
      </c>
      <c r="CP475">
        <f>$C475*CP474</f>
        <v/>
      </c>
      <c r="CQ475">
        <f>$C475*CQ474</f>
        <v/>
      </c>
      <c r="CR475">
        <f>$C475*CR474</f>
        <v/>
      </c>
      <c r="CS475">
        <f>$C475*CS474</f>
        <v/>
      </c>
      <c r="CT475">
        <f>$C475*CT474</f>
        <v/>
      </c>
      <c r="CU475">
        <f>$C475*CU474</f>
        <v/>
      </c>
      <c r="CV475">
        <f>$C475*CV474</f>
        <v/>
      </c>
      <c r="CW475">
        <f>$C475*CW474</f>
        <v/>
      </c>
      <c r="CX475">
        <f>$C475*CX474</f>
        <v/>
      </c>
      <c r="CY475">
        <f>$C475*CY474</f>
        <v/>
      </c>
      <c r="CZ475">
        <f>$C475*CZ474</f>
        <v/>
      </c>
      <c r="DA475">
        <f>$C475*DA474</f>
        <v/>
      </c>
      <c r="DB475">
        <f>$C475*DB474</f>
        <v/>
      </c>
      <c r="DC475">
        <f>$C475*DC474</f>
        <v/>
      </c>
    </row>
    <row r="476">
      <c r="B476" t="inlineStr">
        <is>
          <t>TSP-199</t>
        </is>
      </c>
      <c r="C476" t="inlineStr">
        <is>
          <t>No. of batches</t>
        </is>
      </c>
      <c r="D476">
        <f>IFERROR(INDEX(PP_Grid[#Data],$DD476,2),0)</f>
        <v/>
      </c>
      <c r="E476">
        <f>IFERROR(INDEX(PP_Grid[#Data],$DD476,3),0)</f>
        <v/>
      </c>
      <c r="F476">
        <f>IFERROR(INDEX(PP_Grid[#Data],$DD476,4),0)</f>
        <v/>
      </c>
      <c r="G476">
        <f>IFERROR(INDEX(PP_Grid[#Data],$DD476,5),0)</f>
        <v/>
      </c>
      <c r="H476">
        <f>IFERROR(INDEX(PP_Grid[#Data],$DD476,6),0)</f>
        <v/>
      </c>
      <c r="I476">
        <f>IFERROR(INDEX(PP_Grid[#Data],$DD476,7),0)</f>
        <v/>
      </c>
      <c r="J476">
        <f>IFERROR(INDEX(PP_Grid[#Data],$DD476,8),0)</f>
        <v/>
      </c>
      <c r="K476">
        <f>IFERROR(INDEX(PP_Grid[#Data],$DD476,9),0)</f>
        <v/>
      </c>
      <c r="L476">
        <f>IFERROR(INDEX(PP_Grid[#Data],$DD476,10),0)</f>
        <v/>
      </c>
      <c r="M476">
        <f>IFERROR(INDEX(PP_Grid[#Data],$DD476,11),0)</f>
        <v/>
      </c>
      <c r="N476">
        <f>IFERROR(INDEX(PP_Grid[#Data],$DD476,12),0)</f>
        <v/>
      </c>
      <c r="O476">
        <f>IFERROR(INDEX(PP_Grid[#Data],$DD476,13),0)</f>
        <v/>
      </c>
      <c r="P476">
        <f>IFERROR(INDEX(PP_Grid[#Data],$DD476,14),0)</f>
        <v/>
      </c>
      <c r="Q476">
        <f>IFERROR(INDEX(PP_Grid[#Data],$DD476,15),0)</f>
        <v/>
      </c>
      <c r="R476">
        <f>IFERROR(INDEX(PP_Grid[#Data],$DD476,16),0)</f>
        <v/>
      </c>
      <c r="S476">
        <f>IFERROR(INDEX(PP_Grid[#Data],$DD476,17),0)</f>
        <v/>
      </c>
      <c r="T476">
        <f>IFERROR(INDEX(PP_Grid[#Data],$DD476,18),0)</f>
        <v/>
      </c>
      <c r="U476">
        <f>IFERROR(INDEX(PP_Grid[#Data],$DD476,19),0)</f>
        <v/>
      </c>
      <c r="V476">
        <f>IFERROR(INDEX(PP_Grid[#Data],$DD476,20),0)</f>
        <v/>
      </c>
      <c r="W476">
        <f>IFERROR(INDEX(PP_Grid[#Data],$DD476,21),0)</f>
        <v/>
      </c>
      <c r="X476">
        <f>IFERROR(INDEX(PP_Grid[#Data],$DD476,22),0)</f>
        <v/>
      </c>
      <c r="Y476">
        <f>IFERROR(INDEX(PP_Grid[#Data],$DD476,23),0)</f>
        <v/>
      </c>
      <c r="Z476">
        <f>IFERROR(INDEX(PP_Grid[#Data],$DD476,24),0)</f>
        <v/>
      </c>
      <c r="AA476">
        <f>IFERROR(INDEX(PP_Grid[#Data],$DD476,25),0)</f>
        <v/>
      </c>
      <c r="AB476">
        <f>IFERROR(INDEX(PP_Grid[#Data],$DD476,26),0)</f>
        <v/>
      </c>
      <c r="AC476">
        <f>IFERROR(INDEX(PP_Grid[#Data],$DD476,27),0)</f>
        <v/>
      </c>
      <c r="AD476">
        <f>IFERROR(INDEX(PP_Grid[#Data],$DD476,28),0)</f>
        <v/>
      </c>
      <c r="AE476">
        <f>IFERROR(INDEX(PP_Grid[#Data],$DD476,29),0)</f>
        <v/>
      </c>
      <c r="AF476">
        <f>IFERROR(INDEX(PP_Grid[#Data],$DD476,30),0)</f>
        <v/>
      </c>
      <c r="AG476">
        <f>IFERROR(INDEX(PP_Grid[#Data],$DD476,31),0)</f>
        <v/>
      </c>
      <c r="AH476">
        <f>IFERROR(INDEX(PP_Grid[#Data],$DD476,32),0)</f>
        <v/>
      </c>
      <c r="AI476">
        <f>IFERROR(INDEX(PP_Grid[#Data],$DD476,33),0)</f>
        <v/>
      </c>
      <c r="AJ476">
        <f>IFERROR(INDEX(PP_Grid[#Data],$DD476,34),0)</f>
        <v/>
      </c>
      <c r="AK476">
        <f>IFERROR(INDEX(PP_Grid[#Data],$DD476,35),0)</f>
        <v/>
      </c>
      <c r="AL476">
        <f>IFERROR(INDEX(PP_Grid[#Data],$DD476,36),0)</f>
        <v/>
      </c>
      <c r="AM476">
        <f>IFERROR(INDEX(PP_Grid[#Data],$DD476,37),0)</f>
        <v/>
      </c>
      <c r="AN476">
        <f>IFERROR(INDEX(PP_Grid[#Data],$DD476,38),0)</f>
        <v/>
      </c>
      <c r="AO476">
        <f>IFERROR(INDEX(PP_Grid[#Data],$DD476,39),0)</f>
        <v/>
      </c>
      <c r="AP476">
        <f>IFERROR(INDEX(PP_Grid[#Data],$DD476,40),0)</f>
        <v/>
      </c>
      <c r="AQ476">
        <f>IFERROR(INDEX(PP_Grid[#Data],$DD476,41),0)</f>
        <v/>
      </c>
      <c r="AR476">
        <f>IFERROR(INDEX(PP_Grid[#Data],$DD476,42),0)</f>
        <v/>
      </c>
      <c r="AS476">
        <f>IFERROR(INDEX(PP_Grid[#Data],$DD476,43),0)</f>
        <v/>
      </c>
      <c r="AT476">
        <f>IFERROR(INDEX(PP_Grid[#Data],$DD476,44),0)</f>
        <v/>
      </c>
      <c r="AU476">
        <f>IFERROR(INDEX(PP_Grid[#Data],$DD476,45),0)</f>
        <v/>
      </c>
      <c r="AV476">
        <f>IFERROR(INDEX(PP_Grid[#Data],$DD476,46),0)</f>
        <v/>
      </c>
      <c r="AW476">
        <f>IFERROR(INDEX(PP_Grid[#Data],$DD476,47),0)</f>
        <v/>
      </c>
      <c r="AX476">
        <f>IFERROR(INDEX(PP_Grid[#Data],$DD476,48),0)</f>
        <v/>
      </c>
      <c r="AY476">
        <f>IFERROR(INDEX(PP_Grid[#Data],$DD476,49),0)</f>
        <v/>
      </c>
      <c r="AZ476">
        <f>IFERROR(INDEX(PP_Grid[#Data],$DD476,50),0)</f>
        <v/>
      </c>
      <c r="BA476">
        <f>IFERROR(INDEX(PP_Grid[#Data],$DD476,51),0)</f>
        <v/>
      </c>
      <c r="BB476">
        <f>IFERROR(INDEX(PP_Grid[#Data],$DD476,52),0)</f>
        <v/>
      </c>
      <c r="BC476">
        <f>IFERROR(INDEX(PP_Grid[#Data],$DD476,53),0)</f>
        <v/>
      </c>
      <c r="BD476">
        <f>IFERROR(INDEX(PP_Grid[#Data],$DD476,54),0)</f>
        <v/>
      </c>
      <c r="BE476">
        <f>IFERROR(INDEX(PP_Grid[#Data],$DD476,55),0)</f>
        <v/>
      </c>
      <c r="BF476">
        <f>IFERROR(INDEX(PP_Grid[#Data],$DD476,56),0)</f>
        <v/>
      </c>
      <c r="BG476">
        <f>IFERROR(INDEX(PP_Grid[#Data],$DD476,57),0)</f>
        <v/>
      </c>
      <c r="BH476">
        <f>IFERROR(INDEX(PP_Grid[#Data],$DD476,58),0)</f>
        <v/>
      </c>
      <c r="BI476">
        <f>IFERROR(INDEX(PP_Grid[#Data],$DD476,59),0)</f>
        <v/>
      </c>
      <c r="BJ476">
        <f>IFERROR(INDEX(PP_Grid[#Data],$DD476,60),0)</f>
        <v/>
      </c>
      <c r="BK476">
        <f>IFERROR(INDEX(PP_Grid[#Data],$DD476,61),0)</f>
        <v/>
      </c>
      <c r="BL476">
        <f>IFERROR(INDEX(PP_Grid[#Data],$DD476,62),0)</f>
        <v/>
      </c>
      <c r="BM476">
        <f>IFERROR(INDEX(PP_Grid[#Data],$DD476,63),0)</f>
        <v/>
      </c>
      <c r="BN476">
        <f>IFERROR(INDEX(PP_Grid[#Data],$DD476,64),0)</f>
        <v/>
      </c>
      <c r="BO476">
        <f>IFERROR(INDEX(PP_Grid[#Data],$DD476,65),0)</f>
        <v/>
      </c>
      <c r="BP476">
        <f>IFERROR(INDEX(PP_Grid[#Data],$DD476,66),0)</f>
        <v/>
      </c>
      <c r="BQ476">
        <f>IFERROR(INDEX(PP_Grid[#Data],$DD476,67),0)</f>
        <v/>
      </c>
      <c r="BR476">
        <f>IFERROR(INDEX(PP_Grid[#Data],$DD476,68),0)</f>
        <v/>
      </c>
      <c r="BS476">
        <f>IFERROR(INDEX(PP_Grid[#Data],$DD476,69),0)</f>
        <v/>
      </c>
      <c r="BT476">
        <f>IFERROR(INDEX(PP_Grid[#Data],$DD476,70),0)</f>
        <v/>
      </c>
      <c r="BU476">
        <f>IFERROR(INDEX(PP_Grid[#Data],$DD476,71),0)</f>
        <v/>
      </c>
      <c r="BV476">
        <f>IFERROR(INDEX(PP_Grid[#Data],$DD476,72),0)</f>
        <v/>
      </c>
      <c r="BW476">
        <f>IFERROR(INDEX(PP_Grid[#Data],$DD476,73),0)</f>
        <v/>
      </c>
      <c r="BX476">
        <f>IFERROR(INDEX(PP_Grid[#Data],$DD476,74),0)</f>
        <v/>
      </c>
      <c r="BY476">
        <f>IFERROR(INDEX(PP_Grid[#Data],$DD476,75),0)</f>
        <v/>
      </c>
      <c r="BZ476">
        <f>IFERROR(INDEX(PP_Grid[#Data],$DD476,76),0)</f>
        <v/>
      </c>
      <c r="CA476">
        <f>IFERROR(INDEX(PP_Grid[#Data],$DD476,77),0)</f>
        <v/>
      </c>
      <c r="CB476">
        <f>IFERROR(INDEX(PP_Grid[#Data],$DD476,78),0)</f>
        <v/>
      </c>
      <c r="CC476">
        <f>IFERROR(INDEX(PP_Grid[#Data],$DD476,79),0)</f>
        <v/>
      </c>
      <c r="CD476">
        <f>IFERROR(INDEX(PP_Grid[#Data],$DD476,80),0)</f>
        <v/>
      </c>
      <c r="CE476">
        <f>IFERROR(INDEX(PP_Grid[#Data],$DD476,81),0)</f>
        <v/>
      </c>
      <c r="CF476">
        <f>IFERROR(INDEX(PP_Grid[#Data],$DD476,82),0)</f>
        <v/>
      </c>
      <c r="CG476">
        <f>IFERROR(INDEX(PP_Grid[#Data],$DD476,83),0)</f>
        <v/>
      </c>
      <c r="CH476">
        <f>IFERROR(INDEX(PP_Grid[#Data],$DD476,84),0)</f>
        <v/>
      </c>
      <c r="CI476">
        <f>IFERROR(INDEX(PP_Grid[#Data],$DD476,85),0)</f>
        <v/>
      </c>
      <c r="CJ476">
        <f>IFERROR(INDEX(PP_Grid[#Data],$DD476,86),0)</f>
        <v/>
      </c>
      <c r="CK476">
        <f>IFERROR(INDEX(PP_Grid[#Data],$DD476,87),0)</f>
        <v/>
      </c>
      <c r="CL476">
        <f>IFERROR(INDEX(PP_Grid[#Data],$DD476,88),0)</f>
        <v/>
      </c>
      <c r="CM476">
        <f>IFERROR(INDEX(PP_Grid[#Data],$DD476,89),0)</f>
        <v/>
      </c>
      <c r="CN476">
        <f>IFERROR(INDEX(PP_Grid[#Data],$DD476,90),0)</f>
        <v/>
      </c>
      <c r="CO476">
        <f>IFERROR(INDEX(PP_Grid[#Data],$DD476,91),0)</f>
        <v/>
      </c>
      <c r="CP476">
        <f>IFERROR(INDEX(PP_Grid[#Data],$DD476,92),0)</f>
        <v/>
      </c>
      <c r="CQ476">
        <f>IFERROR(INDEX(PP_Grid[#Data],$DD476,93),0)</f>
        <v/>
      </c>
      <c r="CR476">
        <f>IFERROR(INDEX(PP_Grid[#Data],$DD476,94),0)</f>
        <v/>
      </c>
      <c r="CS476">
        <f>IFERROR(INDEX(PP_Grid[#Data],$DD476,95),0)</f>
        <v/>
      </c>
      <c r="CT476">
        <f>IFERROR(INDEX(PP_Grid[#Data],$DD476,96),0)</f>
        <v/>
      </c>
      <c r="CU476">
        <f>IFERROR(INDEX(PP_Grid[#Data],$DD476,97),0)</f>
        <v/>
      </c>
      <c r="CV476">
        <f>IFERROR(INDEX(PP_Grid[#Data],$DD476,98),0)</f>
        <v/>
      </c>
      <c r="CW476">
        <f>IFERROR(INDEX(PP_Grid[#Data],$DD476,99),0)</f>
        <v/>
      </c>
      <c r="CX476">
        <f>IFERROR(INDEX(PP_Grid[#Data],$DD476,100),0)</f>
        <v/>
      </c>
      <c r="CY476">
        <f>IFERROR(INDEX(PP_Grid[#Data],$DD476,101),0)</f>
        <v/>
      </c>
      <c r="CZ476">
        <f>IFERROR(INDEX(PP_Grid[#Data],$DD476,102),0)</f>
        <v/>
      </c>
      <c r="DA476">
        <f>IFERROR(INDEX(PP_Grid[#Data],$DD476,103),0)</f>
        <v/>
      </c>
      <c r="DB476">
        <f>IFERROR(INDEX(PP_Grid[#Data],$DD476,104),0)</f>
        <v/>
      </c>
      <c r="DC476">
        <f>IFERROR(INDEX(PP_Grid[#Data],$DD476,105),0)</f>
        <v/>
      </c>
      <c r="DD476" s="12">
        <f>IFERROR(MATCH($B476,PP_Grid[Intermediate],0),99999)</f>
        <v/>
      </c>
    </row>
    <row r="477">
      <c r="B477" t="inlineStr">
        <is>
          <t>使用量(kg)</t>
        </is>
      </c>
      <c r="C477">
        <f>SUMIFS(M_BOM[RM_Qty_Per_Batch],M_BOM[Intermediate],$B476,M_BOM[Part Name],$A439)</f>
        <v/>
      </c>
      <c r="D477">
        <f>$C477*D476</f>
        <v/>
      </c>
      <c r="E477">
        <f>$C477*E476</f>
        <v/>
      </c>
      <c r="F477">
        <f>$C477*F476</f>
        <v/>
      </c>
      <c r="G477">
        <f>$C477*G476</f>
        <v/>
      </c>
      <c r="H477">
        <f>$C477*H476</f>
        <v/>
      </c>
      <c r="I477">
        <f>$C477*I476</f>
        <v/>
      </c>
      <c r="J477">
        <f>$C477*J476</f>
        <v/>
      </c>
      <c r="K477">
        <f>$C477*K476</f>
        <v/>
      </c>
      <c r="L477">
        <f>$C477*L476</f>
        <v/>
      </c>
      <c r="M477">
        <f>$C477*M476</f>
        <v/>
      </c>
      <c r="N477">
        <f>$C477*N476</f>
        <v/>
      </c>
      <c r="O477">
        <f>$C477*O476</f>
        <v/>
      </c>
      <c r="P477">
        <f>$C477*P476</f>
        <v/>
      </c>
      <c r="Q477">
        <f>$C477*Q476</f>
        <v/>
      </c>
      <c r="R477">
        <f>$C477*R476</f>
        <v/>
      </c>
      <c r="S477">
        <f>$C477*S476</f>
        <v/>
      </c>
      <c r="T477">
        <f>$C477*T476</f>
        <v/>
      </c>
      <c r="U477">
        <f>$C477*U476</f>
        <v/>
      </c>
      <c r="V477">
        <f>$C477*V476</f>
        <v/>
      </c>
      <c r="W477">
        <f>$C477*W476</f>
        <v/>
      </c>
      <c r="X477">
        <f>$C477*X476</f>
        <v/>
      </c>
      <c r="Y477">
        <f>$C477*Y476</f>
        <v/>
      </c>
      <c r="Z477">
        <f>$C477*Z476</f>
        <v/>
      </c>
      <c r="AA477">
        <f>$C477*AA476</f>
        <v/>
      </c>
      <c r="AB477">
        <f>$C477*AB476</f>
        <v/>
      </c>
      <c r="AC477">
        <f>$C477*AC476</f>
        <v/>
      </c>
      <c r="AD477">
        <f>$C477*AD476</f>
        <v/>
      </c>
      <c r="AE477">
        <f>$C477*AE476</f>
        <v/>
      </c>
      <c r="AF477">
        <f>$C477*AF476</f>
        <v/>
      </c>
      <c r="AG477">
        <f>$C477*AG476</f>
        <v/>
      </c>
      <c r="AH477">
        <f>$C477*AH476</f>
        <v/>
      </c>
      <c r="AI477">
        <f>$C477*AI476</f>
        <v/>
      </c>
      <c r="AJ477">
        <f>$C477*AJ476</f>
        <v/>
      </c>
      <c r="AK477">
        <f>$C477*AK476</f>
        <v/>
      </c>
      <c r="AL477">
        <f>$C477*AL476</f>
        <v/>
      </c>
      <c r="AM477">
        <f>$C477*AM476</f>
        <v/>
      </c>
      <c r="AN477">
        <f>$C477*AN476</f>
        <v/>
      </c>
      <c r="AO477">
        <f>$C477*AO476</f>
        <v/>
      </c>
      <c r="AP477">
        <f>$C477*AP476</f>
        <v/>
      </c>
      <c r="AQ477">
        <f>$C477*AQ476</f>
        <v/>
      </c>
      <c r="AR477">
        <f>$C477*AR476</f>
        <v/>
      </c>
      <c r="AS477">
        <f>$C477*AS476</f>
        <v/>
      </c>
      <c r="AT477">
        <f>$C477*AT476</f>
        <v/>
      </c>
      <c r="AU477">
        <f>$C477*AU476</f>
        <v/>
      </c>
      <c r="AV477">
        <f>$C477*AV476</f>
        <v/>
      </c>
      <c r="AW477">
        <f>$C477*AW476</f>
        <v/>
      </c>
      <c r="AX477">
        <f>$C477*AX476</f>
        <v/>
      </c>
      <c r="AY477">
        <f>$C477*AY476</f>
        <v/>
      </c>
      <c r="AZ477">
        <f>$C477*AZ476</f>
        <v/>
      </c>
      <c r="BA477">
        <f>$C477*BA476</f>
        <v/>
      </c>
      <c r="BB477">
        <f>$C477*BB476</f>
        <v/>
      </c>
      <c r="BC477">
        <f>$C477*BC476</f>
        <v/>
      </c>
      <c r="BD477">
        <f>$C477*BD476</f>
        <v/>
      </c>
      <c r="BE477">
        <f>$C477*BE476</f>
        <v/>
      </c>
      <c r="BF477">
        <f>$C477*BF476</f>
        <v/>
      </c>
      <c r="BG477">
        <f>$C477*BG476</f>
        <v/>
      </c>
      <c r="BH477">
        <f>$C477*BH476</f>
        <v/>
      </c>
      <c r="BI477">
        <f>$C477*BI476</f>
        <v/>
      </c>
      <c r="BJ477">
        <f>$C477*BJ476</f>
        <v/>
      </c>
      <c r="BK477">
        <f>$C477*BK476</f>
        <v/>
      </c>
      <c r="BL477">
        <f>$C477*BL476</f>
        <v/>
      </c>
      <c r="BM477">
        <f>$C477*BM476</f>
        <v/>
      </c>
      <c r="BN477">
        <f>$C477*BN476</f>
        <v/>
      </c>
      <c r="BO477">
        <f>$C477*BO476</f>
        <v/>
      </c>
      <c r="BP477">
        <f>$C477*BP476</f>
        <v/>
      </c>
      <c r="BQ477">
        <f>$C477*BQ476</f>
        <v/>
      </c>
      <c r="BR477">
        <f>$C477*BR476</f>
        <v/>
      </c>
      <c r="BS477">
        <f>$C477*BS476</f>
        <v/>
      </c>
      <c r="BT477">
        <f>$C477*BT476</f>
        <v/>
      </c>
      <c r="BU477">
        <f>$C477*BU476</f>
        <v/>
      </c>
      <c r="BV477">
        <f>$C477*BV476</f>
        <v/>
      </c>
      <c r="BW477">
        <f>$C477*BW476</f>
        <v/>
      </c>
      <c r="BX477">
        <f>$C477*BX476</f>
        <v/>
      </c>
      <c r="BY477">
        <f>$C477*BY476</f>
        <v/>
      </c>
      <c r="BZ477">
        <f>$C477*BZ476</f>
        <v/>
      </c>
      <c r="CA477">
        <f>$C477*CA476</f>
        <v/>
      </c>
      <c r="CB477">
        <f>$C477*CB476</f>
        <v/>
      </c>
      <c r="CC477">
        <f>$C477*CC476</f>
        <v/>
      </c>
      <c r="CD477">
        <f>$C477*CD476</f>
        <v/>
      </c>
      <c r="CE477">
        <f>$C477*CE476</f>
        <v/>
      </c>
      <c r="CF477">
        <f>$C477*CF476</f>
        <v/>
      </c>
      <c r="CG477">
        <f>$C477*CG476</f>
        <v/>
      </c>
      <c r="CH477">
        <f>$C477*CH476</f>
        <v/>
      </c>
      <c r="CI477">
        <f>$C477*CI476</f>
        <v/>
      </c>
      <c r="CJ477">
        <f>$C477*CJ476</f>
        <v/>
      </c>
      <c r="CK477">
        <f>$C477*CK476</f>
        <v/>
      </c>
      <c r="CL477">
        <f>$C477*CL476</f>
        <v/>
      </c>
      <c r="CM477">
        <f>$C477*CM476</f>
        <v/>
      </c>
      <c r="CN477">
        <f>$C477*CN476</f>
        <v/>
      </c>
      <c r="CO477">
        <f>$C477*CO476</f>
        <v/>
      </c>
      <c r="CP477">
        <f>$C477*CP476</f>
        <v/>
      </c>
      <c r="CQ477">
        <f>$C477*CQ476</f>
        <v/>
      </c>
      <c r="CR477">
        <f>$C477*CR476</f>
        <v/>
      </c>
      <c r="CS477">
        <f>$C477*CS476</f>
        <v/>
      </c>
      <c r="CT477">
        <f>$C477*CT476</f>
        <v/>
      </c>
      <c r="CU477">
        <f>$C477*CU476</f>
        <v/>
      </c>
      <c r="CV477">
        <f>$C477*CV476</f>
        <v/>
      </c>
      <c r="CW477">
        <f>$C477*CW476</f>
        <v/>
      </c>
      <c r="CX477">
        <f>$C477*CX476</f>
        <v/>
      </c>
      <c r="CY477">
        <f>$C477*CY476</f>
        <v/>
      </c>
      <c r="CZ477">
        <f>$C477*CZ476</f>
        <v/>
      </c>
      <c r="DA477">
        <f>$C477*DA476</f>
        <v/>
      </c>
      <c r="DB477">
        <f>$C477*DB476</f>
        <v/>
      </c>
      <c r="DC477">
        <f>$C477*DC476</f>
        <v/>
      </c>
    </row>
    <row r="478">
      <c r="B478" t="inlineStr">
        <is>
          <t>TSP-205</t>
        </is>
      </c>
      <c r="C478" t="inlineStr">
        <is>
          <t>No. of batches</t>
        </is>
      </c>
      <c r="D478">
        <f>IFERROR(INDEX(PP_Grid[#Data],$DD478,2),0)</f>
        <v/>
      </c>
      <c r="E478">
        <f>IFERROR(INDEX(PP_Grid[#Data],$DD478,3),0)</f>
        <v/>
      </c>
      <c r="F478">
        <f>IFERROR(INDEX(PP_Grid[#Data],$DD478,4),0)</f>
        <v/>
      </c>
      <c r="G478">
        <f>IFERROR(INDEX(PP_Grid[#Data],$DD478,5),0)</f>
        <v/>
      </c>
      <c r="H478">
        <f>IFERROR(INDEX(PP_Grid[#Data],$DD478,6),0)</f>
        <v/>
      </c>
      <c r="I478">
        <f>IFERROR(INDEX(PP_Grid[#Data],$DD478,7),0)</f>
        <v/>
      </c>
      <c r="J478">
        <f>IFERROR(INDEX(PP_Grid[#Data],$DD478,8),0)</f>
        <v/>
      </c>
      <c r="K478">
        <f>IFERROR(INDEX(PP_Grid[#Data],$DD478,9),0)</f>
        <v/>
      </c>
      <c r="L478">
        <f>IFERROR(INDEX(PP_Grid[#Data],$DD478,10),0)</f>
        <v/>
      </c>
      <c r="M478">
        <f>IFERROR(INDEX(PP_Grid[#Data],$DD478,11),0)</f>
        <v/>
      </c>
      <c r="N478">
        <f>IFERROR(INDEX(PP_Grid[#Data],$DD478,12),0)</f>
        <v/>
      </c>
      <c r="O478">
        <f>IFERROR(INDEX(PP_Grid[#Data],$DD478,13),0)</f>
        <v/>
      </c>
      <c r="P478">
        <f>IFERROR(INDEX(PP_Grid[#Data],$DD478,14),0)</f>
        <v/>
      </c>
      <c r="Q478">
        <f>IFERROR(INDEX(PP_Grid[#Data],$DD478,15),0)</f>
        <v/>
      </c>
      <c r="R478">
        <f>IFERROR(INDEX(PP_Grid[#Data],$DD478,16),0)</f>
        <v/>
      </c>
      <c r="S478">
        <f>IFERROR(INDEX(PP_Grid[#Data],$DD478,17),0)</f>
        <v/>
      </c>
      <c r="T478">
        <f>IFERROR(INDEX(PP_Grid[#Data],$DD478,18),0)</f>
        <v/>
      </c>
      <c r="U478">
        <f>IFERROR(INDEX(PP_Grid[#Data],$DD478,19),0)</f>
        <v/>
      </c>
      <c r="V478">
        <f>IFERROR(INDEX(PP_Grid[#Data],$DD478,20),0)</f>
        <v/>
      </c>
      <c r="W478">
        <f>IFERROR(INDEX(PP_Grid[#Data],$DD478,21),0)</f>
        <v/>
      </c>
      <c r="X478">
        <f>IFERROR(INDEX(PP_Grid[#Data],$DD478,22),0)</f>
        <v/>
      </c>
      <c r="Y478">
        <f>IFERROR(INDEX(PP_Grid[#Data],$DD478,23),0)</f>
        <v/>
      </c>
      <c r="Z478">
        <f>IFERROR(INDEX(PP_Grid[#Data],$DD478,24),0)</f>
        <v/>
      </c>
      <c r="AA478">
        <f>IFERROR(INDEX(PP_Grid[#Data],$DD478,25),0)</f>
        <v/>
      </c>
      <c r="AB478">
        <f>IFERROR(INDEX(PP_Grid[#Data],$DD478,26),0)</f>
        <v/>
      </c>
      <c r="AC478">
        <f>IFERROR(INDEX(PP_Grid[#Data],$DD478,27),0)</f>
        <v/>
      </c>
      <c r="AD478">
        <f>IFERROR(INDEX(PP_Grid[#Data],$DD478,28),0)</f>
        <v/>
      </c>
      <c r="AE478">
        <f>IFERROR(INDEX(PP_Grid[#Data],$DD478,29),0)</f>
        <v/>
      </c>
      <c r="AF478">
        <f>IFERROR(INDEX(PP_Grid[#Data],$DD478,30),0)</f>
        <v/>
      </c>
      <c r="AG478">
        <f>IFERROR(INDEX(PP_Grid[#Data],$DD478,31),0)</f>
        <v/>
      </c>
      <c r="AH478">
        <f>IFERROR(INDEX(PP_Grid[#Data],$DD478,32),0)</f>
        <v/>
      </c>
      <c r="AI478">
        <f>IFERROR(INDEX(PP_Grid[#Data],$DD478,33),0)</f>
        <v/>
      </c>
      <c r="AJ478">
        <f>IFERROR(INDEX(PP_Grid[#Data],$DD478,34),0)</f>
        <v/>
      </c>
      <c r="AK478">
        <f>IFERROR(INDEX(PP_Grid[#Data],$DD478,35),0)</f>
        <v/>
      </c>
      <c r="AL478">
        <f>IFERROR(INDEX(PP_Grid[#Data],$DD478,36),0)</f>
        <v/>
      </c>
      <c r="AM478">
        <f>IFERROR(INDEX(PP_Grid[#Data],$DD478,37),0)</f>
        <v/>
      </c>
      <c r="AN478">
        <f>IFERROR(INDEX(PP_Grid[#Data],$DD478,38),0)</f>
        <v/>
      </c>
      <c r="AO478">
        <f>IFERROR(INDEX(PP_Grid[#Data],$DD478,39),0)</f>
        <v/>
      </c>
      <c r="AP478">
        <f>IFERROR(INDEX(PP_Grid[#Data],$DD478,40),0)</f>
        <v/>
      </c>
      <c r="AQ478">
        <f>IFERROR(INDEX(PP_Grid[#Data],$DD478,41),0)</f>
        <v/>
      </c>
      <c r="AR478">
        <f>IFERROR(INDEX(PP_Grid[#Data],$DD478,42),0)</f>
        <v/>
      </c>
      <c r="AS478">
        <f>IFERROR(INDEX(PP_Grid[#Data],$DD478,43),0)</f>
        <v/>
      </c>
      <c r="AT478">
        <f>IFERROR(INDEX(PP_Grid[#Data],$DD478,44),0)</f>
        <v/>
      </c>
      <c r="AU478">
        <f>IFERROR(INDEX(PP_Grid[#Data],$DD478,45),0)</f>
        <v/>
      </c>
      <c r="AV478">
        <f>IFERROR(INDEX(PP_Grid[#Data],$DD478,46),0)</f>
        <v/>
      </c>
      <c r="AW478">
        <f>IFERROR(INDEX(PP_Grid[#Data],$DD478,47),0)</f>
        <v/>
      </c>
      <c r="AX478">
        <f>IFERROR(INDEX(PP_Grid[#Data],$DD478,48),0)</f>
        <v/>
      </c>
      <c r="AY478">
        <f>IFERROR(INDEX(PP_Grid[#Data],$DD478,49),0)</f>
        <v/>
      </c>
      <c r="AZ478">
        <f>IFERROR(INDEX(PP_Grid[#Data],$DD478,50),0)</f>
        <v/>
      </c>
      <c r="BA478">
        <f>IFERROR(INDEX(PP_Grid[#Data],$DD478,51),0)</f>
        <v/>
      </c>
      <c r="BB478">
        <f>IFERROR(INDEX(PP_Grid[#Data],$DD478,52),0)</f>
        <v/>
      </c>
      <c r="BC478">
        <f>IFERROR(INDEX(PP_Grid[#Data],$DD478,53),0)</f>
        <v/>
      </c>
      <c r="BD478">
        <f>IFERROR(INDEX(PP_Grid[#Data],$DD478,54),0)</f>
        <v/>
      </c>
      <c r="BE478">
        <f>IFERROR(INDEX(PP_Grid[#Data],$DD478,55),0)</f>
        <v/>
      </c>
      <c r="BF478">
        <f>IFERROR(INDEX(PP_Grid[#Data],$DD478,56),0)</f>
        <v/>
      </c>
      <c r="BG478">
        <f>IFERROR(INDEX(PP_Grid[#Data],$DD478,57),0)</f>
        <v/>
      </c>
      <c r="BH478">
        <f>IFERROR(INDEX(PP_Grid[#Data],$DD478,58),0)</f>
        <v/>
      </c>
      <c r="BI478">
        <f>IFERROR(INDEX(PP_Grid[#Data],$DD478,59),0)</f>
        <v/>
      </c>
      <c r="BJ478">
        <f>IFERROR(INDEX(PP_Grid[#Data],$DD478,60),0)</f>
        <v/>
      </c>
      <c r="BK478">
        <f>IFERROR(INDEX(PP_Grid[#Data],$DD478,61),0)</f>
        <v/>
      </c>
      <c r="BL478">
        <f>IFERROR(INDEX(PP_Grid[#Data],$DD478,62),0)</f>
        <v/>
      </c>
      <c r="BM478">
        <f>IFERROR(INDEX(PP_Grid[#Data],$DD478,63),0)</f>
        <v/>
      </c>
      <c r="BN478">
        <f>IFERROR(INDEX(PP_Grid[#Data],$DD478,64),0)</f>
        <v/>
      </c>
      <c r="BO478">
        <f>IFERROR(INDEX(PP_Grid[#Data],$DD478,65),0)</f>
        <v/>
      </c>
      <c r="BP478">
        <f>IFERROR(INDEX(PP_Grid[#Data],$DD478,66),0)</f>
        <v/>
      </c>
      <c r="BQ478">
        <f>IFERROR(INDEX(PP_Grid[#Data],$DD478,67),0)</f>
        <v/>
      </c>
      <c r="BR478">
        <f>IFERROR(INDEX(PP_Grid[#Data],$DD478,68),0)</f>
        <v/>
      </c>
      <c r="BS478">
        <f>IFERROR(INDEX(PP_Grid[#Data],$DD478,69),0)</f>
        <v/>
      </c>
      <c r="BT478">
        <f>IFERROR(INDEX(PP_Grid[#Data],$DD478,70),0)</f>
        <v/>
      </c>
      <c r="BU478">
        <f>IFERROR(INDEX(PP_Grid[#Data],$DD478,71),0)</f>
        <v/>
      </c>
      <c r="BV478">
        <f>IFERROR(INDEX(PP_Grid[#Data],$DD478,72),0)</f>
        <v/>
      </c>
      <c r="BW478">
        <f>IFERROR(INDEX(PP_Grid[#Data],$DD478,73),0)</f>
        <v/>
      </c>
      <c r="BX478">
        <f>IFERROR(INDEX(PP_Grid[#Data],$DD478,74),0)</f>
        <v/>
      </c>
      <c r="BY478">
        <f>IFERROR(INDEX(PP_Grid[#Data],$DD478,75),0)</f>
        <v/>
      </c>
      <c r="BZ478">
        <f>IFERROR(INDEX(PP_Grid[#Data],$DD478,76),0)</f>
        <v/>
      </c>
      <c r="CA478">
        <f>IFERROR(INDEX(PP_Grid[#Data],$DD478,77),0)</f>
        <v/>
      </c>
      <c r="CB478">
        <f>IFERROR(INDEX(PP_Grid[#Data],$DD478,78),0)</f>
        <v/>
      </c>
      <c r="CC478">
        <f>IFERROR(INDEX(PP_Grid[#Data],$DD478,79),0)</f>
        <v/>
      </c>
      <c r="CD478">
        <f>IFERROR(INDEX(PP_Grid[#Data],$DD478,80),0)</f>
        <v/>
      </c>
      <c r="CE478">
        <f>IFERROR(INDEX(PP_Grid[#Data],$DD478,81),0)</f>
        <v/>
      </c>
      <c r="CF478">
        <f>IFERROR(INDEX(PP_Grid[#Data],$DD478,82),0)</f>
        <v/>
      </c>
      <c r="CG478">
        <f>IFERROR(INDEX(PP_Grid[#Data],$DD478,83),0)</f>
        <v/>
      </c>
      <c r="CH478">
        <f>IFERROR(INDEX(PP_Grid[#Data],$DD478,84),0)</f>
        <v/>
      </c>
      <c r="CI478">
        <f>IFERROR(INDEX(PP_Grid[#Data],$DD478,85),0)</f>
        <v/>
      </c>
      <c r="CJ478">
        <f>IFERROR(INDEX(PP_Grid[#Data],$DD478,86),0)</f>
        <v/>
      </c>
      <c r="CK478">
        <f>IFERROR(INDEX(PP_Grid[#Data],$DD478,87),0)</f>
        <v/>
      </c>
      <c r="CL478">
        <f>IFERROR(INDEX(PP_Grid[#Data],$DD478,88),0)</f>
        <v/>
      </c>
      <c r="CM478">
        <f>IFERROR(INDEX(PP_Grid[#Data],$DD478,89),0)</f>
        <v/>
      </c>
      <c r="CN478">
        <f>IFERROR(INDEX(PP_Grid[#Data],$DD478,90),0)</f>
        <v/>
      </c>
      <c r="CO478">
        <f>IFERROR(INDEX(PP_Grid[#Data],$DD478,91),0)</f>
        <v/>
      </c>
      <c r="CP478">
        <f>IFERROR(INDEX(PP_Grid[#Data],$DD478,92),0)</f>
        <v/>
      </c>
      <c r="CQ478">
        <f>IFERROR(INDEX(PP_Grid[#Data],$DD478,93),0)</f>
        <v/>
      </c>
      <c r="CR478">
        <f>IFERROR(INDEX(PP_Grid[#Data],$DD478,94),0)</f>
        <v/>
      </c>
      <c r="CS478">
        <f>IFERROR(INDEX(PP_Grid[#Data],$DD478,95),0)</f>
        <v/>
      </c>
      <c r="CT478">
        <f>IFERROR(INDEX(PP_Grid[#Data],$DD478,96),0)</f>
        <v/>
      </c>
      <c r="CU478">
        <f>IFERROR(INDEX(PP_Grid[#Data],$DD478,97),0)</f>
        <v/>
      </c>
      <c r="CV478">
        <f>IFERROR(INDEX(PP_Grid[#Data],$DD478,98),0)</f>
        <v/>
      </c>
      <c r="CW478">
        <f>IFERROR(INDEX(PP_Grid[#Data],$DD478,99),0)</f>
        <v/>
      </c>
      <c r="CX478">
        <f>IFERROR(INDEX(PP_Grid[#Data],$DD478,100),0)</f>
        <v/>
      </c>
      <c r="CY478">
        <f>IFERROR(INDEX(PP_Grid[#Data],$DD478,101),0)</f>
        <v/>
      </c>
      <c r="CZ478">
        <f>IFERROR(INDEX(PP_Grid[#Data],$DD478,102),0)</f>
        <v/>
      </c>
      <c r="DA478">
        <f>IFERROR(INDEX(PP_Grid[#Data],$DD478,103),0)</f>
        <v/>
      </c>
      <c r="DB478">
        <f>IFERROR(INDEX(PP_Grid[#Data],$DD478,104),0)</f>
        <v/>
      </c>
      <c r="DC478">
        <f>IFERROR(INDEX(PP_Grid[#Data],$DD478,105),0)</f>
        <v/>
      </c>
      <c r="DD478" s="12">
        <f>IFERROR(MATCH($B478,PP_Grid[Intermediate],0),99999)</f>
        <v/>
      </c>
    </row>
    <row r="479">
      <c r="B479" t="inlineStr">
        <is>
          <t>使用量(kg)</t>
        </is>
      </c>
      <c r="C479">
        <f>SUMIFS(M_BOM[RM_Qty_Per_Batch],M_BOM[Intermediate],$B478,M_BOM[Part Name],$A439)</f>
        <v/>
      </c>
      <c r="D479">
        <f>$C479*D478</f>
        <v/>
      </c>
      <c r="E479">
        <f>$C479*E478</f>
        <v/>
      </c>
      <c r="F479">
        <f>$C479*F478</f>
        <v/>
      </c>
      <c r="G479">
        <f>$C479*G478</f>
        <v/>
      </c>
      <c r="H479">
        <f>$C479*H478</f>
        <v/>
      </c>
      <c r="I479">
        <f>$C479*I478</f>
        <v/>
      </c>
      <c r="J479">
        <f>$C479*J478</f>
        <v/>
      </c>
      <c r="K479">
        <f>$C479*K478</f>
        <v/>
      </c>
      <c r="L479">
        <f>$C479*L478</f>
        <v/>
      </c>
      <c r="M479">
        <f>$C479*M478</f>
        <v/>
      </c>
      <c r="N479">
        <f>$C479*N478</f>
        <v/>
      </c>
      <c r="O479">
        <f>$C479*O478</f>
        <v/>
      </c>
      <c r="P479">
        <f>$C479*P478</f>
        <v/>
      </c>
      <c r="Q479">
        <f>$C479*Q478</f>
        <v/>
      </c>
      <c r="R479">
        <f>$C479*R478</f>
        <v/>
      </c>
      <c r="S479">
        <f>$C479*S478</f>
        <v/>
      </c>
      <c r="T479">
        <f>$C479*T478</f>
        <v/>
      </c>
      <c r="U479">
        <f>$C479*U478</f>
        <v/>
      </c>
      <c r="V479">
        <f>$C479*V478</f>
        <v/>
      </c>
      <c r="W479">
        <f>$C479*W478</f>
        <v/>
      </c>
      <c r="X479">
        <f>$C479*X478</f>
        <v/>
      </c>
      <c r="Y479">
        <f>$C479*Y478</f>
        <v/>
      </c>
      <c r="Z479">
        <f>$C479*Z478</f>
        <v/>
      </c>
      <c r="AA479">
        <f>$C479*AA478</f>
        <v/>
      </c>
      <c r="AB479">
        <f>$C479*AB478</f>
        <v/>
      </c>
      <c r="AC479">
        <f>$C479*AC478</f>
        <v/>
      </c>
      <c r="AD479">
        <f>$C479*AD478</f>
        <v/>
      </c>
      <c r="AE479">
        <f>$C479*AE478</f>
        <v/>
      </c>
      <c r="AF479">
        <f>$C479*AF478</f>
        <v/>
      </c>
      <c r="AG479">
        <f>$C479*AG478</f>
        <v/>
      </c>
      <c r="AH479">
        <f>$C479*AH478</f>
        <v/>
      </c>
      <c r="AI479">
        <f>$C479*AI478</f>
        <v/>
      </c>
      <c r="AJ479">
        <f>$C479*AJ478</f>
        <v/>
      </c>
      <c r="AK479">
        <f>$C479*AK478</f>
        <v/>
      </c>
      <c r="AL479">
        <f>$C479*AL478</f>
        <v/>
      </c>
      <c r="AM479">
        <f>$C479*AM478</f>
        <v/>
      </c>
      <c r="AN479">
        <f>$C479*AN478</f>
        <v/>
      </c>
      <c r="AO479">
        <f>$C479*AO478</f>
        <v/>
      </c>
      <c r="AP479">
        <f>$C479*AP478</f>
        <v/>
      </c>
      <c r="AQ479">
        <f>$C479*AQ478</f>
        <v/>
      </c>
      <c r="AR479">
        <f>$C479*AR478</f>
        <v/>
      </c>
      <c r="AS479">
        <f>$C479*AS478</f>
        <v/>
      </c>
      <c r="AT479">
        <f>$C479*AT478</f>
        <v/>
      </c>
      <c r="AU479">
        <f>$C479*AU478</f>
        <v/>
      </c>
      <c r="AV479">
        <f>$C479*AV478</f>
        <v/>
      </c>
      <c r="AW479">
        <f>$C479*AW478</f>
        <v/>
      </c>
      <c r="AX479">
        <f>$C479*AX478</f>
        <v/>
      </c>
      <c r="AY479">
        <f>$C479*AY478</f>
        <v/>
      </c>
      <c r="AZ479">
        <f>$C479*AZ478</f>
        <v/>
      </c>
      <c r="BA479">
        <f>$C479*BA478</f>
        <v/>
      </c>
      <c r="BB479">
        <f>$C479*BB478</f>
        <v/>
      </c>
      <c r="BC479">
        <f>$C479*BC478</f>
        <v/>
      </c>
      <c r="BD479">
        <f>$C479*BD478</f>
        <v/>
      </c>
      <c r="BE479">
        <f>$C479*BE478</f>
        <v/>
      </c>
      <c r="BF479">
        <f>$C479*BF478</f>
        <v/>
      </c>
      <c r="BG479">
        <f>$C479*BG478</f>
        <v/>
      </c>
      <c r="BH479">
        <f>$C479*BH478</f>
        <v/>
      </c>
      <c r="BI479">
        <f>$C479*BI478</f>
        <v/>
      </c>
      <c r="BJ479">
        <f>$C479*BJ478</f>
        <v/>
      </c>
      <c r="BK479">
        <f>$C479*BK478</f>
        <v/>
      </c>
      <c r="BL479">
        <f>$C479*BL478</f>
        <v/>
      </c>
      <c r="BM479">
        <f>$C479*BM478</f>
        <v/>
      </c>
      <c r="BN479">
        <f>$C479*BN478</f>
        <v/>
      </c>
      <c r="BO479">
        <f>$C479*BO478</f>
        <v/>
      </c>
      <c r="BP479">
        <f>$C479*BP478</f>
        <v/>
      </c>
      <c r="BQ479">
        <f>$C479*BQ478</f>
        <v/>
      </c>
      <c r="BR479">
        <f>$C479*BR478</f>
        <v/>
      </c>
      <c r="BS479">
        <f>$C479*BS478</f>
        <v/>
      </c>
      <c r="BT479">
        <f>$C479*BT478</f>
        <v/>
      </c>
      <c r="BU479">
        <f>$C479*BU478</f>
        <v/>
      </c>
      <c r="BV479">
        <f>$C479*BV478</f>
        <v/>
      </c>
      <c r="BW479">
        <f>$C479*BW478</f>
        <v/>
      </c>
      <c r="BX479">
        <f>$C479*BX478</f>
        <v/>
      </c>
      <c r="BY479">
        <f>$C479*BY478</f>
        <v/>
      </c>
      <c r="BZ479">
        <f>$C479*BZ478</f>
        <v/>
      </c>
      <c r="CA479">
        <f>$C479*CA478</f>
        <v/>
      </c>
      <c r="CB479">
        <f>$C479*CB478</f>
        <v/>
      </c>
      <c r="CC479">
        <f>$C479*CC478</f>
        <v/>
      </c>
      <c r="CD479">
        <f>$C479*CD478</f>
        <v/>
      </c>
      <c r="CE479">
        <f>$C479*CE478</f>
        <v/>
      </c>
      <c r="CF479">
        <f>$C479*CF478</f>
        <v/>
      </c>
      <c r="CG479">
        <f>$C479*CG478</f>
        <v/>
      </c>
      <c r="CH479">
        <f>$C479*CH478</f>
        <v/>
      </c>
      <c r="CI479">
        <f>$C479*CI478</f>
        <v/>
      </c>
      <c r="CJ479">
        <f>$C479*CJ478</f>
        <v/>
      </c>
      <c r="CK479">
        <f>$C479*CK478</f>
        <v/>
      </c>
      <c r="CL479">
        <f>$C479*CL478</f>
        <v/>
      </c>
      <c r="CM479">
        <f>$C479*CM478</f>
        <v/>
      </c>
      <c r="CN479">
        <f>$C479*CN478</f>
        <v/>
      </c>
      <c r="CO479">
        <f>$C479*CO478</f>
        <v/>
      </c>
      <c r="CP479">
        <f>$C479*CP478</f>
        <v/>
      </c>
      <c r="CQ479">
        <f>$C479*CQ478</f>
        <v/>
      </c>
      <c r="CR479">
        <f>$C479*CR478</f>
        <v/>
      </c>
      <c r="CS479">
        <f>$C479*CS478</f>
        <v/>
      </c>
      <c r="CT479">
        <f>$C479*CT478</f>
        <v/>
      </c>
      <c r="CU479">
        <f>$C479*CU478</f>
        <v/>
      </c>
      <c r="CV479">
        <f>$C479*CV478</f>
        <v/>
      </c>
      <c r="CW479">
        <f>$C479*CW478</f>
        <v/>
      </c>
      <c r="CX479">
        <f>$C479*CX478</f>
        <v/>
      </c>
      <c r="CY479">
        <f>$C479*CY478</f>
        <v/>
      </c>
      <c r="CZ479">
        <f>$C479*CZ478</f>
        <v/>
      </c>
      <c r="DA479">
        <f>$C479*DA478</f>
        <v/>
      </c>
      <c r="DB479">
        <f>$C479*DB478</f>
        <v/>
      </c>
      <c r="DC479">
        <f>$C479*DC478</f>
        <v/>
      </c>
    </row>
    <row r="480">
      <c r="B480" t="inlineStr">
        <is>
          <t>TSP-206</t>
        </is>
      </c>
      <c r="C480" t="inlineStr">
        <is>
          <t>No. of batches</t>
        </is>
      </c>
      <c r="D480">
        <f>IFERROR(INDEX(PP_Grid[#Data],$DD480,2),0)</f>
        <v/>
      </c>
      <c r="E480">
        <f>IFERROR(INDEX(PP_Grid[#Data],$DD480,3),0)</f>
        <v/>
      </c>
      <c r="F480">
        <f>IFERROR(INDEX(PP_Grid[#Data],$DD480,4),0)</f>
        <v/>
      </c>
      <c r="G480">
        <f>IFERROR(INDEX(PP_Grid[#Data],$DD480,5),0)</f>
        <v/>
      </c>
      <c r="H480">
        <f>IFERROR(INDEX(PP_Grid[#Data],$DD480,6),0)</f>
        <v/>
      </c>
      <c r="I480">
        <f>IFERROR(INDEX(PP_Grid[#Data],$DD480,7),0)</f>
        <v/>
      </c>
      <c r="J480">
        <f>IFERROR(INDEX(PP_Grid[#Data],$DD480,8),0)</f>
        <v/>
      </c>
      <c r="K480">
        <f>IFERROR(INDEX(PP_Grid[#Data],$DD480,9),0)</f>
        <v/>
      </c>
      <c r="L480">
        <f>IFERROR(INDEX(PP_Grid[#Data],$DD480,10),0)</f>
        <v/>
      </c>
      <c r="M480">
        <f>IFERROR(INDEX(PP_Grid[#Data],$DD480,11),0)</f>
        <v/>
      </c>
      <c r="N480">
        <f>IFERROR(INDEX(PP_Grid[#Data],$DD480,12),0)</f>
        <v/>
      </c>
      <c r="O480">
        <f>IFERROR(INDEX(PP_Grid[#Data],$DD480,13),0)</f>
        <v/>
      </c>
      <c r="P480">
        <f>IFERROR(INDEX(PP_Grid[#Data],$DD480,14),0)</f>
        <v/>
      </c>
      <c r="Q480">
        <f>IFERROR(INDEX(PP_Grid[#Data],$DD480,15),0)</f>
        <v/>
      </c>
      <c r="R480">
        <f>IFERROR(INDEX(PP_Grid[#Data],$DD480,16),0)</f>
        <v/>
      </c>
      <c r="S480">
        <f>IFERROR(INDEX(PP_Grid[#Data],$DD480,17),0)</f>
        <v/>
      </c>
      <c r="T480">
        <f>IFERROR(INDEX(PP_Grid[#Data],$DD480,18),0)</f>
        <v/>
      </c>
      <c r="U480">
        <f>IFERROR(INDEX(PP_Grid[#Data],$DD480,19),0)</f>
        <v/>
      </c>
      <c r="V480">
        <f>IFERROR(INDEX(PP_Grid[#Data],$DD480,20),0)</f>
        <v/>
      </c>
      <c r="W480">
        <f>IFERROR(INDEX(PP_Grid[#Data],$DD480,21),0)</f>
        <v/>
      </c>
      <c r="X480">
        <f>IFERROR(INDEX(PP_Grid[#Data],$DD480,22),0)</f>
        <v/>
      </c>
      <c r="Y480">
        <f>IFERROR(INDEX(PP_Grid[#Data],$DD480,23),0)</f>
        <v/>
      </c>
      <c r="Z480">
        <f>IFERROR(INDEX(PP_Grid[#Data],$DD480,24),0)</f>
        <v/>
      </c>
      <c r="AA480">
        <f>IFERROR(INDEX(PP_Grid[#Data],$DD480,25),0)</f>
        <v/>
      </c>
      <c r="AB480">
        <f>IFERROR(INDEX(PP_Grid[#Data],$DD480,26),0)</f>
        <v/>
      </c>
      <c r="AC480">
        <f>IFERROR(INDEX(PP_Grid[#Data],$DD480,27),0)</f>
        <v/>
      </c>
      <c r="AD480">
        <f>IFERROR(INDEX(PP_Grid[#Data],$DD480,28),0)</f>
        <v/>
      </c>
      <c r="AE480">
        <f>IFERROR(INDEX(PP_Grid[#Data],$DD480,29),0)</f>
        <v/>
      </c>
      <c r="AF480">
        <f>IFERROR(INDEX(PP_Grid[#Data],$DD480,30),0)</f>
        <v/>
      </c>
      <c r="AG480">
        <f>IFERROR(INDEX(PP_Grid[#Data],$DD480,31),0)</f>
        <v/>
      </c>
      <c r="AH480">
        <f>IFERROR(INDEX(PP_Grid[#Data],$DD480,32),0)</f>
        <v/>
      </c>
      <c r="AI480">
        <f>IFERROR(INDEX(PP_Grid[#Data],$DD480,33),0)</f>
        <v/>
      </c>
      <c r="AJ480">
        <f>IFERROR(INDEX(PP_Grid[#Data],$DD480,34),0)</f>
        <v/>
      </c>
      <c r="AK480">
        <f>IFERROR(INDEX(PP_Grid[#Data],$DD480,35),0)</f>
        <v/>
      </c>
      <c r="AL480">
        <f>IFERROR(INDEX(PP_Grid[#Data],$DD480,36),0)</f>
        <v/>
      </c>
      <c r="AM480">
        <f>IFERROR(INDEX(PP_Grid[#Data],$DD480,37),0)</f>
        <v/>
      </c>
      <c r="AN480">
        <f>IFERROR(INDEX(PP_Grid[#Data],$DD480,38),0)</f>
        <v/>
      </c>
      <c r="AO480">
        <f>IFERROR(INDEX(PP_Grid[#Data],$DD480,39),0)</f>
        <v/>
      </c>
      <c r="AP480">
        <f>IFERROR(INDEX(PP_Grid[#Data],$DD480,40),0)</f>
        <v/>
      </c>
      <c r="AQ480">
        <f>IFERROR(INDEX(PP_Grid[#Data],$DD480,41),0)</f>
        <v/>
      </c>
      <c r="AR480">
        <f>IFERROR(INDEX(PP_Grid[#Data],$DD480,42),0)</f>
        <v/>
      </c>
      <c r="AS480">
        <f>IFERROR(INDEX(PP_Grid[#Data],$DD480,43),0)</f>
        <v/>
      </c>
      <c r="AT480">
        <f>IFERROR(INDEX(PP_Grid[#Data],$DD480,44),0)</f>
        <v/>
      </c>
      <c r="AU480">
        <f>IFERROR(INDEX(PP_Grid[#Data],$DD480,45),0)</f>
        <v/>
      </c>
      <c r="AV480">
        <f>IFERROR(INDEX(PP_Grid[#Data],$DD480,46),0)</f>
        <v/>
      </c>
      <c r="AW480">
        <f>IFERROR(INDEX(PP_Grid[#Data],$DD480,47),0)</f>
        <v/>
      </c>
      <c r="AX480">
        <f>IFERROR(INDEX(PP_Grid[#Data],$DD480,48),0)</f>
        <v/>
      </c>
      <c r="AY480">
        <f>IFERROR(INDEX(PP_Grid[#Data],$DD480,49),0)</f>
        <v/>
      </c>
      <c r="AZ480">
        <f>IFERROR(INDEX(PP_Grid[#Data],$DD480,50),0)</f>
        <v/>
      </c>
      <c r="BA480">
        <f>IFERROR(INDEX(PP_Grid[#Data],$DD480,51),0)</f>
        <v/>
      </c>
      <c r="BB480">
        <f>IFERROR(INDEX(PP_Grid[#Data],$DD480,52),0)</f>
        <v/>
      </c>
      <c r="BC480">
        <f>IFERROR(INDEX(PP_Grid[#Data],$DD480,53),0)</f>
        <v/>
      </c>
      <c r="BD480">
        <f>IFERROR(INDEX(PP_Grid[#Data],$DD480,54),0)</f>
        <v/>
      </c>
      <c r="BE480">
        <f>IFERROR(INDEX(PP_Grid[#Data],$DD480,55),0)</f>
        <v/>
      </c>
      <c r="BF480">
        <f>IFERROR(INDEX(PP_Grid[#Data],$DD480,56),0)</f>
        <v/>
      </c>
      <c r="BG480">
        <f>IFERROR(INDEX(PP_Grid[#Data],$DD480,57),0)</f>
        <v/>
      </c>
      <c r="BH480">
        <f>IFERROR(INDEX(PP_Grid[#Data],$DD480,58),0)</f>
        <v/>
      </c>
      <c r="BI480">
        <f>IFERROR(INDEX(PP_Grid[#Data],$DD480,59),0)</f>
        <v/>
      </c>
      <c r="BJ480">
        <f>IFERROR(INDEX(PP_Grid[#Data],$DD480,60),0)</f>
        <v/>
      </c>
      <c r="BK480">
        <f>IFERROR(INDEX(PP_Grid[#Data],$DD480,61),0)</f>
        <v/>
      </c>
      <c r="BL480">
        <f>IFERROR(INDEX(PP_Grid[#Data],$DD480,62),0)</f>
        <v/>
      </c>
      <c r="BM480">
        <f>IFERROR(INDEX(PP_Grid[#Data],$DD480,63),0)</f>
        <v/>
      </c>
      <c r="BN480">
        <f>IFERROR(INDEX(PP_Grid[#Data],$DD480,64),0)</f>
        <v/>
      </c>
      <c r="BO480">
        <f>IFERROR(INDEX(PP_Grid[#Data],$DD480,65),0)</f>
        <v/>
      </c>
      <c r="BP480">
        <f>IFERROR(INDEX(PP_Grid[#Data],$DD480,66),0)</f>
        <v/>
      </c>
      <c r="BQ480">
        <f>IFERROR(INDEX(PP_Grid[#Data],$DD480,67),0)</f>
        <v/>
      </c>
      <c r="BR480">
        <f>IFERROR(INDEX(PP_Grid[#Data],$DD480,68),0)</f>
        <v/>
      </c>
      <c r="BS480">
        <f>IFERROR(INDEX(PP_Grid[#Data],$DD480,69),0)</f>
        <v/>
      </c>
      <c r="BT480">
        <f>IFERROR(INDEX(PP_Grid[#Data],$DD480,70),0)</f>
        <v/>
      </c>
      <c r="BU480">
        <f>IFERROR(INDEX(PP_Grid[#Data],$DD480,71),0)</f>
        <v/>
      </c>
      <c r="BV480">
        <f>IFERROR(INDEX(PP_Grid[#Data],$DD480,72),0)</f>
        <v/>
      </c>
      <c r="BW480">
        <f>IFERROR(INDEX(PP_Grid[#Data],$DD480,73),0)</f>
        <v/>
      </c>
      <c r="BX480">
        <f>IFERROR(INDEX(PP_Grid[#Data],$DD480,74),0)</f>
        <v/>
      </c>
      <c r="BY480">
        <f>IFERROR(INDEX(PP_Grid[#Data],$DD480,75),0)</f>
        <v/>
      </c>
      <c r="BZ480">
        <f>IFERROR(INDEX(PP_Grid[#Data],$DD480,76),0)</f>
        <v/>
      </c>
      <c r="CA480">
        <f>IFERROR(INDEX(PP_Grid[#Data],$DD480,77),0)</f>
        <v/>
      </c>
      <c r="CB480">
        <f>IFERROR(INDEX(PP_Grid[#Data],$DD480,78),0)</f>
        <v/>
      </c>
      <c r="CC480">
        <f>IFERROR(INDEX(PP_Grid[#Data],$DD480,79),0)</f>
        <v/>
      </c>
      <c r="CD480">
        <f>IFERROR(INDEX(PP_Grid[#Data],$DD480,80),0)</f>
        <v/>
      </c>
      <c r="CE480">
        <f>IFERROR(INDEX(PP_Grid[#Data],$DD480,81),0)</f>
        <v/>
      </c>
      <c r="CF480">
        <f>IFERROR(INDEX(PP_Grid[#Data],$DD480,82),0)</f>
        <v/>
      </c>
      <c r="CG480">
        <f>IFERROR(INDEX(PP_Grid[#Data],$DD480,83),0)</f>
        <v/>
      </c>
      <c r="CH480">
        <f>IFERROR(INDEX(PP_Grid[#Data],$DD480,84),0)</f>
        <v/>
      </c>
      <c r="CI480">
        <f>IFERROR(INDEX(PP_Grid[#Data],$DD480,85),0)</f>
        <v/>
      </c>
      <c r="CJ480">
        <f>IFERROR(INDEX(PP_Grid[#Data],$DD480,86),0)</f>
        <v/>
      </c>
      <c r="CK480">
        <f>IFERROR(INDEX(PP_Grid[#Data],$DD480,87),0)</f>
        <v/>
      </c>
      <c r="CL480">
        <f>IFERROR(INDEX(PP_Grid[#Data],$DD480,88),0)</f>
        <v/>
      </c>
      <c r="CM480">
        <f>IFERROR(INDEX(PP_Grid[#Data],$DD480,89),0)</f>
        <v/>
      </c>
      <c r="CN480">
        <f>IFERROR(INDEX(PP_Grid[#Data],$DD480,90),0)</f>
        <v/>
      </c>
      <c r="CO480">
        <f>IFERROR(INDEX(PP_Grid[#Data],$DD480,91),0)</f>
        <v/>
      </c>
      <c r="CP480">
        <f>IFERROR(INDEX(PP_Grid[#Data],$DD480,92),0)</f>
        <v/>
      </c>
      <c r="CQ480">
        <f>IFERROR(INDEX(PP_Grid[#Data],$DD480,93),0)</f>
        <v/>
      </c>
      <c r="CR480">
        <f>IFERROR(INDEX(PP_Grid[#Data],$DD480,94),0)</f>
        <v/>
      </c>
      <c r="CS480">
        <f>IFERROR(INDEX(PP_Grid[#Data],$DD480,95),0)</f>
        <v/>
      </c>
      <c r="CT480">
        <f>IFERROR(INDEX(PP_Grid[#Data],$DD480,96),0)</f>
        <v/>
      </c>
      <c r="CU480">
        <f>IFERROR(INDEX(PP_Grid[#Data],$DD480,97),0)</f>
        <v/>
      </c>
      <c r="CV480">
        <f>IFERROR(INDEX(PP_Grid[#Data],$DD480,98),0)</f>
        <v/>
      </c>
      <c r="CW480">
        <f>IFERROR(INDEX(PP_Grid[#Data],$DD480,99),0)</f>
        <v/>
      </c>
      <c r="CX480">
        <f>IFERROR(INDEX(PP_Grid[#Data],$DD480,100),0)</f>
        <v/>
      </c>
      <c r="CY480">
        <f>IFERROR(INDEX(PP_Grid[#Data],$DD480,101),0)</f>
        <v/>
      </c>
      <c r="CZ480">
        <f>IFERROR(INDEX(PP_Grid[#Data],$DD480,102),0)</f>
        <v/>
      </c>
      <c r="DA480">
        <f>IFERROR(INDEX(PP_Grid[#Data],$DD480,103),0)</f>
        <v/>
      </c>
      <c r="DB480">
        <f>IFERROR(INDEX(PP_Grid[#Data],$DD480,104),0)</f>
        <v/>
      </c>
      <c r="DC480">
        <f>IFERROR(INDEX(PP_Grid[#Data],$DD480,105),0)</f>
        <v/>
      </c>
      <c r="DD480" s="12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SUMIFS(M_BOM[RM_Qty_Per_Batch],M_BOM[Intermediate],$B480,M_BOM[Part Name],$A439)</f>
        <v/>
      </c>
      <c r="D481">
        <f>$C481*D480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</row>
    <row r="482">
      <c r="B482" t="inlineStr">
        <is>
          <t>TSP-224</t>
        </is>
      </c>
      <c r="C482" t="inlineStr">
        <is>
          <t>No. of batches</t>
        </is>
      </c>
      <c r="D482">
        <f>IFERROR(INDEX(PP_Grid[#Data],$DD482,2),0)</f>
        <v/>
      </c>
      <c r="E482">
        <f>IFERROR(INDEX(PP_Grid[#Data],$DD482,3),0)</f>
        <v/>
      </c>
      <c r="F482">
        <f>IFERROR(INDEX(PP_Grid[#Data],$DD482,4),0)</f>
        <v/>
      </c>
      <c r="G482">
        <f>IFERROR(INDEX(PP_Grid[#Data],$DD482,5),0)</f>
        <v/>
      </c>
      <c r="H482">
        <f>IFERROR(INDEX(PP_Grid[#Data],$DD482,6),0)</f>
        <v/>
      </c>
      <c r="I482">
        <f>IFERROR(INDEX(PP_Grid[#Data],$DD482,7),0)</f>
        <v/>
      </c>
      <c r="J482">
        <f>IFERROR(INDEX(PP_Grid[#Data],$DD482,8),0)</f>
        <v/>
      </c>
      <c r="K482">
        <f>IFERROR(INDEX(PP_Grid[#Data],$DD482,9),0)</f>
        <v/>
      </c>
      <c r="L482">
        <f>IFERROR(INDEX(PP_Grid[#Data],$DD482,10),0)</f>
        <v/>
      </c>
      <c r="M482">
        <f>IFERROR(INDEX(PP_Grid[#Data],$DD482,11),0)</f>
        <v/>
      </c>
      <c r="N482">
        <f>IFERROR(INDEX(PP_Grid[#Data],$DD482,12),0)</f>
        <v/>
      </c>
      <c r="O482">
        <f>IFERROR(INDEX(PP_Grid[#Data],$DD482,13),0)</f>
        <v/>
      </c>
      <c r="P482">
        <f>IFERROR(INDEX(PP_Grid[#Data],$DD482,14),0)</f>
        <v/>
      </c>
      <c r="Q482">
        <f>IFERROR(INDEX(PP_Grid[#Data],$DD482,15),0)</f>
        <v/>
      </c>
      <c r="R482">
        <f>IFERROR(INDEX(PP_Grid[#Data],$DD482,16),0)</f>
        <v/>
      </c>
      <c r="S482">
        <f>IFERROR(INDEX(PP_Grid[#Data],$DD482,17),0)</f>
        <v/>
      </c>
      <c r="T482">
        <f>IFERROR(INDEX(PP_Grid[#Data],$DD482,18),0)</f>
        <v/>
      </c>
      <c r="U482">
        <f>IFERROR(INDEX(PP_Grid[#Data],$DD482,19),0)</f>
        <v/>
      </c>
      <c r="V482">
        <f>IFERROR(INDEX(PP_Grid[#Data],$DD482,20),0)</f>
        <v/>
      </c>
      <c r="W482">
        <f>IFERROR(INDEX(PP_Grid[#Data],$DD482,21),0)</f>
        <v/>
      </c>
      <c r="X482">
        <f>IFERROR(INDEX(PP_Grid[#Data],$DD482,22),0)</f>
        <v/>
      </c>
      <c r="Y482">
        <f>IFERROR(INDEX(PP_Grid[#Data],$DD482,23),0)</f>
        <v/>
      </c>
      <c r="Z482">
        <f>IFERROR(INDEX(PP_Grid[#Data],$DD482,24),0)</f>
        <v/>
      </c>
      <c r="AA482">
        <f>IFERROR(INDEX(PP_Grid[#Data],$DD482,25),0)</f>
        <v/>
      </c>
      <c r="AB482">
        <f>IFERROR(INDEX(PP_Grid[#Data],$DD482,26),0)</f>
        <v/>
      </c>
      <c r="AC482">
        <f>IFERROR(INDEX(PP_Grid[#Data],$DD482,27),0)</f>
        <v/>
      </c>
      <c r="AD482">
        <f>IFERROR(INDEX(PP_Grid[#Data],$DD482,28),0)</f>
        <v/>
      </c>
      <c r="AE482">
        <f>IFERROR(INDEX(PP_Grid[#Data],$DD482,29),0)</f>
        <v/>
      </c>
      <c r="AF482">
        <f>IFERROR(INDEX(PP_Grid[#Data],$DD482,30),0)</f>
        <v/>
      </c>
      <c r="AG482">
        <f>IFERROR(INDEX(PP_Grid[#Data],$DD482,31),0)</f>
        <v/>
      </c>
      <c r="AH482">
        <f>IFERROR(INDEX(PP_Grid[#Data],$DD482,32),0)</f>
        <v/>
      </c>
      <c r="AI482">
        <f>IFERROR(INDEX(PP_Grid[#Data],$DD482,33),0)</f>
        <v/>
      </c>
      <c r="AJ482">
        <f>IFERROR(INDEX(PP_Grid[#Data],$DD482,34),0)</f>
        <v/>
      </c>
      <c r="AK482">
        <f>IFERROR(INDEX(PP_Grid[#Data],$DD482,35),0)</f>
        <v/>
      </c>
      <c r="AL482">
        <f>IFERROR(INDEX(PP_Grid[#Data],$DD482,36),0)</f>
        <v/>
      </c>
      <c r="AM482">
        <f>IFERROR(INDEX(PP_Grid[#Data],$DD482,37),0)</f>
        <v/>
      </c>
      <c r="AN482">
        <f>IFERROR(INDEX(PP_Grid[#Data],$DD482,38),0)</f>
        <v/>
      </c>
      <c r="AO482">
        <f>IFERROR(INDEX(PP_Grid[#Data],$DD482,39),0)</f>
        <v/>
      </c>
      <c r="AP482">
        <f>IFERROR(INDEX(PP_Grid[#Data],$DD482,40),0)</f>
        <v/>
      </c>
      <c r="AQ482">
        <f>IFERROR(INDEX(PP_Grid[#Data],$DD482,41),0)</f>
        <v/>
      </c>
      <c r="AR482">
        <f>IFERROR(INDEX(PP_Grid[#Data],$DD482,42),0)</f>
        <v/>
      </c>
      <c r="AS482">
        <f>IFERROR(INDEX(PP_Grid[#Data],$DD482,43),0)</f>
        <v/>
      </c>
      <c r="AT482">
        <f>IFERROR(INDEX(PP_Grid[#Data],$DD482,44),0)</f>
        <v/>
      </c>
      <c r="AU482">
        <f>IFERROR(INDEX(PP_Grid[#Data],$DD482,45),0)</f>
        <v/>
      </c>
      <c r="AV482">
        <f>IFERROR(INDEX(PP_Grid[#Data],$DD482,46),0)</f>
        <v/>
      </c>
      <c r="AW482">
        <f>IFERROR(INDEX(PP_Grid[#Data],$DD482,47),0)</f>
        <v/>
      </c>
      <c r="AX482">
        <f>IFERROR(INDEX(PP_Grid[#Data],$DD482,48),0)</f>
        <v/>
      </c>
      <c r="AY482">
        <f>IFERROR(INDEX(PP_Grid[#Data],$DD482,49),0)</f>
        <v/>
      </c>
      <c r="AZ482">
        <f>IFERROR(INDEX(PP_Grid[#Data],$DD482,50),0)</f>
        <v/>
      </c>
      <c r="BA482">
        <f>IFERROR(INDEX(PP_Grid[#Data],$DD482,51),0)</f>
        <v/>
      </c>
      <c r="BB482">
        <f>IFERROR(INDEX(PP_Grid[#Data],$DD482,52),0)</f>
        <v/>
      </c>
      <c r="BC482">
        <f>IFERROR(INDEX(PP_Grid[#Data],$DD482,53),0)</f>
        <v/>
      </c>
      <c r="BD482">
        <f>IFERROR(INDEX(PP_Grid[#Data],$DD482,54),0)</f>
        <v/>
      </c>
      <c r="BE482">
        <f>IFERROR(INDEX(PP_Grid[#Data],$DD482,55),0)</f>
        <v/>
      </c>
      <c r="BF482">
        <f>IFERROR(INDEX(PP_Grid[#Data],$DD482,56),0)</f>
        <v/>
      </c>
      <c r="BG482">
        <f>IFERROR(INDEX(PP_Grid[#Data],$DD482,57),0)</f>
        <v/>
      </c>
      <c r="BH482">
        <f>IFERROR(INDEX(PP_Grid[#Data],$DD482,58),0)</f>
        <v/>
      </c>
      <c r="BI482">
        <f>IFERROR(INDEX(PP_Grid[#Data],$DD482,59),0)</f>
        <v/>
      </c>
      <c r="BJ482">
        <f>IFERROR(INDEX(PP_Grid[#Data],$DD482,60),0)</f>
        <v/>
      </c>
      <c r="BK482">
        <f>IFERROR(INDEX(PP_Grid[#Data],$DD482,61),0)</f>
        <v/>
      </c>
      <c r="BL482">
        <f>IFERROR(INDEX(PP_Grid[#Data],$DD482,62),0)</f>
        <v/>
      </c>
      <c r="BM482">
        <f>IFERROR(INDEX(PP_Grid[#Data],$DD482,63),0)</f>
        <v/>
      </c>
      <c r="BN482">
        <f>IFERROR(INDEX(PP_Grid[#Data],$DD482,64),0)</f>
        <v/>
      </c>
      <c r="BO482">
        <f>IFERROR(INDEX(PP_Grid[#Data],$DD482,65),0)</f>
        <v/>
      </c>
      <c r="BP482">
        <f>IFERROR(INDEX(PP_Grid[#Data],$DD482,66),0)</f>
        <v/>
      </c>
      <c r="BQ482">
        <f>IFERROR(INDEX(PP_Grid[#Data],$DD482,67),0)</f>
        <v/>
      </c>
      <c r="BR482">
        <f>IFERROR(INDEX(PP_Grid[#Data],$DD482,68),0)</f>
        <v/>
      </c>
      <c r="BS482">
        <f>IFERROR(INDEX(PP_Grid[#Data],$DD482,69),0)</f>
        <v/>
      </c>
      <c r="BT482">
        <f>IFERROR(INDEX(PP_Grid[#Data],$DD482,70),0)</f>
        <v/>
      </c>
      <c r="BU482">
        <f>IFERROR(INDEX(PP_Grid[#Data],$DD482,71),0)</f>
        <v/>
      </c>
      <c r="BV482">
        <f>IFERROR(INDEX(PP_Grid[#Data],$DD482,72),0)</f>
        <v/>
      </c>
      <c r="BW482">
        <f>IFERROR(INDEX(PP_Grid[#Data],$DD482,73),0)</f>
        <v/>
      </c>
      <c r="BX482">
        <f>IFERROR(INDEX(PP_Grid[#Data],$DD482,74),0)</f>
        <v/>
      </c>
      <c r="BY482">
        <f>IFERROR(INDEX(PP_Grid[#Data],$DD482,75),0)</f>
        <v/>
      </c>
      <c r="BZ482">
        <f>IFERROR(INDEX(PP_Grid[#Data],$DD482,76),0)</f>
        <v/>
      </c>
      <c r="CA482">
        <f>IFERROR(INDEX(PP_Grid[#Data],$DD482,77),0)</f>
        <v/>
      </c>
      <c r="CB482">
        <f>IFERROR(INDEX(PP_Grid[#Data],$DD482,78),0)</f>
        <v/>
      </c>
      <c r="CC482">
        <f>IFERROR(INDEX(PP_Grid[#Data],$DD482,79),0)</f>
        <v/>
      </c>
      <c r="CD482">
        <f>IFERROR(INDEX(PP_Grid[#Data],$DD482,80),0)</f>
        <v/>
      </c>
      <c r="CE482">
        <f>IFERROR(INDEX(PP_Grid[#Data],$DD482,81),0)</f>
        <v/>
      </c>
      <c r="CF482">
        <f>IFERROR(INDEX(PP_Grid[#Data],$DD482,82),0)</f>
        <v/>
      </c>
      <c r="CG482">
        <f>IFERROR(INDEX(PP_Grid[#Data],$DD482,83),0)</f>
        <v/>
      </c>
      <c r="CH482">
        <f>IFERROR(INDEX(PP_Grid[#Data],$DD482,84),0)</f>
        <v/>
      </c>
      <c r="CI482">
        <f>IFERROR(INDEX(PP_Grid[#Data],$DD482,85),0)</f>
        <v/>
      </c>
      <c r="CJ482">
        <f>IFERROR(INDEX(PP_Grid[#Data],$DD482,86),0)</f>
        <v/>
      </c>
      <c r="CK482">
        <f>IFERROR(INDEX(PP_Grid[#Data],$DD482,87),0)</f>
        <v/>
      </c>
      <c r="CL482">
        <f>IFERROR(INDEX(PP_Grid[#Data],$DD482,88),0)</f>
        <v/>
      </c>
      <c r="CM482">
        <f>IFERROR(INDEX(PP_Grid[#Data],$DD482,89),0)</f>
        <v/>
      </c>
      <c r="CN482">
        <f>IFERROR(INDEX(PP_Grid[#Data],$DD482,90),0)</f>
        <v/>
      </c>
      <c r="CO482">
        <f>IFERROR(INDEX(PP_Grid[#Data],$DD482,91),0)</f>
        <v/>
      </c>
      <c r="CP482">
        <f>IFERROR(INDEX(PP_Grid[#Data],$DD482,92),0)</f>
        <v/>
      </c>
      <c r="CQ482">
        <f>IFERROR(INDEX(PP_Grid[#Data],$DD482,93),0)</f>
        <v/>
      </c>
      <c r="CR482">
        <f>IFERROR(INDEX(PP_Grid[#Data],$DD482,94),0)</f>
        <v/>
      </c>
      <c r="CS482">
        <f>IFERROR(INDEX(PP_Grid[#Data],$DD482,95),0)</f>
        <v/>
      </c>
      <c r="CT482">
        <f>IFERROR(INDEX(PP_Grid[#Data],$DD482,96),0)</f>
        <v/>
      </c>
      <c r="CU482">
        <f>IFERROR(INDEX(PP_Grid[#Data],$DD482,97),0)</f>
        <v/>
      </c>
      <c r="CV482">
        <f>IFERROR(INDEX(PP_Grid[#Data],$DD482,98),0)</f>
        <v/>
      </c>
      <c r="CW482">
        <f>IFERROR(INDEX(PP_Grid[#Data],$DD482,99),0)</f>
        <v/>
      </c>
      <c r="CX482">
        <f>IFERROR(INDEX(PP_Grid[#Data],$DD482,100),0)</f>
        <v/>
      </c>
      <c r="CY482">
        <f>IFERROR(INDEX(PP_Grid[#Data],$DD482,101),0)</f>
        <v/>
      </c>
      <c r="CZ482">
        <f>IFERROR(INDEX(PP_Grid[#Data],$DD482,102),0)</f>
        <v/>
      </c>
      <c r="DA482">
        <f>IFERROR(INDEX(PP_Grid[#Data],$DD482,103),0)</f>
        <v/>
      </c>
      <c r="DB482">
        <f>IFERROR(INDEX(PP_Grid[#Data],$DD482,104),0)</f>
        <v/>
      </c>
      <c r="DC482">
        <f>IFERROR(INDEX(PP_Grid[#Data],$DD482,105),0)</f>
        <v/>
      </c>
      <c r="DD482" s="12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SUMIFS(M_BOM[RM_Qty_Per_Batch],M_BOM[Intermediate],$B482,M_BOM[Part Name],$A439)</f>
        <v/>
      </c>
      <c r="D483">
        <f>$C483*D482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</row>
    <row r="484">
      <c r="B484" t="inlineStr">
        <is>
          <t>TSP-225</t>
        </is>
      </c>
      <c r="C484" t="inlineStr">
        <is>
          <t>No. of batches</t>
        </is>
      </c>
      <c r="D484">
        <f>IFERROR(INDEX(PP_Grid[#Data],$DD484,2),0)</f>
        <v/>
      </c>
      <c r="E484">
        <f>IFERROR(INDEX(PP_Grid[#Data],$DD484,3),0)</f>
        <v/>
      </c>
      <c r="F484">
        <f>IFERROR(INDEX(PP_Grid[#Data],$DD484,4),0)</f>
        <v/>
      </c>
      <c r="G484">
        <f>IFERROR(INDEX(PP_Grid[#Data],$DD484,5),0)</f>
        <v/>
      </c>
      <c r="H484">
        <f>IFERROR(INDEX(PP_Grid[#Data],$DD484,6),0)</f>
        <v/>
      </c>
      <c r="I484">
        <f>IFERROR(INDEX(PP_Grid[#Data],$DD484,7),0)</f>
        <v/>
      </c>
      <c r="J484">
        <f>IFERROR(INDEX(PP_Grid[#Data],$DD484,8),0)</f>
        <v/>
      </c>
      <c r="K484">
        <f>IFERROR(INDEX(PP_Grid[#Data],$DD484,9),0)</f>
        <v/>
      </c>
      <c r="L484">
        <f>IFERROR(INDEX(PP_Grid[#Data],$DD484,10),0)</f>
        <v/>
      </c>
      <c r="M484">
        <f>IFERROR(INDEX(PP_Grid[#Data],$DD484,11),0)</f>
        <v/>
      </c>
      <c r="N484">
        <f>IFERROR(INDEX(PP_Grid[#Data],$DD484,12),0)</f>
        <v/>
      </c>
      <c r="O484">
        <f>IFERROR(INDEX(PP_Grid[#Data],$DD484,13),0)</f>
        <v/>
      </c>
      <c r="P484">
        <f>IFERROR(INDEX(PP_Grid[#Data],$DD484,14),0)</f>
        <v/>
      </c>
      <c r="Q484">
        <f>IFERROR(INDEX(PP_Grid[#Data],$DD484,15),0)</f>
        <v/>
      </c>
      <c r="R484">
        <f>IFERROR(INDEX(PP_Grid[#Data],$DD484,16),0)</f>
        <v/>
      </c>
      <c r="S484">
        <f>IFERROR(INDEX(PP_Grid[#Data],$DD484,17),0)</f>
        <v/>
      </c>
      <c r="T484">
        <f>IFERROR(INDEX(PP_Grid[#Data],$DD484,18),0)</f>
        <v/>
      </c>
      <c r="U484">
        <f>IFERROR(INDEX(PP_Grid[#Data],$DD484,19),0)</f>
        <v/>
      </c>
      <c r="V484">
        <f>IFERROR(INDEX(PP_Grid[#Data],$DD484,20),0)</f>
        <v/>
      </c>
      <c r="W484">
        <f>IFERROR(INDEX(PP_Grid[#Data],$DD484,21),0)</f>
        <v/>
      </c>
      <c r="X484">
        <f>IFERROR(INDEX(PP_Grid[#Data],$DD484,22),0)</f>
        <v/>
      </c>
      <c r="Y484">
        <f>IFERROR(INDEX(PP_Grid[#Data],$DD484,23),0)</f>
        <v/>
      </c>
      <c r="Z484">
        <f>IFERROR(INDEX(PP_Grid[#Data],$DD484,24),0)</f>
        <v/>
      </c>
      <c r="AA484">
        <f>IFERROR(INDEX(PP_Grid[#Data],$DD484,25),0)</f>
        <v/>
      </c>
      <c r="AB484">
        <f>IFERROR(INDEX(PP_Grid[#Data],$DD484,26),0)</f>
        <v/>
      </c>
      <c r="AC484">
        <f>IFERROR(INDEX(PP_Grid[#Data],$DD484,27),0)</f>
        <v/>
      </c>
      <c r="AD484">
        <f>IFERROR(INDEX(PP_Grid[#Data],$DD484,28),0)</f>
        <v/>
      </c>
      <c r="AE484">
        <f>IFERROR(INDEX(PP_Grid[#Data],$DD484,29),0)</f>
        <v/>
      </c>
      <c r="AF484">
        <f>IFERROR(INDEX(PP_Grid[#Data],$DD484,30),0)</f>
        <v/>
      </c>
      <c r="AG484">
        <f>IFERROR(INDEX(PP_Grid[#Data],$DD484,31),0)</f>
        <v/>
      </c>
      <c r="AH484">
        <f>IFERROR(INDEX(PP_Grid[#Data],$DD484,32),0)</f>
        <v/>
      </c>
      <c r="AI484">
        <f>IFERROR(INDEX(PP_Grid[#Data],$DD484,33),0)</f>
        <v/>
      </c>
      <c r="AJ484">
        <f>IFERROR(INDEX(PP_Grid[#Data],$DD484,34),0)</f>
        <v/>
      </c>
      <c r="AK484">
        <f>IFERROR(INDEX(PP_Grid[#Data],$DD484,35),0)</f>
        <v/>
      </c>
      <c r="AL484">
        <f>IFERROR(INDEX(PP_Grid[#Data],$DD484,36),0)</f>
        <v/>
      </c>
      <c r="AM484">
        <f>IFERROR(INDEX(PP_Grid[#Data],$DD484,37),0)</f>
        <v/>
      </c>
      <c r="AN484">
        <f>IFERROR(INDEX(PP_Grid[#Data],$DD484,38),0)</f>
        <v/>
      </c>
      <c r="AO484">
        <f>IFERROR(INDEX(PP_Grid[#Data],$DD484,39),0)</f>
        <v/>
      </c>
      <c r="AP484">
        <f>IFERROR(INDEX(PP_Grid[#Data],$DD484,40),0)</f>
        <v/>
      </c>
      <c r="AQ484">
        <f>IFERROR(INDEX(PP_Grid[#Data],$DD484,41),0)</f>
        <v/>
      </c>
      <c r="AR484">
        <f>IFERROR(INDEX(PP_Grid[#Data],$DD484,42),0)</f>
        <v/>
      </c>
      <c r="AS484">
        <f>IFERROR(INDEX(PP_Grid[#Data],$DD484,43),0)</f>
        <v/>
      </c>
      <c r="AT484">
        <f>IFERROR(INDEX(PP_Grid[#Data],$DD484,44),0)</f>
        <v/>
      </c>
      <c r="AU484">
        <f>IFERROR(INDEX(PP_Grid[#Data],$DD484,45),0)</f>
        <v/>
      </c>
      <c r="AV484">
        <f>IFERROR(INDEX(PP_Grid[#Data],$DD484,46),0)</f>
        <v/>
      </c>
      <c r="AW484">
        <f>IFERROR(INDEX(PP_Grid[#Data],$DD484,47),0)</f>
        <v/>
      </c>
      <c r="AX484">
        <f>IFERROR(INDEX(PP_Grid[#Data],$DD484,48),0)</f>
        <v/>
      </c>
      <c r="AY484">
        <f>IFERROR(INDEX(PP_Grid[#Data],$DD484,49),0)</f>
        <v/>
      </c>
      <c r="AZ484">
        <f>IFERROR(INDEX(PP_Grid[#Data],$DD484,50),0)</f>
        <v/>
      </c>
      <c r="BA484">
        <f>IFERROR(INDEX(PP_Grid[#Data],$DD484,51),0)</f>
        <v/>
      </c>
      <c r="BB484">
        <f>IFERROR(INDEX(PP_Grid[#Data],$DD484,52),0)</f>
        <v/>
      </c>
      <c r="BC484">
        <f>IFERROR(INDEX(PP_Grid[#Data],$DD484,53),0)</f>
        <v/>
      </c>
      <c r="BD484">
        <f>IFERROR(INDEX(PP_Grid[#Data],$DD484,54),0)</f>
        <v/>
      </c>
      <c r="BE484">
        <f>IFERROR(INDEX(PP_Grid[#Data],$DD484,55),0)</f>
        <v/>
      </c>
      <c r="BF484">
        <f>IFERROR(INDEX(PP_Grid[#Data],$DD484,56),0)</f>
        <v/>
      </c>
      <c r="BG484">
        <f>IFERROR(INDEX(PP_Grid[#Data],$DD484,57),0)</f>
        <v/>
      </c>
      <c r="BH484">
        <f>IFERROR(INDEX(PP_Grid[#Data],$DD484,58),0)</f>
        <v/>
      </c>
      <c r="BI484">
        <f>IFERROR(INDEX(PP_Grid[#Data],$DD484,59),0)</f>
        <v/>
      </c>
      <c r="BJ484">
        <f>IFERROR(INDEX(PP_Grid[#Data],$DD484,60),0)</f>
        <v/>
      </c>
      <c r="BK484">
        <f>IFERROR(INDEX(PP_Grid[#Data],$DD484,61),0)</f>
        <v/>
      </c>
      <c r="BL484">
        <f>IFERROR(INDEX(PP_Grid[#Data],$DD484,62),0)</f>
        <v/>
      </c>
      <c r="BM484">
        <f>IFERROR(INDEX(PP_Grid[#Data],$DD484,63),0)</f>
        <v/>
      </c>
      <c r="BN484">
        <f>IFERROR(INDEX(PP_Grid[#Data],$DD484,64),0)</f>
        <v/>
      </c>
      <c r="BO484">
        <f>IFERROR(INDEX(PP_Grid[#Data],$DD484,65),0)</f>
        <v/>
      </c>
      <c r="BP484">
        <f>IFERROR(INDEX(PP_Grid[#Data],$DD484,66),0)</f>
        <v/>
      </c>
      <c r="BQ484">
        <f>IFERROR(INDEX(PP_Grid[#Data],$DD484,67),0)</f>
        <v/>
      </c>
      <c r="BR484">
        <f>IFERROR(INDEX(PP_Grid[#Data],$DD484,68),0)</f>
        <v/>
      </c>
      <c r="BS484">
        <f>IFERROR(INDEX(PP_Grid[#Data],$DD484,69),0)</f>
        <v/>
      </c>
      <c r="BT484">
        <f>IFERROR(INDEX(PP_Grid[#Data],$DD484,70),0)</f>
        <v/>
      </c>
      <c r="BU484">
        <f>IFERROR(INDEX(PP_Grid[#Data],$DD484,71),0)</f>
        <v/>
      </c>
      <c r="BV484">
        <f>IFERROR(INDEX(PP_Grid[#Data],$DD484,72),0)</f>
        <v/>
      </c>
      <c r="BW484">
        <f>IFERROR(INDEX(PP_Grid[#Data],$DD484,73),0)</f>
        <v/>
      </c>
      <c r="BX484">
        <f>IFERROR(INDEX(PP_Grid[#Data],$DD484,74),0)</f>
        <v/>
      </c>
      <c r="BY484">
        <f>IFERROR(INDEX(PP_Grid[#Data],$DD484,75),0)</f>
        <v/>
      </c>
      <c r="BZ484">
        <f>IFERROR(INDEX(PP_Grid[#Data],$DD484,76),0)</f>
        <v/>
      </c>
      <c r="CA484">
        <f>IFERROR(INDEX(PP_Grid[#Data],$DD484,77),0)</f>
        <v/>
      </c>
      <c r="CB484">
        <f>IFERROR(INDEX(PP_Grid[#Data],$DD484,78),0)</f>
        <v/>
      </c>
      <c r="CC484">
        <f>IFERROR(INDEX(PP_Grid[#Data],$DD484,79),0)</f>
        <v/>
      </c>
      <c r="CD484">
        <f>IFERROR(INDEX(PP_Grid[#Data],$DD484,80),0)</f>
        <v/>
      </c>
      <c r="CE484">
        <f>IFERROR(INDEX(PP_Grid[#Data],$DD484,81),0)</f>
        <v/>
      </c>
      <c r="CF484">
        <f>IFERROR(INDEX(PP_Grid[#Data],$DD484,82),0)</f>
        <v/>
      </c>
      <c r="CG484">
        <f>IFERROR(INDEX(PP_Grid[#Data],$DD484,83),0)</f>
        <v/>
      </c>
      <c r="CH484">
        <f>IFERROR(INDEX(PP_Grid[#Data],$DD484,84),0)</f>
        <v/>
      </c>
      <c r="CI484">
        <f>IFERROR(INDEX(PP_Grid[#Data],$DD484,85),0)</f>
        <v/>
      </c>
      <c r="CJ484">
        <f>IFERROR(INDEX(PP_Grid[#Data],$DD484,86),0)</f>
        <v/>
      </c>
      <c r="CK484">
        <f>IFERROR(INDEX(PP_Grid[#Data],$DD484,87),0)</f>
        <v/>
      </c>
      <c r="CL484">
        <f>IFERROR(INDEX(PP_Grid[#Data],$DD484,88),0)</f>
        <v/>
      </c>
      <c r="CM484">
        <f>IFERROR(INDEX(PP_Grid[#Data],$DD484,89),0)</f>
        <v/>
      </c>
      <c r="CN484">
        <f>IFERROR(INDEX(PP_Grid[#Data],$DD484,90),0)</f>
        <v/>
      </c>
      <c r="CO484">
        <f>IFERROR(INDEX(PP_Grid[#Data],$DD484,91),0)</f>
        <v/>
      </c>
      <c r="CP484">
        <f>IFERROR(INDEX(PP_Grid[#Data],$DD484,92),0)</f>
        <v/>
      </c>
      <c r="CQ484">
        <f>IFERROR(INDEX(PP_Grid[#Data],$DD484,93),0)</f>
        <v/>
      </c>
      <c r="CR484">
        <f>IFERROR(INDEX(PP_Grid[#Data],$DD484,94),0)</f>
        <v/>
      </c>
      <c r="CS484">
        <f>IFERROR(INDEX(PP_Grid[#Data],$DD484,95),0)</f>
        <v/>
      </c>
      <c r="CT484">
        <f>IFERROR(INDEX(PP_Grid[#Data],$DD484,96),0)</f>
        <v/>
      </c>
      <c r="CU484">
        <f>IFERROR(INDEX(PP_Grid[#Data],$DD484,97),0)</f>
        <v/>
      </c>
      <c r="CV484">
        <f>IFERROR(INDEX(PP_Grid[#Data],$DD484,98),0)</f>
        <v/>
      </c>
      <c r="CW484">
        <f>IFERROR(INDEX(PP_Grid[#Data],$DD484,99),0)</f>
        <v/>
      </c>
      <c r="CX484">
        <f>IFERROR(INDEX(PP_Grid[#Data],$DD484,100),0)</f>
        <v/>
      </c>
      <c r="CY484">
        <f>IFERROR(INDEX(PP_Grid[#Data],$DD484,101),0)</f>
        <v/>
      </c>
      <c r="CZ484">
        <f>IFERROR(INDEX(PP_Grid[#Data],$DD484,102),0)</f>
        <v/>
      </c>
      <c r="DA484">
        <f>IFERROR(INDEX(PP_Grid[#Data],$DD484,103),0)</f>
        <v/>
      </c>
      <c r="DB484">
        <f>IFERROR(INDEX(PP_Grid[#Data],$DD484,104),0)</f>
        <v/>
      </c>
      <c r="DC484">
        <f>IFERROR(INDEX(PP_Grid[#Data],$DD484,105),0)</f>
        <v/>
      </c>
      <c r="DD484" s="12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SUMIFS(M_BOM[RM_Qty_Per_Batch],M_BOM[Intermediate],$B484,M_BOM[Part Name],$A439)</f>
        <v/>
      </c>
      <c r="D485">
        <f>$C485*D484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</row>
    <row r="486">
      <c r="B486" t="inlineStr">
        <is>
          <t>TSP-360</t>
        </is>
      </c>
      <c r="C486" t="inlineStr">
        <is>
          <t>No. of batches</t>
        </is>
      </c>
      <c r="D486">
        <f>IFERROR(INDEX(PP_Grid[#Data],$DD486,2),0)</f>
        <v/>
      </c>
      <c r="E486">
        <f>IFERROR(INDEX(PP_Grid[#Data],$DD486,3),0)</f>
        <v/>
      </c>
      <c r="F486">
        <f>IFERROR(INDEX(PP_Grid[#Data],$DD486,4),0)</f>
        <v/>
      </c>
      <c r="G486">
        <f>IFERROR(INDEX(PP_Grid[#Data],$DD486,5),0)</f>
        <v/>
      </c>
      <c r="H486">
        <f>IFERROR(INDEX(PP_Grid[#Data],$DD486,6),0)</f>
        <v/>
      </c>
      <c r="I486">
        <f>IFERROR(INDEX(PP_Grid[#Data],$DD486,7),0)</f>
        <v/>
      </c>
      <c r="J486">
        <f>IFERROR(INDEX(PP_Grid[#Data],$DD486,8),0)</f>
        <v/>
      </c>
      <c r="K486">
        <f>IFERROR(INDEX(PP_Grid[#Data],$DD486,9),0)</f>
        <v/>
      </c>
      <c r="L486">
        <f>IFERROR(INDEX(PP_Grid[#Data],$DD486,10),0)</f>
        <v/>
      </c>
      <c r="M486">
        <f>IFERROR(INDEX(PP_Grid[#Data],$DD486,11),0)</f>
        <v/>
      </c>
      <c r="N486">
        <f>IFERROR(INDEX(PP_Grid[#Data],$DD486,12),0)</f>
        <v/>
      </c>
      <c r="O486">
        <f>IFERROR(INDEX(PP_Grid[#Data],$DD486,13),0)</f>
        <v/>
      </c>
      <c r="P486">
        <f>IFERROR(INDEX(PP_Grid[#Data],$DD486,14),0)</f>
        <v/>
      </c>
      <c r="Q486">
        <f>IFERROR(INDEX(PP_Grid[#Data],$DD486,15),0)</f>
        <v/>
      </c>
      <c r="R486">
        <f>IFERROR(INDEX(PP_Grid[#Data],$DD486,16),0)</f>
        <v/>
      </c>
      <c r="S486">
        <f>IFERROR(INDEX(PP_Grid[#Data],$DD486,17),0)</f>
        <v/>
      </c>
      <c r="T486">
        <f>IFERROR(INDEX(PP_Grid[#Data],$DD486,18),0)</f>
        <v/>
      </c>
      <c r="U486">
        <f>IFERROR(INDEX(PP_Grid[#Data],$DD486,19),0)</f>
        <v/>
      </c>
      <c r="V486">
        <f>IFERROR(INDEX(PP_Grid[#Data],$DD486,20),0)</f>
        <v/>
      </c>
      <c r="W486">
        <f>IFERROR(INDEX(PP_Grid[#Data],$DD486,21),0)</f>
        <v/>
      </c>
      <c r="X486">
        <f>IFERROR(INDEX(PP_Grid[#Data],$DD486,22),0)</f>
        <v/>
      </c>
      <c r="Y486">
        <f>IFERROR(INDEX(PP_Grid[#Data],$DD486,23),0)</f>
        <v/>
      </c>
      <c r="Z486">
        <f>IFERROR(INDEX(PP_Grid[#Data],$DD486,24),0)</f>
        <v/>
      </c>
      <c r="AA486">
        <f>IFERROR(INDEX(PP_Grid[#Data],$DD486,25),0)</f>
        <v/>
      </c>
      <c r="AB486">
        <f>IFERROR(INDEX(PP_Grid[#Data],$DD486,26),0)</f>
        <v/>
      </c>
      <c r="AC486">
        <f>IFERROR(INDEX(PP_Grid[#Data],$DD486,27),0)</f>
        <v/>
      </c>
      <c r="AD486">
        <f>IFERROR(INDEX(PP_Grid[#Data],$DD486,28),0)</f>
        <v/>
      </c>
      <c r="AE486">
        <f>IFERROR(INDEX(PP_Grid[#Data],$DD486,29),0)</f>
        <v/>
      </c>
      <c r="AF486">
        <f>IFERROR(INDEX(PP_Grid[#Data],$DD486,30),0)</f>
        <v/>
      </c>
      <c r="AG486">
        <f>IFERROR(INDEX(PP_Grid[#Data],$DD486,31),0)</f>
        <v/>
      </c>
      <c r="AH486">
        <f>IFERROR(INDEX(PP_Grid[#Data],$DD486,32),0)</f>
        <v/>
      </c>
      <c r="AI486">
        <f>IFERROR(INDEX(PP_Grid[#Data],$DD486,33),0)</f>
        <v/>
      </c>
      <c r="AJ486">
        <f>IFERROR(INDEX(PP_Grid[#Data],$DD486,34),0)</f>
        <v/>
      </c>
      <c r="AK486">
        <f>IFERROR(INDEX(PP_Grid[#Data],$DD486,35),0)</f>
        <v/>
      </c>
      <c r="AL486">
        <f>IFERROR(INDEX(PP_Grid[#Data],$DD486,36),0)</f>
        <v/>
      </c>
      <c r="AM486">
        <f>IFERROR(INDEX(PP_Grid[#Data],$DD486,37),0)</f>
        <v/>
      </c>
      <c r="AN486">
        <f>IFERROR(INDEX(PP_Grid[#Data],$DD486,38),0)</f>
        <v/>
      </c>
      <c r="AO486">
        <f>IFERROR(INDEX(PP_Grid[#Data],$DD486,39),0)</f>
        <v/>
      </c>
      <c r="AP486">
        <f>IFERROR(INDEX(PP_Grid[#Data],$DD486,40),0)</f>
        <v/>
      </c>
      <c r="AQ486">
        <f>IFERROR(INDEX(PP_Grid[#Data],$DD486,41),0)</f>
        <v/>
      </c>
      <c r="AR486">
        <f>IFERROR(INDEX(PP_Grid[#Data],$DD486,42),0)</f>
        <v/>
      </c>
      <c r="AS486">
        <f>IFERROR(INDEX(PP_Grid[#Data],$DD486,43),0)</f>
        <v/>
      </c>
      <c r="AT486">
        <f>IFERROR(INDEX(PP_Grid[#Data],$DD486,44),0)</f>
        <v/>
      </c>
      <c r="AU486">
        <f>IFERROR(INDEX(PP_Grid[#Data],$DD486,45),0)</f>
        <v/>
      </c>
      <c r="AV486">
        <f>IFERROR(INDEX(PP_Grid[#Data],$DD486,46),0)</f>
        <v/>
      </c>
      <c r="AW486">
        <f>IFERROR(INDEX(PP_Grid[#Data],$DD486,47),0)</f>
        <v/>
      </c>
      <c r="AX486">
        <f>IFERROR(INDEX(PP_Grid[#Data],$DD486,48),0)</f>
        <v/>
      </c>
      <c r="AY486">
        <f>IFERROR(INDEX(PP_Grid[#Data],$DD486,49),0)</f>
        <v/>
      </c>
      <c r="AZ486">
        <f>IFERROR(INDEX(PP_Grid[#Data],$DD486,50),0)</f>
        <v/>
      </c>
      <c r="BA486">
        <f>IFERROR(INDEX(PP_Grid[#Data],$DD486,51),0)</f>
        <v/>
      </c>
      <c r="BB486">
        <f>IFERROR(INDEX(PP_Grid[#Data],$DD486,52),0)</f>
        <v/>
      </c>
      <c r="BC486">
        <f>IFERROR(INDEX(PP_Grid[#Data],$DD486,53),0)</f>
        <v/>
      </c>
      <c r="BD486">
        <f>IFERROR(INDEX(PP_Grid[#Data],$DD486,54),0)</f>
        <v/>
      </c>
      <c r="BE486">
        <f>IFERROR(INDEX(PP_Grid[#Data],$DD486,55),0)</f>
        <v/>
      </c>
      <c r="BF486">
        <f>IFERROR(INDEX(PP_Grid[#Data],$DD486,56),0)</f>
        <v/>
      </c>
      <c r="BG486">
        <f>IFERROR(INDEX(PP_Grid[#Data],$DD486,57),0)</f>
        <v/>
      </c>
      <c r="BH486">
        <f>IFERROR(INDEX(PP_Grid[#Data],$DD486,58),0)</f>
        <v/>
      </c>
      <c r="BI486">
        <f>IFERROR(INDEX(PP_Grid[#Data],$DD486,59),0)</f>
        <v/>
      </c>
      <c r="BJ486">
        <f>IFERROR(INDEX(PP_Grid[#Data],$DD486,60),0)</f>
        <v/>
      </c>
      <c r="BK486">
        <f>IFERROR(INDEX(PP_Grid[#Data],$DD486,61),0)</f>
        <v/>
      </c>
      <c r="BL486">
        <f>IFERROR(INDEX(PP_Grid[#Data],$DD486,62),0)</f>
        <v/>
      </c>
      <c r="BM486">
        <f>IFERROR(INDEX(PP_Grid[#Data],$DD486,63),0)</f>
        <v/>
      </c>
      <c r="BN486">
        <f>IFERROR(INDEX(PP_Grid[#Data],$DD486,64),0)</f>
        <v/>
      </c>
      <c r="BO486">
        <f>IFERROR(INDEX(PP_Grid[#Data],$DD486,65),0)</f>
        <v/>
      </c>
      <c r="BP486">
        <f>IFERROR(INDEX(PP_Grid[#Data],$DD486,66),0)</f>
        <v/>
      </c>
      <c r="BQ486">
        <f>IFERROR(INDEX(PP_Grid[#Data],$DD486,67),0)</f>
        <v/>
      </c>
      <c r="BR486">
        <f>IFERROR(INDEX(PP_Grid[#Data],$DD486,68),0)</f>
        <v/>
      </c>
      <c r="BS486">
        <f>IFERROR(INDEX(PP_Grid[#Data],$DD486,69),0)</f>
        <v/>
      </c>
      <c r="BT486">
        <f>IFERROR(INDEX(PP_Grid[#Data],$DD486,70),0)</f>
        <v/>
      </c>
      <c r="BU486">
        <f>IFERROR(INDEX(PP_Grid[#Data],$DD486,71),0)</f>
        <v/>
      </c>
      <c r="BV486">
        <f>IFERROR(INDEX(PP_Grid[#Data],$DD486,72),0)</f>
        <v/>
      </c>
      <c r="BW486">
        <f>IFERROR(INDEX(PP_Grid[#Data],$DD486,73),0)</f>
        <v/>
      </c>
      <c r="BX486">
        <f>IFERROR(INDEX(PP_Grid[#Data],$DD486,74),0)</f>
        <v/>
      </c>
      <c r="BY486">
        <f>IFERROR(INDEX(PP_Grid[#Data],$DD486,75),0)</f>
        <v/>
      </c>
      <c r="BZ486">
        <f>IFERROR(INDEX(PP_Grid[#Data],$DD486,76),0)</f>
        <v/>
      </c>
      <c r="CA486">
        <f>IFERROR(INDEX(PP_Grid[#Data],$DD486,77),0)</f>
        <v/>
      </c>
      <c r="CB486">
        <f>IFERROR(INDEX(PP_Grid[#Data],$DD486,78),0)</f>
        <v/>
      </c>
      <c r="CC486">
        <f>IFERROR(INDEX(PP_Grid[#Data],$DD486,79),0)</f>
        <v/>
      </c>
      <c r="CD486">
        <f>IFERROR(INDEX(PP_Grid[#Data],$DD486,80),0)</f>
        <v/>
      </c>
      <c r="CE486">
        <f>IFERROR(INDEX(PP_Grid[#Data],$DD486,81),0)</f>
        <v/>
      </c>
      <c r="CF486">
        <f>IFERROR(INDEX(PP_Grid[#Data],$DD486,82),0)</f>
        <v/>
      </c>
      <c r="CG486">
        <f>IFERROR(INDEX(PP_Grid[#Data],$DD486,83),0)</f>
        <v/>
      </c>
      <c r="CH486">
        <f>IFERROR(INDEX(PP_Grid[#Data],$DD486,84),0)</f>
        <v/>
      </c>
      <c r="CI486">
        <f>IFERROR(INDEX(PP_Grid[#Data],$DD486,85),0)</f>
        <v/>
      </c>
      <c r="CJ486">
        <f>IFERROR(INDEX(PP_Grid[#Data],$DD486,86),0)</f>
        <v/>
      </c>
      <c r="CK486">
        <f>IFERROR(INDEX(PP_Grid[#Data],$DD486,87),0)</f>
        <v/>
      </c>
      <c r="CL486">
        <f>IFERROR(INDEX(PP_Grid[#Data],$DD486,88),0)</f>
        <v/>
      </c>
      <c r="CM486">
        <f>IFERROR(INDEX(PP_Grid[#Data],$DD486,89),0)</f>
        <v/>
      </c>
      <c r="CN486">
        <f>IFERROR(INDEX(PP_Grid[#Data],$DD486,90),0)</f>
        <v/>
      </c>
      <c r="CO486">
        <f>IFERROR(INDEX(PP_Grid[#Data],$DD486,91),0)</f>
        <v/>
      </c>
      <c r="CP486">
        <f>IFERROR(INDEX(PP_Grid[#Data],$DD486,92),0)</f>
        <v/>
      </c>
      <c r="CQ486">
        <f>IFERROR(INDEX(PP_Grid[#Data],$DD486,93),0)</f>
        <v/>
      </c>
      <c r="CR486">
        <f>IFERROR(INDEX(PP_Grid[#Data],$DD486,94),0)</f>
        <v/>
      </c>
      <c r="CS486">
        <f>IFERROR(INDEX(PP_Grid[#Data],$DD486,95),0)</f>
        <v/>
      </c>
      <c r="CT486">
        <f>IFERROR(INDEX(PP_Grid[#Data],$DD486,96),0)</f>
        <v/>
      </c>
      <c r="CU486">
        <f>IFERROR(INDEX(PP_Grid[#Data],$DD486,97),0)</f>
        <v/>
      </c>
      <c r="CV486">
        <f>IFERROR(INDEX(PP_Grid[#Data],$DD486,98),0)</f>
        <v/>
      </c>
      <c r="CW486">
        <f>IFERROR(INDEX(PP_Grid[#Data],$DD486,99),0)</f>
        <v/>
      </c>
      <c r="CX486">
        <f>IFERROR(INDEX(PP_Grid[#Data],$DD486,100),0)</f>
        <v/>
      </c>
      <c r="CY486">
        <f>IFERROR(INDEX(PP_Grid[#Data],$DD486,101),0)</f>
        <v/>
      </c>
      <c r="CZ486">
        <f>IFERROR(INDEX(PP_Grid[#Data],$DD486,102),0)</f>
        <v/>
      </c>
      <c r="DA486">
        <f>IFERROR(INDEX(PP_Grid[#Data],$DD486,103),0)</f>
        <v/>
      </c>
      <c r="DB486">
        <f>IFERROR(INDEX(PP_Grid[#Data],$DD486,104),0)</f>
        <v/>
      </c>
      <c r="DC486">
        <f>IFERROR(INDEX(PP_Grid[#Data],$DD486,105),0)</f>
        <v/>
      </c>
      <c r="DD486" s="12">
        <f>IFERROR(MATCH($B486,PP_Grid[Intermediate],0),99999)</f>
        <v/>
      </c>
    </row>
    <row r="487">
      <c r="B487" t="inlineStr">
        <is>
          <t>使用量(kg)</t>
        </is>
      </c>
      <c r="C487">
        <f>SUMIFS(M_BOM[RM_Qty_Per_Batch],M_BOM[Intermediate],$B486,M_BOM[Part Name],$A439)</f>
        <v/>
      </c>
      <c r="D487">
        <f>$C487*D486</f>
        <v/>
      </c>
      <c r="E487">
        <f>$C487*E486</f>
        <v/>
      </c>
      <c r="F487">
        <f>$C487*F486</f>
        <v/>
      </c>
      <c r="G487">
        <f>$C487*G486</f>
        <v/>
      </c>
      <c r="H487">
        <f>$C487*H486</f>
        <v/>
      </c>
      <c r="I487">
        <f>$C487*I486</f>
        <v/>
      </c>
      <c r="J487">
        <f>$C487*J486</f>
        <v/>
      </c>
      <c r="K487">
        <f>$C487*K486</f>
        <v/>
      </c>
      <c r="L487">
        <f>$C487*L486</f>
        <v/>
      </c>
      <c r="M487">
        <f>$C487*M486</f>
        <v/>
      </c>
      <c r="N487">
        <f>$C487*N486</f>
        <v/>
      </c>
      <c r="O487">
        <f>$C487*O486</f>
        <v/>
      </c>
      <c r="P487">
        <f>$C487*P486</f>
        <v/>
      </c>
      <c r="Q487">
        <f>$C487*Q486</f>
        <v/>
      </c>
      <c r="R487">
        <f>$C487*R486</f>
        <v/>
      </c>
      <c r="S487">
        <f>$C487*S486</f>
        <v/>
      </c>
      <c r="T487">
        <f>$C487*T486</f>
        <v/>
      </c>
      <c r="U487">
        <f>$C487*U486</f>
        <v/>
      </c>
      <c r="V487">
        <f>$C487*V486</f>
        <v/>
      </c>
      <c r="W487">
        <f>$C487*W486</f>
        <v/>
      </c>
      <c r="X487">
        <f>$C487*X486</f>
        <v/>
      </c>
      <c r="Y487">
        <f>$C487*Y486</f>
        <v/>
      </c>
      <c r="Z487">
        <f>$C487*Z486</f>
        <v/>
      </c>
      <c r="AA487">
        <f>$C487*AA486</f>
        <v/>
      </c>
      <c r="AB487">
        <f>$C487*AB486</f>
        <v/>
      </c>
      <c r="AC487">
        <f>$C487*AC486</f>
        <v/>
      </c>
      <c r="AD487">
        <f>$C487*AD486</f>
        <v/>
      </c>
      <c r="AE487">
        <f>$C487*AE486</f>
        <v/>
      </c>
      <c r="AF487">
        <f>$C487*AF486</f>
        <v/>
      </c>
      <c r="AG487">
        <f>$C487*AG486</f>
        <v/>
      </c>
      <c r="AH487">
        <f>$C487*AH486</f>
        <v/>
      </c>
      <c r="AI487">
        <f>$C487*AI486</f>
        <v/>
      </c>
      <c r="AJ487">
        <f>$C487*AJ486</f>
        <v/>
      </c>
      <c r="AK487">
        <f>$C487*AK486</f>
        <v/>
      </c>
      <c r="AL487">
        <f>$C487*AL486</f>
        <v/>
      </c>
      <c r="AM487">
        <f>$C487*AM486</f>
        <v/>
      </c>
      <c r="AN487">
        <f>$C487*AN486</f>
        <v/>
      </c>
      <c r="AO487">
        <f>$C487*AO486</f>
        <v/>
      </c>
      <c r="AP487">
        <f>$C487*AP486</f>
        <v/>
      </c>
      <c r="AQ487">
        <f>$C487*AQ486</f>
        <v/>
      </c>
      <c r="AR487">
        <f>$C487*AR486</f>
        <v/>
      </c>
      <c r="AS487">
        <f>$C487*AS486</f>
        <v/>
      </c>
      <c r="AT487">
        <f>$C487*AT486</f>
        <v/>
      </c>
      <c r="AU487">
        <f>$C487*AU486</f>
        <v/>
      </c>
      <c r="AV487">
        <f>$C487*AV486</f>
        <v/>
      </c>
      <c r="AW487">
        <f>$C487*AW486</f>
        <v/>
      </c>
      <c r="AX487">
        <f>$C487*AX486</f>
        <v/>
      </c>
      <c r="AY487">
        <f>$C487*AY486</f>
        <v/>
      </c>
      <c r="AZ487">
        <f>$C487*AZ486</f>
        <v/>
      </c>
      <c r="BA487">
        <f>$C487*BA486</f>
        <v/>
      </c>
      <c r="BB487">
        <f>$C487*BB486</f>
        <v/>
      </c>
      <c r="BC487">
        <f>$C487*BC486</f>
        <v/>
      </c>
      <c r="BD487">
        <f>$C487*BD486</f>
        <v/>
      </c>
      <c r="BE487">
        <f>$C487*BE486</f>
        <v/>
      </c>
      <c r="BF487">
        <f>$C487*BF486</f>
        <v/>
      </c>
      <c r="BG487">
        <f>$C487*BG486</f>
        <v/>
      </c>
      <c r="BH487">
        <f>$C487*BH486</f>
        <v/>
      </c>
      <c r="BI487">
        <f>$C487*BI486</f>
        <v/>
      </c>
      <c r="BJ487">
        <f>$C487*BJ486</f>
        <v/>
      </c>
      <c r="BK487">
        <f>$C487*BK486</f>
        <v/>
      </c>
      <c r="BL487">
        <f>$C487*BL486</f>
        <v/>
      </c>
      <c r="BM487">
        <f>$C487*BM486</f>
        <v/>
      </c>
      <c r="BN487">
        <f>$C487*BN486</f>
        <v/>
      </c>
      <c r="BO487">
        <f>$C487*BO486</f>
        <v/>
      </c>
      <c r="BP487">
        <f>$C487*BP486</f>
        <v/>
      </c>
      <c r="BQ487">
        <f>$C487*BQ486</f>
        <v/>
      </c>
      <c r="BR487">
        <f>$C487*BR486</f>
        <v/>
      </c>
      <c r="BS487">
        <f>$C487*BS486</f>
        <v/>
      </c>
      <c r="BT487">
        <f>$C487*BT486</f>
        <v/>
      </c>
      <c r="BU487">
        <f>$C487*BU486</f>
        <v/>
      </c>
      <c r="BV487">
        <f>$C487*BV486</f>
        <v/>
      </c>
      <c r="BW487">
        <f>$C487*BW486</f>
        <v/>
      </c>
      <c r="BX487">
        <f>$C487*BX486</f>
        <v/>
      </c>
      <c r="BY487">
        <f>$C487*BY486</f>
        <v/>
      </c>
      <c r="BZ487">
        <f>$C487*BZ486</f>
        <v/>
      </c>
      <c r="CA487">
        <f>$C487*CA486</f>
        <v/>
      </c>
      <c r="CB487">
        <f>$C487*CB486</f>
        <v/>
      </c>
      <c r="CC487">
        <f>$C487*CC486</f>
        <v/>
      </c>
      <c r="CD487">
        <f>$C487*CD486</f>
        <v/>
      </c>
      <c r="CE487">
        <f>$C487*CE486</f>
        <v/>
      </c>
      <c r="CF487">
        <f>$C487*CF486</f>
        <v/>
      </c>
      <c r="CG487">
        <f>$C487*CG486</f>
        <v/>
      </c>
      <c r="CH487">
        <f>$C487*CH486</f>
        <v/>
      </c>
      <c r="CI487">
        <f>$C487*CI486</f>
        <v/>
      </c>
      <c r="CJ487">
        <f>$C487*CJ486</f>
        <v/>
      </c>
      <c r="CK487">
        <f>$C487*CK486</f>
        <v/>
      </c>
      <c r="CL487">
        <f>$C487*CL486</f>
        <v/>
      </c>
      <c r="CM487">
        <f>$C487*CM486</f>
        <v/>
      </c>
      <c r="CN487">
        <f>$C487*CN486</f>
        <v/>
      </c>
      <c r="CO487">
        <f>$C487*CO486</f>
        <v/>
      </c>
      <c r="CP487">
        <f>$C487*CP486</f>
        <v/>
      </c>
      <c r="CQ487">
        <f>$C487*CQ486</f>
        <v/>
      </c>
      <c r="CR487">
        <f>$C487*CR486</f>
        <v/>
      </c>
      <c r="CS487">
        <f>$C487*CS486</f>
        <v/>
      </c>
      <c r="CT487">
        <f>$C487*CT486</f>
        <v/>
      </c>
      <c r="CU487">
        <f>$C487*CU486</f>
        <v/>
      </c>
      <c r="CV487">
        <f>$C487*CV486</f>
        <v/>
      </c>
      <c r="CW487">
        <f>$C487*CW486</f>
        <v/>
      </c>
      <c r="CX487">
        <f>$C487*CX486</f>
        <v/>
      </c>
      <c r="CY487">
        <f>$C487*CY486</f>
        <v/>
      </c>
      <c r="CZ487">
        <f>$C487*CZ486</f>
        <v/>
      </c>
      <c r="DA487">
        <f>$C487*DA486</f>
        <v/>
      </c>
      <c r="DB487">
        <f>$C487*DB486</f>
        <v/>
      </c>
      <c r="DC487">
        <f>$C487*DC486</f>
        <v/>
      </c>
    </row>
    <row r="488">
      <c r="B488" t="inlineStr">
        <is>
          <t>TSP-367</t>
        </is>
      </c>
      <c r="C488" t="inlineStr">
        <is>
          <t>No. of batches</t>
        </is>
      </c>
      <c r="D488">
        <f>IFERROR(INDEX(PP_Grid[#Data],$DD488,2),0)</f>
        <v/>
      </c>
      <c r="E488">
        <f>IFERROR(INDEX(PP_Grid[#Data],$DD488,3),0)</f>
        <v/>
      </c>
      <c r="F488">
        <f>IFERROR(INDEX(PP_Grid[#Data],$DD488,4),0)</f>
        <v/>
      </c>
      <c r="G488">
        <f>IFERROR(INDEX(PP_Grid[#Data],$DD488,5),0)</f>
        <v/>
      </c>
      <c r="H488">
        <f>IFERROR(INDEX(PP_Grid[#Data],$DD488,6),0)</f>
        <v/>
      </c>
      <c r="I488">
        <f>IFERROR(INDEX(PP_Grid[#Data],$DD488,7),0)</f>
        <v/>
      </c>
      <c r="J488">
        <f>IFERROR(INDEX(PP_Grid[#Data],$DD488,8),0)</f>
        <v/>
      </c>
      <c r="K488">
        <f>IFERROR(INDEX(PP_Grid[#Data],$DD488,9),0)</f>
        <v/>
      </c>
      <c r="L488">
        <f>IFERROR(INDEX(PP_Grid[#Data],$DD488,10),0)</f>
        <v/>
      </c>
      <c r="M488">
        <f>IFERROR(INDEX(PP_Grid[#Data],$DD488,11),0)</f>
        <v/>
      </c>
      <c r="N488">
        <f>IFERROR(INDEX(PP_Grid[#Data],$DD488,12),0)</f>
        <v/>
      </c>
      <c r="O488">
        <f>IFERROR(INDEX(PP_Grid[#Data],$DD488,13),0)</f>
        <v/>
      </c>
      <c r="P488">
        <f>IFERROR(INDEX(PP_Grid[#Data],$DD488,14),0)</f>
        <v/>
      </c>
      <c r="Q488">
        <f>IFERROR(INDEX(PP_Grid[#Data],$DD488,15),0)</f>
        <v/>
      </c>
      <c r="R488">
        <f>IFERROR(INDEX(PP_Grid[#Data],$DD488,16),0)</f>
        <v/>
      </c>
      <c r="S488">
        <f>IFERROR(INDEX(PP_Grid[#Data],$DD488,17),0)</f>
        <v/>
      </c>
      <c r="T488">
        <f>IFERROR(INDEX(PP_Grid[#Data],$DD488,18),0)</f>
        <v/>
      </c>
      <c r="U488">
        <f>IFERROR(INDEX(PP_Grid[#Data],$DD488,19),0)</f>
        <v/>
      </c>
      <c r="V488">
        <f>IFERROR(INDEX(PP_Grid[#Data],$DD488,20),0)</f>
        <v/>
      </c>
      <c r="W488">
        <f>IFERROR(INDEX(PP_Grid[#Data],$DD488,21),0)</f>
        <v/>
      </c>
      <c r="X488">
        <f>IFERROR(INDEX(PP_Grid[#Data],$DD488,22),0)</f>
        <v/>
      </c>
      <c r="Y488">
        <f>IFERROR(INDEX(PP_Grid[#Data],$DD488,23),0)</f>
        <v/>
      </c>
      <c r="Z488">
        <f>IFERROR(INDEX(PP_Grid[#Data],$DD488,24),0)</f>
        <v/>
      </c>
      <c r="AA488">
        <f>IFERROR(INDEX(PP_Grid[#Data],$DD488,25),0)</f>
        <v/>
      </c>
      <c r="AB488">
        <f>IFERROR(INDEX(PP_Grid[#Data],$DD488,26),0)</f>
        <v/>
      </c>
      <c r="AC488">
        <f>IFERROR(INDEX(PP_Grid[#Data],$DD488,27),0)</f>
        <v/>
      </c>
      <c r="AD488">
        <f>IFERROR(INDEX(PP_Grid[#Data],$DD488,28),0)</f>
        <v/>
      </c>
      <c r="AE488">
        <f>IFERROR(INDEX(PP_Grid[#Data],$DD488,29),0)</f>
        <v/>
      </c>
      <c r="AF488">
        <f>IFERROR(INDEX(PP_Grid[#Data],$DD488,30),0)</f>
        <v/>
      </c>
      <c r="AG488">
        <f>IFERROR(INDEX(PP_Grid[#Data],$DD488,31),0)</f>
        <v/>
      </c>
      <c r="AH488">
        <f>IFERROR(INDEX(PP_Grid[#Data],$DD488,32),0)</f>
        <v/>
      </c>
      <c r="AI488">
        <f>IFERROR(INDEX(PP_Grid[#Data],$DD488,33),0)</f>
        <v/>
      </c>
      <c r="AJ488">
        <f>IFERROR(INDEX(PP_Grid[#Data],$DD488,34),0)</f>
        <v/>
      </c>
      <c r="AK488">
        <f>IFERROR(INDEX(PP_Grid[#Data],$DD488,35),0)</f>
        <v/>
      </c>
      <c r="AL488">
        <f>IFERROR(INDEX(PP_Grid[#Data],$DD488,36),0)</f>
        <v/>
      </c>
      <c r="AM488">
        <f>IFERROR(INDEX(PP_Grid[#Data],$DD488,37),0)</f>
        <v/>
      </c>
      <c r="AN488">
        <f>IFERROR(INDEX(PP_Grid[#Data],$DD488,38),0)</f>
        <v/>
      </c>
      <c r="AO488">
        <f>IFERROR(INDEX(PP_Grid[#Data],$DD488,39),0)</f>
        <v/>
      </c>
      <c r="AP488">
        <f>IFERROR(INDEX(PP_Grid[#Data],$DD488,40),0)</f>
        <v/>
      </c>
      <c r="AQ488">
        <f>IFERROR(INDEX(PP_Grid[#Data],$DD488,41),0)</f>
        <v/>
      </c>
      <c r="AR488">
        <f>IFERROR(INDEX(PP_Grid[#Data],$DD488,42),0)</f>
        <v/>
      </c>
      <c r="AS488">
        <f>IFERROR(INDEX(PP_Grid[#Data],$DD488,43),0)</f>
        <v/>
      </c>
      <c r="AT488">
        <f>IFERROR(INDEX(PP_Grid[#Data],$DD488,44),0)</f>
        <v/>
      </c>
      <c r="AU488">
        <f>IFERROR(INDEX(PP_Grid[#Data],$DD488,45),0)</f>
        <v/>
      </c>
      <c r="AV488">
        <f>IFERROR(INDEX(PP_Grid[#Data],$DD488,46),0)</f>
        <v/>
      </c>
      <c r="AW488">
        <f>IFERROR(INDEX(PP_Grid[#Data],$DD488,47),0)</f>
        <v/>
      </c>
      <c r="AX488">
        <f>IFERROR(INDEX(PP_Grid[#Data],$DD488,48),0)</f>
        <v/>
      </c>
      <c r="AY488">
        <f>IFERROR(INDEX(PP_Grid[#Data],$DD488,49),0)</f>
        <v/>
      </c>
      <c r="AZ488">
        <f>IFERROR(INDEX(PP_Grid[#Data],$DD488,50),0)</f>
        <v/>
      </c>
      <c r="BA488">
        <f>IFERROR(INDEX(PP_Grid[#Data],$DD488,51),0)</f>
        <v/>
      </c>
      <c r="BB488">
        <f>IFERROR(INDEX(PP_Grid[#Data],$DD488,52),0)</f>
        <v/>
      </c>
      <c r="BC488">
        <f>IFERROR(INDEX(PP_Grid[#Data],$DD488,53),0)</f>
        <v/>
      </c>
      <c r="BD488">
        <f>IFERROR(INDEX(PP_Grid[#Data],$DD488,54),0)</f>
        <v/>
      </c>
      <c r="BE488">
        <f>IFERROR(INDEX(PP_Grid[#Data],$DD488,55),0)</f>
        <v/>
      </c>
      <c r="BF488">
        <f>IFERROR(INDEX(PP_Grid[#Data],$DD488,56),0)</f>
        <v/>
      </c>
      <c r="BG488">
        <f>IFERROR(INDEX(PP_Grid[#Data],$DD488,57),0)</f>
        <v/>
      </c>
      <c r="BH488">
        <f>IFERROR(INDEX(PP_Grid[#Data],$DD488,58),0)</f>
        <v/>
      </c>
      <c r="BI488">
        <f>IFERROR(INDEX(PP_Grid[#Data],$DD488,59),0)</f>
        <v/>
      </c>
      <c r="BJ488">
        <f>IFERROR(INDEX(PP_Grid[#Data],$DD488,60),0)</f>
        <v/>
      </c>
      <c r="BK488">
        <f>IFERROR(INDEX(PP_Grid[#Data],$DD488,61),0)</f>
        <v/>
      </c>
      <c r="BL488">
        <f>IFERROR(INDEX(PP_Grid[#Data],$DD488,62),0)</f>
        <v/>
      </c>
      <c r="BM488">
        <f>IFERROR(INDEX(PP_Grid[#Data],$DD488,63),0)</f>
        <v/>
      </c>
      <c r="BN488">
        <f>IFERROR(INDEX(PP_Grid[#Data],$DD488,64),0)</f>
        <v/>
      </c>
      <c r="BO488">
        <f>IFERROR(INDEX(PP_Grid[#Data],$DD488,65),0)</f>
        <v/>
      </c>
      <c r="BP488">
        <f>IFERROR(INDEX(PP_Grid[#Data],$DD488,66),0)</f>
        <v/>
      </c>
      <c r="BQ488">
        <f>IFERROR(INDEX(PP_Grid[#Data],$DD488,67),0)</f>
        <v/>
      </c>
      <c r="BR488">
        <f>IFERROR(INDEX(PP_Grid[#Data],$DD488,68),0)</f>
        <v/>
      </c>
      <c r="BS488">
        <f>IFERROR(INDEX(PP_Grid[#Data],$DD488,69),0)</f>
        <v/>
      </c>
      <c r="BT488">
        <f>IFERROR(INDEX(PP_Grid[#Data],$DD488,70),0)</f>
        <v/>
      </c>
      <c r="BU488">
        <f>IFERROR(INDEX(PP_Grid[#Data],$DD488,71),0)</f>
        <v/>
      </c>
      <c r="BV488">
        <f>IFERROR(INDEX(PP_Grid[#Data],$DD488,72),0)</f>
        <v/>
      </c>
      <c r="BW488">
        <f>IFERROR(INDEX(PP_Grid[#Data],$DD488,73),0)</f>
        <v/>
      </c>
      <c r="BX488">
        <f>IFERROR(INDEX(PP_Grid[#Data],$DD488,74),0)</f>
        <v/>
      </c>
      <c r="BY488">
        <f>IFERROR(INDEX(PP_Grid[#Data],$DD488,75),0)</f>
        <v/>
      </c>
      <c r="BZ488">
        <f>IFERROR(INDEX(PP_Grid[#Data],$DD488,76),0)</f>
        <v/>
      </c>
      <c r="CA488">
        <f>IFERROR(INDEX(PP_Grid[#Data],$DD488,77),0)</f>
        <v/>
      </c>
      <c r="CB488">
        <f>IFERROR(INDEX(PP_Grid[#Data],$DD488,78),0)</f>
        <v/>
      </c>
      <c r="CC488">
        <f>IFERROR(INDEX(PP_Grid[#Data],$DD488,79),0)</f>
        <v/>
      </c>
      <c r="CD488">
        <f>IFERROR(INDEX(PP_Grid[#Data],$DD488,80),0)</f>
        <v/>
      </c>
      <c r="CE488">
        <f>IFERROR(INDEX(PP_Grid[#Data],$DD488,81),0)</f>
        <v/>
      </c>
      <c r="CF488">
        <f>IFERROR(INDEX(PP_Grid[#Data],$DD488,82),0)</f>
        <v/>
      </c>
      <c r="CG488">
        <f>IFERROR(INDEX(PP_Grid[#Data],$DD488,83),0)</f>
        <v/>
      </c>
      <c r="CH488">
        <f>IFERROR(INDEX(PP_Grid[#Data],$DD488,84),0)</f>
        <v/>
      </c>
      <c r="CI488">
        <f>IFERROR(INDEX(PP_Grid[#Data],$DD488,85),0)</f>
        <v/>
      </c>
      <c r="CJ488">
        <f>IFERROR(INDEX(PP_Grid[#Data],$DD488,86),0)</f>
        <v/>
      </c>
      <c r="CK488">
        <f>IFERROR(INDEX(PP_Grid[#Data],$DD488,87),0)</f>
        <v/>
      </c>
      <c r="CL488">
        <f>IFERROR(INDEX(PP_Grid[#Data],$DD488,88),0)</f>
        <v/>
      </c>
      <c r="CM488">
        <f>IFERROR(INDEX(PP_Grid[#Data],$DD488,89),0)</f>
        <v/>
      </c>
      <c r="CN488">
        <f>IFERROR(INDEX(PP_Grid[#Data],$DD488,90),0)</f>
        <v/>
      </c>
      <c r="CO488">
        <f>IFERROR(INDEX(PP_Grid[#Data],$DD488,91),0)</f>
        <v/>
      </c>
      <c r="CP488">
        <f>IFERROR(INDEX(PP_Grid[#Data],$DD488,92),0)</f>
        <v/>
      </c>
      <c r="CQ488">
        <f>IFERROR(INDEX(PP_Grid[#Data],$DD488,93),0)</f>
        <v/>
      </c>
      <c r="CR488">
        <f>IFERROR(INDEX(PP_Grid[#Data],$DD488,94),0)</f>
        <v/>
      </c>
      <c r="CS488">
        <f>IFERROR(INDEX(PP_Grid[#Data],$DD488,95),0)</f>
        <v/>
      </c>
      <c r="CT488">
        <f>IFERROR(INDEX(PP_Grid[#Data],$DD488,96),0)</f>
        <v/>
      </c>
      <c r="CU488">
        <f>IFERROR(INDEX(PP_Grid[#Data],$DD488,97),0)</f>
        <v/>
      </c>
      <c r="CV488">
        <f>IFERROR(INDEX(PP_Grid[#Data],$DD488,98),0)</f>
        <v/>
      </c>
      <c r="CW488">
        <f>IFERROR(INDEX(PP_Grid[#Data],$DD488,99),0)</f>
        <v/>
      </c>
      <c r="CX488">
        <f>IFERROR(INDEX(PP_Grid[#Data],$DD488,100),0)</f>
        <v/>
      </c>
      <c r="CY488">
        <f>IFERROR(INDEX(PP_Grid[#Data],$DD488,101),0)</f>
        <v/>
      </c>
      <c r="CZ488">
        <f>IFERROR(INDEX(PP_Grid[#Data],$DD488,102),0)</f>
        <v/>
      </c>
      <c r="DA488">
        <f>IFERROR(INDEX(PP_Grid[#Data],$DD488,103),0)</f>
        <v/>
      </c>
      <c r="DB488">
        <f>IFERROR(INDEX(PP_Grid[#Data],$DD488,104),0)</f>
        <v/>
      </c>
      <c r="DC488">
        <f>IFERROR(INDEX(PP_Grid[#Data],$DD488,105),0)</f>
        <v/>
      </c>
      <c r="DD488" s="12">
        <f>IFERROR(MATCH($B488,PP_Grid[Intermediate],0),99999)</f>
        <v/>
      </c>
    </row>
    <row r="489">
      <c r="B489" t="inlineStr">
        <is>
          <t>使用量(kg)</t>
        </is>
      </c>
      <c r="C489">
        <f>SUMIFS(M_BOM[RM_Qty_Per_Batch],M_BOM[Intermediate],$B488,M_BOM[Part Name],$A439)</f>
        <v/>
      </c>
      <c r="D489">
        <f>$C489*D488</f>
        <v/>
      </c>
      <c r="E489">
        <f>$C489*E488</f>
        <v/>
      </c>
      <c r="F489">
        <f>$C489*F488</f>
        <v/>
      </c>
      <c r="G489">
        <f>$C489*G488</f>
        <v/>
      </c>
      <c r="H489">
        <f>$C489*H488</f>
        <v/>
      </c>
      <c r="I489">
        <f>$C489*I488</f>
        <v/>
      </c>
      <c r="J489">
        <f>$C489*J488</f>
        <v/>
      </c>
      <c r="K489">
        <f>$C489*K488</f>
        <v/>
      </c>
      <c r="L489">
        <f>$C489*L488</f>
        <v/>
      </c>
      <c r="M489">
        <f>$C489*M488</f>
        <v/>
      </c>
      <c r="N489">
        <f>$C489*N488</f>
        <v/>
      </c>
      <c r="O489">
        <f>$C489*O488</f>
        <v/>
      </c>
      <c r="P489">
        <f>$C489*P488</f>
        <v/>
      </c>
      <c r="Q489">
        <f>$C489*Q488</f>
        <v/>
      </c>
      <c r="R489">
        <f>$C489*R488</f>
        <v/>
      </c>
      <c r="S489">
        <f>$C489*S488</f>
        <v/>
      </c>
      <c r="T489">
        <f>$C489*T488</f>
        <v/>
      </c>
      <c r="U489">
        <f>$C489*U488</f>
        <v/>
      </c>
      <c r="V489">
        <f>$C489*V488</f>
        <v/>
      </c>
      <c r="W489">
        <f>$C489*W488</f>
        <v/>
      </c>
      <c r="X489">
        <f>$C489*X488</f>
        <v/>
      </c>
      <c r="Y489">
        <f>$C489*Y488</f>
        <v/>
      </c>
      <c r="Z489">
        <f>$C489*Z488</f>
        <v/>
      </c>
      <c r="AA489">
        <f>$C489*AA488</f>
        <v/>
      </c>
      <c r="AB489">
        <f>$C489*AB488</f>
        <v/>
      </c>
      <c r="AC489">
        <f>$C489*AC488</f>
        <v/>
      </c>
      <c r="AD489">
        <f>$C489*AD488</f>
        <v/>
      </c>
      <c r="AE489">
        <f>$C489*AE488</f>
        <v/>
      </c>
      <c r="AF489">
        <f>$C489*AF488</f>
        <v/>
      </c>
      <c r="AG489">
        <f>$C489*AG488</f>
        <v/>
      </c>
      <c r="AH489">
        <f>$C489*AH488</f>
        <v/>
      </c>
      <c r="AI489">
        <f>$C489*AI488</f>
        <v/>
      </c>
      <c r="AJ489">
        <f>$C489*AJ488</f>
        <v/>
      </c>
      <c r="AK489">
        <f>$C489*AK488</f>
        <v/>
      </c>
      <c r="AL489">
        <f>$C489*AL488</f>
        <v/>
      </c>
      <c r="AM489">
        <f>$C489*AM488</f>
        <v/>
      </c>
      <c r="AN489">
        <f>$C489*AN488</f>
        <v/>
      </c>
      <c r="AO489">
        <f>$C489*AO488</f>
        <v/>
      </c>
      <c r="AP489">
        <f>$C489*AP488</f>
        <v/>
      </c>
      <c r="AQ489">
        <f>$C489*AQ488</f>
        <v/>
      </c>
      <c r="AR489">
        <f>$C489*AR488</f>
        <v/>
      </c>
      <c r="AS489">
        <f>$C489*AS488</f>
        <v/>
      </c>
      <c r="AT489">
        <f>$C489*AT488</f>
        <v/>
      </c>
      <c r="AU489">
        <f>$C489*AU488</f>
        <v/>
      </c>
      <c r="AV489">
        <f>$C489*AV488</f>
        <v/>
      </c>
      <c r="AW489">
        <f>$C489*AW488</f>
        <v/>
      </c>
      <c r="AX489">
        <f>$C489*AX488</f>
        <v/>
      </c>
      <c r="AY489">
        <f>$C489*AY488</f>
        <v/>
      </c>
      <c r="AZ489">
        <f>$C489*AZ488</f>
        <v/>
      </c>
      <c r="BA489">
        <f>$C489*BA488</f>
        <v/>
      </c>
      <c r="BB489">
        <f>$C489*BB488</f>
        <v/>
      </c>
      <c r="BC489">
        <f>$C489*BC488</f>
        <v/>
      </c>
      <c r="BD489">
        <f>$C489*BD488</f>
        <v/>
      </c>
      <c r="BE489">
        <f>$C489*BE488</f>
        <v/>
      </c>
      <c r="BF489">
        <f>$C489*BF488</f>
        <v/>
      </c>
      <c r="BG489">
        <f>$C489*BG488</f>
        <v/>
      </c>
      <c r="BH489">
        <f>$C489*BH488</f>
        <v/>
      </c>
      <c r="BI489">
        <f>$C489*BI488</f>
        <v/>
      </c>
      <c r="BJ489">
        <f>$C489*BJ488</f>
        <v/>
      </c>
      <c r="BK489">
        <f>$C489*BK488</f>
        <v/>
      </c>
      <c r="BL489">
        <f>$C489*BL488</f>
        <v/>
      </c>
      <c r="BM489">
        <f>$C489*BM488</f>
        <v/>
      </c>
      <c r="BN489">
        <f>$C489*BN488</f>
        <v/>
      </c>
      <c r="BO489">
        <f>$C489*BO488</f>
        <v/>
      </c>
      <c r="BP489">
        <f>$C489*BP488</f>
        <v/>
      </c>
      <c r="BQ489">
        <f>$C489*BQ488</f>
        <v/>
      </c>
      <c r="BR489">
        <f>$C489*BR488</f>
        <v/>
      </c>
      <c r="BS489">
        <f>$C489*BS488</f>
        <v/>
      </c>
      <c r="BT489">
        <f>$C489*BT488</f>
        <v/>
      </c>
      <c r="BU489">
        <f>$C489*BU488</f>
        <v/>
      </c>
      <c r="BV489">
        <f>$C489*BV488</f>
        <v/>
      </c>
      <c r="BW489">
        <f>$C489*BW488</f>
        <v/>
      </c>
      <c r="BX489">
        <f>$C489*BX488</f>
        <v/>
      </c>
      <c r="BY489">
        <f>$C489*BY488</f>
        <v/>
      </c>
      <c r="BZ489">
        <f>$C489*BZ488</f>
        <v/>
      </c>
      <c r="CA489">
        <f>$C489*CA488</f>
        <v/>
      </c>
      <c r="CB489">
        <f>$C489*CB488</f>
        <v/>
      </c>
      <c r="CC489">
        <f>$C489*CC488</f>
        <v/>
      </c>
      <c r="CD489">
        <f>$C489*CD488</f>
        <v/>
      </c>
      <c r="CE489">
        <f>$C489*CE488</f>
        <v/>
      </c>
      <c r="CF489">
        <f>$C489*CF488</f>
        <v/>
      </c>
      <c r="CG489">
        <f>$C489*CG488</f>
        <v/>
      </c>
      <c r="CH489">
        <f>$C489*CH488</f>
        <v/>
      </c>
      <c r="CI489">
        <f>$C489*CI488</f>
        <v/>
      </c>
      <c r="CJ489">
        <f>$C489*CJ488</f>
        <v/>
      </c>
      <c r="CK489">
        <f>$C489*CK488</f>
        <v/>
      </c>
      <c r="CL489">
        <f>$C489*CL488</f>
        <v/>
      </c>
      <c r="CM489">
        <f>$C489*CM488</f>
        <v/>
      </c>
      <c r="CN489">
        <f>$C489*CN488</f>
        <v/>
      </c>
      <c r="CO489">
        <f>$C489*CO488</f>
        <v/>
      </c>
      <c r="CP489">
        <f>$C489*CP488</f>
        <v/>
      </c>
      <c r="CQ489">
        <f>$C489*CQ488</f>
        <v/>
      </c>
      <c r="CR489">
        <f>$C489*CR488</f>
        <v/>
      </c>
      <c r="CS489">
        <f>$C489*CS488</f>
        <v/>
      </c>
      <c r="CT489">
        <f>$C489*CT488</f>
        <v/>
      </c>
      <c r="CU489">
        <f>$C489*CU488</f>
        <v/>
      </c>
      <c r="CV489">
        <f>$C489*CV488</f>
        <v/>
      </c>
      <c r="CW489">
        <f>$C489*CW488</f>
        <v/>
      </c>
      <c r="CX489">
        <f>$C489*CX488</f>
        <v/>
      </c>
      <c r="CY489">
        <f>$C489*CY488</f>
        <v/>
      </c>
      <c r="CZ489">
        <f>$C489*CZ488</f>
        <v/>
      </c>
      <c r="DA489">
        <f>$C489*DA488</f>
        <v/>
      </c>
      <c r="DB489">
        <f>$C489*DB488</f>
        <v/>
      </c>
      <c r="DC489">
        <f>$C489*DC488</f>
        <v/>
      </c>
    </row>
    <row r="490">
      <c r="B490" t="inlineStr">
        <is>
          <t>TSP-369</t>
        </is>
      </c>
      <c r="C490" t="inlineStr">
        <is>
          <t>No. of batches</t>
        </is>
      </c>
      <c r="D490">
        <f>IFERROR(INDEX(PP_Grid[#Data],$DD490,2),0)</f>
        <v/>
      </c>
      <c r="E490">
        <f>IFERROR(INDEX(PP_Grid[#Data],$DD490,3),0)</f>
        <v/>
      </c>
      <c r="F490">
        <f>IFERROR(INDEX(PP_Grid[#Data],$DD490,4),0)</f>
        <v/>
      </c>
      <c r="G490">
        <f>IFERROR(INDEX(PP_Grid[#Data],$DD490,5),0)</f>
        <v/>
      </c>
      <c r="H490">
        <f>IFERROR(INDEX(PP_Grid[#Data],$DD490,6),0)</f>
        <v/>
      </c>
      <c r="I490">
        <f>IFERROR(INDEX(PP_Grid[#Data],$DD490,7),0)</f>
        <v/>
      </c>
      <c r="J490">
        <f>IFERROR(INDEX(PP_Grid[#Data],$DD490,8),0)</f>
        <v/>
      </c>
      <c r="K490">
        <f>IFERROR(INDEX(PP_Grid[#Data],$DD490,9),0)</f>
        <v/>
      </c>
      <c r="L490">
        <f>IFERROR(INDEX(PP_Grid[#Data],$DD490,10),0)</f>
        <v/>
      </c>
      <c r="M490">
        <f>IFERROR(INDEX(PP_Grid[#Data],$DD490,11),0)</f>
        <v/>
      </c>
      <c r="N490">
        <f>IFERROR(INDEX(PP_Grid[#Data],$DD490,12),0)</f>
        <v/>
      </c>
      <c r="O490">
        <f>IFERROR(INDEX(PP_Grid[#Data],$DD490,13),0)</f>
        <v/>
      </c>
      <c r="P490">
        <f>IFERROR(INDEX(PP_Grid[#Data],$DD490,14),0)</f>
        <v/>
      </c>
      <c r="Q490">
        <f>IFERROR(INDEX(PP_Grid[#Data],$DD490,15),0)</f>
        <v/>
      </c>
      <c r="R490">
        <f>IFERROR(INDEX(PP_Grid[#Data],$DD490,16),0)</f>
        <v/>
      </c>
      <c r="S490">
        <f>IFERROR(INDEX(PP_Grid[#Data],$DD490,17),0)</f>
        <v/>
      </c>
      <c r="T490">
        <f>IFERROR(INDEX(PP_Grid[#Data],$DD490,18),0)</f>
        <v/>
      </c>
      <c r="U490">
        <f>IFERROR(INDEX(PP_Grid[#Data],$DD490,19),0)</f>
        <v/>
      </c>
      <c r="V490">
        <f>IFERROR(INDEX(PP_Grid[#Data],$DD490,20),0)</f>
        <v/>
      </c>
      <c r="W490">
        <f>IFERROR(INDEX(PP_Grid[#Data],$DD490,21),0)</f>
        <v/>
      </c>
      <c r="X490">
        <f>IFERROR(INDEX(PP_Grid[#Data],$DD490,22),0)</f>
        <v/>
      </c>
      <c r="Y490">
        <f>IFERROR(INDEX(PP_Grid[#Data],$DD490,23),0)</f>
        <v/>
      </c>
      <c r="Z490">
        <f>IFERROR(INDEX(PP_Grid[#Data],$DD490,24),0)</f>
        <v/>
      </c>
      <c r="AA490">
        <f>IFERROR(INDEX(PP_Grid[#Data],$DD490,25),0)</f>
        <v/>
      </c>
      <c r="AB490">
        <f>IFERROR(INDEX(PP_Grid[#Data],$DD490,26),0)</f>
        <v/>
      </c>
      <c r="AC490">
        <f>IFERROR(INDEX(PP_Grid[#Data],$DD490,27),0)</f>
        <v/>
      </c>
      <c r="AD490">
        <f>IFERROR(INDEX(PP_Grid[#Data],$DD490,28),0)</f>
        <v/>
      </c>
      <c r="AE490">
        <f>IFERROR(INDEX(PP_Grid[#Data],$DD490,29),0)</f>
        <v/>
      </c>
      <c r="AF490">
        <f>IFERROR(INDEX(PP_Grid[#Data],$DD490,30),0)</f>
        <v/>
      </c>
      <c r="AG490">
        <f>IFERROR(INDEX(PP_Grid[#Data],$DD490,31),0)</f>
        <v/>
      </c>
      <c r="AH490">
        <f>IFERROR(INDEX(PP_Grid[#Data],$DD490,32),0)</f>
        <v/>
      </c>
      <c r="AI490">
        <f>IFERROR(INDEX(PP_Grid[#Data],$DD490,33),0)</f>
        <v/>
      </c>
      <c r="AJ490">
        <f>IFERROR(INDEX(PP_Grid[#Data],$DD490,34),0)</f>
        <v/>
      </c>
      <c r="AK490">
        <f>IFERROR(INDEX(PP_Grid[#Data],$DD490,35),0)</f>
        <v/>
      </c>
      <c r="AL490">
        <f>IFERROR(INDEX(PP_Grid[#Data],$DD490,36),0)</f>
        <v/>
      </c>
      <c r="AM490">
        <f>IFERROR(INDEX(PP_Grid[#Data],$DD490,37),0)</f>
        <v/>
      </c>
      <c r="AN490">
        <f>IFERROR(INDEX(PP_Grid[#Data],$DD490,38),0)</f>
        <v/>
      </c>
      <c r="AO490">
        <f>IFERROR(INDEX(PP_Grid[#Data],$DD490,39),0)</f>
        <v/>
      </c>
      <c r="AP490">
        <f>IFERROR(INDEX(PP_Grid[#Data],$DD490,40),0)</f>
        <v/>
      </c>
      <c r="AQ490">
        <f>IFERROR(INDEX(PP_Grid[#Data],$DD490,41),0)</f>
        <v/>
      </c>
      <c r="AR490">
        <f>IFERROR(INDEX(PP_Grid[#Data],$DD490,42),0)</f>
        <v/>
      </c>
      <c r="AS490">
        <f>IFERROR(INDEX(PP_Grid[#Data],$DD490,43),0)</f>
        <v/>
      </c>
      <c r="AT490">
        <f>IFERROR(INDEX(PP_Grid[#Data],$DD490,44),0)</f>
        <v/>
      </c>
      <c r="AU490">
        <f>IFERROR(INDEX(PP_Grid[#Data],$DD490,45),0)</f>
        <v/>
      </c>
      <c r="AV490">
        <f>IFERROR(INDEX(PP_Grid[#Data],$DD490,46),0)</f>
        <v/>
      </c>
      <c r="AW490">
        <f>IFERROR(INDEX(PP_Grid[#Data],$DD490,47),0)</f>
        <v/>
      </c>
      <c r="AX490">
        <f>IFERROR(INDEX(PP_Grid[#Data],$DD490,48),0)</f>
        <v/>
      </c>
      <c r="AY490">
        <f>IFERROR(INDEX(PP_Grid[#Data],$DD490,49),0)</f>
        <v/>
      </c>
      <c r="AZ490">
        <f>IFERROR(INDEX(PP_Grid[#Data],$DD490,50),0)</f>
        <v/>
      </c>
      <c r="BA490">
        <f>IFERROR(INDEX(PP_Grid[#Data],$DD490,51),0)</f>
        <v/>
      </c>
      <c r="BB490">
        <f>IFERROR(INDEX(PP_Grid[#Data],$DD490,52),0)</f>
        <v/>
      </c>
      <c r="BC490">
        <f>IFERROR(INDEX(PP_Grid[#Data],$DD490,53),0)</f>
        <v/>
      </c>
      <c r="BD490">
        <f>IFERROR(INDEX(PP_Grid[#Data],$DD490,54),0)</f>
        <v/>
      </c>
      <c r="BE490">
        <f>IFERROR(INDEX(PP_Grid[#Data],$DD490,55),0)</f>
        <v/>
      </c>
      <c r="BF490">
        <f>IFERROR(INDEX(PP_Grid[#Data],$DD490,56),0)</f>
        <v/>
      </c>
      <c r="BG490">
        <f>IFERROR(INDEX(PP_Grid[#Data],$DD490,57),0)</f>
        <v/>
      </c>
      <c r="BH490">
        <f>IFERROR(INDEX(PP_Grid[#Data],$DD490,58),0)</f>
        <v/>
      </c>
      <c r="BI490">
        <f>IFERROR(INDEX(PP_Grid[#Data],$DD490,59),0)</f>
        <v/>
      </c>
      <c r="BJ490">
        <f>IFERROR(INDEX(PP_Grid[#Data],$DD490,60),0)</f>
        <v/>
      </c>
      <c r="BK490">
        <f>IFERROR(INDEX(PP_Grid[#Data],$DD490,61),0)</f>
        <v/>
      </c>
      <c r="BL490">
        <f>IFERROR(INDEX(PP_Grid[#Data],$DD490,62),0)</f>
        <v/>
      </c>
      <c r="BM490">
        <f>IFERROR(INDEX(PP_Grid[#Data],$DD490,63),0)</f>
        <v/>
      </c>
      <c r="BN490">
        <f>IFERROR(INDEX(PP_Grid[#Data],$DD490,64),0)</f>
        <v/>
      </c>
      <c r="BO490">
        <f>IFERROR(INDEX(PP_Grid[#Data],$DD490,65),0)</f>
        <v/>
      </c>
      <c r="BP490">
        <f>IFERROR(INDEX(PP_Grid[#Data],$DD490,66),0)</f>
        <v/>
      </c>
      <c r="BQ490">
        <f>IFERROR(INDEX(PP_Grid[#Data],$DD490,67),0)</f>
        <v/>
      </c>
      <c r="BR490">
        <f>IFERROR(INDEX(PP_Grid[#Data],$DD490,68),0)</f>
        <v/>
      </c>
      <c r="BS490">
        <f>IFERROR(INDEX(PP_Grid[#Data],$DD490,69),0)</f>
        <v/>
      </c>
      <c r="BT490">
        <f>IFERROR(INDEX(PP_Grid[#Data],$DD490,70),0)</f>
        <v/>
      </c>
      <c r="BU490">
        <f>IFERROR(INDEX(PP_Grid[#Data],$DD490,71),0)</f>
        <v/>
      </c>
      <c r="BV490">
        <f>IFERROR(INDEX(PP_Grid[#Data],$DD490,72),0)</f>
        <v/>
      </c>
      <c r="BW490">
        <f>IFERROR(INDEX(PP_Grid[#Data],$DD490,73),0)</f>
        <v/>
      </c>
      <c r="BX490">
        <f>IFERROR(INDEX(PP_Grid[#Data],$DD490,74),0)</f>
        <v/>
      </c>
      <c r="BY490">
        <f>IFERROR(INDEX(PP_Grid[#Data],$DD490,75),0)</f>
        <v/>
      </c>
      <c r="BZ490">
        <f>IFERROR(INDEX(PP_Grid[#Data],$DD490,76),0)</f>
        <v/>
      </c>
      <c r="CA490">
        <f>IFERROR(INDEX(PP_Grid[#Data],$DD490,77),0)</f>
        <v/>
      </c>
      <c r="CB490">
        <f>IFERROR(INDEX(PP_Grid[#Data],$DD490,78),0)</f>
        <v/>
      </c>
      <c r="CC490">
        <f>IFERROR(INDEX(PP_Grid[#Data],$DD490,79),0)</f>
        <v/>
      </c>
      <c r="CD490">
        <f>IFERROR(INDEX(PP_Grid[#Data],$DD490,80),0)</f>
        <v/>
      </c>
      <c r="CE490">
        <f>IFERROR(INDEX(PP_Grid[#Data],$DD490,81),0)</f>
        <v/>
      </c>
      <c r="CF490">
        <f>IFERROR(INDEX(PP_Grid[#Data],$DD490,82),0)</f>
        <v/>
      </c>
      <c r="CG490">
        <f>IFERROR(INDEX(PP_Grid[#Data],$DD490,83),0)</f>
        <v/>
      </c>
      <c r="CH490">
        <f>IFERROR(INDEX(PP_Grid[#Data],$DD490,84),0)</f>
        <v/>
      </c>
      <c r="CI490">
        <f>IFERROR(INDEX(PP_Grid[#Data],$DD490,85),0)</f>
        <v/>
      </c>
      <c r="CJ490">
        <f>IFERROR(INDEX(PP_Grid[#Data],$DD490,86),0)</f>
        <v/>
      </c>
      <c r="CK490">
        <f>IFERROR(INDEX(PP_Grid[#Data],$DD490,87),0)</f>
        <v/>
      </c>
      <c r="CL490">
        <f>IFERROR(INDEX(PP_Grid[#Data],$DD490,88),0)</f>
        <v/>
      </c>
      <c r="CM490">
        <f>IFERROR(INDEX(PP_Grid[#Data],$DD490,89),0)</f>
        <v/>
      </c>
      <c r="CN490">
        <f>IFERROR(INDEX(PP_Grid[#Data],$DD490,90),0)</f>
        <v/>
      </c>
      <c r="CO490">
        <f>IFERROR(INDEX(PP_Grid[#Data],$DD490,91),0)</f>
        <v/>
      </c>
      <c r="CP490">
        <f>IFERROR(INDEX(PP_Grid[#Data],$DD490,92),0)</f>
        <v/>
      </c>
      <c r="CQ490">
        <f>IFERROR(INDEX(PP_Grid[#Data],$DD490,93),0)</f>
        <v/>
      </c>
      <c r="CR490">
        <f>IFERROR(INDEX(PP_Grid[#Data],$DD490,94),0)</f>
        <v/>
      </c>
      <c r="CS490">
        <f>IFERROR(INDEX(PP_Grid[#Data],$DD490,95),0)</f>
        <v/>
      </c>
      <c r="CT490">
        <f>IFERROR(INDEX(PP_Grid[#Data],$DD490,96),0)</f>
        <v/>
      </c>
      <c r="CU490">
        <f>IFERROR(INDEX(PP_Grid[#Data],$DD490,97),0)</f>
        <v/>
      </c>
      <c r="CV490">
        <f>IFERROR(INDEX(PP_Grid[#Data],$DD490,98),0)</f>
        <v/>
      </c>
      <c r="CW490">
        <f>IFERROR(INDEX(PP_Grid[#Data],$DD490,99),0)</f>
        <v/>
      </c>
      <c r="CX490">
        <f>IFERROR(INDEX(PP_Grid[#Data],$DD490,100),0)</f>
        <v/>
      </c>
      <c r="CY490">
        <f>IFERROR(INDEX(PP_Grid[#Data],$DD490,101),0)</f>
        <v/>
      </c>
      <c r="CZ490">
        <f>IFERROR(INDEX(PP_Grid[#Data],$DD490,102),0)</f>
        <v/>
      </c>
      <c r="DA490">
        <f>IFERROR(INDEX(PP_Grid[#Data],$DD490,103),0)</f>
        <v/>
      </c>
      <c r="DB490">
        <f>IFERROR(INDEX(PP_Grid[#Data],$DD490,104),0)</f>
        <v/>
      </c>
      <c r="DC490">
        <f>IFERROR(INDEX(PP_Grid[#Data],$DD490,105),0)</f>
        <v/>
      </c>
      <c r="DD490" s="12">
        <f>IFERROR(MATCH($B490,PP_Grid[Intermediate],0),99999)</f>
        <v/>
      </c>
    </row>
    <row r="491">
      <c r="B491" t="inlineStr">
        <is>
          <t>使用量(kg)</t>
        </is>
      </c>
      <c r="C491">
        <f>SUMIFS(M_BOM[RM_Qty_Per_Batch],M_BOM[Intermediate],$B490,M_BOM[Part Name],$A439)</f>
        <v/>
      </c>
      <c r="D491">
        <f>$C491*D490</f>
        <v/>
      </c>
      <c r="E491">
        <f>$C491*E490</f>
        <v/>
      </c>
      <c r="F491">
        <f>$C491*F490</f>
        <v/>
      </c>
      <c r="G491">
        <f>$C491*G490</f>
        <v/>
      </c>
      <c r="H491">
        <f>$C491*H490</f>
        <v/>
      </c>
      <c r="I491">
        <f>$C491*I490</f>
        <v/>
      </c>
      <c r="J491">
        <f>$C491*J490</f>
        <v/>
      </c>
      <c r="K491">
        <f>$C491*K490</f>
        <v/>
      </c>
      <c r="L491">
        <f>$C491*L490</f>
        <v/>
      </c>
      <c r="M491">
        <f>$C491*M490</f>
        <v/>
      </c>
      <c r="N491">
        <f>$C491*N490</f>
        <v/>
      </c>
      <c r="O491">
        <f>$C491*O490</f>
        <v/>
      </c>
      <c r="P491">
        <f>$C491*P490</f>
        <v/>
      </c>
      <c r="Q491">
        <f>$C491*Q490</f>
        <v/>
      </c>
      <c r="R491">
        <f>$C491*R490</f>
        <v/>
      </c>
      <c r="S491">
        <f>$C491*S490</f>
        <v/>
      </c>
      <c r="T491">
        <f>$C491*T490</f>
        <v/>
      </c>
      <c r="U491">
        <f>$C491*U490</f>
        <v/>
      </c>
      <c r="V491">
        <f>$C491*V490</f>
        <v/>
      </c>
      <c r="W491">
        <f>$C491*W490</f>
        <v/>
      </c>
      <c r="X491">
        <f>$C491*X490</f>
        <v/>
      </c>
      <c r="Y491">
        <f>$C491*Y490</f>
        <v/>
      </c>
      <c r="Z491">
        <f>$C491*Z490</f>
        <v/>
      </c>
      <c r="AA491">
        <f>$C491*AA490</f>
        <v/>
      </c>
      <c r="AB491">
        <f>$C491*AB490</f>
        <v/>
      </c>
      <c r="AC491">
        <f>$C491*AC490</f>
        <v/>
      </c>
      <c r="AD491">
        <f>$C491*AD490</f>
        <v/>
      </c>
      <c r="AE491">
        <f>$C491*AE490</f>
        <v/>
      </c>
      <c r="AF491">
        <f>$C491*AF490</f>
        <v/>
      </c>
      <c r="AG491">
        <f>$C491*AG490</f>
        <v/>
      </c>
      <c r="AH491">
        <f>$C491*AH490</f>
        <v/>
      </c>
      <c r="AI491">
        <f>$C491*AI490</f>
        <v/>
      </c>
      <c r="AJ491">
        <f>$C491*AJ490</f>
        <v/>
      </c>
      <c r="AK491">
        <f>$C491*AK490</f>
        <v/>
      </c>
      <c r="AL491">
        <f>$C491*AL490</f>
        <v/>
      </c>
      <c r="AM491">
        <f>$C491*AM490</f>
        <v/>
      </c>
      <c r="AN491">
        <f>$C491*AN490</f>
        <v/>
      </c>
      <c r="AO491">
        <f>$C491*AO490</f>
        <v/>
      </c>
      <c r="AP491">
        <f>$C491*AP490</f>
        <v/>
      </c>
      <c r="AQ491">
        <f>$C491*AQ490</f>
        <v/>
      </c>
      <c r="AR491">
        <f>$C491*AR490</f>
        <v/>
      </c>
      <c r="AS491">
        <f>$C491*AS490</f>
        <v/>
      </c>
      <c r="AT491">
        <f>$C491*AT490</f>
        <v/>
      </c>
      <c r="AU491">
        <f>$C491*AU490</f>
        <v/>
      </c>
      <c r="AV491">
        <f>$C491*AV490</f>
        <v/>
      </c>
      <c r="AW491">
        <f>$C491*AW490</f>
        <v/>
      </c>
      <c r="AX491">
        <f>$C491*AX490</f>
        <v/>
      </c>
      <c r="AY491">
        <f>$C491*AY490</f>
        <v/>
      </c>
      <c r="AZ491">
        <f>$C491*AZ490</f>
        <v/>
      </c>
      <c r="BA491">
        <f>$C491*BA490</f>
        <v/>
      </c>
      <c r="BB491">
        <f>$C491*BB490</f>
        <v/>
      </c>
      <c r="BC491">
        <f>$C491*BC490</f>
        <v/>
      </c>
      <c r="BD491">
        <f>$C491*BD490</f>
        <v/>
      </c>
      <c r="BE491">
        <f>$C491*BE490</f>
        <v/>
      </c>
      <c r="BF491">
        <f>$C491*BF490</f>
        <v/>
      </c>
      <c r="BG491">
        <f>$C491*BG490</f>
        <v/>
      </c>
      <c r="BH491">
        <f>$C491*BH490</f>
        <v/>
      </c>
      <c r="BI491">
        <f>$C491*BI490</f>
        <v/>
      </c>
      <c r="BJ491">
        <f>$C491*BJ490</f>
        <v/>
      </c>
      <c r="BK491">
        <f>$C491*BK490</f>
        <v/>
      </c>
      <c r="BL491">
        <f>$C491*BL490</f>
        <v/>
      </c>
      <c r="BM491">
        <f>$C491*BM490</f>
        <v/>
      </c>
      <c r="BN491">
        <f>$C491*BN490</f>
        <v/>
      </c>
      <c r="BO491">
        <f>$C491*BO490</f>
        <v/>
      </c>
      <c r="BP491">
        <f>$C491*BP490</f>
        <v/>
      </c>
      <c r="BQ491">
        <f>$C491*BQ490</f>
        <v/>
      </c>
      <c r="BR491">
        <f>$C491*BR490</f>
        <v/>
      </c>
      <c r="BS491">
        <f>$C491*BS490</f>
        <v/>
      </c>
      <c r="BT491">
        <f>$C491*BT490</f>
        <v/>
      </c>
      <c r="BU491">
        <f>$C491*BU490</f>
        <v/>
      </c>
      <c r="BV491">
        <f>$C491*BV490</f>
        <v/>
      </c>
      <c r="BW491">
        <f>$C491*BW490</f>
        <v/>
      </c>
      <c r="BX491">
        <f>$C491*BX490</f>
        <v/>
      </c>
      <c r="BY491">
        <f>$C491*BY490</f>
        <v/>
      </c>
      <c r="BZ491">
        <f>$C491*BZ490</f>
        <v/>
      </c>
      <c r="CA491">
        <f>$C491*CA490</f>
        <v/>
      </c>
      <c r="CB491">
        <f>$C491*CB490</f>
        <v/>
      </c>
      <c r="CC491">
        <f>$C491*CC490</f>
        <v/>
      </c>
      <c r="CD491">
        <f>$C491*CD490</f>
        <v/>
      </c>
      <c r="CE491">
        <f>$C491*CE490</f>
        <v/>
      </c>
      <c r="CF491">
        <f>$C491*CF490</f>
        <v/>
      </c>
      <c r="CG491">
        <f>$C491*CG490</f>
        <v/>
      </c>
      <c r="CH491">
        <f>$C491*CH490</f>
        <v/>
      </c>
      <c r="CI491">
        <f>$C491*CI490</f>
        <v/>
      </c>
      <c r="CJ491">
        <f>$C491*CJ490</f>
        <v/>
      </c>
      <c r="CK491">
        <f>$C491*CK490</f>
        <v/>
      </c>
      <c r="CL491">
        <f>$C491*CL490</f>
        <v/>
      </c>
      <c r="CM491">
        <f>$C491*CM490</f>
        <v/>
      </c>
      <c r="CN491">
        <f>$C491*CN490</f>
        <v/>
      </c>
      <c r="CO491">
        <f>$C491*CO490</f>
        <v/>
      </c>
      <c r="CP491">
        <f>$C491*CP490</f>
        <v/>
      </c>
      <c r="CQ491">
        <f>$C491*CQ490</f>
        <v/>
      </c>
      <c r="CR491">
        <f>$C491*CR490</f>
        <v/>
      </c>
      <c r="CS491">
        <f>$C491*CS490</f>
        <v/>
      </c>
      <c r="CT491">
        <f>$C491*CT490</f>
        <v/>
      </c>
      <c r="CU491">
        <f>$C491*CU490</f>
        <v/>
      </c>
      <c r="CV491">
        <f>$C491*CV490</f>
        <v/>
      </c>
      <c r="CW491">
        <f>$C491*CW490</f>
        <v/>
      </c>
      <c r="CX491">
        <f>$C491*CX490</f>
        <v/>
      </c>
      <c r="CY491">
        <f>$C491*CY490</f>
        <v/>
      </c>
      <c r="CZ491">
        <f>$C491*CZ490</f>
        <v/>
      </c>
      <c r="DA491">
        <f>$C491*DA490</f>
        <v/>
      </c>
      <c r="DB491">
        <f>$C491*DB490</f>
        <v/>
      </c>
      <c r="DC491">
        <f>$C491*DC490</f>
        <v/>
      </c>
    </row>
    <row r="492">
      <c r="B492" t="inlineStr">
        <is>
          <t>TSP-402</t>
        </is>
      </c>
      <c r="C492" t="inlineStr">
        <is>
          <t>No. of batches</t>
        </is>
      </c>
      <c r="D492">
        <f>IFERROR(INDEX(PP_Grid[#Data],$DD492,2),0)</f>
        <v/>
      </c>
      <c r="E492">
        <f>IFERROR(INDEX(PP_Grid[#Data],$DD492,3),0)</f>
        <v/>
      </c>
      <c r="F492">
        <f>IFERROR(INDEX(PP_Grid[#Data],$DD492,4),0)</f>
        <v/>
      </c>
      <c r="G492">
        <f>IFERROR(INDEX(PP_Grid[#Data],$DD492,5),0)</f>
        <v/>
      </c>
      <c r="H492">
        <f>IFERROR(INDEX(PP_Grid[#Data],$DD492,6),0)</f>
        <v/>
      </c>
      <c r="I492">
        <f>IFERROR(INDEX(PP_Grid[#Data],$DD492,7),0)</f>
        <v/>
      </c>
      <c r="J492">
        <f>IFERROR(INDEX(PP_Grid[#Data],$DD492,8),0)</f>
        <v/>
      </c>
      <c r="K492">
        <f>IFERROR(INDEX(PP_Grid[#Data],$DD492,9),0)</f>
        <v/>
      </c>
      <c r="L492">
        <f>IFERROR(INDEX(PP_Grid[#Data],$DD492,10),0)</f>
        <v/>
      </c>
      <c r="M492">
        <f>IFERROR(INDEX(PP_Grid[#Data],$DD492,11),0)</f>
        <v/>
      </c>
      <c r="N492">
        <f>IFERROR(INDEX(PP_Grid[#Data],$DD492,12),0)</f>
        <v/>
      </c>
      <c r="O492">
        <f>IFERROR(INDEX(PP_Grid[#Data],$DD492,13),0)</f>
        <v/>
      </c>
      <c r="P492">
        <f>IFERROR(INDEX(PP_Grid[#Data],$DD492,14),0)</f>
        <v/>
      </c>
      <c r="Q492">
        <f>IFERROR(INDEX(PP_Grid[#Data],$DD492,15),0)</f>
        <v/>
      </c>
      <c r="R492">
        <f>IFERROR(INDEX(PP_Grid[#Data],$DD492,16),0)</f>
        <v/>
      </c>
      <c r="S492">
        <f>IFERROR(INDEX(PP_Grid[#Data],$DD492,17),0)</f>
        <v/>
      </c>
      <c r="T492">
        <f>IFERROR(INDEX(PP_Grid[#Data],$DD492,18),0)</f>
        <v/>
      </c>
      <c r="U492">
        <f>IFERROR(INDEX(PP_Grid[#Data],$DD492,19),0)</f>
        <v/>
      </c>
      <c r="V492">
        <f>IFERROR(INDEX(PP_Grid[#Data],$DD492,20),0)</f>
        <v/>
      </c>
      <c r="W492">
        <f>IFERROR(INDEX(PP_Grid[#Data],$DD492,21),0)</f>
        <v/>
      </c>
      <c r="X492">
        <f>IFERROR(INDEX(PP_Grid[#Data],$DD492,22),0)</f>
        <v/>
      </c>
      <c r="Y492">
        <f>IFERROR(INDEX(PP_Grid[#Data],$DD492,23),0)</f>
        <v/>
      </c>
      <c r="Z492">
        <f>IFERROR(INDEX(PP_Grid[#Data],$DD492,24),0)</f>
        <v/>
      </c>
      <c r="AA492">
        <f>IFERROR(INDEX(PP_Grid[#Data],$DD492,25),0)</f>
        <v/>
      </c>
      <c r="AB492">
        <f>IFERROR(INDEX(PP_Grid[#Data],$DD492,26),0)</f>
        <v/>
      </c>
      <c r="AC492">
        <f>IFERROR(INDEX(PP_Grid[#Data],$DD492,27),0)</f>
        <v/>
      </c>
      <c r="AD492">
        <f>IFERROR(INDEX(PP_Grid[#Data],$DD492,28),0)</f>
        <v/>
      </c>
      <c r="AE492">
        <f>IFERROR(INDEX(PP_Grid[#Data],$DD492,29),0)</f>
        <v/>
      </c>
      <c r="AF492">
        <f>IFERROR(INDEX(PP_Grid[#Data],$DD492,30),0)</f>
        <v/>
      </c>
      <c r="AG492">
        <f>IFERROR(INDEX(PP_Grid[#Data],$DD492,31),0)</f>
        <v/>
      </c>
      <c r="AH492">
        <f>IFERROR(INDEX(PP_Grid[#Data],$DD492,32),0)</f>
        <v/>
      </c>
      <c r="AI492">
        <f>IFERROR(INDEX(PP_Grid[#Data],$DD492,33),0)</f>
        <v/>
      </c>
      <c r="AJ492">
        <f>IFERROR(INDEX(PP_Grid[#Data],$DD492,34),0)</f>
        <v/>
      </c>
      <c r="AK492">
        <f>IFERROR(INDEX(PP_Grid[#Data],$DD492,35),0)</f>
        <v/>
      </c>
      <c r="AL492">
        <f>IFERROR(INDEX(PP_Grid[#Data],$DD492,36),0)</f>
        <v/>
      </c>
      <c r="AM492">
        <f>IFERROR(INDEX(PP_Grid[#Data],$DD492,37),0)</f>
        <v/>
      </c>
      <c r="AN492">
        <f>IFERROR(INDEX(PP_Grid[#Data],$DD492,38),0)</f>
        <v/>
      </c>
      <c r="AO492">
        <f>IFERROR(INDEX(PP_Grid[#Data],$DD492,39),0)</f>
        <v/>
      </c>
      <c r="AP492">
        <f>IFERROR(INDEX(PP_Grid[#Data],$DD492,40),0)</f>
        <v/>
      </c>
      <c r="AQ492">
        <f>IFERROR(INDEX(PP_Grid[#Data],$DD492,41),0)</f>
        <v/>
      </c>
      <c r="AR492">
        <f>IFERROR(INDEX(PP_Grid[#Data],$DD492,42),0)</f>
        <v/>
      </c>
      <c r="AS492">
        <f>IFERROR(INDEX(PP_Grid[#Data],$DD492,43),0)</f>
        <v/>
      </c>
      <c r="AT492">
        <f>IFERROR(INDEX(PP_Grid[#Data],$DD492,44),0)</f>
        <v/>
      </c>
      <c r="AU492">
        <f>IFERROR(INDEX(PP_Grid[#Data],$DD492,45),0)</f>
        <v/>
      </c>
      <c r="AV492">
        <f>IFERROR(INDEX(PP_Grid[#Data],$DD492,46),0)</f>
        <v/>
      </c>
      <c r="AW492">
        <f>IFERROR(INDEX(PP_Grid[#Data],$DD492,47),0)</f>
        <v/>
      </c>
      <c r="AX492">
        <f>IFERROR(INDEX(PP_Grid[#Data],$DD492,48),0)</f>
        <v/>
      </c>
      <c r="AY492">
        <f>IFERROR(INDEX(PP_Grid[#Data],$DD492,49),0)</f>
        <v/>
      </c>
      <c r="AZ492">
        <f>IFERROR(INDEX(PP_Grid[#Data],$DD492,50),0)</f>
        <v/>
      </c>
      <c r="BA492">
        <f>IFERROR(INDEX(PP_Grid[#Data],$DD492,51),0)</f>
        <v/>
      </c>
      <c r="BB492">
        <f>IFERROR(INDEX(PP_Grid[#Data],$DD492,52),0)</f>
        <v/>
      </c>
      <c r="BC492">
        <f>IFERROR(INDEX(PP_Grid[#Data],$DD492,53),0)</f>
        <v/>
      </c>
      <c r="BD492">
        <f>IFERROR(INDEX(PP_Grid[#Data],$DD492,54),0)</f>
        <v/>
      </c>
      <c r="BE492">
        <f>IFERROR(INDEX(PP_Grid[#Data],$DD492,55),0)</f>
        <v/>
      </c>
      <c r="BF492">
        <f>IFERROR(INDEX(PP_Grid[#Data],$DD492,56),0)</f>
        <v/>
      </c>
      <c r="BG492">
        <f>IFERROR(INDEX(PP_Grid[#Data],$DD492,57),0)</f>
        <v/>
      </c>
      <c r="BH492">
        <f>IFERROR(INDEX(PP_Grid[#Data],$DD492,58),0)</f>
        <v/>
      </c>
      <c r="BI492">
        <f>IFERROR(INDEX(PP_Grid[#Data],$DD492,59),0)</f>
        <v/>
      </c>
      <c r="BJ492">
        <f>IFERROR(INDEX(PP_Grid[#Data],$DD492,60),0)</f>
        <v/>
      </c>
      <c r="BK492">
        <f>IFERROR(INDEX(PP_Grid[#Data],$DD492,61),0)</f>
        <v/>
      </c>
      <c r="BL492">
        <f>IFERROR(INDEX(PP_Grid[#Data],$DD492,62),0)</f>
        <v/>
      </c>
      <c r="BM492">
        <f>IFERROR(INDEX(PP_Grid[#Data],$DD492,63),0)</f>
        <v/>
      </c>
      <c r="BN492">
        <f>IFERROR(INDEX(PP_Grid[#Data],$DD492,64),0)</f>
        <v/>
      </c>
      <c r="BO492">
        <f>IFERROR(INDEX(PP_Grid[#Data],$DD492,65),0)</f>
        <v/>
      </c>
      <c r="BP492">
        <f>IFERROR(INDEX(PP_Grid[#Data],$DD492,66),0)</f>
        <v/>
      </c>
      <c r="BQ492">
        <f>IFERROR(INDEX(PP_Grid[#Data],$DD492,67),0)</f>
        <v/>
      </c>
      <c r="BR492">
        <f>IFERROR(INDEX(PP_Grid[#Data],$DD492,68),0)</f>
        <v/>
      </c>
      <c r="BS492">
        <f>IFERROR(INDEX(PP_Grid[#Data],$DD492,69),0)</f>
        <v/>
      </c>
      <c r="BT492">
        <f>IFERROR(INDEX(PP_Grid[#Data],$DD492,70),0)</f>
        <v/>
      </c>
      <c r="BU492">
        <f>IFERROR(INDEX(PP_Grid[#Data],$DD492,71),0)</f>
        <v/>
      </c>
      <c r="BV492">
        <f>IFERROR(INDEX(PP_Grid[#Data],$DD492,72),0)</f>
        <v/>
      </c>
      <c r="BW492">
        <f>IFERROR(INDEX(PP_Grid[#Data],$DD492,73),0)</f>
        <v/>
      </c>
      <c r="BX492">
        <f>IFERROR(INDEX(PP_Grid[#Data],$DD492,74),0)</f>
        <v/>
      </c>
      <c r="BY492">
        <f>IFERROR(INDEX(PP_Grid[#Data],$DD492,75),0)</f>
        <v/>
      </c>
      <c r="BZ492">
        <f>IFERROR(INDEX(PP_Grid[#Data],$DD492,76),0)</f>
        <v/>
      </c>
      <c r="CA492">
        <f>IFERROR(INDEX(PP_Grid[#Data],$DD492,77),0)</f>
        <v/>
      </c>
      <c r="CB492">
        <f>IFERROR(INDEX(PP_Grid[#Data],$DD492,78),0)</f>
        <v/>
      </c>
      <c r="CC492">
        <f>IFERROR(INDEX(PP_Grid[#Data],$DD492,79),0)</f>
        <v/>
      </c>
      <c r="CD492">
        <f>IFERROR(INDEX(PP_Grid[#Data],$DD492,80),0)</f>
        <v/>
      </c>
      <c r="CE492">
        <f>IFERROR(INDEX(PP_Grid[#Data],$DD492,81),0)</f>
        <v/>
      </c>
      <c r="CF492">
        <f>IFERROR(INDEX(PP_Grid[#Data],$DD492,82),0)</f>
        <v/>
      </c>
      <c r="CG492">
        <f>IFERROR(INDEX(PP_Grid[#Data],$DD492,83),0)</f>
        <v/>
      </c>
      <c r="CH492">
        <f>IFERROR(INDEX(PP_Grid[#Data],$DD492,84),0)</f>
        <v/>
      </c>
      <c r="CI492">
        <f>IFERROR(INDEX(PP_Grid[#Data],$DD492,85),0)</f>
        <v/>
      </c>
      <c r="CJ492">
        <f>IFERROR(INDEX(PP_Grid[#Data],$DD492,86),0)</f>
        <v/>
      </c>
      <c r="CK492">
        <f>IFERROR(INDEX(PP_Grid[#Data],$DD492,87),0)</f>
        <v/>
      </c>
      <c r="CL492">
        <f>IFERROR(INDEX(PP_Grid[#Data],$DD492,88),0)</f>
        <v/>
      </c>
      <c r="CM492">
        <f>IFERROR(INDEX(PP_Grid[#Data],$DD492,89),0)</f>
        <v/>
      </c>
      <c r="CN492">
        <f>IFERROR(INDEX(PP_Grid[#Data],$DD492,90),0)</f>
        <v/>
      </c>
      <c r="CO492">
        <f>IFERROR(INDEX(PP_Grid[#Data],$DD492,91),0)</f>
        <v/>
      </c>
      <c r="CP492">
        <f>IFERROR(INDEX(PP_Grid[#Data],$DD492,92),0)</f>
        <v/>
      </c>
      <c r="CQ492">
        <f>IFERROR(INDEX(PP_Grid[#Data],$DD492,93),0)</f>
        <v/>
      </c>
      <c r="CR492">
        <f>IFERROR(INDEX(PP_Grid[#Data],$DD492,94),0)</f>
        <v/>
      </c>
      <c r="CS492">
        <f>IFERROR(INDEX(PP_Grid[#Data],$DD492,95),0)</f>
        <v/>
      </c>
      <c r="CT492">
        <f>IFERROR(INDEX(PP_Grid[#Data],$DD492,96),0)</f>
        <v/>
      </c>
      <c r="CU492">
        <f>IFERROR(INDEX(PP_Grid[#Data],$DD492,97),0)</f>
        <v/>
      </c>
      <c r="CV492">
        <f>IFERROR(INDEX(PP_Grid[#Data],$DD492,98),0)</f>
        <v/>
      </c>
      <c r="CW492">
        <f>IFERROR(INDEX(PP_Grid[#Data],$DD492,99),0)</f>
        <v/>
      </c>
      <c r="CX492">
        <f>IFERROR(INDEX(PP_Grid[#Data],$DD492,100),0)</f>
        <v/>
      </c>
      <c r="CY492">
        <f>IFERROR(INDEX(PP_Grid[#Data],$DD492,101),0)</f>
        <v/>
      </c>
      <c r="CZ492">
        <f>IFERROR(INDEX(PP_Grid[#Data],$DD492,102),0)</f>
        <v/>
      </c>
      <c r="DA492">
        <f>IFERROR(INDEX(PP_Grid[#Data],$DD492,103),0)</f>
        <v/>
      </c>
      <c r="DB492">
        <f>IFERROR(INDEX(PP_Grid[#Data],$DD492,104),0)</f>
        <v/>
      </c>
      <c r="DC492">
        <f>IFERROR(INDEX(PP_Grid[#Data],$DD492,105),0)</f>
        <v/>
      </c>
      <c r="DD492" s="12">
        <f>IFERROR(MATCH($B492,PP_Grid[Intermediate],0),99999)</f>
        <v/>
      </c>
    </row>
    <row r="493">
      <c r="B493" t="inlineStr">
        <is>
          <t>使用量(kg)</t>
        </is>
      </c>
      <c r="C493">
        <f>SUMIFS(M_BOM[RM_Qty_Per_Batch],M_BOM[Intermediate],$B492,M_BOM[Part Name],$A439)</f>
        <v/>
      </c>
      <c r="D493">
        <f>$C493*D492</f>
        <v/>
      </c>
      <c r="E493">
        <f>$C493*E492</f>
        <v/>
      </c>
      <c r="F493">
        <f>$C493*F492</f>
        <v/>
      </c>
      <c r="G493">
        <f>$C493*G492</f>
        <v/>
      </c>
      <c r="H493">
        <f>$C493*H492</f>
        <v/>
      </c>
      <c r="I493">
        <f>$C493*I492</f>
        <v/>
      </c>
      <c r="J493">
        <f>$C493*J492</f>
        <v/>
      </c>
      <c r="K493">
        <f>$C493*K492</f>
        <v/>
      </c>
      <c r="L493">
        <f>$C493*L492</f>
        <v/>
      </c>
      <c r="M493">
        <f>$C493*M492</f>
        <v/>
      </c>
      <c r="N493">
        <f>$C493*N492</f>
        <v/>
      </c>
      <c r="O493">
        <f>$C493*O492</f>
        <v/>
      </c>
      <c r="P493">
        <f>$C493*P492</f>
        <v/>
      </c>
      <c r="Q493">
        <f>$C493*Q492</f>
        <v/>
      </c>
      <c r="R493">
        <f>$C493*R492</f>
        <v/>
      </c>
      <c r="S493">
        <f>$C493*S492</f>
        <v/>
      </c>
      <c r="T493">
        <f>$C493*T492</f>
        <v/>
      </c>
      <c r="U493">
        <f>$C493*U492</f>
        <v/>
      </c>
      <c r="V493">
        <f>$C493*V492</f>
        <v/>
      </c>
      <c r="W493">
        <f>$C493*W492</f>
        <v/>
      </c>
      <c r="X493">
        <f>$C493*X492</f>
        <v/>
      </c>
      <c r="Y493">
        <f>$C493*Y492</f>
        <v/>
      </c>
      <c r="Z493">
        <f>$C493*Z492</f>
        <v/>
      </c>
      <c r="AA493">
        <f>$C493*AA492</f>
        <v/>
      </c>
      <c r="AB493">
        <f>$C493*AB492</f>
        <v/>
      </c>
      <c r="AC493">
        <f>$C493*AC492</f>
        <v/>
      </c>
      <c r="AD493">
        <f>$C493*AD492</f>
        <v/>
      </c>
      <c r="AE493">
        <f>$C493*AE492</f>
        <v/>
      </c>
      <c r="AF493">
        <f>$C493*AF492</f>
        <v/>
      </c>
      <c r="AG493">
        <f>$C493*AG492</f>
        <v/>
      </c>
      <c r="AH493">
        <f>$C493*AH492</f>
        <v/>
      </c>
      <c r="AI493">
        <f>$C493*AI492</f>
        <v/>
      </c>
      <c r="AJ493">
        <f>$C493*AJ492</f>
        <v/>
      </c>
      <c r="AK493">
        <f>$C493*AK492</f>
        <v/>
      </c>
      <c r="AL493">
        <f>$C493*AL492</f>
        <v/>
      </c>
      <c r="AM493">
        <f>$C493*AM492</f>
        <v/>
      </c>
      <c r="AN493">
        <f>$C493*AN492</f>
        <v/>
      </c>
      <c r="AO493">
        <f>$C493*AO492</f>
        <v/>
      </c>
      <c r="AP493">
        <f>$C493*AP492</f>
        <v/>
      </c>
      <c r="AQ493">
        <f>$C493*AQ492</f>
        <v/>
      </c>
      <c r="AR493">
        <f>$C493*AR492</f>
        <v/>
      </c>
      <c r="AS493">
        <f>$C493*AS492</f>
        <v/>
      </c>
      <c r="AT493">
        <f>$C493*AT492</f>
        <v/>
      </c>
      <c r="AU493">
        <f>$C493*AU492</f>
        <v/>
      </c>
      <c r="AV493">
        <f>$C493*AV492</f>
        <v/>
      </c>
      <c r="AW493">
        <f>$C493*AW492</f>
        <v/>
      </c>
      <c r="AX493">
        <f>$C493*AX492</f>
        <v/>
      </c>
      <c r="AY493">
        <f>$C493*AY492</f>
        <v/>
      </c>
      <c r="AZ493">
        <f>$C493*AZ492</f>
        <v/>
      </c>
      <c r="BA493">
        <f>$C493*BA492</f>
        <v/>
      </c>
      <c r="BB493">
        <f>$C493*BB492</f>
        <v/>
      </c>
      <c r="BC493">
        <f>$C493*BC492</f>
        <v/>
      </c>
      <c r="BD493">
        <f>$C493*BD492</f>
        <v/>
      </c>
      <c r="BE493">
        <f>$C493*BE492</f>
        <v/>
      </c>
      <c r="BF493">
        <f>$C493*BF492</f>
        <v/>
      </c>
      <c r="BG493">
        <f>$C493*BG492</f>
        <v/>
      </c>
      <c r="BH493">
        <f>$C493*BH492</f>
        <v/>
      </c>
      <c r="BI493">
        <f>$C493*BI492</f>
        <v/>
      </c>
      <c r="BJ493">
        <f>$C493*BJ492</f>
        <v/>
      </c>
      <c r="BK493">
        <f>$C493*BK492</f>
        <v/>
      </c>
      <c r="BL493">
        <f>$C493*BL492</f>
        <v/>
      </c>
      <c r="BM493">
        <f>$C493*BM492</f>
        <v/>
      </c>
      <c r="BN493">
        <f>$C493*BN492</f>
        <v/>
      </c>
      <c r="BO493">
        <f>$C493*BO492</f>
        <v/>
      </c>
      <c r="BP493">
        <f>$C493*BP492</f>
        <v/>
      </c>
      <c r="BQ493">
        <f>$C493*BQ492</f>
        <v/>
      </c>
      <c r="BR493">
        <f>$C493*BR492</f>
        <v/>
      </c>
      <c r="BS493">
        <f>$C493*BS492</f>
        <v/>
      </c>
      <c r="BT493">
        <f>$C493*BT492</f>
        <v/>
      </c>
      <c r="BU493">
        <f>$C493*BU492</f>
        <v/>
      </c>
      <c r="BV493">
        <f>$C493*BV492</f>
        <v/>
      </c>
      <c r="BW493">
        <f>$C493*BW492</f>
        <v/>
      </c>
      <c r="BX493">
        <f>$C493*BX492</f>
        <v/>
      </c>
      <c r="BY493">
        <f>$C493*BY492</f>
        <v/>
      </c>
      <c r="BZ493">
        <f>$C493*BZ492</f>
        <v/>
      </c>
      <c r="CA493">
        <f>$C493*CA492</f>
        <v/>
      </c>
      <c r="CB493">
        <f>$C493*CB492</f>
        <v/>
      </c>
      <c r="CC493">
        <f>$C493*CC492</f>
        <v/>
      </c>
      <c r="CD493">
        <f>$C493*CD492</f>
        <v/>
      </c>
      <c r="CE493">
        <f>$C493*CE492</f>
        <v/>
      </c>
      <c r="CF493">
        <f>$C493*CF492</f>
        <v/>
      </c>
      <c r="CG493">
        <f>$C493*CG492</f>
        <v/>
      </c>
      <c r="CH493">
        <f>$C493*CH492</f>
        <v/>
      </c>
      <c r="CI493">
        <f>$C493*CI492</f>
        <v/>
      </c>
      <c r="CJ493">
        <f>$C493*CJ492</f>
        <v/>
      </c>
      <c r="CK493">
        <f>$C493*CK492</f>
        <v/>
      </c>
      <c r="CL493">
        <f>$C493*CL492</f>
        <v/>
      </c>
      <c r="CM493">
        <f>$C493*CM492</f>
        <v/>
      </c>
      <c r="CN493">
        <f>$C493*CN492</f>
        <v/>
      </c>
      <c r="CO493">
        <f>$C493*CO492</f>
        <v/>
      </c>
      <c r="CP493">
        <f>$C493*CP492</f>
        <v/>
      </c>
      <c r="CQ493">
        <f>$C493*CQ492</f>
        <v/>
      </c>
      <c r="CR493">
        <f>$C493*CR492</f>
        <v/>
      </c>
      <c r="CS493">
        <f>$C493*CS492</f>
        <v/>
      </c>
      <c r="CT493">
        <f>$C493*CT492</f>
        <v/>
      </c>
      <c r="CU493">
        <f>$C493*CU492</f>
        <v/>
      </c>
      <c r="CV493">
        <f>$C493*CV492</f>
        <v/>
      </c>
      <c r="CW493">
        <f>$C493*CW492</f>
        <v/>
      </c>
      <c r="CX493">
        <f>$C493*CX492</f>
        <v/>
      </c>
      <c r="CY493">
        <f>$C493*CY492</f>
        <v/>
      </c>
      <c r="CZ493">
        <f>$C493*CZ492</f>
        <v/>
      </c>
      <c r="DA493">
        <f>$C493*DA492</f>
        <v/>
      </c>
      <c r="DB493">
        <f>$C493*DB492</f>
        <v/>
      </c>
      <c r="DC493">
        <f>$C493*DC492</f>
        <v/>
      </c>
    </row>
    <row r="494">
      <c r="B494" t="inlineStr">
        <is>
          <t>TSP-403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12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Name],$A439)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TSP-404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12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Name],$A439)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TSP-405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12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Name],$A439)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t="inlineStr">
        <is>
          <t>TSP-544</t>
        </is>
      </c>
      <c r="C500" t="inlineStr">
        <is>
          <t>No. of batches</t>
        </is>
      </c>
      <c r="D500">
        <f>IFERROR(INDEX(PP_Grid[#Data],$DD500,2),0)</f>
        <v/>
      </c>
      <c r="E500">
        <f>IFERROR(INDEX(PP_Grid[#Data],$DD500,3),0)</f>
        <v/>
      </c>
      <c r="F500">
        <f>IFERROR(INDEX(PP_Grid[#Data],$DD500,4),0)</f>
        <v/>
      </c>
      <c r="G500">
        <f>IFERROR(INDEX(PP_Grid[#Data],$DD500,5),0)</f>
        <v/>
      </c>
      <c r="H500">
        <f>IFERROR(INDEX(PP_Grid[#Data],$DD500,6),0)</f>
        <v/>
      </c>
      <c r="I500">
        <f>IFERROR(INDEX(PP_Grid[#Data],$DD500,7),0)</f>
        <v/>
      </c>
      <c r="J500">
        <f>IFERROR(INDEX(PP_Grid[#Data],$DD500,8),0)</f>
        <v/>
      </c>
      <c r="K500">
        <f>IFERROR(INDEX(PP_Grid[#Data],$DD500,9),0)</f>
        <v/>
      </c>
      <c r="L500">
        <f>IFERROR(INDEX(PP_Grid[#Data],$DD500,10),0)</f>
        <v/>
      </c>
      <c r="M500">
        <f>IFERROR(INDEX(PP_Grid[#Data],$DD500,11),0)</f>
        <v/>
      </c>
      <c r="N500">
        <f>IFERROR(INDEX(PP_Grid[#Data],$DD500,12),0)</f>
        <v/>
      </c>
      <c r="O500">
        <f>IFERROR(INDEX(PP_Grid[#Data],$DD500,13),0)</f>
        <v/>
      </c>
      <c r="P500">
        <f>IFERROR(INDEX(PP_Grid[#Data],$DD500,14),0)</f>
        <v/>
      </c>
      <c r="Q500">
        <f>IFERROR(INDEX(PP_Grid[#Data],$DD500,15),0)</f>
        <v/>
      </c>
      <c r="R500">
        <f>IFERROR(INDEX(PP_Grid[#Data],$DD500,16),0)</f>
        <v/>
      </c>
      <c r="S500">
        <f>IFERROR(INDEX(PP_Grid[#Data],$DD500,17),0)</f>
        <v/>
      </c>
      <c r="T500">
        <f>IFERROR(INDEX(PP_Grid[#Data],$DD500,18),0)</f>
        <v/>
      </c>
      <c r="U500">
        <f>IFERROR(INDEX(PP_Grid[#Data],$DD500,19),0)</f>
        <v/>
      </c>
      <c r="V500">
        <f>IFERROR(INDEX(PP_Grid[#Data],$DD500,20),0)</f>
        <v/>
      </c>
      <c r="W500">
        <f>IFERROR(INDEX(PP_Grid[#Data],$DD500,21),0)</f>
        <v/>
      </c>
      <c r="X500">
        <f>IFERROR(INDEX(PP_Grid[#Data],$DD500,22),0)</f>
        <v/>
      </c>
      <c r="Y500">
        <f>IFERROR(INDEX(PP_Grid[#Data],$DD500,23),0)</f>
        <v/>
      </c>
      <c r="Z500">
        <f>IFERROR(INDEX(PP_Grid[#Data],$DD500,24),0)</f>
        <v/>
      </c>
      <c r="AA500">
        <f>IFERROR(INDEX(PP_Grid[#Data],$DD500,25),0)</f>
        <v/>
      </c>
      <c r="AB500">
        <f>IFERROR(INDEX(PP_Grid[#Data],$DD500,26),0)</f>
        <v/>
      </c>
      <c r="AC500">
        <f>IFERROR(INDEX(PP_Grid[#Data],$DD500,27),0)</f>
        <v/>
      </c>
      <c r="AD500">
        <f>IFERROR(INDEX(PP_Grid[#Data],$DD500,28),0)</f>
        <v/>
      </c>
      <c r="AE500">
        <f>IFERROR(INDEX(PP_Grid[#Data],$DD500,29),0)</f>
        <v/>
      </c>
      <c r="AF500">
        <f>IFERROR(INDEX(PP_Grid[#Data],$DD500,30),0)</f>
        <v/>
      </c>
      <c r="AG500">
        <f>IFERROR(INDEX(PP_Grid[#Data],$DD500,31),0)</f>
        <v/>
      </c>
      <c r="AH500">
        <f>IFERROR(INDEX(PP_Grid[#Data],$DD500,32),0)</f>
        <v/>
      </c>
      <c r="AI500">
        <f>IFERROR(INDEX(PP_Grid[#Data],$DD500,33),0)</f>
        <v/>
      </c>
      <c r="AJ500">
        <f>IFERROR(INDEX(PP_Grid[#Data],$DD500,34),0)</f>
        <v/>
      </c>
      <c r="AK500">
        <f>IFERROR(INDEX(PP_Grid[#Data],$DD500,35),0)</f>
        <v/>
      </c>
      <c r="AL500">
        <f>IFERROR(INDEX(PP_Grid[#Data],$DD500,36),0)</f>
        <v/>
      </c>
      <c r="AM500">
        <f>IFERROR(INDEX(PP_Grid[#Data],$DD500,37),0)</f>
        <v/>
      </c>
      <c r="AN500">
        <f>IFERROR(INDEX(PP_Grid[#Data],$DD500,38),0)</f>
        <v/>
      </c>
      <c r="AO500">
        <f>IFERROR(INDEX(PP_Grid[#Data],$DD500,39),0)</f>
        <v/>
      </c>
      <c r="AP500">
        <f>IFERROR(INDEX(PP_Grid[#Data],$DD500,40),0)</f>
        <v/>
      </c>
      <c r="AQ500">
        <f>IFERROR(INDEX(PP_Grid[#Data],$DD500,41),0)</f>
        <v/>
      </c>
      <c r="AR500">
        <f>IFERROR(INDEX(PP_Grid[#Data],$DD500,42),0)</f>
        <v/>
      </c>
      <c r="AS500">
        <f>IFERROR(INDEX(PP_Grid[#Data],$DD500,43),0)</f>
        <v/>
      </c>
      <c r="AT500">
        <f>IFERROR(INDEX(PP_Grid[#Data],$DD500,44),0)</f>
        <v/>
      </c>
      <c r="AU500">
        <f>IFERROR(INDEX(PP_Grid[#Data],$DD500,45),0)</f>
        <v/>
      </c>
      <c r="AV500">
        <f>IFERROR(INDEX(PP_Grid[#Data],$DD500,46),0)</f>
        <v/>
      </c>
      <c r="AW500">
        <f>IFERROR(INDEX(PP_Grid[#Data],$DD500,47),0)</f>
        <v/>
      </c>
      <c r="AX500">
        <f>IFERROR(INDEX(PP_Grid[#Data],$DD500,48),0)</f>
        <v/>
      </c>
      <c r="AY500">
        <f>IFERROR(INDEX(PP_Grid[#Data],$DD500,49),0)</f>
        <v/>
      </c>
      <c r="AZ500">
        <f>IFERROR(INDEX(PP_Grid[#Data],$DD500,50),0)</f>
        <v/>
      </c>
      <c r="BA500">
        <f>IFERROR(INDEX(PP_Grid[#Data],$DD500,51),0)</f>
        <v/>
      </c>
      <c r="BB500">
        <f>IFERROR(INDEX(PP_Grid[#Data],$DD500,52),0)</f>
        <v/>
      </c>
      <c r="BC500">
        <f>IFERROR(INDEX(PP_Grid[#Data],$DD500,53),0)</f>
        <v/>
      </c>
      <c r="BD500">
        <f>IFERROR(INDEX(PP_Grid[#Data],$DD500,54),0)</f>
        <v/>
      </c>
      <c r="BE500">
        <f>IFERROR(INDEX(PP_Grid[#Data],$DD500,55),0)</f>
        <v/>
      </c>
      <c r="BF500">
        <f>IFERROR(INDEX(PP_Grid[#Data],$DD500,56),0)</f>
        <v/>
      </c>
      <c r="BG500">
        <f>IFERROR(INDEX(PP_Grid[#Data],$DD500,57),0)</f>
        <v/>
      </c>
      <c r="BH500">
        <f>IFERROR(INDEX(PP_Grid[#Data],$DD500,58),0)</f>
        <v/>
      </c>
      <c r="BI500">
        <f>IFERROR(INDEX(PP_Grid[#Data],$DD500,59),0)</f>
        <v/>
      </c>
      <c r="BJ500">
        <f>IFERROR(INDEX(PP_Grid[#Data],$DD500,60),0)</f>
        <v/>
      </c>
      <c r="BK500">
        <f>IFERROR(INDEX(PP_Grid[#Data],$DD500,61),0)</f>
        <v/>
      </c>
      <c r="BL500">
        <f>IFERROR(INDEX(PP_Grid[#Data],$DD500,62),0)</f>
        <v/>
      </c>
      <c r="BM500">
        <f>IFERROR(INDEX(PP_Grid[#Data],$DD500,63),0)</f>
        <v/>
      </c>
      <c r="BN500">
        <f>IFERROR(INDEX(PP_Grid[#Data],$DD500,64),0)</f>
        <v/>
      </c>
      <c r="BO500">
        <f>IFERROR(INDEX(PP_Grid[#Data],$DD500,65),0)</f>
        <v/>
      </c>
      <c r="BP500">
        <f>IFERROR(INDEX(PP_Grid[#Data],$DD500,66),0)</f>
        <v/>
      </c>
      <c r="BQ500">
        <f>IFERROR(INDEX(PP_Grid[#Data],$DD500,67),0)</f>
        <v/>
      </c>
      <c r="BR500">
        <f>IFERROR(INDEX(PP_Grid[#Data],$DD500,68),0)</f>
        <v/>
      </c>
      <c r="BS500">
        <f>IFERROR(INDEX(PP_Grid[#Data],$DD500,69),0)</f>
        <v/>
      </c>
      <c r="BT500">
        <f>IFERROR(INDEX(PP_Grid[#Data],$DD500,70),0)</f>
        <v/>
      </c>
      <c r="BU500">
        <f>IFERROR(INDEX(PP_Grid[#Data],$DD500,71),0)</f>
        <v/>
      </c>
      <c r="BV500">
        <f>IFERROR(INDEX(PP_Grid[#Data],$DD500,72),0)</f>
        <v/>
      </c>
      <c r="BW500">
        <f>IFERROR(INDEX(PP_Grid[#Data],$DD500,73),0)</f>
        <v/>
      </c>
      <c r="BX500">
        <f>IFERROR(INDEX(PP_Grid[#Data],$DD500,74),0)</f>
        <v/>
      </c>
      <c r="BY500">
        <f>IFERROR(INDEX(PP_Grid[#Data],$DD500,75),0)</f>
        <v/>
      </c>
      <c r="BZ500">
        <f>IFERROR(INDEX(PP_Grid[#Data],$DD500,76),0)</f>
        <v/>
      </c>
      <c r="CA500">
        <f>IFERROR(INDEX(PP_Grid[#Data],$DD500,77),0)</f>
        <v/>
      </c>
      <c r="CB500">
        <f>IFERROR(INDEX(PP_Grid[#Data],$DD500,78),0)</f>
        <v/>
      </c>
      <c r="CC500">
        <f>IFERROR(INDEX(PP_Grid[#Data],$DD500,79),0)</f>
        <v/>
      </c>
      <c r="CD500">
        <f>IFERROR(INDEX(PP_Grid[#Data],$DD500,80),0)</f>
        <v/>
      </c>
      <c r="CE500">
        <f>IFERROR(INDEX(PP_Grid[#Data],$DD500,81),0)</f>
        <v/>
      </c>
      <c r="CF500">
        <f>IFERROR(INDEX(PP_Grid[#Data],$DD500,82),0)</f>
        <v/>
      </c>
      <c r="CG500">
        <f>IFERROR(INDEX(PP_Grid[#Data],$DD500,83),0)</f>
        <v/>
      </c>
      <c r="CH500">
        <f>IFERROR(INDEX(PP_Grid[#Data],$DD500,84),0)</f>
        <v/>
      </c>
      <c r="CI500">
        <f>IFERROR(INDEX(PP_Grid[#Data],$DD500,85),0)</f>
        <v/>
      </c>
      <c r="CJ500">
        <f>IFERROR(INDEX(PP_Grid[#Data],$DD500,86),0)</f>
        <v/>
      </c>
      <c r="CK500">
        <f>IFERROR(INDEX(PP_Grid[#Data],$DD500,87),0)</f>
        <v/>
      </c>
      <c r="CL500">
        <f>IFERROR(INDEX(PP_Grid[#Data],$DD500,88),0)</f>
        <v/>
      </c>
      <c r="CM500">
        <f>IFERROR(INDEX(PP_Grid[#Data],$DD500,89),0)</f>
        <v/>
      </c>
      <c r="CN500">
        <f>IFERROR(INDEX(PP_Grid[#Data],$DD500,90),0)</f>
        <v/>
      </c>
      <c r="CO500">
        <f>IFERROR(INDEX(PP_Grid[#Data],$DD500,91),0)</f>
        <v/>
      </c>
      <c r="CP500">
        <f>IFERROR(INDEX(PP_Grid[#Data],$DD500,92),0)</f>
        <v/>
      </c>
      <c r="CQ500">
        <f>IFERROR(INDEX(PP_Grid[#Data],$DD500,93),0)</f>
        <v/>
      </c>
      <c r="CR500">
        <f>IFERROR(INDEX(PP_Grid[#Data],$DD500,94),0)</f>
        <v/>
      </c>
      <c r="CS500">
        <f>IFERROR(INDEX(PP_Grid[#Data],$DD500,95),0)</f>
        <v/>
      </c>
      <c r="CT500">
        <f>IFERROR(INDEX(PP_Grid[#Data],$DD500,96),0)</f>
        <v/>
      </c>
      <c r="CU500">
        <f>IFERROR(INDEX(PP_Grid[#Data],$DD500,97),0)</f>
        <v/>
      </c>
      <c r="CV500">
        <f>IFERROR(INDEX(PP_Grid[#Data],$DD500,98),0)</f>
        <v/>
      </c>
      <c r="CW500">
        <f>IFERROR(INDEX(PP_Grid[#Data],$DD500,99),0)</f>
        <v/>
      </c>
      <c r="CX500">
        <f>IFERROR(INDEX(PP_Grid[#Data],$DD500,100),0)</f>
        <v/>
      </c>
      <c r="CY500">
        <f>IFERROR(INDEX(PP_Grid[#Data],$DD500,101),0)</f>
        <v/>
      </c>
      <c r="CZ500">
        <f>IFERROR(INDEX(PP_Grid[#Data],$DD500,102),0)</f>
        <v/>
      </c>
      <c r="DA500">
        <f>IFERROR(INDEX(PP_Grid[#Data],$DD500,103),0)</f>
        <v/>
      </c>
      <c r="DB500">
        <f>IFERROR(INDEX(PP_Grid[#Data],$DD500,104),0)</f>
        <v/>
      </c>
      <c r="DC500">
        <f>IFERROR(INDEX(PP_Grid[#Data],$DD500,105),0)</f>
        <v/>
      </c>
      <c r="DD500" s="12">
        <f>IFERROR(MATCH($B500,PP_Grid[Intermediate],0),99999)</f>
        <v/>
      </c>
    </row>
    <row r="501">
      <c r="B501" t="inlineStr">
        <is>
          <t>使用量(kg)</t>
        </is>
      </c>
      <c r="C501">
        <f>SUMIFS(M_BOM[RM_Qty_Per_Batch],M_BOM[Intermediate],$B500,M_BOM[Part Name],$A439)</f>
        <v/>
      </c>
      <c r="D501">
        <f>$C501*D500</f>
        <v/>
      </c>
      <c r="E501">
        <f>$C501*E500</f>
        <v/>
      </c>
      <c r="F501">
        <f>$C501*F500</f>
        <v/>
      </c>
      <c r="G501">
        <f>$C501*G500</f>
        <v/>
      </c>
      <c r="H501">
        <f>$C501*H500</f>
        <v/>
      </c>
      <c r="I501">
        <f>$C501*I500</f>
        <v/>
      </c>
      <c r="J501">
        <f>$C501*J500</f>
        <v/>
      </c>
      <c r="K501">
        <f>$C501*K500</f>
        <v/>
      </c>
      <c r="L501">
        <f>$C501*L500</f>
        <v/>
      </c>
      <c r="M501">
        <f>$C501*M500</f>
        <v/>
      </c>
      <c r="N501">
        <f>$C501*N500</f>
        <v/>
      </c>
      <c r="O501">
        <f>$C501*O500</f>
        <v/>
      </c>
      <c r="P501">
        <f>$C501*P500</f>
        <v/>
      </c>
      <c r="Q501">
        <f>$C501*Q500</f>
        <v/>
      </c>
      <c r="R501">
        <f>$C501*R500</f>
        <v/>
      </c>
      <c r="S501">
        <f>$C501*S500</f>
        <v/>
      </c>
      <c r="T501">
        <f>$C501*T500</f>
        <v/>
      </c>
      <c r="U501">
        <f>$C501*U500</f>
        <v/>
      </c>
      <c r="V501">
        <f>$C501*V500</f>
        <v/>
      </c>
      <c r="W501">
        <f>$C501*W500</f>
        <v/>
      </c>
      <c r="X501">
        <f>$C501*X500</f>
        <v/>
      </c>
      <c r="Y501">
        <f>$C501*Y500</f>
        <v/>
      </c>
      <c r="Z501">
        <f>$C501*Z500</f>
        <v/>
      </c>
      <c r="AA501">
        <f>$C501*AA500</f>
        <v/>
      </c>
      <c r="AB501">
        <f>$C501*AB500</f>
        <v/>
      </c>
      <c r="AC501">
        <f>$C501*AC500</f>
        <v/>
      </c>
      <c r="AD501">
        <f>$C501*AD500</f>
        <v/>
      </c>
      <c r="AE501">
        <f>$C501*AE500</f>
        <v/>
      </c>
      <c r="AF501">
        <f>$C501*AF500</f>
        <v/>
      </c>
      <c r="AG501">
        <f>$C501*AG500</f>
        <v/>
      </c>
      <c r="AH501">
        <f>$C501*AH500</f>
        <v/>
      </c>
      <c r="AI501">
        <f>$C501*AI500</f>
        <v/>
      </c>
      <c r="AJ501">
        <f>$C501*AJ500</f>
        <v/>
      </c>
      <c r="AK501">
        <f>$C501*AK500</f>
        <v/>
      </c>
      <c r="AL501">
        <f>$C501*AL500</f>
        <v/>
      </c>
      <c r="AM501">
        <f>$C501*AM500</f>
        <v/>
      </c>
      <c r="AN501">
        <f>$C501*AN500</f>
        <v/>
      </c>
      <c r="AO501">
        <f>$C501*AO500</f>
        <v/>
      </c>
      <c r="AP501">
        <f>$C501*AP500</f>
        <v/>
      </c>
      <c r="AQ501">
        <f>$C501*AQ500</f>
        <v/>
      </c>
      <c r="AR501">
        <f>$C501*AR500</f>
        <v/>
      </c>
      <c r="AS501">
        <f>$C501*AS500</f>
        <v/>
      </c>
      <c r="AT501">
        <f>$C501*AT500</f>
        <v/>
      </c>
      <c r="AU501">
        <f>$C501*AU500</f>
        <v/>
      </c>
      <c r="AV501">
        <f>$C501*AV500</f>
        <v/>
      </c>
      <c r="AW501">
        <f>$C501*AW500</f>
        <v/>
      </c>
      <c r="AX501">
        <f>$C501*AX500</f>
        <v/>
      </c>
      <c r="AY501">
        <f>$C501*AY500</f>
        <v/>
      </c>
      <c r="AZ501">
        <f>$C501*AZ500</f>
        <v/>
      </c>
      <c r="BA501">
        <f>$C501*BA500</f>
        <v/>
      </c>
      <c r="BB501">
        <f>$C501*BB500</f>
        <v/>
      </c>
      <c r="BC501">
        <f>$C501*BC500</f>
        <v/>
      </c>
      <c r="BD501">
        <f>$C501*BD500</f>
        <v/>
      </c>
      <c r="BE501">
        <f>$C501*BE500</f>
        <v/>
      </c>
      <c r="BF501">
        <f>$C501*BF500</f>
        <v/>
      </c>
      <c r="BG501">
        <f>$C501*BG500</f>
        <v/>
      </c>
      <c r="BH501">
        <f>$C501*BH500</f>
        <v/>
      </c>
      <c r="BI501">
        <f>$C501*BI500</f>
        <v/>
      </c>
      <c r="BJ501">
        <f>$C501*BJ500</f>
        <v/>
      </c>
      <c r="BK501">
        <f>$C501*BK500</f>
        <v/>
      </c>
      <c r="BL501">
        <f>$C501*BL500</f>
        <v/>
      </c>
      <c r="BM501">
        <f>$C501*BM500</f>
        <v/>
      </c>
      <c r="BN501">
        <f>$C501*BN500</f>
        <v/>
      </c>
      <c r="BO501">
        <f>$C501*BO500</f>
        <v/>
      </c>
      <c r="BP501">
        <f>$C501*BP500</f>
        <v/>
      </c>
      <c r="BQ501">
        <f>$C501*BQ500</f>
        <v/>
      </c>
      <c r="BR501">
        <f>$C501*BR500</f>
        <v/>
      </c>
      <c r="BS501">
        <f>$C501*BS500</f>
        <v/>
      </c>
      <c r="BT501">
        <f>$C501*BT500</f>
        <v/>
      </c>
      <c r="BU501">
        <f>$C501*BU500</f>
        <v/>
      </c>
      <c r="BV501">
        <f>$C501*BV500</f>
        <v/>
      </c>
      <c r="BW501">
        <f>$C501*BW500</f>
        <v/>
      </c>
      <c r="BX501">
        <f>$C501*BX500</f>
        <v/>
      </c>
      <c r="BY501">
        <f>$C501*BY500</f>
        <v/>
      </c>
      <c r="BZ501">
        <f>$C501*BZ500</f>
        <v/>
      </c>
      <c r="CA501">
        <f>$C501*CA500</f>
        <v/>
      </c>
      <c r="CB501">
        <f>$C501*CB500</f>
        <v/>
      </c>
      <c r="CC501">
        <f>$C501*CC500</f>
        <v/>
      </c>
      <c r="CD501">
        <f>$C501*CD500</f>
        <v/>
      </c>
      <c r="CE501">
        <f>$C501*CE500</f>
        <v/>
      </c>
      <c r="CF501">
        <f>$C501*CF500</f>
        <v/>
      </c>
      <c r="CG501">
        <f>$C501*CG500</f>
        <v/>
      </c>
      <c r="CH501">
        <f>$C501*CH500</f>
        <v/>
      </c>
      <c r="CI501">
        <f>$C501*CI500</f>
        <v/>
      </c>
      <c r="CJ501">
        <f>$C501*CJ500</f>
        <v/>
      </c>
      <c r="CK501">
        <f>$C501*CK500</f>
        <v/>
      </c>
      <c r="CL501">
        <f>$C501*CL500</f>
        <v/>
      </c>
      <c r="CM501">
        <f>$C501*CM500</f>
        <v/>
      </c>
      <c r="CN501">
        <f>$C501*CN500</f>
        <v/>
      </c>
      <c r="CO501">
        <f>$C501*CO500</f>
        <v/>
      </c>
      <c r="CP501">
        <f>$C501*CP500</f>
        <v/>
      </c>
      <c r="CQ501">
        <f>$C501*CQ500</f>
        <v/>
      </c>
      <c r="CR501">
        <f>$C501*CR500</f>
        <v/>
      </c>
      <c r="CS501">
        <f>$C501*CS500</f>
        <v/>
      </c>
      <c r="CT501">
        <f>$C501*CT500</f>
        <v/>
      </c>
      <c r="CU501">
        <f>$C501*CU500</f>
        <v/>
      </c>
      <c r="CV501">
        <f>$C501*CV500</f>
        <v/>
      </c>
      <c r="CW501">
        <f>$C501*CW500</f>
        <v/>
      </c>
      <c r="CX501">
        <f>$C501*CX500</f>
        <v/>
      </c>
      <c r="CY501">
        <f>$C501*CY500</f>
        <v/>
      </c>
      <c r="CZ501">
        <f>$C501*CZ500</f>
        <v/>
      </c>
      <c r="DA501">
        <f>$C501*DA500</f>
        <v/>
      </c>
      <c r="DB501">
        <f>$C501*DB500</f>
        <v/>
      </c>
      <c r="DC501">
        <f>$C501*DC500</f>
        <v/>
      </c>
    </row>
    <row r="502">
      <c r="B502" t="inlineStr">
        <is>
          <t>TSP-558</t>
        </is>
      </c>
      <c r="C502" t="inlineStr">
        <is>
          <t>No. of batches</t>
        </is>
      </c>
      <c r="D502">
        <f>IFERROR(INDEX(PP_Grid[#Data],$DD502,2),0)</f>
        <v/>
      </c>
      <c r="E502">
        <f>IFERROR(INDEX(PP_Grid[#Data],$DD502,3),0)</f>
        <v/>
      </c>
      <c r="F502">
        <f>IFERROR(INDEX(PP_Grid[#Data],$DD502,4),0)</f>
        <v/>
      </c>
      <c r="G502">
        <f>IFERROR(INDEX(PP_Grid[#Data],$DD502,5),0)</f>
        <v/>
      </c>
      <c r="H502">
        <f>IFERROR(INDEX(PP_Grid[#Data],$DD502,6),0)</f>
        <v/>
      </c>
      <c r="I502">
        <f>IFERROR(INDEX(PP_Grid[#Data],$DD502,7),0)</f>
        <v/>
      </c>
      <c r="J502">
        <f>IFERROR(INDEX(PP_Grid[#Data],$DD502,8),0)</f>
        <v/>
      </c>
      <c r="K502">
        <f>IFERROR(INDEX(PP_Grid[#Data],$DD502,9),0)</f>
        <v/>
      </c>
      <c r="L502">
        <f>IFERROR(INDEX(PP_Grid[#Data],$DD502,10),0)</f>
        <v/>
      </c>
      <c r="M502">
        <f>IFERROR(INDEX(PP_Grid[#Data],$DD502,11),0)</f>
        <v/>
      </c>
      <c r="N502">
        <f>IFERROR(INDEX(PP_Grid[#Data],$DD502,12),0)</f>
        <v/>
      </c>
      <c r="O502">
        <f>IFERROR(INDEX(PP_Grid[#Data],$DD502,13),0)</f>
        <v/>
      </c>
      <c r="P502">
        <f>IFERROR(INDEX(PP_Grid[#Data],$DD502,14),0)</f>
        <v/>
      </c>
      <c r="Q502">
        <f>IFERROR(INDEX(PP_Grid[#Data],$DD502,15),0)</f>
        <v/>
      </c>
      <c r="R502">
        <f>IFERROR(INDEX(PP_Grid[#Data],$DD502,16),0)</f>
        <v/>
      </c>
      <c r="S502">
        <f>IFERROR(INDEX(PP_Grid[#Data],$DD502,17),0)</f>
        <v/>
      </c>
      <c r="T502">
        <f>IFERROR(INDEX(PP_Grid[#Data],$DD502,18),0)</f>
        <v/>
      </c>
      <c r="U502">
        <f>IFERROR(INDEX(PP_Grid[#Data],$DD502,19),0)</f>
        <v/>
      </c>
      <c r="V502">
        <f>IFERROR(INDEX(PP_Grid[#Data],$DD502,20),0)</f>
        <v/>
      </c>
      <c r="W502">
        <f>IFERROR(INDEX(PP_Grid[#Data],$DD502,21),0)</f>
        <v/>
      </c>
      <c r="X502">
        <f>IFERROR(INDEX(PP_Grid[#Data],$DD502,22),0)</f>
        <v/>
      </c>
      <c r="Y502">
        <f>IFERROR(INDEX(PP_Grid[#Data],$DD502,23),0)</f>
        <v/>
      </c>
      <c r="Z502">
        <f>IFERROR(INDEX(PP_Grid[#Data],$DD502,24),0)</f>
        <v/>
      </c>
      <c r="AA502">
        <f>IFERROR(INDEX(PP_Grid[#Data],$DD502,25),0)</f>
        <v/>
      </c>
      <c r="AB502">
        <f>IFERROR(INDEX(PP_Grid[#Data],$DD502,26),0)</f>
        <v/>
      </c>
      <c r="AC502">
        <f>IFERROR(INDEX(PP_Grid[#Data],$DD502,27),0)</f>
        <v/>
      </c>
      <c r="AD502">
        <f>IFERROR(INDEX(PP_Grid[#Data],$DD502,28),0)</f>
        <v/>
      </c>
      <c r="AE502">
        <f>IFERROR(INDEX(PP_Grid[#Data],$DD502,29),0)</f>
        <v/>
      </c>
      <c r="AF502">
        <f>IFERROR(INDEX(PP_Grid[#Data],$DD502,30),0)</f>
        <v/>
      </c>
      <c r="AG502">
        <f>IFERROR(INDEX(PP_Grid[#Data],$DD502,31),0)</f>
        <v/>
      </c>
      <c r="AH502">
        <f>IFERROR(INDEX(PP_Grid[#Data],$DD502,32),0)</f>
        <v/>
      </c>
      <c r="AI502">
        <f>IFERROR(INDEX(PP_Grid[#Data],$DD502,33),0)</f>
        <v/>
      </c>
      <c r="AJ502">
        <f>IFERROR(INDEX(PP_Grid[#Data],$DD502,34),0)</f>
        <v/>
      </c>
      <c r="AK502">
        <f>IFERROR(INDEX(PP_Grid[#Data],$DD502,35),0)</f>
        <v/>
      </c>
      <c r="AL502">
        <f>IFERROR(INDEX(PP_Grid[#Data],$DD502,36),0)</f>
        <v/>
      </c>
      <c r="AM502">
        <f>IFERROR(INDEX(PP_Grid[#Data],$DD502,37),0)</f>
        <v/>
      </c>
      <c r="AN502">
        <f>IFERROR(INDEX(PP_Grid[#Data],$DD502,38),0)</f>
        <v/>
      </c>
      <c r="AO502">
        <f>IFERROR(INDEX(PP_Grid[#Data],$DD502,39),0)</f>
        <v/>
      </c>
      <c r="AP502">
        <f>IFERROR(INDEX(PP_Grid[#Data],$DD502,40),0)</f>
        <v/>
      </c>
      <c r="AQ502">
        <f>IFERROR(INDEX(PP_Grid[#Data],$DD502,41),0)</f>
        <v/>
      </c>
      <c r="AR502">
        <f>IFERROR(INDEX(PP_Grid[#Data],$DD502,42),0)</f>
        <v/>
      </c>
      <c r="AS502">
        <f>IFERROR(INDEX(PP_Grid[#Data],$DD502,43),0)</f>
        <v/>
      </c>
      <c r="AT502">
        <f>IFERROR(INDEX(PP_Grid[#Data],$DD502,44),0)</f>
        <v/>
      </c>
      <c r="AU502">
        <f>IFERROR(INDEX(PP_Grid[#Data],$DD502,45),0)</f>
        <v/>
      </c>
      <c r="AV502">
        <f>IFERROR(INDEX(PP_Grid[#Data],$DD502,46),0)</f>
        <v/>
      </c>
      <c r="AW502">
        <f>IFERROR(INDEX(PP_Grid[#Data],$DD502,47),0)</f>
        <v/>
      </c>
      <c r="AX502">
        <f>IFERROR(INDEX(PP_Grid[#Data],$DD502,48),0)</f>
        <v/>
      </c>
      <c r="AY502">
        <f>IFERROR(INDEX(PP_Grid[#Data],$DD502,49),0)</f>
        <v/>
      </c>
      <c r="AZ502">
        <f>IFERROR(INDEX(PP_Grid[#Data],$DD502,50),0)</f>
        <v/>
      </c>
      <c r="BA502">
        <f>IFERROR(INDEX(PP_Grid[#Data],$DD502,51),0)</f>
        <v/>
      </c>
      <c r="BB502">
        <f>IFERROR(INDEX(PP_Grid[#Data],$DD502,52),0)</f>
        <v/>
      </c>
      <c r="BC502">
        <f>IFERROR(INDEX(PP_Grid[#Data],$DD502,53),0)</f>
        <v/>
      </c>
      <c r="BD502">
        <f>IFERROR(INDEX(PP_Grid[#Data],$DD502,54),0)</f>
        <v/>
      </c>
      <c r="BE502">
        <f>IFERROR(INDEX(PP_Grid[#Data],$DD502,55),0)</f>
        <v/>
      </c>
      <c r="BF502">
        <f>IFERROR(INDEX(PP_Grid[#Data],$DD502,56),0)</f>
        <v/>
      </c>
      <c r="BG502">
        <f>IFERROR(INDEX(PP_Grid[#Data],$DD502,57),0)</f>
        <v/>
      </c>
      <c r="BH502">
        <f>IFERROR(INDEX(PP_Grid[#Data],$DD502,58),0)</f>
        <v/>
      </c>
      <c r="BI502">
        <f>IFERROR(INDEX(PP_Grid[#Data],$DD502,59),0)</f>
        <v/>
      </c>
      <c r="BJ502">
        <f>IFERROR(INDEX(PP_Grid[#Data],$DD502,60),0)</f>
        <v/>
      </c>
      <c r="BK502">
        <f>IFERROR(INDEX(PP_Grid[#Data],$DD502,61),0)</f>
        <v/>
      </c>
      <c r="BL502">
        <f>IFERROR(INDEX(PP_Grid[#Data],$DD502,62),0)</f>
        <v/>
      </c>
      <c r="BM502">
        <f>IFERROR(INDEX(PP_Grid[#Data],$DD502,63),0)</f>
        <v/>
      </c>
      <c r="BN502">
        <f>IFERROR(INDEX(PP_Grid[#Data],$DD502,64),0)</f>
        <v/>
      </c>
      <c r="BO502">
        <f>IFERROR(INDEX(PP_Grid[#Data],$DD502,65),0)</f>
        <v/>
      </c>
      <c r="BP502">
        <f>IFERROR(INDEX(PP_Grid[#Data],$DD502,66),0)</f>
        <v/>
      </c>
      <c r="BQ502">
        <f>IFERROR(INDEX(PP_Grid[#Data],$DD502,67),0)</f>
        <v/>
      </c>
      <c r="BR502">
        <f>IFERROR(INDEX(PP_Grid[#Data],$DD502,68),0)</f>
        <v/>
      </c>
      <c r="BS502">
        <f>IFERROR(INDEX(PP_Grid[#Data],$DD502,69),0)</f>
        <v/>
      </c>
      <c r="BT502">
        <f>IFERROR(INDEX(PP_Grid[#Data],$DD502,70),0)</f>
        <v/>
      </c>
      <c r="BU502">
        <f>IFERROR(INDEX(PP_Grid[#Data],$DD502,71),0)</f>
        <v/>
      </c>
      <c r="BV502">
        <f>IFERROR(INDEX(PP_Grid[#Data],$DD502,72),0)</f>
        <v/>
      </c>
      <c r="BW502">
        <f>IFERROR(INDEX(PP_Grid[#Data],$DD502,73),0)</f>
        <v/>
      </c>
      <c r="BX502">
        <f>IFERROR(INDEX(PP_Grid[#Data],$DD502,74),0)</f>
        <v/>
      </c>
      <c r="BY502">
        <f>IFERROR(INDEX(PP_Grid[#Data],$DD502,75),0)</f>
        <v/>
      </c>
      <c r="BZ502">
        <f>IFERROR(INDEX(PP_Grid[#Data],$DD502,76),0)</f>
        <v/>
      </c>
      <c r="CA502">
        <f>IFERROR(INDEX(PP_Grid[#Data],$DD502,77),0)</f>
        <v/>
      </c>
      <c r="CB502">
        <f>IFERROR(INDEX(PP_Grid[#Data],$DD502,78),0)</f>
        <v/>
      </c>
      <c r="CC502">
        <f>IFERROR(INDEX(PP_Grid[#Data],$DD502,79),0)</f>
        <v/>
      </c>
      <c r="CD502">
        <f>IFERROR(INDEX(PP_Grid[#Data],$DD502,80),0)</f>
        <v/>
      </c>
      <c r="CE502">
        <f>IFERROR(INDEX(PP_Grid[#Data],$DD502,81),0)</f>
        <v/>
      </c>
      <c r="CF502">
        <f>IFERROR(INDEX(PP_Grid[#Data],$DD502,82),0)</f>
        <v/>
      </c>
      <c r="CG502">
        <f>IFERROR(INDEX(PP_Grid[#Data],$DD502,83),0)</f>
        <v/>
      </c>
      <c r="CH502">
        <f>IFERROR(INDEX(PP_Grid[#Data],$DD502,84),0)</f>
        <v/>
      </c>
      <c r="CI502">
        <f>IFERROR(INDEX(PP_Grid[#Data],$DD502,85),0)</f>
        <v/>
      </c>
      <c r="CJ502">
        <f>IFERROR(INDEX(PP_Grid[#Data],$DD502,86),0)</f>
        <v/>
      </c>
      <c r="CK502">
        <f>IFERROR(INDEX(PP_Grid[#Data],$DD502,87),0)</f>
        <v/>
      </c>
      <c r="CL502">
        <f>IFERROR(INDEX(PP_Grid[#Data],$DD502,88),0)</f>
        <v/>
      </c>
      <c r="CM502">
        <f>IFERROR(INDEX(PP_Grid[#Data],$DD502,89),0)</f>
        <v/>
      </c>
      <c r="CN502">
        <f>IFERROR(INDEX(PP_Grid[#Data],$DD502,90),0)</f>
        <v/>
      </c>
      <c r="CO502">
        <f>IFERROR(INDEX(PP_Grid[#Data],$DD502,91),0)</f>
        <v/>
      </c>
      <c r="CP502">
        <f>IFERROR(INDEX(PP_Grid[#Data],$DD502,92),0)</f>
        <v/>
      </c>
      <c r="CQ502">
        <f>IFERROR(INDEX(PP_Grid[#Data],$DD502,93),0)</f>
        <v/>
      </c>
      <c r="CR502">
        <f>IFERROR(INDEX(PP_Grid[#Data],$DD502,94),0)</f>
        <v/>
      </c>
      <c r="CS502">
        <f>IFERROR(INDEX(PP_Grid[#Data],$DD502,95),0)</f>
        <v/>
      </c>
      <c r="CT502">
        <f>IFERROR(INDEX(PP_Grid[#Data],$DD502,96),0)</f>
        <v/>
      </c>
      <c r="CU502">
        <f>IFERROR(INDEX(PP_Grid[#Data],$DD502,97),0)</f>
        <v/>
      </c>
      <c r="CV502">
        <f>IFERROR(INDEX(PP_Grid[#Data],$DD502,98),0)</f>
        <v/>
      </c>
      <c r="CW502">
        <f>IFERROR(INDEX(PP_Grid[#Data],$DD502,99),0)</f>
        <v/>
      </c>
      <c r="CX502">
        <f>IFERROR(INDEX(PP_Grid[#Data],$DD502,100),0)</f>
        <v/>
      </c>
      <c r="CY502">
        <f>IFERROR(INDEX(PP_Grid[#Data],$DD502,101),0)</f>
        <v/>
      </c>
      <c r="CZ502">
        <f>IFERROR(INDEX(PP_Grid[#Data],$DD502,102),0)</f>
        <v/>
      </c>
      <c r="DA502">
        <f>IFERROR(INDEX(PP_Grid[#Data],$DD502,103),0)</f>
        <v/>
      </c>
      <c r="DB502">
        <f>IFERROR(INDEX(PP_Grid[#Data],$DD502,104),0)</f>
        <v/>
      </c>
      <c r="DC502">
        <f>IFERROR(INDEX(PP_Grid[#Data],$DD502,105),0)</f>
        <v/>
      </c>
      <c r="DD502" s="12">
        <f>IFERROR(MATCH($B502,PP_Grid[Intermediate],0),99999)</f>
        <v/>
      </c>
    </row>
    <row r="503">
      <c r="B503" t="inlineStr">
        <is>
          <t>使用量(kg)</t>
        </is>
      </c>
      <c r="C503">
        <f>SUMIFS(M_BOM[RM_Qty_Per_Batch],M_BOM[Intermediate],$B502,M_BOM[Part Name],$A439)</f>
        <v/>
      </c>
      <c r="D503">
        <f>$C503*D502</f>
        <v/>
      </c>
      <c r="E503">
        <f>$C503*E502</f>
        <v/>
      </c>
      <c r="F503">
        <f>$C503*F502</f>
        <v/>
      </c>
      <c r="G503">
        <f>$C503*G502</f>
        <v/>
      </c>
      <c r="H503">
        <f>$C503*H502</f>
        <v/>
      </c>
      <c r="I503">
        <f>$C503*I502</f>
        <v/>
      </c>
      <c r="J503">
        <f>$C503*J502</f>
        <v/>
      </c>
      <c r="K503">
        <f>$C503*K502</f>
        <v/>
      </c>
      <c r="L503">
        <f>$C503*L502</f>
        <v/>
      </c>
      <c r="M503">
        <f>$C503*M502</f>
        <v/>
      </c>
      <c r="N503">
        <f>$C503*N502</f>
        <v/>
      </c>
      <c r="O503">
        <f>$C503*O502</f>
        <v/>
      </c>
      <c r="P503">
        <f>$C503*P502</f>
        <v/>
      </c>
      <c r="Q503">
        <f>$C503*Q502</f>
        <v/>
      </c>
      <c r="R503">
        <f>$C503*R502</f>
        <v/>
      </c>
      <c r="S503">
        <f>$C503*S502</f>
        <v/>
      </c>
      <c r="T503">
        <f>$C503*T502</f>
        <v/>
      </c>
      <c r="U503">
        <f>$C503*U502</f>
        <v/>
      </c>
      <c r="V503">
        <f>$C503*V502</f>
        <v/>
      </c>
      <c r="W503">
        <f>$C503*W502</f>
        <v/>
      </c>
      <c r="X503">
        <f>$C503*X502</f>
        <v/>
      </c>
      <c r="Y503">
        <f>$C503*Y502</f>
        <v/>
      </c>
      <c r="Z503">
        <f>$C503*Z502</f>
        <v/>
      </c>
      <c r="AA503">
        <f>$C503*AA502</f>
        <v/>
      </c>
      <c r="AB503">
        <f>$C503*AB502</f>
        <v/>
      </c>
      <c r="AC503">
        <f>$C503*AC502</f>
        <v/>
      </c>
      <c r="AD503">
        <f>$C503*AD502</f>
        <v/>
      </c>
      <c r="AE503">
        <f>$C503*AE502</f>
        <v/>
      </c>
      <c r="AF503">
        <f>$C503*AF502</f>
        <v/>
      </c>
      <c r="AG503">
        <f>$C503*AG502</f>
        <v/>
      </c>
      <c r="AH503">
        <f>$C503*AH502</f>
        <v/>
      </c>
      <c r="AI503">
        <f>$C503*AI502</f>
        <v/>
      </c>
      <c r="AJ503">
        <f>$C503*AJ502</f>
        <v/>
      </c>
      <c r="AK503">
        <f>$C503*AK502</f>
        <v/>
      </c>
      <c r="AL503">
        <f>$C503*AL502</f>
        <v/>
      </c>
      <c r="AM503">
        <f>$C503*AM502</f>
        <v/>
      </c>
      <c r="AN503">
        <f>$C503*AN502</f>
        <v/>
      </c>
      <c r="AO503">
        <f>$C503*AO502</f>
        <v/>
      </c>
      <c r="AP503">
        <f>$C503*AP502</f>
        <v/>
      </c>
      <c r="AQ503">
        <f>$C503*AQ502</f>
        <v/>
      </c>
      <c r="AR503">
        <f>$C503*AR502</f>
        <v/>
      </c>
      <c r="AS503">
        <f>$C503*AS502</f>
        <v/>
      </c>
      <c r="AT503">
        <f>$C503*AT502</f>
        <v/>
      </c>
      <c r="AU503">
        <f>$C503*AU502</f>
        <v/>
      </c>
      <c r="AV503">
        <f>$C503*AV502</f>
        <v/>
      </c>
      <c r="AW503">
        <f>$C503*AW502</f>
        <v/>
      </c>
      <c r="AX503">
        <f>$C503*AX502</f>
        <v/>
      </c>
      <c r="AY503">
        <f>$C503*AY502</f>
        <v/>
      </c>
      <c r="AZ503">
        <f>$C503*AZ502</f>
        <v/>
      </c>
      <c r="BA503">
        <f>$C503*BA502</f>
        <v/>
      </c>
      <c r="BB503">
        <f>$C503*BB502</f>
        <v/>
      </c>
      <c r="BC503">
        <f>$C503*BC502</f>
        <v/>
      </c>
      <c r="BD503">
        <f>$C503*BD502</f>
        <v/>
      </c>
      <c r="BE503">
        <f>$C503*BE502</f>
        <v/>
      </c>
      <c r="BF503">
        <f>$C503*BF502</f>
        <v/>
      </c>
      <c r="BG503">
        <f>$C503*BG502</f>
        <v/>
      </c>
      <c r="BH503">
        <f>$C503*BH502</f>
        <v/>
      </c>
      <c r="BI503">
        <f>$C503*BI502</f>
        <v/>
      </c>
      <c r="BJ503">
        <f>$C503*BJ502</f>
        <v/>
      </c>
      <c r="BK503">
        <f>$C503*BK502</f>
        <v/>
      </c>
      <c r="BL503">
        <f>$C503*BL502</f>
        <v/>
      </c>
      <c r="BM503">
        <f>$C503*BM502</f>
        <v/>
      </c>
      <c r="BN503">
        <f>$C503*BN502</f>
        <v/>
      </c>
      <c r="BO503">
        <f>$C503*BO502</f>
        <v/>
      </c>
      <c r="BP503">
        <f>$C503*BP502</f>
        <v/>
      </c>
      <c r="BQ503">
        <f>$C503*BQ502</f>
        <v/>
      </c>
      <c r="BR503">
        <f>$C503*BR502</f>
        <v/>
      </c>
      <c r="BS503">
        <f>$C503*BS502</f>
        <v/>
      </c>
      <c r="BT503">
        <f>$C503*BT502</f>
        <v/>
      </c>
      <c r="BU503">
        <f>$C503*BU502</f>
        <v/>
      </c>
      <c r="BV503">
        <f>$C503*BV502</f>
        <v/>
      </c>
      <c r="BW503">
        <f>$C503*BW502</f>
        <v/>
      </c>
      <c r="BX503">
        <f>$C503*BX502</f>
        <v/>
      </c>
      <c r="BY503">
        <f>$C503*BY502</f>
        <v/>
      </c>
      <c r="BZ503">
        <f>$C503*BZ502</f>
        <v/>
      </c>
      <c r="CA503">
        <f>$C503*CA502</f>
        <v/>
      </c>
      <c r="CB503">
        <f>$C503*CB502</f>
        <v/>
      </c>
      <c r="CC503">
        <f>$C503*CC502</f>
        <v/>
      </c>
      <c r="CD503">
        <f>$C503*CD502</f>
        <v/>
      </c>
      <c r="CE503">
        <f>$C503*CE502</f>
        <v/>
      </c>
      <c r="CF503">
        <f>$C503*CF502</f>
        <v/>
      </c>
      <c r="CG503">
        <f>$C503*CG502</f>
        <v/>
      </c>
      <c r="CH503">
        <f>$C503*CH502</f>
        <v/>
      </c>
      <c r="CI503">
        <f>$C503*CI502</f>
        <v/>
      </c>
      <c r="CJ503">
        <f>$C503*CJ502</f>
        <v/>
      </c>
      <c r="CK503">
        <f>$C503*CK502</f>
        <v/>
      </c>
      <c r="CL503">
        <f>$C503*CL502</f>
        <v/>
      </c>
      <c r="CM503">
        <f>$C503*CM502</f>
        <v/>
      </c>
      <c r="CN503">
        <f>$C503*CN502</f>
        <v/>
      </c>
      <c r="CO503">
        <f>$C503*CO502</f>
        <v/>
      </c>
      <c r="CP503">
        <f>$C503*CP502</f>
        <v/>
      </c>
      <c r="CQ503">
        <f>$C503*CQ502</f>
        <v/>
      </c>
      <c r="CR503">
        <f>$C503*CR502</f>
        <v/>
      </c>
      <c r="CS503">
        <f>$C503*CS502</f>
        <v/>
      </c>
      <c r="CT503">
        <f>$C503*CT502</f>
        <v/>
      </c>
      <c r="CU503">
        <f>$C503*CU502</f>
        <v/>
      </c>
      <c r="CV503">
        <f>$C503*CV502</f>
        <v/>
      </c>
      <c r="CW503">
        <f>$C503*CW502</f>
        <v/>
      </c>
      <c r="CX503">
        <f>$C503*CX502</f>
        <v/>
      </c>
      <c r="CY503">
        <f>$C503*CY502</f>
        <v/>
      </c>
      <c r="CZ503">
        <f>$C503*CZ502</f>
        <v/>
      </c>
      <c r="DA503">
        <f>$C503*DA502</f>
        <v/>
      </c>
      <c r="DB503">
        <f>$C503*DB502</f>
        <v/>
      </c>
      <c r="DC503">
        <f>$C503*DC502</f>
        <v/>
      </c>
    </row>
    <row r="504">
      <c r="B504" t="inlineStr">
        <is>
          <t>TSP-618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Name],$A439)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TSP-620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Name],$A439)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TSP-623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Name],$A439)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TSP-655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12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Name],$A439)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TSP-656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12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Name],$A439)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TSP-668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12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Name],$A439)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TSP-669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12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Name],$A439)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TSP-670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12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Name],$A439)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TSP-710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12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Name],$A439)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TSP-828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12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Name],$A439)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TSP-903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12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Name],$A439)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TSP-924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12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Name],$A439)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TSP-925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12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Name],$A439)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TSP-927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12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Name],$A439)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TSP-928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12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Name],$A439)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TSP-929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12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Name],$A439)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TSP-930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12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Name],$A439)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TSP-934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12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Name],$A439)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TSP-935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12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Name],$A439)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TSP-936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12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Name],$A439)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TSP-937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12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Name],$A439)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TSP-959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12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Name],$A439)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t="inlineStr">
        <is>
          <t>TSP-966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12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SUMIFS(M_BOM[RM_Qty_Per_Batch],M_BOM[Intermediate],$B548,M_BOM[Part Name],$A439)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TVS-267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12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SUMIFS(M_BOM[RM_Qty_Per_Batch],M_BOM[Intermediate],$B550,M_BOM[Part Name],$A439)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TVS-500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12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SUMIFS(M_BOM[RM_Qty_Per_Batch],M_BOM[Intermediate],$B552,M_BOM[Part Name],$A439)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TVS-664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12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SUMIFS(M_BOM[RM_Qty_Per_Batch],M_BOM[Intermediate],$B554,M_BOM[Part Name],$A439)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TVS-833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12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Name],$A439)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VSP-600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12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Name],$A439)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VSP-601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12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Name],$A439)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VSP-602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12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Name],$A439)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VSP-820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12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Name],$A439)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VSP-822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12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Name],$A439)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t="inlineStr">
        <is>
          <t>VSP-910</t>
        </is>
      </c>
      <c r="C568" t="inlineStr">
        <is>
          <t>No. of batches</t>
        </is>
      </c>
      <c r="D568">
        <f>IFERROR(INDEX(PP_Grid[#Data],$DD568,2),0)</f>
        <v/>
      </c>
      <c r="E568">
        <f>IFERROR(INDEX(PP_Grid[#Data],$DD568,3),0)</f>
        <v/>
      </c>
      <c r="F568">
        <f>IFERROR(INDEX(PP_Grid[#Data],$DD568,4),0)</f>
        <v/>
      </c>
      <c r="G568">
        <f>IFERROR(INDEX(PP_Grid[#Data],$DD568,5),0)</f>
        <v/>
      </c>
      <c r="H568">
        <f>IFERROR(INDEX(PP_Grid[#Data],$DD568,6),0)</f>
        <v/>
      </c>
      <c r="I568">
        <f>IFERROR(INDEX(PP_Grid[#Data],$DD568,7),0)</f>
        <v/>
      </c>
      <c r="J568">
        <f>IFERROR(INDEX(PP_Grid[#Data],$DD568,8),0)</f>
        <v/>
      </c>
      <c r="K568">
        <f>IFERROR(INDEX(PP_Grid[#Data],$DD568,9),0)</f>
        <v/>
      </c>
      <c r="L568">
        <f>IFERROR(INDEX(PP_Grid[#Data],$DD568,10),0)</f>
        <v/>
      </c>
      <c r="M568">
        <f>IFERROR(INDEX(PP_Grid[#Data],$DD568,11),0)</f>
        <v/>
      </c>
      <c r="N568">
        <f>IFERROR(INDEX(PP_Grid[#Data],$DD568,12),0)</f>
        <v/>
      </c>
      <c r="O568">
        <f>IFERROR(INDEX(PP_Grid[#Data],$DD568,13),0)</f>
        <v/>
      </c>
      <c r="P568">
        <f>IFERROR(INDEX(PP_Grid[#Data],$DD568,14),0)</f>
        <v/>
      </c>
      <c r="Q568">
        <f>IFERROR(INDEX(PP_Grid[#Data],$DD568,15),0)</f>
        <v/>
      </c>
      <c r="R568">
        <f>IFERROR(INDEX(PP_Grid[#Data],$DD568,16),0)</f>
        <v/>
      </c>
      <c r="S568">
        <f>IFERROR(INDEX(PP_Grid[#Data],$DD568,17),0)</f>
        <v/>
      </c>
      <c r="T568">
        <f>IFERROR(INDEX(PP_Grid[#Data],$DD568,18),0)</f>
        <v/>
      </c>
      <c r="U568">
        <f>IFERROR(INDEX(PP_Grid[#Data],$DD568,19),0)</f>
        <v/>
      </c>
      <c r="V568">
        <f>IFERROR(INDEX(PP_Grid[#Data],$DD568,20),0)</f>
        <v/>
      </c>
      <c r="W568">
        <f>IFERROR(INDEX(PP_Grid[#Data],$DD568,21),0)</f>
        <v/>
      </c>
      <c r="X568">
        <f>IFERROR(INDEX(PP_Grid[#Data],$DD568,22),0)</f>
        <v/>
      </c>
      <c r="Y568">
        <f>IFERROR(INDEX(PP_Grid[#Data],$DD568,23),0)</f>
        <v/>
      </c>
      <c r="Z568">
        <f>IFERROR(INDEX(PP_Grid[#Data],$DD568,24),0)</f>
        <v/>
      </c>
      <c r="AA568">
        <f>IFERROR(INDEX(PP_Grid[#Data],$DD568,25),0)</f>
        <v/>
      </c>
      <c r="AB568">
        <f>IFERROR(INDEX(PP_Grid[#Data],$DD568,26),0)</f>
        <v/>
      </c>
      <c r="AC568">
        <f>IFERROR(INDEX(PP_Grid[#Data],$DD568,27),0)</f>
        <v/>
      </c>
      <c r="AD568">
        <f>IFERROR(INDEX(PP_Grid[#Data],$DD568,28),0)</f>
        <v/>
      </c>
      <c r="AE568">
        <f>IFERROR(INDEX(PP_Grid[#Data],$DD568,29),0)</f>
        <v/>
      </c>
      <c r="AF568">
        <f>IFERROR(INDEX(PP_Grid[#Data],$DD568,30),0)</f>
        <v/>
      </c>
      <c r="AG568">
        <f>IFERROR(INDEX(PP_Grid[#Data],$DD568,31),0)</f>
        <v/>
      </c>
      <c r="AH568">
        <f>IFERROR(INDEX(PP_Grid[#Data],$DD568,32),0)</f>
        <v/>
      </c>
      <c r="AI568">
        <f>IFERROR(INDEX(PP_Grid[#Data],$DD568,33),0)</f>
        <v/>
      </c>
      <c r="AJ568">
        <f>IFERROR(INDEX(PP_Grid[#Data],$DD568,34),0)</f>
        <v/>
      </c>
      <c r="AK568">
        <f>IFERROR(INDEX(PP_Grid[#Data],$DD568,35),0)</f>
        <v/>
      </c>
      <c r="AL568">
        <f>IFERROR(INDEX(PP_Grid[#Data],$DD568,36),0)</f>
        <v/>
      </c>
      <c r="AM568">
        <f>IFERROR(INDEX(PP_Grid[#Data],$DD568,37),0)</f>
        <v/>
      </c>
      <c r="AN568">
        <f>IFERROR(INDEX(PP_Grid[#Data],$DD568,38),0)</f>
        <v/>
      </c>
      <c r="AO568">
        <f>IFERROR(INDEX(PP_Grid[#Data],$DD568,39),0)</f>
        <v/>
      </c>
      <c r="AP568">
        <f>IFERROR(INDEX(PP_Grid[#Data],$DD568,40),0)</f>
        <v/>
      </c>
      <c r="AQ568">
        <f>IFERROR(INDEX(PP_Grid[#Data],$DD568,41),0)</f>
        <v/>
      </c>
      <c r="AR568">
        <f>IFERROR(INDEX(PP_Grid[#Data],$DD568,42),0)</f>
        <v/>
      </c>
      <c r="AS568">
        <f>IFERROR(INDEX(PP_Grid[#Data],$DD568,43),0)</f>
        <v/>
      </c>
      <c r="AT568">
        <f>IFERROR(INDEX(PP_Grid[#Data],$DD568,44),0)</f>
        <v/>
      </c>
      <c r="AU568">
        <f>IFERROR(INDEX(PP_Grid[#Data],$DD568,45),0)</f>
        <v/>
      </c>
      <c r="AV568">
        <f>IFERROR(INDEX(PP_Grid[#Data],$DD568,46),0)</f>
        <v/>
      </c>
      <c r="AW568">
        <f>IFERROR(INDEX(PP_Grid[#Data],$DD568,47),0)</f>
        <v/>
      </c>
      <c r="AX568">
        <f>IFERROR(INDEX(PP_Grid[#Data],$DD568,48),0)</f>
        <v/>
      </c>
      <c r="AY568">
        <f>IFERROR(INDEX(PP_Grid[#Data],$DD568,49),0)</f>
        <v/>
      </c>
      <c r="AZ568">
        <f>IFERROR(INDEX(PP_Grid[#Data],$DD568,50),0)</f>
        <v/>
      </c>
      <c r="BA568">
        <f>IFERROR(INDEX(PP_Grid[#Data],$DD568,51),0)</f>
        <v/>
      </c>
      <c r="BB568">
        <f>IFERROR(INDEX(PP_Grid[#Data],$DD568,52),0)</f>
        <v/>
      </c>
      <c r="BC568">
        <f>IFERROR(INDEX(PP_Grid[#Data],$DD568,53),0)</f>
        <v/>
      </c>
      <c r="BD568">
        <f>IFERROR(INDEX(PP_Grid[#Data],$DD568,54),0)</f>
        <v/>
      </c>
      <c r="BE568">
        <f>IFERROR(INDEX(PP_Grid[#Data],$DD568,55),0)</f>
        <v/>
      </c>
      <c r="BF568">
        <f>IFERROR(INDEX(PP_Grid[#Data],$DD568,56),0)</f>
        <v/>
      </c>
      <c r="BG568">
        <f>IFERROR(INDEX(PP_Grid[#Data],$DD568,57),0)</f>
        <v/>
      </c>
      <c r="BH568">
        <f>IFERROR(INDEX(PP_Grid[#Data],$DD568,58),0)</f>
        <v/>
      </c>
      <c r="BI568">
        <f>IFERROR(INDEX(PP_Grid[#Data],$DD568,59),0)</f>
        <v/>
      </c>
      <c r="BJ568">
        <f>IFERROR(INDEX(PP_Grid[#Data],$DD568,60),0)</f>
        <v/>
      </c>
      <c r="BK568">
        <f>IFERROR(INDEX(PP_Grid[#Data],$DD568,61),0)</f>
        <v/>
      </c>
      <c r="BL568">
        <f>IFERROR(INDEX(PP_Grid[#Data],$DD568,62),0)</f>
        <v/>
      </c>
      <c r="BM568">
        <f>IFERROR(INDEX(PP_Grid[#Data],$DD568,63),0)</f>
        <v/>
      </c>
      <c r="BN568">
        <f>IFERROR(INDEX(PP_Grid[#Data],$DD568,64),0)</f>
        <v/>
      </c>
      <c r="BO568">
        <f>IFERROR(INDEX(PP_Grid[#Data],$DD568,65),0)</f>
        <v/>
      </c>
      <c r="BP568">
        <f>IFERROR(INDEX(PP_Grid[#Data],$DD568,66),0)</f>
        <v/>
      </c>
      <c r="BQ568">
        <f>IFERROR(INDEX(PP_Grid[#Data],$DD568,67),0)</f>
        <v/>
      </c>
      <c r="BR568">
        <f>IFERROR(INDEX(PP_Grid[#Data],$DD568,68),0)</f>
        <v/>
      </c>
      <c r="BS568">
        <f>IFERROR(INDEX(PP_Grid[#Data],$DD568,69),0)</f>
        <v/>
      </c>
      <c r="BT568">
        <f>IFERROR(INDEX(PP_Grid[#Data],$DD568,70),0)</f>
        <v/>
      </c>
      <c r="BU568">
        <f>IFERROR(INDEX(PP_Grid[#Data],$DD568,71),0)</f>
        <v/>
      </c>
      <c r="BV568">
        <f>IFERROR(INDEX(PP_Grid[#Data],$DD568,72),0)</f>
        <v/>
      </c>
      <c r="BW568">
        <f>IFERROR(INDEX(PP_Grid[#Data],$DD568,73),0)</f>
        <v/>
      </c>
      <c r="BX568">
        <f>IFERROR(INDEX(PP_Grid[#Data],$DD568,74),0)</f>
        <v/>
      </c>
      <c r="BY568">
        <f>IFERROR(INDEX(PP_Grid[#Data],$DD568,75),0)</f>
        <v/>
      </c>
      <c r="BZ568">
        <f>IFERROR(INDEX(PP_Grid[#Data],$DD568,76),0)</f>
        <v/>
      </c>
      <c r="CA568">
        <f>IFERROR(INDEX(PP_Grid[#Data],$DD568,77),0)</f>
        <v/>
      </c>
      <c r="CB568">
        <f>IFERROR(INDEX(PP_Grid[#Data],$DD568,78),0)</f>
        <v/>
      </c>
      <c r="CC568">
        <f>IFERROR(INDEX(PP_Grid[#Data],$DD568,79),0)</f>
        <v/>
      </c>
      <c r="CD568">
        <f>IFERROR(INDEX(PP_Grid[#Data],$DD568,80),0)</f>
        <v/>
      </c>
      <c r="CE568">
        <f>IFERROR(INDEX(PP_Grid[#Data],$DD568,81),0)</f>
        <v/>
      </c>
      <c r="CF568">
        <f>IFERROR(INDEX(PP_Grid[#Data],$DD568,82),0)</f>
        <v/>
      </c>
      <c r="CG568">
        <f>IFERROR(INDEX(PP_Grid[#Data],$DD568,83),0)</f>
        <v/>
      </c>
      <c r="CH568">
        <f>IFERROR(INDEX(PP_Grid[#Data],$DD568,84),0)</f>
        <v/>
      </c>
      <c r="CI568">
        <f>IFERROR(INDEX(PP_Grid[#Data],$DD568,85),0)</f>
        <v/>
      </c>
      <c r="CJ568">
        <f>IFERROR(INDEX(PP_Grid[#Data],$DD568,86),0)</f>
        <v/>
      </c>
      <c r="CK568">
        <f>IFERROR(INDEX(PP_Grid[#Data],$DD568,87),0)</f>
        <v/>
      </c>
      <c r="CL568">
        <f>IFERROR(INDEX(PP_Grid[#Data],$DD568,88),0)</f>
        <v/>
      </c>
      <c r="CM568">
        <f>IFERROR(INDEX(PP_Grid[#Data],$DD568,89),0)</f>
        <v/>
      </c>
      <c r="CN568">
        <f>IFERROR(INDEX(PP_Grid[#Data],$DD568,90),0)</f>
        <v/>
      </c>
      <c r="CO568">
        <f>IFERROR(INDEX(PP_Grid[#Data],$DD568,91),0)</f>
        <v/>
      </c>
      <c r="CP568">
        <f>IFERROR(INDEX(PP_Grid[#Data],$DD568,92),0)</f>
        <v/>
      </c>
      <c r="CQ568">
        <f>IFERROR(INDEX(PP_Grid[#Data],$DD568,93),0)</f>
        <v/>
      </c>
      <c r="CR568">
        <f>IFERROR(INDEX(PP_Grid[#Data],$DD568,94),0)</f>
        <v/>
      </c>
      <c r="CS568">
        <f>IFERROR(INDEX(PP_Grid[#Data],$DD568,95),0)</f>
        <v/>
      </c>
      <c r="CT568">
        <f>IFERROR(INDEX(PP_Grid[#Data],$DD568,96),0)</f>
        <v/>
      </c>
      <c r="CU568">
        <f>IFERROR(INDEX(PP_Grid[#Data],$DD568,97),0)</f>
        <v/>
      </c>
      <c r="CV568">
        <f>IFERROR(INDEX(PP_Grid[#Data],$DD568,98),0)</f>
        <v/>
      </c>
      <c r="CW568">
        <f>IFERROR(INDEX(PP_Grid[#Data],$DD568,99),0)</f>
        <v/>
      </c>
      <c r="CX568">
        <f>IFERROR(INDEX(PP_Grid[#Data],$DD568,100),0)</f>
        <v/>
      </c>
      <c r="CY568">
        <f>IFERROR(INDEX(PP_Grid[#Data],$DD568,101),0)</f>
        <v/>
      </c>
      <c r="CZ568">
        <f>IFERROR(INDEX(PP_Grid[#Data],$DD568,102),0)</f>
        <v/>
      </c>
      <c r="DA568">
        <f>IFERROR(INDEX(PP_Grid[#Data],$DD568,103),0)</f>
        <v/>
      </c>
      <c r="DB568">
        <f>IFERROR(INDEX(PP_Grid[#Data],$DD568,104),0)</f>
        <v/>
      </c>
      <c r="DC568">
        <f>IFERROR(INDEX(PP_Grid[#Data],$DD568,105),0)</f>
        <v/>
      </c>
      <c r="DD568" s="12">
        <f>IFERROR(MATCH($B568,PP_Grid[Intermediate],0),99999)</f>
        <v/>
      </c>
    </row>
    <row r="569">
      <c r="B569" t="inlineStr">
        <is>
          <t>使用量(kg)</t>
        </is>
      </c>
      <c r="C569">
        <f>SUMIFS(M_BOM[RM_Qty_Per_Batch],M_BOM[Intermediate],$B568,M_BOM[Part Name],$A439)</f>
        <v/>
      </c>
      <c r="D569">
        <f>$C569*D568</f>
        <v/>
      </c>
      <c r="E569">
        <f>$C569*E568</f>
        <v/>
      </c>
      <c r="F569">
        <f>$C569*F568</f>
        <v/>
      </c>
      <c r="G569">
        <f>$C569*G568</f>
        <v/>
      </c>
      <c r="H569">
        <f>$C569*H568</f>
        <v/>
      </c>
      <c r="I569">
        <f>$C569*I568</f>
        <v/>
      </c>
      <c r="J569">
        <f>$C569*J568</f>
        <v/>
      </c>
      <c r="K569">
        <f>$C569*K568</f>
        <v/>
      </c>
      <c r="L569">
        <f>$C569*L568</f>
        <v/>
      </c>
      <c r="M569">
        <f>$C569*M568</f>
        <v/>
      </c>
      <c r="N569">
        <f>$C569*N568</f>
        <v/>
      </c>
      <c r="O569">
        <f>$C569*O568</f>
        <v/>
      </c>
      <c r="P569">
        <f>$C569*P568</f>
        <v/>
      </c>
      <c r="Q569">
        <f>$C569*Q568</f>
        <v/>
      </c>
      <c r="R569">
        <f>$C569*R568</f>
        <v/>
      </c>
      <c r="S569">
        <f>$C569*S568</f>
        <v/>
      </c>
      <c r="T569">
        <f>$C569*T568</f>
        <v/>
      </c>
      <c r="U569">
        <f>$C569*U568</f>
        <v/>
      </c>
      <c r="V569">
        <f>$C569*V568</f>
        <v/>
      </c>
      <c r="W569">
        <f>$C569*W568</f>
        <v/>
      </c>
      <c r="X569">
        <f>$C569*X568</f>
        <v/>
      </c>
      <c r="Y569">
        <f>$C569*Y568</f>
        <v/>
      </c>
      <c r="Z569">
        <f>$C569*Z568</f>
        <v/>
      </c>
      <c r="AA569">
        <f>$C569*AA568</f>
        <v/>
      </c>
      <c r="AB569">
        <f>$C569*AB568</f>
        <v/>
      </c>
      <c r="AC569">
        <f>$C569*AC568</f>
        <v/>
      </c>
      <c r="AD569">
        <f>$C569*AD568</f>
        <v/>
      </c>
      <c r="AE569">
        <f>$C569*AE568</f>
        <v/>
      </c>
      <c r="AF569">
        <f>$C569*AF568</f>
        <v/>
      </c>
      <c r="AG569">
        <f>$C569*AG568</f>
        <v/>
      </c>
      <c r="AH569">
        <f>$C569*AH568</f>
        <v/>
      </c>
      <c r="AI569">
        <f>$C569*AI568</f>
        <v/>
      </c>
      <c r="AJ569">
        <f>$C569*AJ568</f>
        <v/>
      </c>
      <c r="AK569">
        <f>$C569*AK568</f>
        <v/>
      </c>
      <c r="AL569">
        <f>$C569*AL568</f>
        <v/>
      </c>
      <c r="AM569">
        <f>$C569*AM568</f>
        <v/>
      </c>
      <c r="AN569">
        <f>$C569*AN568</f>
        <v/>
      </c>
      <c r="AO569">
        <f>$C569*AO568</f>
        <v/>
      </c>
      <c r="AP569">
        <f>$C569*AP568</f>
        <v/>
      </c>
      <c r="AQ569">
        <f>$C569*AQ568</f>
        <v/>
      </c>
      <c r="AR569">
        <f>$C569*AR568</f>
        <v/>
      </c>
      <c r="AS569">
        <f>$C569*AS568</f>
        <v/>
      </c>
      <c r="AT569">
        <f>$C569*AT568</f>
        <v/>
      </c>
      <c r="AU569">
        <f>$C569*AU568</f>
        <v/>
      </c>
      <c r="AV569">
        <f>$C569*AV568</f>
        <v/>
      </c>
      <c r="AW569">
        <f>$C569*AW568</f>
        <v/>
      </c>
      <c r="AX569">
        <f>$C569*AX568</f>
        <v/>
      </c>
      <c r="AY569">
        <f>$C569*AY568</f>
        <v/>
      </c>
      <c r="AZ569">
        <f>$C569*AZ568</f>
        <v/>
      </c>
      <c r="BA569">
        <f>$C569*BA568</f>
        <v/>
      </c>
      <c r="BB569">
        <f>$C569*BB568</f>
        <v/>
      </c>
      <c r="BC569">
        <f>$C569*BC568</f>
        <v/>
      </c>
      <c r="BD569">
        <f>$C569*BD568</f>
        <v/>
      </c>
      <c r="BE569">
        <f>$C569*BE568</f>
        <v/>
      </c>
      <c r="BF569">
        <f>$C569*BF568</f>
        <v/>
      </c>
      <c r="BG569">
        <f>$C569*BG568</f>
        <v/>
      </c>
      <c r="BH569">
        <f>$C569*BH568</f>
        <v/>
      </c>
      <c r="BI569">
        <f>$C569*BI568</f>
        <v/>
      </c>
      <c r="BJ569">
        <f>$C569*BJ568</f>
        <v/>
      </c>
      <c r="BK569">
        <f>$C569*BK568</f>
        <v/>
      </c>
      <c r="BL569">
        <f>$C569*BL568</f>
        <v/>
      </c>
      <c r="BM569">
        <f>$C569*BM568</f>
        <v/>
      </c>
      <c r="BN569">
        <f>$C569*BN568</f>
        <v/>
      </c>
      <c r="BO569">
        <f>$C569*BO568</f>
        <v/>
      </c>
      <c r="BP569">
        <f>$C569*BP568</f>
        <v/>
      </c>
      <c r="BQ569">
        <f>$C569*BQ568</f>
        <v/>
      </c>
      <c r="BR569">
        <f>$C569*BR568</f>
        <v/>
      </c>
      <c r="BS569">
        <f>$C569*BS568</f>
        <v/>
      </c>
      <c r="BT569">
        <f>$C569*BT568</f>
        <v/>
      </c>
      <c r="BU569">
        <f>$C569*BU568</f>
        <v/>
      </c>
      <c r="BV569">
        <f>$C569*BV568</f>
        <v/>
      </c>
      <c r="BW569">
        <f>$C569*BW568</f>
        <v/>
      </c>
      <c r="BX569">
        <f>$C569*BX568</f>
        <v/>
      </c>
      <c r="BY569">
        <f>$C569*BY568</f>
        <v/>
      </c>
      <c r="BZ569">
        <f>$C569*BZ568</f>
        <v/>
      </c>
      <c r="CA569">
        <f>$C569*CA568</f>
        <v/>
      </c>
      <c r="CB569">
        <f>$C569*CB568</f>
        <v/>
      </c>
      <c r="CC569">
        <f>$C569*CC568</f>
        <v/>
      </c>
      <c r="CD569">
        <f>$C569*CD568</f>
        <v/>
      </c>
      <c r="CE569">
        <f>$C569*CE568</f>
        <v/>
      </c>
      <c r="CF569">
        <f>$C569*CF568</f>
        <v/>
      </c>
      <c r="CG569">
        <f>$C569*CG568</f>
        <v/>
      </c>
      <c r="CH569">
        <f>$C569*CH568</f>
        <v/>
      </c>
      <c r="CI569">
        <f>$C569*CI568</f>
        <v/>
      </c>
      <c r="CJ569">
        <f>$C569*CJ568</f>
        <v/>
      </c>
      <c r="CK569">
        <f>$C569*CK568</f>
        <v/>
      </c>
      <c r="CL569">
        <f>$C569*CL568</f>
        <v/>
      </c>
      <c r="CM569">
        <f>$C569*CM568</f>
        <v/>
      </c>
      <c r="CN569">
        <f>$C569*CN568</f>
        <v/>
      </c>
      <c r="CO569">
        <f>$C569*CO568</f>
        <v/>
      </c>
      <c r="CP569">
        <f>$C569*CP568</f>
        <v/>
      </c>
      <c r="CQ569">
        <f>$C569*CQ568</f>
        <v/>
      </c>
      <c r="CR569">
        <f>$C569*CR568</f>
        <v/>
      </c>
      <c r="CS569">
        <f>$C569*CS568</f>
        <v/>
      </c>
      <c r="CT569">
        <f>$C569*CT568</f>
        <v/>
      </c>
      <c r="CU569">
        <f>$C569*CU568</f>
        <v/>
      </c>
      <c r="CV569">
        <f>$C569*CV568</f>
        <v/>
      </c>
      <c r="CW569">
        <f>$C569*CW568</f>
        <v/>
      </c>
      <c r="CX569">
        <f>$C569*CX568</f>
        <v/>
      </c>
      <c r="CY569">
        <f>$C569*CY568</f>
        <v/>
      </c>
      <c r="CZ569">
        <f>$C569*CZ568</f>
        <v/>
      </c>
      <c r="DA569">
        <f>$C569*DA568</f>
        <v/>
      </c>
      <c r="DB569">
        <f>$C569*DB568</f>
        <v/>
      </c>
      <c r="DC569">
        <f>$C569*DC568</f>
        <v/>
      </c>
    </row>
    <row r="570">
      <c r="B570" t="inlineStr">
        <is>
          <t>VSP-989</t>
        </is>
      </c>
      <c r="C570" t="inlineStr">
        <is>
          <t>No. of batches</t>
        </is>
      </c>
      <c r="D570">
        <f>IFERROR(INDEX(PP_Grid[#Data],$DD570,2),0)</f>
        <v/>
      </c>
      <c r="E570">
        <f>IFERROR(INDEX(PP_Grid[#Data],$DD570,3),0)</f>
        <v/>
      </c>
      <c r="F570">
        <f>IFERROR(INDEX(PP_Grid[#Data],$DD570,4),0)</f>
        <v/>
      </c>
      <c r="G570">
        <f>IFERROR(INDEX(PP_Grid[#Data],$DD570,5),0)</f>
        <v/>
      </c>
      <c r="H570">
        <f>IFERROR(INDEX(PP_Grid[#Data],$DD570,6),0)</f>
        <v/>
      </c>
      <c r="I570">
        <f>IFERROR(INDEX(PP_Grid[#Data],$DD570,7),0)</f>
        <v/>
      </c>
      <c r="J570">
        <f>IFERROR(INDEX(PP_Grid[#Data],$DD570,8),0)</f>
        <v/>
      </c>
      <c r="K570">
        <f>IFERROR(INDEX(PP_Grid[#Data],$DD570,9),0)</f>
        <v/>
      </c>
      <c r="L570">
        <f>IFERROR(INDEX(PP_Grid[#Data],$DD570,10),0)</f>
        <v/>
      </c>
      <c r="M570">
        <f>IFERROR(INDEX(PP_Grid[#Data],$DD570,11),0)</f>
        <v/>
      </c>
      <c r="N570">
        <f>IFERROR(INDEX(PP_Grid[#Data],$DD570,12),0)</f>
        <v/>
      </c>
      <c r="O570">
        <f>IFERROR(INDEX(PP_Grid[#Data],$DD570,13),0)</f>
        <v/>
      </c>
      <c r="P570">
        <f>IFERROR(INDEX(PP_Grid[#Data],$DD570,14),0)</f>
        <v/>
      </c>
      <c r="Q570">
        <f>IFERROR(INDEX(PP_Grid[#Data],$DD570,15),0)</f>
        <v/>
      </c>
      <c r="R570">
        <f>IFERROR(INDEX(PP_Grid[#Data],$DD570,16),0)</f>
        <v/>
      </c>
      <c r="S570">
        <f>IFERROR(INDEX(PP_Grid[#Data],$DD570,17),0)</f>
        <v/>
      </c>
      <c r="T570">
        <f>IFERROR(INDEX(PP_Grid[#Data],$DD570,18),0)</f>
        <v/>
      </c>
      <c r="U570">
        <f>IFERROR(INDEX(PP_Grid[#Data],$DD570,19),0)</f>
        <v/>
      </c>
      <c r="V570">
        <f>IFERROR(INDEX(PP_Grid[#Data],$DD570,20),0)</f>
        <v/>
      </c>
      <c r="W570">
        <f>IFERROR(INDEX(PP_Grid[#Data],$DD570,21),0)</f>
        <v/>
      </c>
      <c r="X570">
        <f>IFERROR(INDEX(PP_Grid[#Data],$DD570,22),0)</f>
        <v/>
      </c>
      <c r="Y570">
        <f>IFERROR(INDEX(PP_Grid[#Data],$DD570,23),0)</f>
        <v/>
      </c>
      <c r="Z570">
        <f>IFERROR(INDEX(PP_Grid[#Data],$DD570,24),0)</f>
        <v/>
      </c>
      <c r="AA570">
        <f>IFERROR(INDEX(PP_Grid[#Data],$DD570,25),0)</f>
        <v/>
      </c>
      <c r="AB570">
        <f>IFERROR(INDEX(PP_Grid[#Data],$DD570,26),0)</f>
        <v/>
      </c>
      <c r="AC570">
        <f>IFERROR(INDEX(PP_Grid[#Data],$DD570,27),0)</f>
        <v/>
      </c>
      <c r="AD570">
        <f>IFERROR(INDEX(PP_Grid[#Data],$DD570,28),0)</f>
        <v/>
      </c>
      <c r="AE570">
        <f>IFERROR(INDEX(PP_Grid[#Data],$DD570,29),0)</f>
        <v/>
      </c>
      <c r="AF570">
        <f>IFERROR(INDEX(PP_Grid[#Data],$DD570,30),0)</f>
        <v/>
      </c>
      <c r="AG570">
        <f>IFERROR(INDEX(PP_Grid[#Data],$DD570,31),0)</f>
        <v/>
      </c>
      <c r="AH570">
        <f>IFERROR(INDEX(PP_Grid[#Data],$DD570,32),0)</f>
        <v/>
      </c>
      <c r="AI570">
        <f>IFERROR(INDEX(PP_Grid[#Data],$DD570,33),0)</f>
        <v/>
      </c>
      <c r="AJ570">
        <f>IFERROR(INDEX(PP_Grid[#Data],$DD570,34),0)</f>
        <v/>
      </c>
      <c r="AK570">
        <f>IFERROR(INDEX(PP_Grid[#Data],$DD570,35),0)</f>
        <v/>
      </c>
      <c r="AL570">
        <f>IFERROR(INDEX(PP_Grid[#Data],$DD570,36),0)</f>
        <v/>
      </c>
      <c r="AM570">
        <f>IFERROR(INDEX(PP_Grid[#Data],$DD570,37),0)</f>
        <v/>
      </c>
      <c r="AN570">
        <f>IFERROR(INDEX(PP_Grid[#Data],$DD570,38),0)</f>
        <v/>
      </c>
      <c r="AO570">
        <f>IFERROR(INDEX(PP_Grid[#Data],$DD570,39),0)</f>
        <v/>
      </c>
      <c r="AP570">
        <f>IFERROR(INDEX(PP_Grid[#Data],$DD570,40),0)</f>
        <v/>
      </c>
      <c r="AQ570">
        <f>IFERROR(INDEX(PP_Grid[#Data],$DD570,41),0)</f>
        <v/>
      </c>
      <c r="AR570">
        <f>IFERROR(INDEX(PP_Grid[#Data],$DD570,42),0)</f>
        <v/>
      </c>
      <c r="AS570">
        <f>IFERROR(INDEX(PP_Grid[#Data],$DD570,43),0)</f>
        <v/>
      </c>
      <c r="AT570">
        <f>IFERROR(INDEX(PP_Grid[#Data],$DD570,44),0)</f>
        <v/>
      </c>
      <c r="AU570">
        <f>IFERROR(INDEX(PP_Grid[#Data],$DD570,45),0)</f>
        <v/>
      </c>
      <c r="AV570">
        <f>IFERROR(INDEX(PP_Grid[#Data],$DD570,46),0)</f>
        <v/>
      </c>
      <c r="AW570">
        <f>IFERROR(INDEX(PP_Grid[#Data],$DD570,47),0)</f>
        <v/>
      </c>
      <c r="AX570">
        <f>IFERROR(INDEX(PP_Grid[#Data],$DD570,48),0)</f>
        <v/>
      </c>
      <c r="AY570">
        <f>IFERROR(INDEX(PP_Grid[#Data],$DD570,49),0)</f>
        <v/>
      </c>
      <c r="AZ570">
        <f>IFERROR(INDEX(PP_Grid[#Data],$DD570,50),0)</f>
        <v/>
      </c>
      <c r="BA570">
        <f>IFERROR(INDEX(PP_Grid[#Data],$DD570,51),0)</f>
        <v/>
      </c>
      <c r="BB570">
        <f>IFERROR(INDEX(PP_Grid[#Data],$DD570,52),0)</f>
        <v/>
      </c>
      <c r="BC570">
        <f>IFERROR(INDEX(PP_Grid[#Data],$DD570,53),0)</f>
        <v/>
      </c>
      <c r="BD570">
        <f>IFERROR(INDEX(PP_Grid[#Data],$DD570,54),0)</f>
        <v/>
      </c>
      <c r="BE570">
        <f>IFERROR(INDEX(PP_Grid[#Data],$DD570,55),0)</f>
        <v/>
      </c>
      <c r="BF570">
        <f>IFERROR(INDEX(PP_Grid[#Data],$DD570,56),0)</f>
        <v/>
      </c>
      <c r="BG570">
        <f>IFERROR(INDEX(PP_Grid[#Data],$DD570,57),0)</f>
        <v/>
      </c>
      <c r="BH570">
        <f>IFERROR(INDEX(PP_Grid[#Data],$DD570,58),0)</f>
        <v/>
      </c>
      <c r="BI570">
        <f>IFERROR(INDEX(PP_Grid[#Data],$DD570,59),0)</f>
        <v/>
      </c>
      <c r="BJ570">
        <f>IFERROR(INDEX(PP_Grid[#Data],$DD570,60),0)</f>
        <v/>
      </c>
      <c r="BK570">
        <f>IFERROR(INDEX(PP_Grid[#Data],$DD570,61),0)</f>
        <v/>
      </c>
      <c r="BL570">
        <f>IFERROR(INDEX(PP_Grid[#Data],$DD570,62),0)</f>
        <v/>
      </c>
      <c r="BM570">
        <f>IFERROR(INDEX(PP_Grid[#Data],$DD570,63),0)</f>
        <v/>
      </c>
      <c r="BN570">
        <f>IFERROR(INDEX(PP_Grid[#Data],$DD570,64),0)</f>
        <v/>
      </c>
      <c r="BO570">
        <f>IFERROR(INDEX(PP_Grid[#Data],$DD570,65),0)</f>
        <v/>
      </c>
      <c r="BP570">
        <f>IFERROR(INDEX(PP_Grid[#Data],$DD570,66),0)</f>
        <v/>
      </c>
      <c r="BQ570">
        <f>IFERROR(INDEX(PP_Grid[#Data],$DD570,67),0)</f>
        <v/>
      </c>
      <c r="BR570">
        <f>IFERROR(INDEX(PP_Grid[#Data],$DD570,68),0)</f>
        <v/>
      </c>
      <c r="BS570">
        <f>IFERROR(INDEX(PP_Grid[#Data],$DD570,69),0)</f>
        <v/>
      </c>
      <c r="BT570">
        <f>IFERROR(INDEX(PP_Grid[#Data],$DD570,70),0)</f>
        <v/>
      </c>
      <c r="BU570">
        <f>IFERROR(INDEX(PP_Grid[#Data],$DD570,71),0)</f>
        <v/>
      </c>
      <c r="BV570">
        <f>IFERROR(INDEX(PP_Grid[#Data],$DD570,72),0)</f>
        <v/>
      </c>
      <c r="BW570">
        <f>IFERROR(INDEX(PP_Grid[#Data],$DD570,73),0)</f>
        <v/>
      </c>
      <c r="BX570">
        <f>IFERROR(INDEX(PP_Grid[#Data],$DD570,74),0)</f>
        <v/>
      </c>
      <c r="BY570">
        <f>IFERROR(INDEX(PP_Grid[#Data],$DD570,75),0)</f>
        <v/>
      </c>
      <c r="BZ570">
        <f>IFERROR(INDEX(PP_Grid[#Data],$DD570,76),0)</f>
        <v/>
      </c>
      <c r="CA570">
        <f>IFERROR(INDEX(PP_Grid[#Data],$DD570,77),0)</f>
        <v/>
      </c>
      <c r="CB570">
        <f>IFERROR(INDEX(PP_Grid[#Data],$DD570,78),0)</f>
        <v/>
      </c>
      <c r="CC570">
        <f>IFERROR(INDEX(PP_Grid[#Data],$DD570,79),0)</f>
        <v/>
      </c>
      <c r="CD570">
        <f>IFERROR(INDEX(PP_Grid[#Data],$DD570,80),0)</f>
        <v/>
      </c>
      <c r="CE570">
        <f>IFERROR(INDEX(PP_Grid[#Data],$DD570,81),0)</f>
        <v/>
      </c>
      <c r="CF570">
        <f>IFERROR(INDEX(PP_Grid[#Data],$DD570,82),0)</f>
        <v/>
      </c>
      <c r="CG570">
        <f>IFERROR(INDEX(PP_Grid[#Data],$DD570,83),0)</f>
        <v/>
      </c>
      <c r="CH570">
        <f>IFERROR(INDEX(PP_Grid[#Data],$DD570,84),0)</f>
        <v/>
      </c>
      <c r="CI570">
        <f>IFERROR(INDEX(PP_Grid[#Data],$DD570,85),0)</f>
        <v/>
      </c>
      <c r="CJ570">
        <f>IFERROR(INDEX(PP_Grid[#Data],$DD570,86),0)</f>
        <v/>
      </c>
      <c r="CK570">
        <f>IFERROR(INDEX(PP_Grid[#Data],$DD570,87),0)</f>
        <v/>
      </c>
      <c r="CL570">
        <f>IFERROR(INDEX(PP_Grid[#Data],$DD570,88),0)</f>
        <v/>
      </c>
      <c r="CM570">
        <f>IFERROR(INDEX(PP_Grid[#Data],$DD570,89),0)</f>
        <v/>
      </c>
      <c r="CN570">
        <f>IFERROR(INDEX(PP_Grid[#Data],$DD570,90),0)</f>
        <v/>
      </c>
      <c r="CO570">
        <f>IFERROR(INDEX(PP_Grid[#Data],$DD570,91),0)</f>
        <v/>
      </c>
      <c r="CP570">
        <f>IFERROR(INDEX(PP_Grid[#Data],$DD570,92),0)</f>
        <v/>
      </c>
      <c r="CQ570">
        <f>IFERROR(INDEX(PP_Grid[#Data],$DD570,93),0)</f>
        <v/>
      </c>
      <c r="CR570">
        <f>IFERROR(INDEX(PP_Grid[#Data],$DD570,94),0)</f>
        <v/>
      </c>
      <c r="CS570">
        <f>IFERROR(INDEX(PP_Grid[#Data],$DD570,95),0)</f>
        <v/>
      </c>
      <c r="CT570">
        <f>IFERROR(INDEX(PP_Grid[#Data],$DD570,96),0)</f>
        <v/>
      </c>
      <c r="CU570">
        <f>IFERROR(INDEX(PP_Grid[#Data],$DD570,97),0)</f>
        <v/>
      </c>
      <c r="CV570">
        <f>IFERROR(INDEX(PP_Grid[#Data],$DD570,98),0)</f>
        <v/>
      </c>
      <c r="CW570">
        <f>IFERROR(INDEX(PP_Grid[#Data],$DD570,99),0)</f>
        <v/>
      </c>
      <c r="CX570">
        <f>IFERROR(INDEX(PP_Grid[#Data],$DD570,100),0)</f>
        <v/>
      </c>
      <c r="CY570">
        <f>IFERROR(INDEX(PP_Grid[#Data],$DD570,101),0)</f>
        <v/>
      </c>
      <c r="CZ570">
        <f>IFERROR(INDEX(PP_Grid[#Data],$DD570,102),0)</f>
        <v/>
      </c>
      <c r="DA570">
        <f>IFERROR(INDEX(PP_Grid[#Data],$DD570,103),0)</f>
        <v/>
      </c>
      <c r="DB570">
        <f>IFERROR(INDEX(PP_Grid[#Data],$DD570,104),0)</f>
        <v/>
      </c>
      <c r="DC570">
        <f>IFERROR(INDEX(PP_Grid[#Data],$DD570,105),0)</f>
        <v/>
      </c>
      <c r="DD570" s="12">
        <f>IFERROR(MATCH($B570,PP_Grid[Intermediate],0),99999)</f>
        <v/>
      </c>
    </row>
    <row r="571">
      <c r="B571" t="inlineStr">
        <is>
          <t>使用量(kg)</t>
        </is>
      </c>
      <c r="C571">
        <f>SUMIFS(M_BOM[RM_Qty_Per_Batch],M_BOM[Intermediate],$B570,M_BOM[Part Name],$A439)</f>
        <v/>
      </c>
      <c r="D571">
        <f>$C571*D570</f>
        <v/>
      </c>
      <c r="E571">
        <f>$C571*E570</f>
        <v/>
      </c>
      <c r="F571">
        <f>$C571*F570</f>
        <v/>
      </c>
      <c r="G571">
        <f>$C571*G570</f>
        <v/>
      </c>
      <c r="H571">
        <f>$C571*H570</f>
        <v/>
      </c>
      <c r="I571">
        <f>$C571*I570</f>
        <v/>
      </c>
      <c r="J571">
        <f>$C571*J570</f>
        <v/>
      </c>
      <c r="K571">
        <f>$C571*K570</f>
        <v/>
      </c>
      <c r="L571">
        <f>$C571*L570</f>
        <v/>
      </c>
      <c r="M571">
        <f>$C571*M570</f>
        <v/>
      </c>
      <c r="N571">
        <f>$C571*N570</f>
        <v/>
      </c>
      <c r="O571">
        <f>$C571*O570</f>
        <v/>
      </c>
      <c r="P571">
        <f>$C571*P570</f>
        <v/>
      </c>
      <c r="Q571">
        <f>$C571*Q570</f>
        <v/>
      </c>
      <c r="R571">
        <f>$C571*R570</f>
        <v/>
      </c>
      <c r="S571">
        <f>$C571*S570</f>
        <v/>
      </c>
      <c r="T571">
        <f>$C571*T570</f>
        <v/>
      </c>
      <c r="U571">
        <f>$C571*U570</f>
        <v/>
      </c>
      <c r="V571">
        <f>$C571*V570</f>
        <v/>
      </c>
      <c r="W571">
        <f>$C571*W570</f>
        <v/>
      </c>
      <c r="X571">
        <f>$C571*X570</f>
        <v/>
      </c>
      <c r="Y571">
        <f>$C571*Y570</f>
        <v/>
      </c>
      <c r="Z571">
        <f>$C571*Z570</f>
        <v/>
      </c>
      <c r="AA571">
        <f>$C571*AA570</f>
        <v/>
      </c>
      <c r="AB571">
        <f>$C571*AB570</f>
        <v/>
      </c>
      <c r="AC571">
        <f>$C571*AC570</f>
        <v/>
      </c>
      <c r="AD571">
        <f>$C571*AD570</f>
        <v/>
      </c>
      <c r="AE571">
        <f>$C571*AE570</f>
        <v/>
      </c>
      <c r="AF571">
        <f>$C571*AF570</f>
        <v/>
      </c>
      <c r="AG571">
        <f>$C571*AG570</f>
        <v/>
      </c>
      <c r="AH571">
        <f>$C571*AH570</f>
        <v/>
      </c>
      <c r="AI571">
        <f>$C571*AI570</f>
        <v/>
      </c>
      <c r="AJ571">
        <f>$C571*AJ570</f>
        <v/>
      </c>
      <c r="AK571">
        <f>$C571*AK570</f>
        <v/>
      </c>
      <c r="AL571">
        <f>$C571*AL570</f>
        <v/>
      </c>
      <c r="AM571">
        <f>$C571*AM570</f>
        <v/>
      </c>
      <c r="AN571">
        <f>$C571*AN570</f>
        <v/>
      </c>
      <c r="AO571">
        <f>$C571*AO570</f>
        <v/>
      </c>
      <c r="AP571">
        <f>$C571*AP570</f>
        <v/>
      </c>
      <c r="AQ571">
        <f>$C571*AQ570</f>
        <v/>
      </c>
      <c r="AR571">
        <f>$C571*AR570</f>
        <v/>
      </c>
      <c r="AS571">
        <f>$C571*AS570</f>
        <v/>
      </c>
      <c r="AT571">
        <f>$C571*AT570</f>
        <v/>
      </c>
      <c r="AU571">
        <f>$C571*AU570</f>
        <v/>
      </c>
      <c r="AV571">
        <f>$C571*AV570</f>
        <v/>
      </c>
      <c r="AW571">
        <f>$C571*AW570</f>
        <v/>
      </c>
      <c r="AX571">
        <f>$C571*AX570</f>
        <v/>
      </c>
      <c r="AY571">
        <f>$C571*AY570</f>
        <v/>
      </c>
      <c r="AZ571">
        <f>$C571*AZ570</f>
        <v/>
      </c>
      <c r="BA571">
        <f>$C571*BA570</f>
        <v/>
      </c>
      <c r="BB571">
        <f>$C571*BB570</f>
        <v/>
      </c>
      <c r="BC571">
        <f>$C571*BC570</f>
        <v/>
      </c>
      <c r="BD571">
        <f>$C571*BD570</f>
        <v/>
      </c>
      <c r="BE571">
        <f>$C571*BE570</f>
        <v/>
      </c>
      <c r="BF571">
        <f>$C571*BF570</f>
        <v/>
      </c>
      <c r="BG571">
        <f>$C571*BG570</f>
        <v/>
      </c>
      <c r="BH571">
        <f>$C571*BH570</f>
        <v/>
      </c>
      <c r="BI571">
        <f>$C571*BI570</f>
        <v/>
      </c>
      <c r="BJ571">
        <f>$C571*BJ570</f>
        <v/>
      </c>
      <c r="BK571">
        <f>$C571*BK570</f>
        <v/>
      </c>
      <c r="BL571">
        <f>$C571*BL570</f>
        <v/>
      </c>
      <c r="BM571">
        <f>$C571*BM570</f>
        <v/>
      </c>
      <c r="BN571">
        <f>$C571*BN570</f>
        <v/>
      </c>
      <c r="BO571">
        <f>$C571*BO570</f>
        <v/>
      </c>
      <c r="BP571">
        <f>$C571*BP570</f>
        <v/>
      </c>
      <c r="BQ571">
        <f>$C571*BQ570</f>
        <v/>
      </c>
      <c r="BR571">
        <f>$C571*BR570</f>
        <v/>
      </c>
      <c r="BS571">
        <f>$C571*BS570</f>
        <v/>
      </c>
      <c r="BT571">
        <f>$C571*BT570</f>
        <v/>
      </c>
      <c r="BU571">
        <f>$C571*BU570</f>
        <v/>
      </c>
      <c r="BV571">
        <f>$C571*BV570</f>
        <v/>
      </c>
      <c r="BW571">
        <f>$C571*BW570</f>
        <v/>
      </c>
      <c r="BX571">
        <f>$C571*BX570</f>
        <v/>
      </c>
      <c r="BY571">
        <f>$C571*BY570</f>
        <v/>
      </c>
      <c r="BZ571">
        <f>$C571*BZ570</f>
        <v/>
      </c>
      <c r="CA571">
        <f>$C571*CA570</f>
        <v/>
      </c>
      <c r="CB571">
        <f>$C571*CB570</f>
        <v/>
      </c>
      <c r="CC571">
        <f>$C571*CC570</f>
        <v/>
      </c>
      <c r="CD571">
        <f>$C571*CD570</f>
        <v/>
      </c>
      <c r="CE571">
        <f>$C571*CE570</f>
        <v/>
      </c>
      <c r="CF571">
        <f>$C571*CF570</f>
        <v/>
      </c>
      <c r="CG571">
        <f>$C571*CG570</f>
        <v/>
      </c>
      <c r="CH571">
        <f>$C571*CH570</f>
        <v/>
      </c>
      <c r="CI571">
        <f>$C571*CI570</f>
        <v/>
      </c>
      <c r="CJ571">
        <f>$C571*CJ570</f>
        <v/>
      </c>
      <c r="CK571">
        <f>$C571*CK570</f>
        <v/>
      </c>
      <c r="CL571">
        <f>$C571*CL570</f>
        <v/>
      </c>
      <c r="CM571">
        <f>$C571*CM570</f>
        <v/>
      </c>
      <c r="CN571">
        <f>$C571*CN570</f>
        <v/>
      </c>
      <c r="CO571">
        <f>$C571*CO570</f>
        <v/>
      </c>
      <c r="CP571">
        <f>$C571*CP570</f>
        <v/>
      </c>
      <c r="CQ571">
        <f>$C571*CQ570</f>
        <v/>
      </c>
      <c r="CR571">
        <f>$C571*CR570</f>
        <v/>
      </c>
      <c r="CS571">
        <f>$C571*CS570</f>
        <v/>
      </c>
      <c r="CT571">
        <f>$C571*CT570</f>
        <v/>
      </c>
      <c r="CU571">
        <f>$C571*CU570</f>
        <v/>
      </c>
      <c r="CV571">
        <f>$C571*CV570</f>
        <v/>
      </c>
      <c r="CW571">
        <f>$C571*CW570</f>
        <v/>
      </c>
      <c r="CX571">
        <f>$C571*CX570</f>
        <v/>
      </c>
      <c r="CY571">
        <f>$C571*CY570</f>
        <v/>
      </c>
      <c r="CZ571">
        <f>$C571*CZ570</f>
        <v/>
      </c>
      <c r="DA571">
        <f>$C571*DA570</f>
        <v/>
      </c>
      <c r="DB571">
        <f>$C571*DB570</f>
        <v/>
      </c>
      <c r="DC571">
        <f>$C571*DC570</f>
        <v/>
      </c>
    </row>
    <row r="572">
      <c r="B572" t="inlineStr">
        <is>
          <t>VSP-990</t>
        </is>
      </c>
      <c r="C572" t="inlineStr">
        <is>
          <t>No. of batches</t>
        </is>
      </c>
      <c r="D572">
        <f>IFERROR(INDEX(PP_Grid[#Data],$DD572,2),0)</f>
        <v/>
      </c>
      <c r="E572">
        <f>IFERROR(INDEX(PP_Grid[#Data],$DD572,3),0)</f>
        <v/>
      </c>
      <c r="F572">
        <f>IFERROR(INDEX(PP_Grid[#Data],$DD572,4),0)</f>
        <v/>
      </c>
      <c r="G572">
        <f>IFERROR(INDEX(PP_Grid[#Data],$DD572,5),0)</f>
        <v/>
      </c>
      <c r="H572">
        <f>IFERROR(INDEX(PP_Grid[#Data],$DD572,6),0)</f>
        <v/>
      </c>
      <c r="I572">
        <f>IFERROR(INDEX(PP_Grid[#Data],$DD572,7),0)</f>
        <v/>
      </c>
      <c r="J572">
        <f>IFERROR(INDEX(PP_Grid[#Data],$DD572,8),0)</f>
        <v/>
      </c>
      <c r="K572">
        <f>IFERROR(INDEX(PP_Grid[#Data],$DD572,9),0)</f>
        <v/>
      </c>
      <c r="L572">
        <f>IFERROR(INDEX(PP_Grid[#Data],$DD572,10),0)</f>
        <v/>
      </c>
      <c r="M572">
        <f>IFERROR(INDEX(PP_Grid[#Data],$DD572,11),0)</f>
        <v/>
      </c>
      <c r="N572">
        <f>IFERROR(INDEX(PP_Grid[#Data],$DD572,12),0)</f>
        <v/>
      </c>
      <c r="O572">
        <f>IFERROR(INDEX(PP_Grid[#Data],$DD572,13),0)</f>
        <v/>
      </c>
      <c r="P572">
        <f>IFERROR(INDEX(PP_Grid[#Data],$DD572,14),0)</f>
        <v/>
      </c>
      <c r="Q572">
        <f>IFERROR(INDEX(PP_Grid[#Data],$DD572,15),0)</f>
        <v/>
      </c>
      <c r="R572">
        <f>IFERROR(INDEX(PP_Grid[#Data],$DD572,16),0)</f>
        <v/>
      </c>
      <c r="S572">
        <f>IFERROR(INDEX(PP_Grid[#Data],$DD572,17),0)</f>
        <v/>
      </c>
      <c r="T572">
        <f>IFERROR(INDEX(PP_Grid[#Data],$DD572,18),0)</f>
        <v/>
      </c>
      <c r="U572">
        <f>IFERROR(INDEX(PP_Grid[#Data],$DD572,19),0)</f>
        <v/>
      </c>
      <c r="V572">
        <f>IFERROR(INDEX(PP_Grid[#Data],$DD572,20),0)</f>
        <v/>
      </c>
      <c r="W572">
        <f>IFERROR(INDEX(PP_Grid[#Data],$DD572,21),0)</f>
        <v/>
      </c>
      <c r="X572">
        <f>IFERROR(INDEX(PP_Grid[#Data],$DD572,22),0)</f>
        <v/>
      </c>
      <c r="Y572">
        <f>IFERROR(INDEX(PP_Grid[#Data],$DD572,23),0)</f>
        <v/>
      </c>
      <c r="Z572">
        <f>IFERROR(INDEX(PP_Grid[#Data],$DD572,24),0)</f>
        <v/>
      </c>
      <c r="AA572">
        <f>IFERROR(INDEX(PP_Grid[#Data],$DD572,25),0)</f>
        <v/>
      </c>
      <c r="AB572">
        <f>IFERROR(INDEX(PP_Grid[#Data],$DD572,26),0)</f>
        <v/>
      </c>
      <c r="AC572">
        <f>IFERROR(INDEX(PP_Grid[#Data],$DD572,27),0)</f>
        <v/>
      </c>
      <c r="AD572">
        <f>IFERROR(INDEX(PP_Grid[#Data],$DD572,28),0)</f>
        <v/>
      </c>
      <c r="AE572">
        <f>IFERROR(INDEX(PP_Grid[#Data],$DD572,29),0)</f>
        <v/>
      </c>
      <c r="AF572">
        <f>IFERROR(INDEX(PP_Grid[#Data],$DD572,30),0)</f>
        <v/>
      </c>
      <c r="AG572">
        <f>IFERROR(INDEX(PP_Grid[#Data],$DD572,31),0)</f>
        <v/>
      </c>
      <c r="AH572">
        <f>IFERROR(INDEX(PP_Grid[#Data],$DD572,32),0)</f>
        <v/>
      </c>
      <c r="AI572">
        <f>IFERROR(INDEX(PP_Grid[#Data],$DD572,33),0)</f>
        <v/>
      </c>
      <c r="AJ572">
        <f>IFERROR(INDEX(PP_Grid[#Data],$DD572,34),0)</f>
        <v/>
      </c>
      <c r="AK572">
        <f>IFERROR(INDEX(PP_Grid[#Data],$DD572,35),0)</f>
        <v/>
      </c>
      <c r="AL572">
        <f>IFERROR(INDEX(PP_Grid[#Data],$DD572,36),0)</f>
        <v/>
      </c>
      <c r="AM572">
        <f>IFERROR(INDEX(PP_Grid[#Data],$DD572,37),0)</f>
        <v/>
      </c>
      <c r="AN572">
        <f>IFERROR(INDEX(PP_Grid[#Data],$DD572,38),0)</f>
        <v/>
      </c>
      <c r="AO572">
        <f>IFERROR(INDEX(PP_Grid[#Data],$DD572,39),0)</f>
        <v/>
      </c>
      <c r="AP572">
        <f>IFERROR(INDEX(PP_Grid[#Data],$DD572,40),0)</f>
        <v/>
      </c>
      <c r="AQ572">
        <f>IFERROR(INDEX(PP_Grid[#Data],$DD572,41),0)</f>
        <v/>
      </c>
      <c r="AR572">
        <f>IFERROR(INDEX(PP_Grid[#Data],$DD572,42),0)</f>
        <v/>
      </c>
      <c r="AS572">
        <f>IFERROR(INDEX(PP_Grid[#Data],$DD572,43),0)</f>
        <v/>
      </c>
      <c r="AT572">
        <f>IFERROR(INDEX(PP_Grid[#Data],$DD572,44),0)</f>
        <v/>
      </c>
      <c r="AU572">
        <f>IFERROR(INDEX(PP_Grid[#Data],$DD572,45),0)</f>
        <v/>
      </c>
      <c r="AV572">
        <f>IFERROR(INDEX(PP_Grid[#Data],$DD572,46),0)</f>
        <v/>
      </c>
      <c r="AW572">
        <f>IFERROR(INDEX(PP_Grid[#Data],$DD572,47),0)</f>
        <v/>
      </c>
      <c r="AX572">
        <f>IFERROR(INDEX(PP_Grid[#Data],$DD572,48),0)</f>
        <v/>
      </c>
      <c r="AY572">
        <f>IFERROR(INDEX(PP_Grid[#Data],$DD572,49),0)</f>
        <v/>
      </c>
      <c r="AZ572">
        <f>IFERROR(INDEX(PP_Grid[#Data],$DD572,50),0)</f>
        <v/>
      </c>
      <c r="BA572">
        <f>IFERROR(INDEX(PP_Grid[#Data],$DD572,51),0)</f>
        <v/>
      </c>
      <c r="BB572">
        <f>IFERROR(INDEX(PP_Grid[#Data],$DD572,52),0)</f>
        <v/>
      </c>
      <c r="BC572">
        <f>IFERROR(INDEX(PP_Grid[#Data],$DD572,53),0)</f>
        <v/>
      </c>
      <c r="BD572">
        <f>IFERROR(INDEX(PP_Grid[#Data],$DD572,54),0)</f>
        <v/>
      </c>
      <c r="BE572">
        <f>IFERROR(INDEX(PP_Grid[#Data],$DD572,55),0)</f>
        <v/>
      </c>
      <c r="BF572">
        <f>IFERROR(INDEX(PP_Grid[#Data],$DD572,56),0)</f>
        <v/>
      </c>
      <c r="BG572">
        <f>IFERROR(INDEX(PP_Grid[#Data],$DD572,57),0)</f>
        <v/>
      </c>
      <c r="BH572">
        <f>IFERROR(INDEX(PP_Grid[#Data],$DD572,58),0)</f>
        <v/>
      </c>
      <c r="BI572">
        <f>IFERROR(INDEX(PP_Grid[#Data],$DD572,59),0)</f>
        <v/>
      </c>
      <c r="BJ572">
        <f>IFERROR(INDEX(PP_Grid[#Data],$DD572,60),0)</f>
        <v/>
      </c>
      <c r="BK572">
        <f>IFERROR(INDEX(PP_Grid[#Data],$DD572,61),0)</f>
        <v/>
      </c>
      <c r="BL572">
        <f>IFERROR(INDEX(PP_Grid[#Data],$DD572,62),0)</f>
        <v/>
      </c>
      <c r="BM572">
        <f>IFERROR(INDEX(PP_Grid[#Data],$DD572,63),0)</f>
        <v/>
      </c>
      <c r="BN572">
        <f>IFERROR(INDEX(PP_Grid[#Data],$DD572,64),0)</f>
        <v/>
      </c>
      <c r="BO572">
        <f>IFERROR(INDEX(PP_Grid[#Data],$DD572,65),0)</f>
        <v/>
      </c>
      <c r="BP572">
        <f>IFERROR(INDEX(PP_Grid[#Data],$DD572,66),0)</f>
        <v/>
      </c>
      <c r="BQ572">
        <f>IFERROR(INDEX(PP_Grid[#Data],$DD572,67),0)</f>
        <v/>
      </c>
      <c r="BR572">
        <f>IFERROR(INDEX(PP_Grid[#Data],$DD572,68),0)</f>
        <v/>
      </c>
      <c r="BS572">
        <f>IFERROR(INDEX(PP_Grid[#Data],$DD572,69),0)</f>
        <v/>
      </c>
      <c r="BT572">
        <f>IFERROR(INDEX(PP_Grid[#Data],$DD572,70),0)</f>
        <v/>
      </c>
      <c r="BU572">
        <f>IFERROR(INDEX(PP_Grid[#Data],$DD572,71),0)</f>
        <v/>
      </c>
      <c r="BV572">
        <f>IFERROR(INDEX(PP_Grid[#Data],$DD572,72),0)</f>
        <v/>
      </c>
      <c r="BW572">
        <f>IFERROR(INDEX(PP_Grid[#Data],$DD572,73),0)</f>
        <v/>
      </c>
      <c r="BX572">
        <f>IFERROR(INDEX(PP_Grid[#Data],$DD572,74),0)</f>
        <v/>
      </c>
      <c r="BY572">
        <f>IFERROR(INDEX(PP_Grid[#Data],$DD572,75),0)</f>
        <v/>
      </c>
      <c r="BZ572">
        <f>IFERROR(INDEX(PP_Grid[#Data],$DD572,76),0)</f>
        <v/>
      </c>
      <c r="CA572">
        <f>IFERROR(INDEX(PP_Grid[#Data],$DD572,77),0)</f>
        <v/>
      </c>
      <c r="CB572">
        <f>IFERROR(INDEX(PP_Grid[#Data],$DD572,78),0)</f>
        <v/>
      </c>
      <c r="CC572">
        <f>IFERROR(INDEX(PP_Grid[#Data],$DD572,79),0)</f>
        <v/>
      </c>
      <c r="CD572">
        <f>IFERROR(INDEX(PP_Grid[#Data],$DD572,80),0)</f>
        <v/>
      </c>
      <c r="CE572">
        <f>IFERROR(INDEX(PP_Grid[#Data],$DD572,81),0)</f>
        <v/>
      </c>
      <c r="CF572">
        <f>IFERROR(INDEX(PP_Grid[#Data],$DD572,82),0)</f>
        <v/>
      </c>
      <c r="CG572">
        <f>IFERROR(INDEX(PP_Grid[#Data],$DD572,83),0)</f>
        <v/>
      </c>
      <c r="CH572">
        <f>IFERROR(INDEX(PP_Grid[#Data],$DD572,84),0)</f>
        <v/>
      </c>
      <c r="CI572">
        <f>IFERROR(INDEX(PP_Grid[#Data],$DD572,85),0)</f>
        <v/>
      </c>
      <c r="CJ572">
        <f>IFERROR(INDEX(PP_Grid[#Data],$DD572,86),0)</f>
        <v/>
      </c>
      <c r="CK572">
        <f>IFERROR(INDEX(PP_Grid[#Data],$DD572,87),0)</f>
        <v/>
      </c>
      <c r="CL572">
        <f>IFERROR(INDEX(PP_Grid[#Data],$DD572,88),0)</f>
        <v/>
      </c>
      <c r="CM572">
        <f>IFERROR(INDEX(PP_Grid[#Data],$DD572,89),0)</f>
        <v/>
      </c>
      <c r="CN572">
        <f>IFERROR(INDEX(PP_Grid[#Data],$DD572,90),0)</f>
        <v/>
      </c>
      <c r="CO572">
        <f>IFERROR(INDEX(PP_Grid[#Data],$DD572,91),0)</f>
        <v/>
      </c>
      <c r="CP572">
        <f>IFERROR(INDEX(PP_Grid[#Data],$DD572,92),0)</f>
        <v/>
      </c>
      <c r="CQ572">
        <f>IFERROR(INDEX(PP_Grid[#Data],$DD572,93),0)</f>
        <v/>
      </c>
      <c r="CR572">
        <f>IFERROR(INDEX(PP_Grid[#Data],$DD572,94),0)</f>
        <v/>
      </c>
      <c r="CS572">
        <f>IFERROR(INDEX(PP_Grid[#Data],$DD572,95),0)</f>
        <v/>
      </c>
      <c r="CT572">
        <f>IFERROR(INDEX(PP_Grid[#Data],$DD572,96),0)</f>
        <v/>
      </c>
      <c r="CU572">
        <f>IFERROR(INDEX(PP_Grid[#Data],$DD572,97),0)</f>
        <v/>
      </c>
      <c r="CV572">
        <f>IFERROR(INDEX(PP_Grid[#Data],$DD572,98),0)</f>
        <v/>
      </c>
      <c r="CW572">
        <f>IFERROR(INDEX(PP_Grid[#Data],$DD572,99),0)</f>
        <v/>
      </c>
      <c r="CX572">
        <f>IFERROR(INDEX(PP_Grid[#Data],$DD572,100),0)</f>
        <v/>
      </c>
      <c r="CY572">
        <f>IFERROR(INDEX(PP_Grid[#Data],$DD572,101),0)</f>
        <v/>
      </c>
      <c r="CZ572">
        <f>IFERROR(INDEX(PP_Grid[#Data],$DD572,102),0)</f>
        <v/>
      </c>
      <c r="DA572">
        <f>IFERROR(INDEX(PP_Grid[#Data],$DD572,103),0)</f>
        <v/>
      </c>
      <c r="DB572">
        <f>IFERROR(INDEX(PP_Grid[#Data],$DD572,104),0)</f>
        <v/>
      </c>
      <c r="DC572">
        <f>IFERROR(INDEX(PP_Grid[#Data],$DD572,105),0)</f>
        <v/>
      </c>
      <c r="DD572" s="12">
        <f>IFERROR(MATCH($B572,PP_Grid[Intermediate],0),99999)</f>
        <v/>
      </c>
    </row>
    <row r="573">
      <c r="B573" t="inlineStr">
        <is>
          <t>使用量(kg)</t>
        </is>
      </c>
      <c r="C573">
        <f>SUMIFS(M_BOM[RM_Qty_Per_Batch],M_BOM[Intermediate],$B572,M_BOM[Part Name],$A439)</f>
        <v/>
      </c>
      <c r="D573">
        <f>$C573*D572</f>
        <v/>
      </c>
      <c r="E573">
        <f>$C573*E572</f>
        <v/>
      </c>
      <c r="F573">
        <f>$C573*F572</f>
        <v/>
      </c>
      <c r="G573">
        <f>$C573*G572</f>
        <v/>
      </c>
      <c r="H573">
        <f>$C573*H572</f>
        <v/>
      </c>
      <c r="I573">
        <f>$C573*I572</f>
        <v/>
      </c>
      <c r="J573">
        <f>$C573*J572</f>
        <v/>
      </c>
      <c r="K573">
        <f>$C573*K572</f>
        <v/>
      </c>
      <c r="L573">
        <f>$C573*L572</f>
        <v/>
      </c>
      <c r="M573">
        <f>$C573*M572</f>
        <v/>
      </c>
      <c r="N573">
        <f>$C573*N572</f>
        <v/>
      </c>
      <c r="O573">
        <f>$C573*O572</f>
        <v/>
      </c>
      <c r="P573">
        <f>$C573*P572</f>
        <v/>
      </c>
      <c r="Q573">
        <f>$C573*Q572</f>
        <v/>
      </c>
      <c r="R573">
        <f>$C573*R572</f>
        <v/>
      </c>
      <c r="S573">
        <f>$C573*S572</f>
        <v/>
      </c>
      <c r="T573">
        <f>$C573*T572</f>
        <v/>
      </c>
      <c r="U573">
        <f>$C573*U572</f>
        <v/>
      </c>
      <c r="V573">
        <f>$C573*V572</f>
        <v/>
      </c>
      <c r="W573">
        <f>$C573*W572</f>
        <v/>
      </c>
      <c r="X573">
        <f>$C573*X572</f>
        <v/>
      </c>
      <c r="Y573">
        <f>$C573*Y572</f>
        <v/>
      </c>
      <c r="Z573">
        <f>$C573*Z572</f>
        <v/>
      </c>
      <c r="AA573">
        <f>$C573*AA572</f>
        <v/>
      </c>
      <c r="AB573">
        <f>$C573*AB572</f>
        <v/>
      </c>
      <c r="AC573">
        <f>$C573*AC572</f>
        <v/>
      </c>
      <c r="AD573">
        <f>$C573*AD572</f>
        <v/>
      </c>
      <c r="AE573">
        <f>$C573*AE572</f>
        <v/>
      </c>
      <c r="AF573">
        <f>$C573*AF572</f>
        <v/>
      </c>
      <c r="AG573">
        <f>$C573*AG572</f>
        <v/>
      </c>
      <c r="AH573">
        <f>$C573*AH572</f>
        <v/>
      </c>
      <c r="AI573">
        <f>$C573*AI572</f>
        <v/>
      </c>
      <c r="AJ573">
        <f>$C573*AJ572</f>
        <v/>
      </c>
      <c r="AK573">
        <f>$C573*AK572</f>
        <v/>
      </c>
      <c r="AL573">
        <f>$C573*AL572</f>
        <v/>
      </c>
      <c r="AM573">
        <f>$C573*AM572</f>
        <v/>
      </c>
      <c r="AN573">
        <f>$C573*AN572</f>
        <v/>
      </c>
      <c r="AO573">
        <f>$C573*AO572</f>
        <v/>
      </c>
      <c r="AP573">
        <f>$C573*AP572</f>
        <v/>
      </c>
      <c r="AQ573">
        <f>$C573*AQ572</f>
        <v/>
      </c>
      <c r="AR573">
        <f>$C573*AR572</f>
        <v/>
      </c>
      <c r="AS573">
        <f>$C573*AS572</f>
        <v/>
      </c>
      <c r="AT573">
        <f>$C573*AT572</f>
        <v/>
      </c>
      <c r="AU573">
        <f>$C573*AU572</f>
        <v/>
      </c>
      <c r="AV573">
        <f>$C573*AV572</f>
        <v/>
      </c>
      <c r="AW573">
        <f>$C573*AW572</f>
        <v/>
      </c>
      <c r="AX573">
        <f>$C573*AX572</f>
        <v/>
      </c>
      <c r="AY573">
        <f>$C573*AY572</f>
        <v/>
      </c>
      <c r="AZ573">
        <f>$C573*AZ572</f>
        <v/>
      </c>
      <c r="BA573">
        <f>$C573*BA572</f>
        <v/>
      </c>
      <c r="BB573">
        <f>$C573*BB572</f>
        <v/>
      </c>
      <c r="BC573">
        <f>$C573*BC572</f>
        <v/>
      </c>
      <c r="BD573">
        <f>$C573*BD572</f>
        <v/>
      </c>
      <c r="BE573">
        <f>$C573*BE572</f>
        <v/>
      </c>
      <c r="BF573">
        <f>$C573*BF572</f>
        <v/>
      </c>
      <c r="BG573">
        <f>$C573*BG572</f>
        <v/>
      </c>
      <c r="BH573">
        <f>$C573*BH572</f>
        <v/>
      </c>
      <c r="BI573">
        <f>$C573*BI572</f>
        <v/>
      </c>
      <c r="BJ573">
        <f>$C573*BJ572</f>
        <v/>
      </c>
      <c r="BK573">
        <f>$C573*BK572</f>
        <v/>
      </c>
      <c r="BL573">
        <f>$C573*BL572</f>
        <v/>
      </c>
      <c r="BM573">
        <f>$C573*BM572</f>
        <v/>
      </c>
      <c r="BN573">
        <f>$C573*BN572</f>
        <v/>
      </c>
      <c r="BO573">
        <f>$C573*BO572</f>
        <v/>
      </c>
      <c r="BP573">
        <f>$C573*BP572</f>
        <v/>
      </c>
      <c r="BQ573">
        <f>$C573*BQ572</f>
        <v/>
      </c>
      <c r="BR573">
        <f>$C573*BR572</f>
        <v/>
      </c>
      <c r="BS573">
        <f>$C573*BS572</f>
        <v/>
      </c>
      <c r="BT573">
        <f>$C573*BT572</f>
        <v/>
      </c>
      <c r="BU573">
        <f>$C573*BU572</f>
        <v/>
      </c>
      <c r="BV573">
        <f>$C573*BV572</f>
        <v/>
      </c>
      <c r="BW573">
        <f>$C573*BW572</f>
        <v/>
      </c>
      <c r="BX573">
        <f>$C573*BX572</f>
        <v/>
      </c>
      <c r="BY573">
        <f>$C573*BY572</f>
        <v/>
      </c>
      <c r="BZ573">
        <f>$C573*BZ572</f>
        <v/>
      </c>
      <c r="CA573">
        <f>$C573*CA572</f>
        <v/>
      </c>
      <c r="CB573">
        <f>$C573*CB572</f>
        <v/>
      </c>
      <c r="CC573">
        <f>$C573*CC572</f>
        <v/>
      </c>
      <c r="CD573">
        <f>$C573*CD572</f>
        <v/>
      </c>
      <c r="CE573">
        <f>$C573*CE572</f>
        <v/>
      </c>
      <c r="CF573">
        <f>$C573*CF572</f>
        <v/>
      </c>
      <c r="CG573">
        <f>$C573*CG572</f>
        <v/>
      </c>
      <c r="CH573">
        <f>$C573*CH572</f>
        <v/>
      </c>
      <c r="CI573">
        <f>$C573*CI572</f>
        <v/>
      </c>
      <c r="CJ573">
        <f>$C573*CJ572</f>
        <v/>
      </c>
      <c r="CK573">
        <f>$C573*CK572</f>
        <v/>
      </c>
      <c r="CL573">
        <f>$C573*CL572</f>
        <v/>
      </c>
      <c r="CM573">
        <f>$C573*CM572</f>
        <v/>
      </c>
      <c r="CN573">
        <f>$C573*CN572</f>
        <v/>
      </c>
      <c r="CO573">
        <f>$C573*CO572</f>
        <v/>
      </c>
      <c r="CP573">
        <f>$C573*CP572</f>
        <v/>
      </c>
      <c r="CQ573">
        <f>$C573*CQ572</f>
        <v/>
      </c>
      <c r="CR573">
        <f>$C573*CR572</f>
        <v/>
      </c>
      <c r="CS573">
        <f>$C573*CS572</f>
        <v/>
      </c>
      <c r="CT573">
        <f>$C573*CT572</f>
        <v/>
      </c>
      <c r="CU573">
        <f>$C573*CU572</f>
        <v/>
      </c>
      <c r="CV573">
        <f>$C573*CV572</f>
        <v/>
      </c>
      <c r="CW573">
        <f>$C573*CW572</f>
        <v/>
      </c>
      <c r="CX573">
        <f>$C573*CX572</f>
        <v/>
      </c>
      <c r="CY573">
        <f>$C573*CY572</f>
        <v/>
      </c>
      <c r="CZ573">
        <f>$C573*CZ572</f>
        <v/>
      </c>
      <c r="DA573">
        <f>$C573*DA572</f>
        <v/>
      </c>
      <c r="DB573">
        <f>$C573*DB572</f>
        <v/>
      </c>
      <c r="DC573">
        <f>$C573*DC572</f>
        <v/>
      </c>
    </row>
    <row r="574">
      <c r="B574" s="5" t="inlineStr">
        <is>
          <t>合計使用量(kg)/週</t>
        </is>
      </c>
      <c r="D574">
        <f>'Grid_Requirement'!B36</f>
        <v/>
      </c>
      <c r="E574">
        <f>'Grid_Requirement'!C36</f>
        <v/>
      </c>
      <c r="F574">
        <f>'Grid_Requirement'!D36</f>
        <v/>
      </c>
      <c r="G574">
        <f>'Grid_Requirement'!E36</f>
        <v/>
      </c>
      <c r="H574">
        <f>'Grid_Requirement'!F36</f>
        <v/>
      </c>
      <c r="I574">
        <f>'Grid_Requirement'!G36</f>
        <v/>
      </c>
      <c r="J574">
        <f>'Grid_Requirement'!H36</f>
        <v/>
      </c>
      <c r="K574">
        <f>'Grid_Requirement'!I36</f>
        <v/>
      </c>
      <c r="L574">
        <f>'Grid_Requirement'!J36</f>
        <v/>
      </c>
      <c r="M574">
        <f>'Grid_Requirement'!K36</f>
        <v/>
      </c>
      <c r="N574">
        <f>'Grid_Requirement'!L36</f>
        <v/>
      </c>
      <c r="O574">
        <f>'Grid_Requirement'!M36</f>
        <v/>
      </c>
      <c r="P574">
        <f>'Grid_Requirement'!N36</f>
        <v/>
      </c>
      <c r="Q574">
        <f>'Grid_Requirement'!O36</f>
        <v/>
      </c>
      <c r="R574">
        <f>'Grid_Requirement'!P36</f>
        <v/>
      </c>
      <c r="S574">
        <f>'Grid_Requirement'!Q36</f>
        <v/>
      </c>
      <c r="T574">
        <f>'Grid_Requirement'!R36</f>
        <v/>
      </c>
      <c r="U574">
        <f>'Grid_Requirement'!S36</f>
        <v/>
      </c>
      <c r="V574">
        <f>'Grid_Requirement'!T36</f>
        <v/>
      </c>
      <c r="W574">
        <f>'Grid_Requirement'!U36</f>
        <v/>
      </c>
      <c r="X574">
        <f>'Grid_Requirement'!V36</f>
        <v/>
      </c>
      <c r="Y574">
        <f>'Grid_Requirement'!W36</f>
        <v/>
      </c>
      <c r="Z574">
        <f>'Grid_Requirement'!X36</f>
        <v/>
      </c>
      <c r="AA574">
        <f>'Grid_Requirement'!Y36</f>
        <v/>
      </c>
      <c r="AB574">
        <f>'Grid_Requirement'!Z36</f>
        <v/>
      </c>
      <c r="AC574">
        <f>'Grid_Requirement'!AA36</f>
        <v/>
      </c>
      <c r="AD574">
        <f>'Grid_Requirement'!AB36</f>
        <v/>
      </c>
      <c r="AE574">
        <f>'Grid_Requirement'!AC36</f>
        <v/>
      </c>
      <c r="AF574">
        <f>'Grid_Requirement'!AD36</f>
        <v/>
      </c>
      <c r="AG574">
        <f>'Grid_Requirement'!AE36</f>
        <v/>
      </c>
      <c r="AH574">
        <f>'Grid_Requirement'!AF36</f>
        <v/>
      </c>
      <c r="AI574">
        <f>'Grid_Requirement'!AG36</f>
        <v/>
      </c>
      <c r="AJ574">
        <f>'Grid_Requirement'!AH36</f>
        <v/>
      </c>
      <c r="AK574">
        <f>'Grid_Requirement'!AI36</f>
        <v/>
      </c>
      <c r="AL574">
        <f>'Grid_Requirement'!AJ36</f>
        <v/>
      </c>
      <c r="AM574">
        <f>'Grid_Requirement'!AK36</f>
        <v/>
      </c>
      <c r="AN574">
        <f>'Grid_Requirement'!AL36</f>
        <v/>
      </c>
      <c r="AO574">
        <f>'Grid_Requirement'!AM36</f>
        <v/>
      </c>
      <c r="AP574">
        <f>'Grid_Requirement'!AN36</f>
        <v/>
      </c>
      <c r="AQ574">
        <f>'Grid_Requirement'!AO36</f>
        <v/>
      </c>
      <c r="AR574">
        <f>'Grid_Requirement'!AP36</f>
        <v/>
      </c>
      <c r="AS574">
        <f>'Grid_Requirement'!AQ36</f>
        <v/>
      </c>
      <c r="AT574">
        <f>'Grid_Requirement'!AR36</f>
        <v/>
      </c>
      <c r="AU574">
        <f>'Grid_Requirement'!AS36</f>
        <v/>
      </c>
      <c r="AV574">
        <f>'Grid_Requirement'!AT36</f>
        <v/>
      </c>
      <c r="AW574">
        <f>'Grid_Requirement'!AU36</f>
        <v/>
      </c>
      <c r="AX574">
        <f>'Grid_Requirement'!AV36</f>
        <v/>
      </c>
      <c r="AY574">
        <f>'Grid_Requirement'!AW36</f>
        <v/>
      </c>
      <c r="AZ574">
        <f>'Grid_Requirement'!AX36</f>
        <v/>
      </c>
      <c r="BA574">
        <f>'Grid_Requirement'!AY36</f>
        <v/>
      </c>
      <c r="BB574">
        <f>'Grid_Requirement'!AZ36</f>
        <v/>
      </c>
      <c r="BC574">
        <f>'Grid_Requirement'!BA36</f>
        <v/>
      </c>
      <c r="BD574">
        <f>'Grid_Requirement'!BB36</f>
        <v/>
      </c>
      <c r="BE574">
        <f>'Grid_Requirement'!BC36</f>
        <v/>
      </c>
      <c r="BF574">
        <f>'Grid_Requirement'!BD36</f>
        <v/>
      </c>
      <c r="BG574">
        <f>'Grid_Requirement'!BE36</f>
        <v/>
      </c>
      <c r="BH574">
        <f>'Grid_Requirement'!BF36</f>
        <v/>
      </c>
      <c r="BI574">
        <f>'Grid_Requirement'!BG36</f>
        <v/>
      </c>
      <c r="BJ574">
        <f>'Grid_Requirement'!BH36</f>
        <v/>
      </c>
      <c r="BK574">
        <f>'Grid_Requirement'!BI36</f>
        <v/>
      </c>
      <c r="BL574">
        <f>'Grid_Requirement'!BJ36</f>
        <v/>
      </c>
      <c r="BM574">
        <f>'Grid_Requirement'!BK36</f>
        <v/>
      </c>
      <c r="BN574">
        <f>'Grid_Requirement'!BL36</f>
        <v/>
      </c>
      <c r="BO574">
        <f>'Grid_Requirement'!BM36</f>
        <v/>
      </c>
      <c r="BP574">
        <f>'Grid_Requirement'!BN36</f>
        <v/>
      </c>
      <c r="BQ574">
        <f>'Grid_Requirement'!BO36</f>
        <v/>
      </c>
      <c r="BR574">
        <f>'Grid_Requirement'!BP36</f>
        <v/>
      </c>
      <c r="BS574">
        <f>'Grid_Requirement'!BQ36</f>
        <v/>
      </c>
      <c r="BT574">
        <f>'Grid_Requirement'!BR36</f>
        <v/>
      </c>
      <c r="BU574">
        <f>'Grid_Requirement'!BS36</f>
        <v/>
      </c>
      <c r="BV574">
        <f>'Grid_Requirement'!BT36</f>
        <v/>
      </c>
      <c r="BW574">
        <f>'Grid_Requirement'!BU36</f>
        <v/>
      </c>
      <c r="BX574">
        <f>'Grid_Requirement'!BV36</f>
        <v/>
      </c>
      <c r="BY574">
        <f>'Grid_Requirement'!BW36</f>
        <v/>
      </c>
      <c r="BZ574">
        <f>'Grid_Requirement'!BX36</f>
        <v/>
      </c>
      <c r="CA574">
        <f>'Grid_Requirement'!BY36</f>
        <v/>
      </c>
      <c r="CB574">
        <f>'Grid_Requirement'!BZ36</f>
        <v/>
      </c>
      <c r="CC574">
        <f>'Grid_Requirement'!CA36</f>
        <v/>
      </c>
      <c r="CD574">
        <f>'Grid_Requirement'!CB36</f>
        <v/>
      </c>
      <c r="CE574">
        <f>'Grid_Requirement'!CC36</f>
        <v/>
      </c>
      <c r="CF574">
        <f>'Grid_Requirement'!CD36</f>
        <v/>
      </c>
      <c r="CG574">
        <f>'Grid_Requirement'!CE36</f>
        <v/>
      </c>
      <c r="CH574">
        <f>'Grid_Requirement'!CF36</f>
        <v/>
      </c>
      <c r="CI574">
        <f>'Grid_Requirement'!CG36</f>
        <v/>
      </c>
      <c r="CJ574">
        <f>'Grid_Requirement'!CH36</f>
        <v/>
      </c>
      <c r="CK574">
        <f>'Grid_Requirement'!CI36</f>
        <v/>
      </c>
      <c r="CL574">
        <f>'Grid_Requirement'!CJ36</f>
        <v/>
      </c>
      <c r="CM574">
        <f>'Grid_Requirement'!CK36</f>
        <v/>
      </c>
      <c r="CN574">
        <f>'Grid_Requirement'!CL36</f>
        <v/>
      </c>
      <c r="CO574">
        <f>'Grid_Requirement'!CM36</f>
        <v/>
      </c>
      <c r="CP574">
        <f>'Grid_Requirement'!CN36</f>
        <v/>
      </c>
      <c r="CQ574">
        <f>'Grid_Requirement'!CO36</f>
        <v/>
      </c>
      <c r="CR574">
        <f>'Grid_Requirement'!CP36</f>
        <v/>
      </c>
      <c r="CS574">
        <f>'Grid_Requirement'!CQ36</f>
        <v/>
      </c>
      <c r="CT574">
        <f>'Grid_Requirement'!CR36</f>
        <v/>
      </c>
      <c r="CU574">
        <f>'Grid_Requirement'!CS36</f>
        <v/>
      </c>
      <c r="CV574">
        <f>'Grid_Requirement'!CT36</f>
        <v/>
      </c>
      <c r="CW574">
        <f>'Grid_Requirement'!CU36</f>
        <v/>
      </c>
      <c r="CX574">
        <f>'Grid_Requirement'!CV36</f>
        <v/>
      </c>
      <c r="CY574">
        <f>'Grid_Requirement'!CW36</f>
        <v/>
      </c>
      <c r="CZ574">
        <f>'Grid_Requirement'!CX36</f>
        <v/>
      </c>
      <c r="DA574">
        <f>'Grid_Requirement'!CY36</f>
        <v/>
      </c>
      <c r="DB574">
        <f>'Grid_Requirement'!CZ36</f>
        <v/>
      </c>
      <c r="DC574">
        <f>'Grid_Requirement'!DA36</f>
        <v/>
      </c>
    </row>
    <row r="575">
      <c r="B575" t="inlineStr">
        <is>
          <t>TTAF在庫(実績,kg)</t>
        </is>
      </c>
      <c r="D575">
        <f>'T_TTAFStock'!B40</f>
        <v/>
      </c>
      <c r="E575">
        <f>'T_TTAFStock'!C40</f>
        <v/>
      </c>
      <c r="F575">
        <f>'T_TTAFStock'!D40</f>
        <v/>
      </c>
      <c r="G575">
        <f>'T_TTAFStock'!E40</f>
        <v/>
      </c>
      <c r="H575">
        <f>'T_TTAFStock'!F40</f>
        <v/>
      </c>
      <c r="I575">
        <f>'T_TTAFStock'!G40</f>
        <v/>
      </c>
      <c r="J575">
        <f>'T_TTAFStock'!H40</f>
        <v/>
      </c>
      <c r="K575">
        <f>'T_TTAFStock'!I40</f>
        <v/>
      </c>
      <c r="L575">
        <f>'T_TTAFStock'!J40</f>
        <v/>
      </c>
      <c r="M575">
        <f>'T_TTAFStock'!K40</f>
        <v/>
      </c>
      <c r="N575">
        <f>'T_TTAFStock'!L40</f>
        <v/>
      </c>
      <c r="O575">
        <f>'T_TTAFStock'!M40</f>
        <v/>
      </c>
      <c r="P575">
        <f>'T_TTAFStock'!N40</f>
        <v/>
      </c>
      <c r="Q575">
        <f>'T_TTAFStock'!O40</f>
        <v/>
      </c>
      <c r="R575">
        <f>'T_TTAFStock'!P40</f>
        <v/>
      </c>
      <c r="S575">
        <f>'T_TTAFStock'!Q40</f>
        <v/>
      </c>
      <c r="T575">
        <f>'T_TTAFStock'!R40</f>
        <v/>
      </c>
      <c r="U575">
        <f>'T_TTAFStock'!S40</f>
        <v/>
      </c>
      <c r="V575">
        <f>'T_TTAFStock'!T40</f>
        <v/>
      </c>
      <c r="W575">
        <f>'T_TTAFStock'!U40</f>
        <v/>
      </c>
      <c r="X575">
        <f>'T_TTAFStock'!V40</f>
        <v/>
      </c>
      <c r="Y575">
        <f>'T_TTAFStock'!W40</f>
        <v/>
      </c>
      <c r="Z575">
        <f>'T_TTAFStock'!X40</f>
        <v/>
      </c>
      <c r="AA575">
        <f>'T_TTAFStock'!Y40</f>
        <v/>
      </c>
      <c r="AB575">
        <f>'T_TTAFStock'!Z40</f>
        <v/>
      </c>
      <c r="AC575">
        <f>'T_TTAFStock'!AA40</f>
        <v/>
      </c>
      <c r="AD575">
        <f>'T_TTAFStock'!AB40</f>
        <v/>
      </c>
      <c r="AE575">
        <f>'T_TTAFStock'!AC40</f>
        <v/>
      </c>
      <c r="AF575">
        <f>'T_TTAFStock'!AD40</f>
        <v/>
      </c>
      <c r="AG575">
        <f>'T_TTAFStock'!AE40</f>
        <v/>
      </c>
      <c r="AH575">
        <f>'T_TTAFStock'!AF40</f>
        <v/>
      </c>
      <c r="AI575">
        <f>'T_TTAFStock'!AG40</f>
        <v/>
      </c>
      <c r="AJ575">
        <f>'T_TTAFStock'!AH40</f>
        <v/>
      </c>
      <c r="AK575">
        <f>'T_TTAFStock'!AI40</f>
        <v/>
      </c>
      <c r="AL575">
        <f>'T_TTAFStock'!AJ40</f>
        <v/>
      </c>
      <c r="AM575">
        <f>'T_TTAFStock'!AK40</f>
        <v/>
      </c>
      <c r="AN575">
        <f>'T_TTAFStock'!AL40</f>
        <v/>
      </c>
      <c r="AO575">
        <f>'T_TTAFStock'!AM40</f>
        <v/>
      </c>
      <c r="AP575">
        <f>'T_TTAFStock'!AN40</f>
        <v/>
      </c>
      <c r="AQ575">
        <f>'T_TTAFStock'!AO40</f>
        <v/>
      </c>
      <c r="AR575">
        <f>'T_TTAFStock'!AP40</f>
        <v/>
      </c>
      <c r="AS575">
        <f>'T_TTAFStock'!AQ40</f>
        <v/>
      </c>
      <c r="AT575">
        <f>'T_TTAFStock'!AR40</f>
        <v/>
      </c>
      <c r="AU575">
        <f>'T_TTAFStock'!AS40</f>
        <v/>
      </c>
      <c r="AV575">
        <f>'T_TTAFStock'!AT40</f>
        <v/>
      </c>
      <c r="AW575">
        <f>'T_TTAFStock'!AU40</f>
        <v/>
      </c>
      <c r="AX575">
        <f>'T_TTAFStock'!AV40</f>
        <v/>
      </c>
      <c r="AY575">
        <f>'T_TTAFStock'!AW40</f>
        <v/>
      </c>
      <c r="AZ575">
        <f>'T_TTAFStock'!AX40</f>
        <v/>
      </c>
      <c r="BA575">
        <f>'T_TTAFStock'!AY40</f>
        <v/>
      </c>
      <c r="BB575">
        <f>'T_TTAFStock'!AZ40</f>
        <v/>
      </c>
      <c r="BC575">
        <f>'T_TTAFStock'!BA40</f>
        <v/>
      </c>
      <c r="BD575">
        <f>'T_TTAFStock'!BB40</f>
        <v/>
      </c>
      <c r="BE575">
        <f>'T_TTAFStock'!BC40</f>
        <v/>
      </c>
      <c r="BF575">
        <f>'T_TTAFStock'!BD40</f>
        <v/>
      </c>
      <c r="BG575">
        <f>'T_TTAFStock'!BE40</f>
        <v/>
      </c>
      <c r="BH575">
        <f>'T_TTAFStock'!BF40</f>
        <v/>
      </c>
      <c r="BI575">
        <f>'T_TTAFStock'!BG40</f>
        <v/>
      </c>
      <c r="BJ575">
        <f>'T_TTAFStock'!BH40</f>
        <v/>
      </c>
      <c r="BK575">
        <f>'T_TTAFStock'!BI40</f>
        <v/>
      </c>
      <c r="BL575">
        <f>'T_TTAFStock'!BJ40</f>
        <v/>
      </c>
      <c r="BM575">
        <f>'T_TTAFStock'!BK40</f>
        <v/>
      </c>
      <c r="BN575">
        <f>'T_TTAFStock'!BL40</f>
        <v/>
      </c>
      <c r="BO575">
        <f>'T_TTAFStock'!BM40</f>
        <v/>
      </c>
      <c r="BP575">
        <f>'T_TTAFStock'!BN40</f>
        <v/>
      </c>
      <c r="BQ575">
        <f>'T_TTAFStock'!BO40</f>
        <v/>
      </c>
      <c r="BR575">
        <f>'T_TTAFStock'!BP40</f>
        <v/>
      </c>
      <c r="BS575">
        <f>'T_TTAFStock'!BQ40</f>
        <v/>
      </c>
      <c r="BT575">
        <f>'T_TTAFStock'!BR40</f>
        <v/>
      </c>
      <c r="BU575">
        <f>'T_TTAFStock'!BS40</f>
        <v/>
      </c>
      <c r="BV575">
        <f>'T_TTAFStock'!BT40</f>
        <v/>
      </c>
      <c r="BW575">
        <f>'T_TTAFStock'!BU40</f>
        <v/>
      </c>
      <c r="BX575">
        <f>'T_TTAFStock'!BV40</f>
        <v/>
      </c>
      <c r="BY575">
        <f>'T_TTAFStock'!BW40</f>
        <v/>
      </c>
      <c r="BZ575">
        <f>'T_TTAFStock'!BX40</f>
        <v/>
      </c>
      <c r="CA575">
        <f>'T_TTAFStock'!BY40</f>
        <v/>
      </c>
      <c r="CB575">
        <f>'T_TTAFStock'!BZ40</f>
        <v/>
      </c>
      <c r="CC575">
        <f>'T_TTAFStock'!CA40</f>
        <v/>
      </c>
      <c r="CD575">
        <f>'T_TTAFStock'!CB40</f>
        <v/>
      </c>
      <c r="CE575">
        <f>'T_TTAFStock'!CC40</f>
        <v/>
      </c>
      <c r="CF575">
        <f>'T_TTAFStock'!CD40</f>
        <v/>
      </c>
      <c r="CG575">
        <f>'T_TTAFStock'!CE40</f>
        <v/>
      </c>
      <c r="CH575">
        <f>'T_TTAFStock'!CF40</f>
        <v/>
      </c>
      <c r="CI575">
        <f>'T_TTAFStock'!CG40</f>
        <v/>
      </c>
      <c r="CJ575">
        <f>'T_TTAFStock'!CH40</f>
        <v/>
      </c>
      <c r="CK575">
        <f>'T_TTAFStock'!CI40</f>
        <v/>
      </c>
      <c r="CL575">
        <f>'T_TTAFStock'!CJ40</f>
        <v/>
      </c>
      <c r="CM575">
        <f>'T_TTAFStock'!CK40</f>
        <v/>
      </c>
      <c r="CN575">
        <f>'T_TTAFStock'!CL40</f>
        <v/>
      </c>
      <c r="CO575">
        <f>'T_TTAFStock'!CM40</f>
        <v/>
      </c>
      <c r="CP575">
        <f>'T_TTAFStock'!CN40</f>
        <v/>
      </c>
      <c r="CQ575">
        <f>'T_TTAFStock'!CO40</f>
        <v/>
      </c>
      <c r="CR575">
        <f>'T_TTAFStock'!CP40</f>
        <v/>
      </c>
      <c r="CS575">
        <f>'T_TTAFStock'!CQ40</f>
        <v/>
      </c>
      <c r="CT575">
        <f>'T_TTAFStock'!CR40</f>
        <v/>
      </c>
      <c r="CU575">
        <f>'T_TTAFStock'!CS40</f>
        <v/>
      </c>
      <c r="CV575">
        <f>'T_TTAFStock'!CT40</f>
        <v/>
      </c>
      <c r="CW575">
        <f>'T_TTAFStock'!CU40</f>
        <v/>
      </c>
      <c r="CX575">
        <f>'T_TTAFStock'!CV40</f>
        <v/>
      </c>
      <c r="CY575">
        <f>'T_TTAFStock'!CW40</f>
        <v/>
      </c>
      <c r="CZ575">
        <f>'T_TTAFStock'!CX40</f>
        <v/>
      </c>
      <c r="DA575">
        <f>'T_TTAFStock'!CY40</f>
        <v/>
      </c>
      <c r="DB575">
        <f>'T_TTAFStock'!CZ40</f>
        <v/>
      </c>
      <c r="DC575">
        <f>'T_TTAFStock'!DA40</f>
        <v/>
      </c>
    </row>
    <row r="576">
      <c r="B576" t="inlineStr">
        <is>
          <t>自社在庫(実績,kg)</t>
        </is>
      </c>
      <c r="D576">
        <f>'T_SelfStock'!B40</f>
        <v/>
      </c>
      <c r="E576">
        <f>'T_SelfStock'!C40</f>
        <v/>
      </c>
      <c r="F576">
        <f>'T_SelfStock'!D40</f>
        <v/>
      </c>
      <c r="G576">
        <f>'T_SelfStock'!E40</f>
        <v/>
      </c>
      <c r="H576">
        <f>'T_SelfStock'!F40</f>
        <v/>
      </c>
      <c r="I576">
        <f>'T_SelfStock'!G40</f>
        <v/>
      </c>
      <c r="J576">
        <f>'T_SelfStock'!H40</f>
        <v/>
      </c>
      <c r="K576">
        <f>'T_SelfStock'!I40</f>
        <v/>
      </c>
      <c r="L576">
        <f>'T_SelfStock'!J40</f>
        <v/>
      </c>
      <c r="M576">
        <f>'T_SelfStock'!K40</f>
        <v/>
      </c>
      <c r="N576">
        <f>'T_SelfStock'!L40</f>
        <v/>
      </c>
      <c r="O576">
        <f>'T_SelfStock'!M40</f>
        <v/>
      </c>
      <c r="P576">
        <f>'T_SelfStock'!N40</f>
        <v/>
      </c>
      <c r="Q576">
        <f>'T_SelfStock'!O40</f>
        <v/>
      </c>
      <c r="R576">
        <f>'T_SelfStock'!P40</f>
        <v/>
      </c>
      <c r="S576">
        <f>'T_SelfStock'!Q40</f>
        <v/>
      </c>
      <c r="T576">
        <f>'T_SelfStock'!R40</f>
        <v/>
      </c>
      <c r="U576">
        <f>'T_SelfStock'!S40</f>
        <v/>
      </c>
      <c r="V576">
        <f>'T_SelfStock'!T40</f>
        <v/>
      </c>
      <c r="W576">
        <f>'T_SelfStock'!U40</f>
        <v/>
      </c>
      <c r="X576">
        <f>'T_SelfStock'!V40</f>
        <v/>
      </c>
      <c r="Y576">
        <f>'T_SelfStock'!W40</f>
        <v/>
      </c>
      <c r="Z576">
        <f>'T_SelfStock'!X40</f>
        <v/>
      </c>
      <c r="AA576">
        <f>'T_SelfStock'!Y40</f>
        <v/>
      </c>
      <c r="AB576">
        <f>'T_SelfStock'!Z40</f>
        <v/>
      </c>
      <c r="AC576">
        <f>'T_SelfStock'!AA40</f>
        <v/>
      </c>
      <c r="AD576">
        <f>'T_SelfStock'!AB40</f>
        <v/>
      </c>
      <c r="AE576">
        <f>'T_SelfStock'!AC40</f>
        <v/>
      </c>
      <c r="AF576">
        <f>'T_SelfStock'!AD40</f>
        <v/>
      </c>
      <c r="AG576">
        <f>'T_SelfStock'!AE40</f>
        <v/>
      </c>
      <c r="AH576">
        <f>'T_SelfStock'!AF40</f>
        <v/>
      </c>
      <c r="AI576">
        <f>'T_SelfStock'!AG40</f>
        <v/>
      </c>
      <c r="AJ576">
        <f>'T_SelfStock'!AH40</f>
        <v/>
      </c>
      <c r="AK576">
        <f>'T_SelfStock'!AI40</f>
        <v/>
      </c>
      <c r="AL576">
        <f>'T_SelfStock'!AJ40</f>
        <v/>
      </c>
      <c r="AM576">
        <f>'T_SelfStock'!AK40</f>
        <v/>
      </c>
      <c r="AN576">
        <f>'T_SelfStock'!AL40</f>
        <v/>
      </c>
      <c r="AO576">
        <f>'T_SelfStock'!AM40</f>
        <v/>
      </c>
      <c r="AP576">
        <f>'T_SelfStock'!AN40</f>
        <v/>
      </c>
      <c r="AQ576">
        <f>'T_SelfStock'!AO40</f>
        <v/>
      </c>
      <c r="AR576">
        <f>'T_SelfStock'!AP40</f>
        <v/>
      </c>
      <c r="AS576">
        <f>'T_SelfStock'!AQ40</f>
        <v/>
      </c>
      <c r="AT576">
        <f>'T_SelfStock'!AR40</f>
        <v/>
      </c>
      <c r="AU576">
        <f>'T_SelfStock'!AS40</f>
        <v/>
      </c>
      <c r="AV576">
        <f>'T_SelfStock'!AT40</f>
        <v/>
      </c>
      <c r="AW576">
        <f>'T_SelfStock'!AU40</f>
        <v/>
      </c>
      <c r="AX576">
        <f>'T_SelfStock'!AV40</f>
        <v/>
      </c>
      <c r="AY576">
        <f>'T_SelfStock'!AW40</f>
        <v/>
      </c>
      <c r="AZ576">
        <f>'T_SelfStock'!AX40</f>
        <v/>
      </c>
      <c r="BA576">
        <f>'T_SelfStock'!AY40</f>
        <v/>
      </c>
      <c r="BB576">
        <f>'T_SelfStock'!AZ40</f>
        <v/>
      </c>
      <c r="BC576">
        <f>'T_SelfStock'!BA40</f>
        <v/>
      </c>
      <c r="BD576">
        <f>'T_SelfStock'!BB40</f>
        <v/>
      </c>
      <c r="BE576">
        <f>'T_SelfStock'!BC40</f>
        <v/>
      </c>
      <c r="BF576">
        <f>'T_SelfStock'!BD40</f>
        <v/>
      </c>
      <c r="BG576">
        <f>'T_SelfStock'!BE40</f>
        <v/>
      </c>
      <c r="BH576">
        <f>'T_SelfStock'!BF40</f>
        <v/>
      </c>
      <c r="BI576">
        <f>'T_SelfStock'!BG40</f>
        <v/>
      </c>
      <c r="BJ576">
        <f>'T_SelfStock'!BH40</f>
        <v/>
      </c>
      <c r="BK576">
        <f>'T_SelfStock'!BI40</f>
        <v/>
      </c>
      <c r="BL576">
        <f>'T_SelfStock'!BJ40</f>
        <v/>
      </c>
      <c r="BM576">
        <f>'T_SelfStock'!BK40</f>
        <v/>
      </c>
      <c r="BN576">
        <f>'T_SelfStock'!BL40</f>
        <v/>
      </c>
      <c r="BO576">
        <f>'T_SelfStock'!BM40</f>
        <v/>
      </c>
      <c r="BP576">
        <f>'T_SelfStock'!BN40</f>
        <v/>
      </c>
      <c r="BQ576">
        <f>'T_SelfStock'!BO40</f>
        <v/>
      </c>
      <c r="BR576">
        <f>'T_SelfStock'!BP40</f>
        <v/>
      </c>
      <c r="BS576">
        <f>'T_SelfStock'!BQ40</f>
        <v/>
      </c>
      <c r="BT576">
        <f>'T_SelfStock'!BR40</f>
        <v/>
      </c>
      <c r="BU576">
        <f>'T_SelfStock'!BS40</f>
        <v/>
      </c>
      <c r="BV576">
        <f>'T_SelfStock'!BT40</f>
        <v/>
      </c>
      <c r="BW576">
        <f>'T_SelfStock'!BU40</f>
        <v/>
      </c>
      <c r="BX576">
        <f>'T_SelfStock'!BV40</f>
        <v/>
      </c>
      <c r="BY576">
        <f>'T_SelfStock'!BW40</f>
        <v/>
      </c>
      <c r="BZ576">
        <f>'T_SelfStock'!BX40</f>
        <v/>
      </c>
      <c r="CA576">
        <f>'T_SelfStock'!BY40</f>
        <v/>
      </c>
      <c r="CB576">
        <f>'T_SelfStock'!BZ40</f>
        <v/>
      </c>
      <c r="CC576">
        <f>'T_SelfStock'!CA40</f>
        <v/>
      </c>
      <c r="CD576">
        <f>'T_SelfStock'!CB40</f>
        <v/>
      </c>
      <c r="CE576">
        <f>'T_SelfStock'!CC40</f>
        <v/>
      </c>
      <c r="CF576">
        <f>'T_SelfStock'!CD40</f>
        <v/>
      </c>
      <c r="CG576">
        <f>'T_SelfStock'!CE40</f>
        <v/>
      </c>
      <c r="CH576">
        <f>'T_SelfStock'!CF40</f>
        <v/>
      </c>
      <c r="CI576">
        <f>'T_SelfStock'!CG40</f>
        <v/>
      </c>
      <c r="CJ576">
        <f>'T_SelfStock'!CH40</f>
        <v/>
      </c>
      <c r="CK576">
        <f>'T_SelfStock'!CI40</f>
        <v/>
      </c>
      <c r="CL576">
        <f>'T_SelfStock'!CJ40</f>
        <v/>
      </c>
      <c r="CM576">
        <f>'T_SelfStock'!CK40</f>
        <v/>
      </c>
      <c r="CN576">
        <f>'T_SelfStock'!CL40</f>
        <v/>
      </c>
      <c r="CO576">
        <f>'T_SelfStock'!CM40</f>
        <v/>
      </c>
      <c r="CP576">
        <f>'T_SelfStock'!CN40</f>
        <v/>
      </c>
      <c r="CQ576">
        <f>'T_SelfStock'!CO40</f>
        <v/>
      </c>
      <c r="CR576">
        <f>'T_SelfStock'!CP40</f>
        <v/>
      </c>
      <c r="CS576">
        <f>'T_SelfStock'!CQ40</f>
        <v/>
      </c>
      <c r="CT576">
        <f>'T_SelfStock'!CR40</f>
        <v/>
      </c>
      <c r="CU576">
        <f>'T_SelfStock'!CS40</f>
        <v/>
      </c>
      <c r="CV576">
        <f>'T_SelfStock'!CT40</f>
        <v/>
      </c>
      <c r="CW576">
        <f>'T_SelfStock'!CU40</f>
        <v/>
      </c>
      <c r="CX576">
        <f>'T_SelfStock'!CV40</f>
        <v/>
      </c>
      <c r="CY576">
        <f>'T_SelfStock'!CW40</f>
        <v/>
      </c>
      <c r="CZ576">
        <f>'T_SelfStock'!CX40</f>
        <v/>
      </c>
      <c r="DA576">
        <f>'T_SelfStock'!CY40</f>
        <v/>
      </c>
      <c r="DB576">
        <f>'T_SelfStock'!CZ40</f>
        <v/>
      </c>
      <c r="DC576">
        <f>'T_SelfStock'!DA40</f>
        <v/>
      </c>
    </row>
    <row r="577">
      <c r="B577" t="inlineStr">
        <is>
          <t>Order(発注予定,kg)</t>
        </is>
      </c>
      <c r="D577">
        <f>IF(SUMIFS(T_PlannedOrders[EffectiveQty],T_PlannedOrders[Part Name],$A439,T_PlannedOrders[WeekIndex],1)=0,"",SUMIFS(T_PlannedOrders[EffectiveQty],T_PlannedOrders[Part Name],$A439,T_PlannedOrders[WeekIndex],1)&amp;" ("&amp;TEXT(SUMPRODUCT(MAX((T_PlannedOrders[Part Name]=$A439)*(T_PlannedOrders[WeekIndex]=1)*(T_PlannedOrders[EffectiveQty]&gt;0)*T_PlannedOrders[Order_Month])),"m月")&amp;"発注)")</f>
        <v/>
      </c>
      <c r="E577">
        <f>IF(SUMIFS(T_PlannedOrders[EffectiveQty],T_PlannedOrders[Part Name],$A439,T_PlannedOrders[WeekIndex],2)=0,"",SUMIFS(T_PlannedOrders[EffectiveQty],T_PlannedOrders[Part Name],$A439,T_PlannedOrders[WeekIndex],2)&amp;" ("&amp;TEXT(SUMPRODUCT(MAX((T_PlannedOrders[Part Name]=$A439)*(T_PlannedOrders[WeekIndex]=2)*(T_PlannedOrders[EffectiveQty]&gt;0)*T_PlannedOrders[Order_Month])),"m月")&amp;"発注)")</f>
        <v/>
      </c>
      <c r="F577">
        <f>IF(SUMIFS(T_PlannedOrders[EffectiveQty],T_PlannedOrders[Part Name],$A439,T_PlannedOrders[WeekIndex],3)=0,"",SUMIFS(T_PlannedOrders[EffectiveQty],T_PlannedOrders[Part Name],$A439,T_PlannedOrders[WeekIndex],3)&amp;" ("&amp;TEXT(SUMPRODUCT(MAX((T_PlannedOrders[Part Name]=$A439)*(T_PlannedOrders[WeekIndex]=3)*(T_PlannedOrders[EffectiveQty]&gt;0)*T_PlannedOrders[Order_Month])),"m月")&amp;"発注)")</f>
        <v/>
      </c>
      <c r="G577">
        <f>IF(SUMIFS(T_PlannedOrders[EffectiveQty],T_PlannedOrders[Part Name],$A439,T_PlannedOrders[WeekIndex],4)=0,"",SUMIFS(T_PlannedOrders[EffectiveQty],T_PlannedOrders[Part Name],$A439,T_PlannedOrders[WeekIndex],4)&amp;" ("&amp;TEXT(SUMPRODUCT(MAX((T_PlannedOrders[Part Name]=$A439)*(T_PlannedOrders[WeekIndex]=4)*(T_PlannedOrders[EffectiveQty]&gt;0)*T_PlannedOrders[Order_Month])),"m月")&amp;"発注)")</f>
        <v/>
      </c>
      <c r="H577">
        <f>IF(SUMIFS(T_PlannedOrders[EffectiveQty],T_PlannedOrders[Part Name],$A439,T_PlannedOrders[WeekIndex],5)=0,"",SUMIFS(T_PlannedOrders[EffectiveQty],T_PlannedOrders[Part Name],$A439,T_PlannedOrders[WeekIndex],5)&amp;" ("&amp;TEXT(SUMPRODUCT(MAX((T_PlannedOrders[Part Name]=$A439)*(T_PlannedOrders[WeekIndex]=5)*(T_PlannedOrders[EffectiveQty]&gt;0)*T_PlannedOrders[Order_Month])),"m月")&amp;"発注)")</f>
        <v/>
      </c>
      <c r="I577">
        <f>IF(SUMIFS(T_PlannedOrders[EffectiveQty],T_PlannedOrders[Part Name],$A439,T_PlannedOrders[WeekIndex],6)=0,"",SUMIFS(T_PlannedOrders[EffectiveQty],T_PlannedOrders[Part Name],$A439,T_PlannedOrders[WeekIndex],6)&amp;" ("&amp;TEXT(SUMPRODUCT(MAX((T_PlannedOrders[Part Name]=$A439)*(T_PlannedOrders[WeekIndex]=6)*(T_PlannedOrders[EffectiveQty]&gt;0)*T_PlannedOrders[Order_Month])),"m月")&amp;"発注)")</f>
        <v/>
      </c>
      <c r="J577">
        <f>IF(SUMIFS(T_PlannedOrders[EffectiveQty],T_PlannedOrders[Part Name],$A439,T_PlannedOrders[WeekIndex],7)=0,"",SUMIFS(T_PlannedOrders[EffectiveQty],T_PlannedOrders[Part Name],$A439,T_PlannedOrders[WeekIndex],7)&amp;" ("&amp;TEXT(SUMPRODUCT(MAX((T_PlannedOrders[Part Name]=$A439)*(T_PlannedOrders[WeekIndex]=7)*(T_PlannedOrders[EffectiveQty]&gt;0)*T_PlannedOrders[Order_Month])),"m月")&amp;"発注)")</f>
        <v/>
      </c>
      <c r="K577">
        <f>IF(SUMIFS(T_PlannedOrders[EffectiveQty],T_PlannedOrders[Part Name],$A439,T_PlannedOrders[WeekIndex],8)=0,"",SUMIFS(T_PlannedOrders[EffectiveQty],T_PlannedOrders[Part Name],$A439,T_PlannedOrders[WeekIndex],8)&amp;" ("&amp;TEXT(SUMPRODUCT(MAX((T_PlannedOrders[Part Name]=$A439)*(T_PlannedOrders[WeekIndex]=8)*(T_PlannedOrders[EffectiveQty]&gt;0)*T_PlannedOrders[Order_Month])),"m月")&amp;"発注)")</f>
        <v/>
      </c>
      <c r="L577">
        <f>IF(SUMIFS(T_PlannedOrders[EffectiveQty],T_PlannedOrders[Part Name],$A439,T_PlannedOrders[WeekIndex],9)=0,"",SUMIFS(T_PlannedOrders[EffectiveQty],T_PlannedOrders[Part Name],$A439,T_PlannedOrders[WeekIndex],9)&amp;" ("&amp;TEXT(SUMPRODUCT(MAX((T_PlannedOrders[Part Name]=$A439)*(T_PlannedOrders[WeekIndex]=9)*(T_PlannedOrders[EffectiveQty]&gt;0)*T_PlannedOrders[Order_Month])),"m月")&amp;"発注)")</f>
        <v/>
      </c>
      <c r="M577">
        <f>IF(SUMIFS(T_PlannedOrders[EffectiveQty],T_PlannedOrders[Part Name],$A439,T_PlannedOrders[WeekIndex],10)=0,"",SUMIFS(T_PlannedOrders[EffectiveQty],T_PlannedOrders[Part Name],$A439,T_PlannedOrders[WeekIndex],10)&amp;" ("&amp;TEXT(SUMPRODUCT(MAX((T_PlannedOrders[Part Name]=$A439)*(T_PlannedOrders[WeekIndex]=10)*(T_PlannedOrders[EffectiveQty]&gt;0)*T_PlannedOrders[Order_Month])),"m月")&amp;"発注)")</f>
        <v/>
      </c>
      <c r="N577">
        <f>IF(SUMIFS(T_PlannedOrders[EffectiveQty],T_PlannedOrders[Part Name],$A439,T_PlannedOrders[WeekIndex],11)=0,"",SUMIFS(T_PlannedOrders[EffectiveQty],T_PlannedOrders[Part Name],$A439,T_PlannedOrders[WeekIndex],11)&amp;" ("&amp;TEXT(SUMPRODUCT(MAX((T_PlannedOrders[Part Name]=$A439)*(T_PlannedOrders[WeekIndex]=11)*(T_PlannedOrders[EffectiveQty]&gt;0)*T_PlannedOrders[Order_Month])),"m月")&amp;"発注)")</f>
        <v/>
      </c>
      <c r="O577">
        <f>IF(SUMIFS(T_PlannedOrders[EffectiveQty],T_PlannedOrders[Part Name],$A439,T_PlannedOrders[WeekIndex],12)=0,"",SUMIFS(T_PlannedOrders[EffectiveQty],T_PlannedOrders[Part Name],$A439,T_PlannedOrders[WeekIndex],12)&amp;" ("&amp;TEXT(SUMPRODUCT(MAX((T_PlannedOrders[Part Name]=$A439)*(T_PlannedOrders[WeekIndex]=12)*(T_PlannedOrders[EffectiveQty]&gt;0)*T_PlannedOrders[Order_Month])),"m月")&amp;"発注)")</f>
        <v/>
      </c>
      <c r="P577">
        <f>IF(SUMIFS(T_PlannedOrders[EffectiveQty],T_PlannedOrders[Part Name],$A439,T_PlannedOrders[WeekIndex],13)=0,"",SUMIFS(T_PlannedOrders[EffectiveQty],T_PlannedOrders[Part Name],$A439,T_PlannedOrders[WeekIndex],13)&amp;" ("&amp;TEXT(SUMPRODUCT(MAX((T_PlannedOrders[Part Name]=$A439)*(T_PlannedOrders[WeekIndex]=13)*(T_PlannedOrders[EffectiveQty]&gt;0)*T_PlannedOrders[Order_Month])),"m月")&amp;"発注)")</f>
        <v/>
      </c>
      <c r="Q577">
        <f>IF(SUMIFS(T_PlannedOrders[EffectiveQty],T_PlannedOrders[Part Name],$A439,T_PlannedOrders[WeekIndex],14)=0,"",SUMIFS(T_PlannedOrders[EffectiveQty],T_PlannedOrders[Part Name],$A439,T_PlannedOrders[WeekIndex],14)&amp;" ("&amp;TEXT(SUMPRODUCT(MAX((T_PlannedOrders[Part Name]=$A439)*(T_PlannedOrders[WeekIndex]=14)*(T_PlannedOrders[EffectiveQty]&gt;0)*T_PlannedOrders[Order_Month])),"m月")&amp;"発注)")</f>
        <v/>
      </c>
      <c r="R577">
        <f>IF(SUMIFS(T_PlannedOrders[EffectiveQty],T_PlannedOrders[Part Name],$A439,T_PlannedOrders[WeekIndex],15)=0,"",SUMIFS(T_PlannedOrders[EffectiveQty],T_PlannedOrders[Part Name],$A439,T_PlannedOrders[WeekIndex],15)&amp;" ("&amp;TEXT(SUMPRODUCT(MAX((T_PlannedOrders[Part Name]=$A439)*(T_PlannedOrders[WeekIndex]=15)*(T_PlannedOrders[EffectiveQty]&gt;0)*T_PlannedOrders[Order_Month])),"m月")&amp;"発注)")</f>
        <v/>
      </c>
      <c r="S577">
        <f>IF(SUMIFS(T_PlannedOrders[EffectiveQty],T_PlannedOrders[Part Name],$A439,T_PlannedOrders[WeekIndex],16)=0,"",SUMIFS(T_PlannedOrders[EffectiveQty],T_PlannedOrders[Part Name],$A439,T_PlannedOrders[WeekIndex],16)&amp;" ("&amp;TEXT(SUMPRODUCT(MAX((T_PlannedOrders[Part Name]=$A439)*(T_PlannedOrders[WeekIndex]=16)*(T_PlannedOrders[EffectiveQty]&gt;0)*T_PlannedOrders[Order_Month])),"m月")&amp;"発注)")</f>
        <v/>
      </c>
      <c r="T577">
        <f>IF(SUMIFS(T_PlannedOrders[EffectiveQty],T_PlannedOrders[Part Name],$A439,T_PlannedOrders[WeekIndex],17)=0,"",SUMIFS(T_PlannedOrders[EffectiveQty],T_PlannedOrders[Part Name],$A439,T_PlannedOrders[WeekIndex],17)&amp;" ("&amp;TEXT(SUMPRODUCT(MAX((T_PlannedOrders[Part Name]=$A439)*(T_PlannedOrders[WeekIndex]=17)*(T_PlannedOrders[EffectiveQty]&gt;0)*T_PlannedOrders[Order_Month])),"m月")&amp;"発注)")</f>
        <v/>
      </c>
      <c r="U577">
        <f>IF(SUMIFS(T_PlannedOrders[EffectiveQty],T_PlannedOrders[Part Name],$A439,T_PlannedOrders[WeekIndex],18)=0,"",SUMIFS(T_PlannedOrders[EffectiveQty],T_PlannedOrders[Part Name],$A439,T_PlannedOrders[WeekIndex],18)&amp;" ("&amp;TEXT(SUMPRODUCT(MAX((T_PlannedOrders[Part Name]=$A439)*(T_PlannedOrders[WeekIndex]=18)*(T_PlannedOrders[EffectiveQty]&gt;0)*T_PlannedOrders[Order_Month])),"m月")&amp;"発注)")</f>
        <v/>
      </c>
      <c r="V577">
        <f>IF(SUMIFS(T_PlannedOrders[EffectiveQty],T_PlannedOrders[Part Name],$A439,T_PlannedOrders[WeekIndex],19)=0,"",SUMIFS(T_PlannedOrders[EffectiveQty],T_PlannedOrders[Part Name],$A439,T_PlannedOrders[WeekIndex],19)&amp;" ("&amp;TEXT(SUMPRODUCT(MAX((T_PlannedOrders[Part Name]=$A439)*(T_PlannedOrders[WeekIndex]=19)*(T_PlannedOrders[EffectiveQty]&gt;0)*T_PlannedOrders[Order_Month])),"m月")&amp;"発注)")</f>
        <v/>
      </c>
      <c r="W577">
        <f>IF(SUMIFS(T_PlannedOrders[EffectiveQty],T_PlannedOrders[Part Name],$A439,T_PlannedOrders[WeekIndex],20)=0,"",SUMIFS(T_PlannedOrders[EffectiveQty],T_PlannedOrders[Part Name],$A439,T_PlannedOrders[WeekIndex],20)&amp;" ("&amp;TEXT(SUMPRODUCT(MAX((T_PlannedOrders[Part Name]=$A439)*(T_PlannedOrders[WeekIndex]=20)*(T_PlannedOrders[EffectiveQty]&gt;0)*T_PlannedOrders[Order_Month])),"m月")&amp;"発注)")</f>
        <v/>
      </c>
      <c r="X577">
        <f>IF(SUMIFS(T_PlannedOrders[EffectiveQty],T_PlannedOrders[Part Name],$A439,T_PlannedOrders[WeekIndex],21)=0,"",SUMIFS(T_PlannedOrders[EffectiveQty],T_PlannedOrders[Part Name],$A439,T_PlannedOrders[WeekIndex],21)&amp;" ("&amp;TEXT(SUMPRODUCT(MAX((T_PlannedOrders[Part Name]=$A439)*(T_PlannedOrders[WeekIndex]=21)*(T_PlannedOrders[EffectiveQty]&gt;0)*T_PlannedOrders[Order_Month])),"m月")&amp;"発注)")</f>
        <v/>
      </c>
      <c r="Y577">
        <f>IF(SUMIFS(T_PlannedOrders[EffectiveQty],T_PlannedOrders[Part Name],$A439,T_PlannedOrders[WeekIndex],22)=0,"",SUMIFS(T_PlannedOrders[EffectiveQty],T_PlannedOrders[Part Name],$A439,T_PlannedOrders[WeekIndex],22)&amp;" ("&amp;TEXT(SUMPRODUCT(MAX((T_PlannedOrders[Part Name]=$A439)*(T_PlannedOrders[WeekIndex]=22)*(T_PlannedOrders[EffectiveQty]&gt;0)*T_PlannedOrders[Order_Month])),"m月")&amp;"発注)")</f>
        <v/>
      </c>
      <c r="Z577">
        <f>IF(SUMIFS(T_PlannedOrders[EffectiveQty],T_PlannedOrders[Part Name],$A439,T_PlannedOrders[WeekIndex],23)=0,"",SUMIFS(T_PlannedOrders[EffectiveQty],T_PlannedOrders[Part Name],$A439,T_PlannedOrders[WeekIndex],23)&amp;" ("&amp;TEXT(SUMPRODUCT(MAX((T_PlannedOrders[Part Name]=$A439)*(T_PlannedOrders[WeekIndex]=23)*(T_PlannedOrders[EffectiveQty]&gt;0)*T_PlannedOrders[Order_Month])),"m月")&amp;"発注)")</f>
        <v/>
      </c>
      <c r="AA577">
        <f>IF(SUMIFS(T_PlannedOrders[EffectiveQty],T_PlannedOrders[Part Name],$A439,T_PlannedOrders[WeekIndex],24)=0,"",SUMIFS(T_PlannedOrders[EffectiveQty],T_PlannedOrders[Part Name],$A439,T_PlannedOrders[WeekIndex],24)&amp;" ("&amp;TEXT(SUMPRODUCT(MAX((T_PlannedOrders[Part Name]=$A439)*(T_PlannedOrders[WeekIndex]=24)*(T_PlannedOrders[EffectiveQty]&gt;0)*T_PlannedOrders[Order_Month])),"m月")&amp;"発注)")</f>
        <v/>
      </c>
      <c r="AB577">
        <f>IF(SUMIFS(T_PlannedOrders[EffectiveQty],T_PlannedOrders[Part Name],$A439,T_PlannedOrders[WeekIndex],25)=0,"",SUMIFS(T_PlannedOrders[EffectiveQty],T_PlannedOrders[Part Name],$A439,T_PlannedOrders[WeekIndex],25)&amp;" ("&amp;TEXT(SUMPRODUCT(MAX((T_PlannedOrders[Part Name]=$A439)*(T_PlannedOrders[WeekIndex]=25)*(T_PlannedOrders[EffectiveQty]&gt;0)*T_PlannedOrders[Order_Month])),"m月")&amp;"発注)")</f>
        <v/>
      </c>
      <c r="AC577">
        <f>IF(SUMIFS(T_PlannedOrders[EffectiveQty],T_PlannedOrders[Part Name],$A439,T_PlannedOrders[WeekIndex],26)=0,"",SUMIFS(T_PlannedOrders[EffectiveQty],T_PlannedOrders[Part Name],$A439,T_PlannedOrders[WeekIndex],26)&amp;" ("&amp;TEXT(SUMPRODUCT(MAX((T_PlannedOrders[Part Name]=$A439)*(T_PlannedOrders[WeekIndex]=26)*(T_PlannedOrders[EffectiveQty]&gt;0)*T_PlannedOrders[Order_Month])),"m月")&amp;"発注)")</f>
        <v/>
      </c>
      <c r="AD577">
        <f>IF(SUMIFS(T_PlannedOrders[EffectiveQty],T_PlannedOrders[Part Name],$A439,T_PlannedOrders[WeekIndex],27)=0,"",SUMIFS(T_PlannedOrders[EffectiveQty],T_PlannedOrders[Part Name],$A439,T_PlannedOrders[WeekIndex],27)&amp;" ("&amp;TEXT(SUMPRODUCT(MAX((T_PlannedOrders[Part Name]=$A439)*(T_PlannedOrders[WeekIndex]=27)*(T_PlannedOrders[EffectiveQty]&gt;0)*T_PlannedOrders[Order_Month])),"m月")&amp;"発注)")</f>
        <v/>
      </c>
      <c r="AE577">
        <f>IF(SUMIFS(T_PlannedOrders[EffectiveQty],T_PlannedOrders[Part Name],$A439,T_PlannedOrders[WeekIndex],28)=0,"",SUMIFS(T_PlannedOrders[EffectiveQty],T_PlannedOrders[Part Name],$A439,T_PlannedOrders[WeekIndex],28)&amp;" ("&amp;TEXT(SUMPRODUCT(MAX((T_PlannedOrders[Part Name]=$A439)*(T_PlannedOrders[WeekIndex]=28)*(T_PlannedOrders[EffectiveQty]&gt;0)*T_PlannedOrders[Order_Month])),"m月")&amp;"発注)")</f>
        <v/>
      </c>
      <c r="AF577">
        <f>IF(SUMIFS(T_PlannedOrders[EffectiveQty],T_PlannedOrders[Part Name],$A439,T_PlannedOrders[WeekIndex],29)=0,"",SUMIFS(T_PlannedOrders[EffectiveQty],T_PlannedOrders[Part Name],$A439,T_PlannedOrders[WeekIndex],29)&amp;" ("&amp;TEXT(SUMPRODUCT(MAX((T_PlannedOrders[Part Name]=$A439)*(T_PlannedOrders[WeekIndex]=29)*(T_PlannedOrders[EffectiveQty]&gt;0)*T_PlannedOrders[Order_Month])),"m月")&amp;"発注)")</f>
        <v/>
      </c>
      <c r="AG577">
        <f>IF(SUMIFS(T_PlannedOrders[EffectiveQty],T_PlannedOrders[Part Name],$A439,T_PlannedOrders[WeekIndex],30)=0,"",SUMIFS(T_PlannedOrders[EffectiveQty],T_PlannedOrders[Part Name],$A439,T_PlannedOrders[WeekIndex],30)&amp;" ("&amp;TEXT(SUMPRODUCT(MAX((T_PlannedOrders[Part Name]=$A439)*(T_PlannedOrders[WeekIndex]=30)*(T_PlannedOrders[EffectiveQty]&gt;0)*T_PlannedOrders[Order_Month])),"m月")&amp;"発注)")</f>
        <v/>
      </c>
      <c r="AH577">
        <f>IF(SUMIFS(T_PlannedOrders[EffectiveQty],T_PlannedOrders[Part Name],$A439,T_PlannedOrders[WeekIndex],31)=0,"",SUMIFS(T_PlannedOrders[EffectiveQty],T_PlannedOrders[Part Name],$A439,T_PlannedOrders[WeekIndex],31)&amp;" ("&amp;TEXT(SUMPRODUCT(MAX((T_PlannedOrders[Part Name]=$A439)*(T_PlannedOrders[WeekIndex]=31)*(T_PlannedOrders[EffectiveQty]&gt;0)*T_PlannedOrders[Order_Month])),"m月")&amp;"発注)")</f>
        <v/>
      </c>
      <c r="AI577">
        <f>IF(SUMIFS(T_PlannedOrders[EffectiveQty],T_PlannedOrders[Part Name],$A439,T_PlannedOrders[WeekIndex],32)=0,"",SUMIFS(T_PlannedOrders[EffectiveQty],T_PlannedOrders[Part Name],$A439,T_PlannedOrders[WeekIndex],32)&amp;" ("&amp;TEXT(SUMPRODUCT(MAX((T_PlannedOrders[Part Name]=$A439)*(T_PlannedOrders[WeekIndex]=32)*(T_PlannedOrders[EffectiveQty]&gt;0)*T_PlannedOrders[Order_Month])),"m月")&amp;"発注)")</f>
        <v/>
      </c>
      <c r="AJ577">
        <f>IF(SUMIFS(T_PlannedOrders[EffectiveQty],T_PlannedOrders[Part Name],$A439,T_PlannedOrders[WeekIndex],33)=0,"",SUMIFS(T_PlannedOrders[EffectiveQty],T_PlannedOrders[Part Name],$A439,T_PlannedOrders[WeekIndex],33)&amp;" ("&amp;TEXT(SUMPRODUCT(MAX((T_PlannedOrders[Part Name]=$A439)*(T_PlannedOrders[WeekIndex]=33)*(T_PlannedOrders[EffectiveQty]&gt;0)*T_PlannedOrders[Order_Month])),"m月")&amp;"発注)")</f>
        <v/>
      </c>
      <c r="AK577">
        <f>IF(SUMIFS(T_PlannedOrders[EffectiveQty],T_PlannedOrders[Part Name],$A439,T_PlannedOrders[WeekIndex],34)=0,"",SUMIFS(T_PlannedOrders[EffectiveQty],T_PlannedOrders[Part Name],$A439,T_PlannedOrders[WeekIndex],34)&amp;" ("&amp;TEXT(SUMPRODUCT(MAX((T_PlannedOrders[Part Name]=$A439)*(T_PlannedOrders[WeekIndex]=34)*(T_PlannedOrders[EffectiveQty]&gt;0)*T_PlannedOrders[Order_Month])),"m月")&amp;"発注)")</f>
        <v/>
      </c>
      <c r="AL577">
        <f>IF(SUMIFS(T_PlannedOrders[EffectiveQty],T_PlannedOrders[Part Name],$A439,T_PlannedOrders[WeekIndex],35)=0,"",SUMIFS(T_PlannedOrders[EffectiveQty],T_PlannedOrders[Part Name],$A439,T_PlannedOrders[WeekIndex],35)&amp;" ("&amp;TEXT(SUMPRODUCT(MAX((T_PlannedOrders[Part Name]=$A439)*(T_PlannedOrders[WeekIndex]=35)*(T_PlannedOrders[EffectiveQty]&gt;0)*T_PlannedOrders[Order_Month])),"m月")&amp;"発注)")</f>
        <v/>
      </c>
      <c r="AM577">
        <f>IF(SUMIFS(T_PlannedOrders[EffectiveQty],T_PlannedOrders[Part Name],$A439,T_PlannedOrders[WeekIndex],36)=0,"",SUMIFS(T_PlannedOrders[EffectiveQty],T_PlannedOrders[Part Name],$A439,T_PlannedOrders[WeekIndex],36)&amp;" ("&amp;TEXT(SUMPRODUCT(MAX((T_PlannedOrders[Part Name]=$A439)*(T_PlannedOrders[WeekIndex]=36)*(T_PlannedOrders[EffectiveQty]&gt;0)*T_PlannedOrders[Order_Month])),"m月")&amp;"発注)")</f>
        <v/>
      </c>
      <c r="AN577">
        <f>IF(SUMIFS(T_PlannedOrders[EffectiveQty],T_PlannedOrders[Part Name],$A439,T_PlannedOrders[WeekIndex],37)=0,"",SUMIFS(T_PlannedOrders[EffectiveQty],T_PlannedOrders[Part Name],$A439,T_PlannedOrders[WeekIndex],37)&amp;" ("&amp;TEXT(SUMPRODUCT(MAX((T_PlannedOrders[Part Name]=$A439)*(T_PlannedOrders[WeekIndex]=37)*(T_PlannedOrders[EffectiveQty]&gt;0)*T_PlannedOrders[Order_Month])),"m月")&amp;"発注)")</f>
        <v/>
      </c>
      <c r="AO577">
        <f>IF(SUMIFS(T_PlannedOrders[EffectiveQty],T_PlannedOrders[Part Name],$A439,T_PlannedOrders[WeekIndex],38)=0,"",SUMIFS(T_PlannedOrders[EffectiveQty],T_PlannedOrders[Part Name],$A439,T_PlannedOrders[WeekIndex],38)&amp;" ("&amp;TEXT(SUMPRODUCT(MAX((T_PlannedOrders[Part Name]=$A439)*(T_PlannedOrders[WeekIndex]=38)*(T_PlannedOrders[EffectiveQty]&gt;0)*T_PlannedOrders[Order_Month])),"m月")&amp;"発注)")</f>
        <v/>
      </c>
      <c r="AP577">
        <f>IF(SUMIFS(T_PlannedOrders[EffectiveQty],T_PlannedOrders[Part Name],$A439,T_PlannedOrders[WeekIndex],39)=0,"",SUMIFS(T_PlannedOrders[EffectiveQty],T_PlannedOrders[Part Name],$A439,T_PlannedOrders[WeekIndex],39)&amp;" ("&amp;TEXT(SUMPRODUCT(MAX((T_PlannedOrders[Part Name]=$A439)*(T_PlannedOrders[WeekIndex]=39)*(T_PlannedOrders[EffectiveQty]&gt;0)*T_PlannedOrders[Order_Month])),"m月")&amp;"発注)")</f>
        <v/>
      </c>
      <c r="AQ577">
        <f>IF(SUMIFS(T_PlannedOrders[EffectiveQty],T_PlannedOrders[Part Name],$A439,T_PlannedOrders[WeekIndex],40)=0,"",SUMIFS(T_PlannedOrders[EffectiveQty],T_PlannedOrders[Part Name],$A439,T_PlannedOrders[WeekIndex],40)&amp;" ("&amp;TEXT(SUMPRODUCT(MAX((T_PlannedOrders[Part Name]=$A439)*(T_PlannedOrders[WeekIndex]=40)*(T_PlannedOrders[EffectiveQty]&gt;0)*T_PlannedOrders[Order_Month])),"m月")&amp;"発注)")</f>
        <v/>
      </c>
      <c r="AR577">
        <f>IF(SUMIFS(T_PlannedOrders[EffectiveQty],T_PlannedOrders[Part Name],$A439,T_PlannedOrders[WeekIndex],41)=0,"",SUMIFS(T_PlannedOrders[EffectiveQty],T_PlannedOrders[Part Name],$A439,T_PlannedOrders[WeekIndex],41)&amp;" ("&amp;TEXT(SUMPRODUCT(MAX((T_PlannedOrders[Part Name]=$A439)*(T_PlannedOrders[WeekIndex]=41)*(T_PlannedOrders[EffectiveQty]&gt;0)*T_PlannedOrders[Order_Month])),"m月")&amp;"発注)")</f>
        <v/>
      </c>
      <c r="AS577">
        <f>IF(SUMIFS(T_PlannedOrders[EffectiveQty],T_PlannedOrders[Part Name],$A439,T_PlannedOrders[WeekIndex],42)=0,"",SUMIFS(T_PlannedOrders[EffectiveQty],T_PlannedOrders[Part Name],$A439,T_PlannedOrders[WeekIndex],42)&amp;" ("&amp;TEXT(SUMPRODUCT(MAX((T_PlannedOrders[Part Name]=$A439)*(T_PlannedOrders[WeekIndex]=42)*(T_PlannedOrders[EffectiveQty]&gt;0)*T_PlannedOrders[Order_Month])),"m月")&amp;"発注)")</f>
        <v/>
      </c>
      <c r="AT577">
        <f>IF(SUMIFS(T_PlannedOrders[EffectiveQty],T_PlannedOrders[Part Name],$A439,T_PlannedOrders[WeekIndex],43)=0,"",SUMIFS(T_PlannedOrders[EffectiveQty],T_PlannedOrders[Part Name],$A439,T_PlannedOrders[WeekIndex],43)&amp;" ("&amp;TEXT(SUMPRODUCT(MAX((T_PlannedOrders[Part Name]=$A439)*(T_PlannedOrders[WeekIndex]=43)*(T_PlannedOrders[EffectiveQty]&gt;0)*T_PlannedOrders[Order_Month])),"m月")&amp;"発注)")</f>
        <v/>
      </c>
      <c r="AU577">
        <f>IF(SUMIFS(T_PlannedOrders[EffectiveQty],T_PlannedOrders[Part Name],$A439,T_PlannedOrders[WeekIndex],44)=0,"",SUMIFS(T_PlannedOrders[EffectiveQty],T_PlannedOrders[Part Name],$A439,T_PlannedOrders[WeekIndex],44)&amp;" ("&amp;TEXT(SUMPRODUCT(MAX((T_PlannedOrders[Part Name]=$A439)*(T_PlannedOrders[WeekIndex]=44)*(T_PlannedOrders[EffectiveQty]&gt;0)*T_PlannedOrders[Order_Month])),"m月")&amp;"発注)")</f>
        <v/>
      </c>
      <c r="AV577">
        <f>IF(SUMIFS(T_PlannedOrders[EffectiveQty],T_PlannedOrders[Part Name],$A439,T_PlannedOrders[WeekIndex],45)=0,"",SUMIFS(T_PlannedOrders[EffectiveQty],T_PlannedOrders[Part Name],$A439,T_PlannedOrders[WeekIndex],45)&amp;" ("&amp;TEXT(SUMPRODUCT(MAX((T_PlannedOrders[Part Name]=$A439)*(T_PlannedOrders[WeekIndex]=45)*(T_PlannedOrders[EffectiveQty]&gt;0)*T_PlannedOrders[Order_Month])),"m月")&amp;"発注)")</f>
        <v/>
      </c>
      <c r="AW577">
        <f>IF(SUMIFS(T_PlannedOrders[EffectiveQty],T_PlannedOrders[Part Name],$A439,T_PlannedOrders[WeekIndex],46)=0,"",SUMIFS(T_PlannedOrders[EffectiveQty],T_PlannedOrders[Part Name],$A439,T_PlannedOrders[WeekIndex],46)&amp;" ("&amp;TEXT(SUMPRODUCT(MAX((T_PlannedOrders[Part Name]=$A439)*(T_PlannedOrders[WeekIndex]=46)*(T_PlannedOrders[EffectiveQty]&gt;0)*T_PlannedOrders[Order_Month])),"m月")&amp;"発注)")</f>
        <v/>
      </c>
      <c r="AX577">
        <f>IF(SUMIFS(T_PlannedOrders[EffectiveQty],T_PlannedOrders[Part Name],$A439,T_PlannedOrders[WeekIndex],47)=0,"",SUMIFS(T_PlannedOrders[EffectiveQty],T_PlannedOrders[Part Name],$A439,T_PlannedOrders[WeekIndex],47)&amp;" ("&amp;TEXT(SUMPRODUCT(MAX((T_PlannedOrders[Part Name]=$A439)*(T_PlannedOrders[WeekIndex]=47)*(T_PlannedOrders[EffectiveQty]&gt;0)*T_PlannedOrders[Order_Month])),"m月")&amp;"発注)")</f>
        <v/>
      </c>
      <c r="AY577">
        <f>IF(SUMIFS(T_PlannedOrders[EffectiveQty],T_PlannedOrders[Part Name],$A439,T_PlannedOrders[WeekIndex],48)=0,"",SUMIFS(T_PlannedOrders[EffectiveQty],T_PlannedOrders[Part Name],$A439,T_PlannedOrders[WeekIndex],48)&amp;" ("&amp;TEXT(SUMPRODUCT(MAX((T_PlannedOrders[Part Name]=$A439)*(T_PlannedOrders[WeekIndex]=48)*(T_PlannedOrders[EffectiveQty]&gt;0)*T_PlannedOrders[Order_Month])),"m月")&amp;"発注)")</f>
        <v/>
      </c>
      <c r="AZ577">
        <f>IF(SUMIFS(T_PlannedOrders[EffectiveQty],T_PlannedOrders[Part Name],$A439,T_PlannedOrders[WeekIndex],49)=0,"",SUMIFS(T_PlannedOrders[EffectiveQty],T_PlannedOrders[Part Name],$A439,T_PlannedOrders[WeekIndex],49)&amp;" ("&amp;TEXT(SUMPRODUCT(MAX((T_PlannedOrders[Part Name]=$A439)*(T_PlannedOrders[WeekIndex]=49)*(T_PlannedOrders[EffectiveQty]&gt;0)*T_PlannedOrders[Order_Month])),"m月")&amp;"発注)")</f>
        <v/>
      </c>
      <c r="BA577">
        <f>IF(SUMIFS(T_PlannedOrders[EffectiveQty],T_PlannedOrders[Part Name],$A439,T_PlannedOrders[WeekIndex],50)=0,"",SUMIFS(T_PlannedOrders[EffectiveQty],T_PlannedOrders[Part Name],$A439,T_PlannedOrders[WeekIndex],50)&amp;" ("&amp;TEXT(SUMPRODUCT(MAX((T_PlannedOrders[Part Name]=$A439)*(T_PlannedOrders[WeekIndex]=50)*(T_PlannedOrders[EffectiveQty]&gt;0)*T_PlannedOrders[Order_Month])),"m月")&amp;"発注)")</f>
        <v/>
      </c>
      <c r="BB577">
        <f>IF(SUMIFS(T_PlannedOrders[EffectiveQty],T_PlannedOrders[Part Name],$A439,T_PlannedOrders[WeekIndex],51)=0,"",SUMIFS(T_PlannedOrders[EffectiveQty],T_PlannedOrders[Part Name],$A439,T_PlannedOrders[WeekIndex],51)&amp;" ("&amp;TEXT(SUMPRODUCT(MAX((T_PlannedOrders[Part Name]=$A439)*(T_PlannedOrders[WeekIndex]=51)*(T_PlannedOrders[EffectiveQty]&gt;0)*T_PlannedOrders[Order_Month])),"m月")&amp;"発注)")</f>
        <v/>
      </c>
      <c r="BC577">
        <f>IF(SUMIFS(T_PlannedOrders[EffectiveQty],T_PlannedOrders[Part Name],$A439,T_PlannedOrders[WeekIndex],52)=0,"",SUMIFS(T_PlannedOrders[EffectiveQty],T_PlannedOrders[Part Name],$A439,T_PlannedOrders[WeekIndex],52)&amp;" ("&amp;TEXT(SUMPRODUCT(MAX((T_PlannedOrders[Part Name]=$A439)*(T_PlannedOrders[WeekIndex]=52)*(T_PlannedOrders[EffectiveQty]&gt;0)*T_PlannedOrders[Order_Month])),"m月")&amp;"発注)")</f>
        <v/>
      </c>
      <c r="BD577">
        <f>IF(SUMIFS(T_PlannedOrders[EffectiveQty],T_PlannedOrders[Part Name],$A439,T_PlannedOrders[WeekIndex],53)=0,"",SUMIFS(T_PlannedOrders[EffectiveQty],T_PlannedOrders[Part Name],$A439,T_PlannedOrders[WeekIndex],53)&amp;" ("&amp;TEXT(SUMPRODUCT(MAX((T_PlannedOrders[Part Name]=$A439)*(T_PlannedOrders[WeekIndex]=53)*(T_PlannedOrders[EffectiveQty]&gt;0)*T_PlannedOrders[Order_Month])),"m月")&amp;"発注)")</f>
        <v/>
      </c>
      <c r="BE577">
        <f>IF(SUMIFS(T_PlannedOrders[EffectiveQty],T_PlannedOrders[Part Name],$A439,T_PlannedOrders[WeekIndex],54)=0,"",SUMIFS(T_PlannedOrders[EffectiveQty],T_PlannedOrders[Part Name],$A439,T_PlannedOrders[WeekIndex],54)&amp;" ("&amp;TEXT(SUMPRODUCT(MAX((T_PlannedOrders[Part Name]=$A439)*(T_PlannedOrders[WeekIndex]=54)*(T_PlannedOrders[EffectiveQty]&gt;0)*T_PlannedOrders[Order_Month])),"m月")&amp;"発注)")</f>
        <v/>
      </c>
      <c r="BF577">
        <f>IF(SUMIFS(T_PlannedOrders[EffectiveQty],T_PlannedOrders[Part Name],$A439,T_PlannedOrders[WeekIndex],55)=0,"",SUMIFS(T_PlannedOrders[EffectiveQty],T_PlannedOrders[Part Name],$A439,T_PlannedOrders[WeekIndex],55)&amp;" ("&amp;TEXT(SUMPRODUCT(MAX((T_PlannedOrders[Part Name]=$A439)*(T_PlannedOrders[WeekIndex]=55)*(T_PlannedOrders[EffectiveQty]&gt;0)*T_PlannedOrders[Order_Month])),"m月")&amp;"発注)")</f>
        <v/>
      </c>
      <c r="BG577">
        <f>IF(SUMIFS(T_PlannedOrders[EffectiveQty],T_PlannedOrders[Part Name],$A439,T_PlannedOrders[WeekIndex],56)=0,"",SUMIFS(T_PlannedOrders[EffectiveQty],T_PlannedOrders[Part Name],$A439,T_PlannedOrders[WeekIndex],56)&amp;" ("&amp;TEXT(SUMPRODUCT(MAX((T_PlannedOrders[Part Name]=$A439)*(T_PlannedOrders[WeekIndex]=56)*(T_PlannedOrders[EffectiveQty]&gt;0)*T_PlannedOrders[Order_Month])),"m月")&amp;"発注)")</f>
        <v/>
      </c>
      <c r="BH577">
        <f>IF(SUMIFS(T_PlannedOrders[EffectiveQty],T_PlannedOrders[Part Name],$A439,T_PlannedOrders[WeekIndex],57)=0,"",SUMIFS(T_PlannedOrders[EffectiveQty],T_PlannedOrders[Part Name],$A439,T_PlannedOrders[WeekIndex],57)&amp;" ("&amp;TEXT(SUMPRODUCT(MAX((T_PlannedOrders[Part Name]=$A439)*(T_PlannedOrders[WeekIndex]=57)*(T_PlannedOrders[EffectiveQty]&gt;0)*T_PlannedOrders[Order_Month])),"m月")&amp;"発注)")</f>
        <v/>
      </c>
      <c r="BI577">
        <f>IF(SUMIFS(T_PlannedOrders[EffectiveQty],T_PlannedOrders[Part Name],$A439,T_PlannedOrders[WeekIndex],58)=0,"",SUMIFS(T_PlannedOrders[EffectiveQty],T_PlannedOrders[Part Name],$A439,T_PlannedOrders[WeekIndex],58)&amp;" ("&amp;TEXT(SUMPRODUCT(MAX((T_PlannedOrders[Part Name]=$A439)*(T_PlannedOrders[WeekIndex]=58)*(T_PlannedOrders[EffectiveQty]&gt;0)*T_PlannedOrders[Order_Month])),"m月")&amp;"発注)")</f>
        <v/>
      </c>
      <c r="BJ577">
        <f>IF(SUMIFS(T_PlannedOrders[EffectiveQty],T_PlannedOrders[Part Name],$A439,T_PlannedOrders[WeekIndex],59)=0,"",SUMIFS(T_PlannedOrders[EffectiveQty],T_PlannedOrders[Part Name],$A439,T_PlannedOrders[WeekIndex],59)&amp;" ("&amp;TEXT(SUMPRODUCT(MAX((T_PlannedOrders[Part Name]=$A439)*(T_PlannedOrders[WeekIndex]=59)*(T_PlannedOrders[EffectiveQty]&gt;0)*T_PlannedOrders[Order_Month])),"m月")&amp;"発注)")</f>
        <v/>
      </c>
      <c r="BK577">
        <f>IF(SUMIFS(T_PlannedOrders[EffectiveQty],T_PlannedOrders[Part Name],$A439,T_PlannedOrders[WeekIndex],60)=0,"",SUMIFS(T_PlannedOrders[EffectiveQty],T_PlannedOrders[Part Name],$A439,T_PlannedOrders[WeekIndex],60)&amp;" ("&amp;TEXT(SUMPRODUCT(MAX((T_PlannedOrders[Part Name]=$A439)*(T_PlannedOrders[WeekIndex]=60)*(T_PlannedOrders[EffectiveQty]&gt;0)*T_PlannedOrders[Order_Month])),"m月")&amp;"発注)")</f>
        <v/>
      </c>
      <c r="BL577">
        <f>IF(SUMIFS(T_PlannedOrders[EffectiveQty],T_PlannedOrders[Part Name],$A439,T_PlannedOrders[WeekIndex],61)=0,"",SUMIFS(T_PlannedOrders[EffectiveQty],T_PlannedOrders[Part Name],$A439,T_PlannedOrders[WeekIndex],61)&amp;" ("&amp;TEXT(SUMPRODUCT(MAX((T_PlannedOrders[Part Name]=$A439)*(T_PlannedOrders[WeekIndex]=61)*(T_PlannedOrders[EffectiveQty]&gt;0)*T_PlannedOrders[Order_Month])),"m月")&amp;"発注)")</f>
        <v/>
      </c>
      <c r="BM577">
        <f>IF(SUMIFS(T_PlannedOrders[EffectiveQty],T_PlannedOrders[Part Name],$A439,T_PlannedOrders[WeekIndex],62)=0,"",SUMIFS(T_PlannedOrders[EffectiveQty],T_PlannedOrders[Part Name],$A439,T_PlannedOrders[WeekIndex],62)&amp;" ("&amp;TEXT(SUMPRODUCT(MAX((T_PlannedOrders[Part Name]=$A439)*(T_PlannedOrders[WeekIndex]=62)*(T_PlannedOrders[EffectiveQty]&gt;0)*T_PlannedOrders[Order_Month])),"m月")&amp;"発注)")</f>
        <v/>
      </c>
      <c r="BN577">
        <f>IF(SUMIFS(T_PlannedOrders[EffectiveQty],T_PlannedOrders[Part Name],$A439,T_PlannedOrders[WeekIndex],63)=0,"",SUMIFS(T_PlannedOrders[EffectiveQty],T_PlannedOrders[Part Name],$A439,T_PlannedOrders[WeekIndex],63)&amp;" ("&amp;TEXT(SUMPRODUCT(MAX((T_PlannedOrders[Part Name]=$A439)*(T_PlannedOrders[WeekIndex]=63)*(T_PlannedOrders[EffectiveQty]&gt;0)*T_PlannedOrders[Order_Month])),"m月")&amp;"発注)")</f>
        <v/>
      </c>
      <c r="BO577">
        <f>IF(SUMIFS(T_PlannedOrders[EffectiveQty],T_PlannedOrders[Part Name],$A439,T_PlannedOrders[WeekIndex],64)=0,"",SUMIFS(T_PlannedOrders[EffectiveQty],T_PlannedOrders[Part Name],$A439,T_PlannedOrders[WeekIndex],64)&amp;" ("&amp;TEXT(SUMPRODUCT(MAX((T_PlannedOrders[Part Name]=$A439)*(T_PlannedOrders[WeekIndex]=64)*(T_PlannedOrders[EffectiveQty]&gt;0)*T_PlannedOrders[Order_Month])),"m月")&amp;"発注)")</f>
        <v/>
      </c>
      <c r="BP577">
        <f>IF(SUMIFS(T_PlannedOrders[EffectiveQty],T_PlannedOrders[Part Name],$A439,T_PlannedOrders[WeekIndex],65)=0,"",SUMIFS(T_PlannedOrders[EffectiveQty],T_PlannedOrders[Part Name],$A439,T_PlannedOrders[WeekIndex],65)&amp;" ("&amp;TEXT(SUMPRODUCT(MAX((T_PlannedOrders[Part Name]=$A439)*(T_PlannedOrders[WeekIndex]=65)*(T_PlannedOrders[EffectiveQty]&gt;0)*T_PlannedOrders[Order_Month])),"m月")&amp;"発注)")</f>
        <v/>
      </c>
      <c r="BQ577">
        <f>IF(SUMIFS(T_PlannedOrders[EffectiveQty],T_PlannedOrders[Part Name],$A439,T_PlannedOrders[WeekIndex],66)=0,"",SUMIFS(T_PlannedOrders[EffectiveQty],T_PlannedOrders[Part Name],$A439,T_PlannedOrders[WeekIndex],66)&amp;" ("&amp;TEXT(SUMPRODUCT(MAX((T_PlannedOrders[Part Name]=$A439)*(T_PlannedOrders[WeekIndex]=66)*(T_PlannedOrders[EffectiveQty]&gt;0)*T_PlannedOrders[Order_Month])),"m月")&amp;"発注)")</f>
        <v/>
      </c>
      <c r="BR577">
        <f>IF(SUMIFS(T_PlannedOrders[EffectiveQty],T_PlannedOrders[Part Name],$A439,T_PlannedOrders[WeekIndex],67)=0,"",SUMIFS(T_PlannedOrders[EffectiveQty],T_PlannedOrders[Part Name],$A439,T_PlannedOrders[WeekIndex],67)&amp;" ("&amp;TEXT(SUMPRODUCT(MAX((T_PlannedOrders[Part Name]=$A439)*(T_PlannedOrders[WeekIndex]=67)*(T_PlannedOrders[EffectiveQty]&gt;0)*T_PlannedOrders[Order_Month])),"m月")&amp;"発注)")</f>
        <v/>
      </c>
      <c r="BS577">
        <f>IF(SUMIFS(T_PlannedOrders[EffectiveQty],T_PlannedOrders[Part Name],$A439,T_PlannedOrders[WeekIndex],68)=0,"",SUMIFS(T_PlannedOrders[EffectiveQty],T_PlannedOrders[Part Name],$A439,T_PlannedOrders[WeekIndex],68)&amp;" ("&amp;TEXT(SUMPRODUCT(MAX((T_PlannedOrders[Part Name]=$A439)*(T_PlannedOrders[WeekIndex]=68)*(T_PlannedOrders[EffectiveQty]&gt;0)*T_PlannedOrders[Order_Month])),"m月")&amp;"発注)")</f>
        <v/>
      </c>
      <c r="BT577">
        <f>IF(SUMIFS(T_PlannedOrders[EffectiveQty],T_PlannedOrders[Part Name],$A439,T_PlannedOrders[WeekIndex],69)=0,"",SUMIFS(T_PlannedOrders[EffectiveQty],T_PlannedOrders[Part Name],$A439,T_PlannedOrders[WeekIndex],69)&amp;" ("&amp;TEXT(SUMPRODUCT(MAX((T_PlannedOrders[Part Name]=$A439)*(T_PlannedOrders[WeekIndex]=69)*(T_PlannedOrders[EffectiveQty]&gt;0)*T_PlannedOrders[Order_Month])),"m月")&amp;"発注)")</f>
        <v/>
      </c>
      <c r="BU577">
        <f>IF(SUMIFS(T_PlannedOrders[EffectiveQty],T_PlannedOrders[Part Name],$A439,T_PlannedOrders[WeekIndex],70)=0,"",SUMIFS(T_PlannedOrders[EffectiveQty],T_PlannedOrders[Part Name],$A439,T_PlannedOrders[WeekIndex],70)&amp;" ("&amp;TEXT(SUMPRODUCT(MAX((T_PlannedOrders[Part Name]=$A439)*(T_PlannedOrders[WeekIndex]=70)*(T_PlannedOrders[EffectiveQty]&gt;0)*T_PlannedOrders[Order_Month])),"m月")&amp;"発注)")</f>
        <v/>
      </c>
      <c r="BV577">
        <f>IF(SUMIFS(T_PlannedOrders[EffectiveQty],T_PlannedOrders[Part Name],$A439,T_PlannedOrders[WeekIndex],71)=0,"",SUMIFS(T_PlannedOrders[EffectiveQty],T_PlannedOrders[Part Name],$A439,T_PlannedOrders[WeekIndex],71)&amp;" ("&amp;TEXT(SUMPRODUCT(MAX((T_PlannedOrders[Part Name]=$A439)*(T_PlannedOrders[WeekIndex]=71)*(T_PlannedOrders[EffectiveQty]&gt;0)*T_PlannedOrders[Order_Month])),"m月")&amp;"発注)")</f>
        <v/>
      </c>
      <c r="BW577">
        <f>IF(SUMIFS(T_PlannedOrders[EffectiveQty],T_PlannedOrders[Part Name],$A439,T_PlannedOrders[WeekIndex],72)=0,"",SUMIFS(T_PlannedOrders[EffectiveQty],T_PlannedOrders[Part Name],$A439,T_PlannedOrders[WeekIndex],72)&amp;" ("&amp;TEXT(SUMPRODUCT(MAX((T_PlannedOrders[Part Name]=$A439)*(T_PlannedOrders[WeekIndex]=72)*(T_PlannedOrders[EffectiveQty]&gt;0)*T_PlannedOrders[Order_Month])),"m月")&amp;"発注)")</f>
        <v/>
      </c>
      <c r="BX577">
        <f>IF(SUMIFS(T_PlannedOrders[EffectiveQty],T_PlannedOrders[Part Name],$A439,T_PlannedOrders[WeekIndex],73)=0,"",SUMIFS(T_PlannedOrders[EffectiveQty],T_PlannedOrders[Part Name],$A439,T_PlannedOrders[WeekIndex],73)&amp;" ("&amp;TEXT(SUMPRODUCT(MAX((T_PlannedOrders[Part Name]=$A439)*(T_PlannedOrders[WeekIndex]=73)*(T_PlannedOrders[EffectiveQty]&gt;0)*T_PlannedOrders[Order_Month])),"m月")&amp;"発注)")</f>
        <v/>
      </c>
      <c r="BY577">
        <f>IF(SUMIFS(T_PlannedOrders[EffectiveQty],T_PlannedOrders[Part Name],$A439,T_PlannedOrders[WeekIndex],74)=0,"",SUMIFS(T_PlannedOrders[EffectiveQty],T_PlannedOrders[Part Name],$A439,T_PlannedOrders[WeekIndex],74)&amp;" ("&amp;TEXT(SUMPRODUCT(MAX((T_PlannedOrders[Part Name]=$A439)*(T_PlannedOrders[WeekIndex]=74)*(T_PlannedOrders[EffectiveQty]&gt;0)*T_PlannedOrders[Order_Month])),"m月")&amp;"発注)")</f>
        <v/>
      </c>
      <c r="BZ577">
        <f>IF(SUMIFS(T_PlannedOrders[EffectiveQty],T_PlannedOrders[Part Name],$A439,T_PlannedOrders[WeekIndex],75)=0,"",SUMIFS(T_PlannedOrders[EffectiveQty],T_PlannedOrders[Part Name],$A439,T_PlannedOrders[WeekIndex],75)&amp;" ("&amp;TEXT(SUMPRODUCT(MAX((T_PlannedOrders[Part Name]=$A439)*(T_PlannedOrders[WeekIndex]=75)*(T_PlannedOrders[EffectiveQty]&gt;0)*T_PlannedOrders[Order_Month])),"m月")&amp;"発注)")</f>
        <v/>
      </c>
      <c r="CA577">
        <f>IF(SUMIFS(T_PlannedOrders[EffectiveQty],T_PlannedOrders[Part Name],$A439,T_PlannedOrders[WeekIndex],76)=0,"",SUMIFS(T_PlannedOrders[EffectiveQty],T_PlannedOrders[Part Name],$A439,T_PlannedOrders[WeekIndex],76)&amp;" ("&amp;TEXT(SUMPRODUCT(MAX((T_PlannedOrders[Part Name]=$A439)*(T_PlannedOrders[WeekIndex]=76)*(T_PlannedOrders[EffectiveQty]&gt;0)*T_PlannedOrders[Order_Month])),"m月")&amp;"発注)")</f>
        <v/>
      </c>
      <c r="CB577">
        <f>IF(SUMIFS(T_PlannedOrders[EffectiveQty],T_PlannedOrders[Part Name],$A439,T_PlannedOrders[WeekIndex],77)=0,"",SUMIFS(T_PlannedOrders[EffectiveQty],T_PlannedOrders[Part Name],$A439,T_PlannedOrders[WeekIndex],77)&amp;" ("&amp;TEXT(SUMPRODUCT(MAX((T_PlannedOrders[Part Name]=$A439)*(T_PlannedOrders[WeekIndex]=77)*(T_PlannedOrders[EffectiveQty]&gt;0)*T_PlannedOrders[Order_Month])),"m月")&amp;"発注)")</f>
        <v/>
      </c>
      <c r="CC577">
        <f>IF(SUMIFS(T_PlannedOrders[EffectiveQty],T_PlannedOrders[Part Name],$A439,T_PlannedOrders[WeekIndex],78)=0,"",SUMIFS(T_PlannedOrders[EffectiveQty],T_PlannedOrders[Part Name],$A439,T_PlannedOrders[WeekIndex],78)&amp;" ("&amp;TEXT(SUMPRODUCT(MAX((T_PlannedOrders[Part Name]=$A439)*(T_PlannedOrders[WeekIndex]=78)*(T_PlannedOrders[EffectiveQty]&gt;0)*T_PlannedOrders[Order_Month])),"m月")&amp;"発注)")</f>
        <v/>
      </c>
      <c r="CD577">
        <f>IF(SUMIFS(T_PlannedOrders[EffectiveQty],T_PlannedOrders[Part Name],$A439,T_PlannedOrders[WeekIndex],79)=0,"",SUMIFS(T_PlannedOrders[EffectiveQty],T_PlannedOrders[Part Name],$A439,T_PlannedOrders[WeekIndex],79)&amp;" ("&amp;TEXT(SUMPRODUCT(MAX((T_PlannedOrders[Part Name]=$A439)*(T_PlannedOrders[WeekIndex]=79)*(T_PlannedOrders[EffectiveQty]&gt;0)*T_PlannedOrders[Order_Month])),"m月")&amp;"発注)")</f>
        <v/>
      </c>
      <c r="CE577">
        <f>IF(SUMIFS(T_PlannedOrders[EffectiveQty],T_PlannedOrders[Part Name],$A439,T_PlannedOrders[WeekIndex],80)=0,"",SUMIFS(T_PlannedOrders[EffectiveQty],T_PlannedOrders[Part Name],$A439,T_PlannedOrders[WeekIndex],80)&amp;" ("&amp;TEXT(SUMPRODUCT(MAX((T_PlannedOrders[Part Name]=$A439)*(T_PlannedOrders[WeekIndex]=80)*(T_PlannedOrders[EffectiveQty]&gt;0)*T_PlannedOrders[Order_Month])),"m月")&amp;"発注)")</f>
        <v/>
      </c>
      <c r="CF577">
        <f>IF(SUMIFS(T_PlannedOrders[EffectiveQty],T_PlannedOrders[Part Name],$A439,T_PlannedOrders[WeekIndex],81)=0,"",SUMIFS(T_PlannedOrders[EffectiveQty],T_PlannedOrders[Part Name],$A439,T_PlannedOrders[WeekIndex],81)&amp;" ("&amp;TEXT(SUMPRODUCT(MAX((T_PlannedOrders[Part Name]=$A439)*(T_PlannedOrders[WeekIndex]=81)*(T_PlannedOrders[EffectiveQty]&gt;0)*T_PlannedOrders[Order_Month])),"m月")&amp;"発注)")</f>
        <v/>
      </c>
      <c r="CG577">
        <f>IF(SUMIFS(T_PlannedOrders[EffectiveQty],T_PlannedOrders[Part Name],$A439,T_PlannedOrders[WeekIndex],82)=0,"",SUMIFS(T_PlannedOrders[EffectiveQty],T_PlannedOrders[Part Name],$A439,T_PlannedOrders[WeekIndex],82)&amp;" ("&amp;TEXT(SUMPRODUCT(MAX((T_PlannedOrders[Part Name]=$A439)*(T_PlannedOrders[WeekIndex]=82)*(T_PlannedOrders[EffectiveQty]&gt;0)*T_PlannedOrders[Order_Month])),"m月")&amp;"発注)")</f>
        <v/>
      </c>
      <c r="CH577">
        <f>IF(SUMIFS(T_PlannedOrders[EffectiveQty],T_PlannedOrders[Part Name],$A439,T_PlannedOrders[WeekIndex],83)=0,"",SUMIFS(T_PlannedOrders[EffectiveQty],T_PlannedOrders[Part Name],$A439,T_PlannedOrders[WeekIndex],83)&amp;" ("&amp;TEXT(SUMPRODUCT(MAX((T_PlannedOrders[Part Name]=$A439)*(T_PlannedOrders[WeekIndex]=83)*(T_PlannedOrders[EffectiveQty]&gt;0)*T_PlannedOrders[Order_Month])),"m月")&amp;"発注)")</f>
        <v/>
      </c>
      <c r="CI577">
        <f>IF(SUMIFS(T_PlannedOrders[EffectiveQty],T_PlannedOrders[Part Name],$A439,T_PlannedOrders[WeekIndex],84)=0,"",SUMIFS(T_PlannedOrders[EffectiveQty],T_PlannedOrders[Part Name],$A439,T_PlannedOrders[WeekIndex],84)&amp;" ("&amp;TEXT(SUMPRODUCT(MAX((T_PlannedOrders[Part Name]=$A439)*(T_PlannedOrders[WeekIndex]=84)*(T_PlannedOrders[EffectiveQty]&gt;0)*T_PlannedOrders[Order_Month])),"m月")&amp;"発注)")</f>
        <v/>
      </c>
      <c r="CJ577">
        <f>IF(SUMIFS(T_PlannedOrders[EffectiveQty],T_PlannedOrders[Part Name],$A439,T_PlannedOrders[WeekIndex],85)=0,"",SUMIFS(T_PlannedOrders[EffectiveQty],T_PlannedOrders[Part Name],$A439,T_PlannedOrders[WeekIndex],85)&amp;" ("&amp;TEXT(SUMPRODUCT(MAX((T_PlannedOrders[Part Name]=$A439)*(T_PlannedOrders[WeekIndex]=85)*(T_PlannedOrders[EffectiveQty]&gt;0)*T_PlannedOrders[Order_Month])),"m月")&amp;"発注)")</f>
        <v/>
      </c>
      <c r="CK577">
        <f>IF(SUMIFS(T_PlannedOrders[EffectiveQty],T_PlannedOrders[Part Name],$A439,T_PlannedOrders[WeekIndex],86)=0,"",SUMIFS(T_PlannedOrders[EffectiveQty],T_PlannedOrders[Part Name],$A439,T_PlannedOrders[WeekIndex],86)&amp;" ("&amp;TEXT(SUMPRODUCT(MAX((T_PlannedOrders[Part Name]=$A439)*(T_PlannedOrders[WeekIndex]=86)*(T_PlannedOrders[EffectiveQty]&gt;0)*T_PlannedOrders[Order_Month])),"m月")&amp;"発注)")</f>
        <v/>
      </c>
      <c r="CL577">
        <f>IF(SUMIFS(T_PlannedOrders[EffectiveQty],T_PlannedOrders[Part Name],$A439,T_PlannedOrders[WeekIndex],87)=0,"",SUMIFS(T_PlannedOrders[EffectiveQty],T_PlannedOrders[Part Name],$A439,T_PlannedOrders[WeekIndex],87)&amp;" ("&amp;TEXT(SUMPRODUCT(MAX((T_PlannedOrders[Part Name]=$A439)*(T_PlannedOrders[WeekIndex]=87)*(T_PlannedOrders[EffectiveQty]&gt;0)*T_PlannedOrders[Order_Month])),"m月")&amp;"発注)")</f>
        <v/>
      </c>
      <c r="CM577">
        <f>IF(SUMIFS(T_PlannedOrders[EffectiveQty],T_PlannedOrders[Part Name],$A439,T_PlannedOrders[WeekIndex],88)=0,"",SUMIFS(T_PlannedOrders[EffectiveQty],T_PlannedOrders[Part Name],$A439,T_PlannedOrders[WeekIndex],88)&amp;" ("&amp;TEXT(SUMPRODUCT(MAX((T_PlannedOrders[Part Name]=$A439)*(T_PlannedOrders[WeekIndex]=88)*(T_PlannedOrders[EffectiveQty]&gt;0)*T_PlannedOrders[Order_Month])),"m月")&amp;"発注)")</f>
        <v/>
      </c>
      <c r="CN577">
        <f>IF(SUMIFS(T_PlannedOrders[EffectiveQty],T_PlannedOrders[Part Name],$A439,T_PlannedOrders[WeekIndex],89)=0,"",SUMIFS(T_PlannedOrders[EffectiveQty],T_PlannedOrders[Part Name],$A439,T_PlannedOrders[WeekIndex],89)&amp;" ("&amp;TEXT(SUMPRODUCT(MAX((T_PlannedOrders[Part Name]=$A439)*(T_PlannedOrders[WeekIndex]=89)*(T_PlannedOrders[EffectiveQty]&gt;0)*T_PlannedOrders[Order_Month])),"m月")&amp;"発注)")</f>
        <v/>
      </c>
      <c r="CO577">
        <f>IF(SUMIFS(T_PlannedOrders[EffectiveQty],T_PlannedOrders[Part Name],$A439,T_PlannedOrders[WeekIndex],90)=0,"",SUMIFS(T_PlannedOrders[EffectiveQty],T_PlannedOrders[Part Name],$A439,T_PlannedOrders[WeekIndex],90)&amp;" ("&amp;TEXT(SUMPRODUCT(MAX((T_PlannedOrders[Part Name]=$A439)*(T_PlannedOrders[WeekIndex]=90)*(T_PlannedOrders[EffectiveQty]&gt;0)*T_PlannedOrders[Order_Month])),"m月")&amp;"発注)")</f>
        <v/>
      </c>
      <c r="CP577">
        <f>IF(SUMIFS(T_PlannedOrders[EffectiveQty],T_PlannedOrders[Part Name],$A439,T_PlannedOrders[WeekIndex],91)=0,"",SUMIFS(T_PlannedOrders[EffectiveQty],T_PlannedOrders[Part Name],$A439,T_PlannedOrders[WeekIndex],91)&amp;" ("&amp;TEXT(SUMPRODUCT(MAX((T_PlannedOrders[Part Name]=$A439)*(T_PlannedOrders[WeekIndex]=91)*(T_PlannedOrders[EffectiveQty]&gt;0)*T_PlannedOrders[Order_Month])),"m月")&amp;"発注)")</f>
        <v/>
      </c>
      <c r="CQ577">
        <f>IF(SUMIFS(T_PlannedOrders[EffectiveQty],T_PlannedOrders[Part Name],$A439,T_PlannedOrders[WeekIndex],92)=0,"",SUMIFS(T_PlannedOrders[EffectiveQty],T_PlannedOrders[Part Name],$A439,T_PlannedOrders[WeekIndex],92)&amp;" ("&amp;TEXT(SUMPRODUCT(MAX((T_PlannedOrders[Part Name]=$A439)*(T_PlannedOrders[WeekIndex]=92)*(T_PlannedOrders[EffectiveQty]&gt;0)*T_PlannedOrders[Order_Month])),"m月")&amp;"発注)")</f>
        <v/>
      </c>
      <c r="CR577">
        <f>IF(SUMIFS(T_PlannedOrders[EffectiveQty],T_PlannedOrders[Part Name],$A439,T_PlannedOrders[WeekIndex],93)=0,"",SUMIFS(T_PlannedOrders[EffectiveQty],T_PlannedOrders[Part Name],$A439,T_PlannedOrders[WeekIndex],93)&amp;" ("&amp;TEXT(SUMPRODUCT(MAX((T_PlannedOrders[Part Name]=$A439)*(T_PlannedOrders[WeekIndex]=93)*(T_PlannedOrders[EffectiveQty]&gt;0)*T_PlannedOrders[Order_Month])),"m月")&amp;"発注)")</f>
        <v/>
      </c>
      <c r="CS577">
        <f>IF(SUMIFS(T_PlannedOrders[EffectiveQty],T_PlannedOrders[Part Name],$A439,T_PlannedOrders[WeekIndex],94)=0,"",SUMIFS(T_PlannedOrders[EffectiveQty],T_PlannedOrders[Part Name],$A439,T_PlannedOrders[WeekIndex],94)&amp;" ("&amp;TEXT(SUMPRODUCT(MAX((T_PlannedOrders[Part Name]=$A439)*(T_PlannedOrders[WeekIndex]=94)*(T_PlannedOrders[EffectiveQty]&gt;0)*T_PlannedOrders[Order_Month])),"m月")&amp;"発注)")</f>
        <v/>
      </c>
      <c r="CT577">
        <f>IF(SUMIFS(T_PlannedOrders[EffectiveQty],T_PlannedOrders[Part Name],$A439,T_PlannedOrders[WeekIndex],95)=0,"",SUMIFS(T_PlannedOrders[EffectiveQty],T_PlannedOrders[Part Name],$A439,T_PlannedOrders[WeekIndex],95)&amp;" ("&amp;TEXT(SUMPRODUCT(MAX((T_PlannedOrders[Part Name]=$A439)*(T_PlannedOrders[WeekIndex]=95)*(T_PlannedOrders[EffectiveQty]&gt;0)*T_PlannedOrders[Order_Month])),"m月")&amp;"発注)")</f>
        <v/>
      </c>
      <c r="CU577">
        <f>IF(SUMIFS(T_PlannedOrders[EffectiveQty],T_PlannedOrders[Part Name],$A439,T_PlannedOrders[WeekIndex],96)=0,"",SUMIFS(T_PlannedOrders[EffectiveQty],T_PlannedOrders[Part Name],$A439,T_PlannedOrders[WeekIndex],96)&amp;" ("&amp;TEXT(SUMPRODUCT(MAX((T_PlannedOrders[Part Name]=$A439)*(T_PlannedOrders[WeekIndex]=96)*(T_PlannedOrders[EffectiveQty]&gt;0)*T_PlannedOrders[Order_Month])),"m月")&amp;"発注)")</f>
        <v/>
      </c>
      <c r="CV577">
        <f>IF(SUMIFS(T_PlannedOrders[EffectiveQty],T_PlannedOrders[Part Name],$A439,T_PlannedOrders[WeekIndex],97)=0,"",SUMIFS(T_PlannedOrders[EffectiveQty],T_PlannedOrders[Part Name],$A439,T_PlannedOrders[WeekIndex],97)&amp;" ("&amp;TEXT(SUMPRODUCT(MAX((T_PlannedOrders[Part Name]=$A439)*(T_PlannedOrders[WeekIndex]=97)*(T_PlannedOrders[EffectiveQty]&gt;0)*T_PlannedOrders[Order_Month])),"m月")&amp;"発注)")</f>
        <v/>
      </c>
      <c r="CW577">
        <f>IF(SUMIFS(T_PlannedOrders[EffectiveQty],T_PlannedOrders[Part Name],$A439,T_PlannedOrders[WeekIndex],98)=0,"",SUMIFS(T_PlannedOrders[EffectiveQty],T_PlannedOrders[Part Name],$A439,T_PlannedOrders[WeekIndex],98)&amp;" ("&amp;TEXT(SUMPRODUCT(MAX((T_PlannedOrders[Part Name]=$A439)*(T_PlannedOrders[WeekIndex]=98)*(T_PlannedOrders[EffectiveQty]&gt;0)*T_PlannedOrders[Order_Month])),"m月")&amp;"発注)")</f>
        <v/>
      </c>
      <c r="CX577">
        <f>IF(SUMIFS(T_PlannedOrders[EffectiveQty],T_PlannedOrders[Part Name],$A439,T_PlannedOrders[WeekIndex],99)=0,"",SUMIFS(T_PlannedOrders[EffectiveQty],T_PlannedOrders[Part Name],$A439,T_PlannedOrders[WeekIndex],99)&amp;" ("&amp;TEXT(SUMPRODUCT(MAX((T_PlannedOrders[Part Name]=$A439)*(T_PlannedOrders[WeekIndex]=99)*(T_PlannedOrders[EffectiveQty]&gt;0)*T_PlannedOrders[Order_Month])),"m月")&amp;"発注)")</f>
        <v/>
      </c>
      <c r="CY577">
        <f>IF(SUMIFS(T_PlannedOrders[EffectiveQty],T_PlannedOrders[Part Name],$A439,T_PlannedOrders[WeekIndex],100)=0,"",SUMIFS(T_PlannedOrders[EffectiveQty],T_PlannedOrders[Part Name],$A439,T_PlannedOrders[WeekIndex],100)&amp;" ("&amp;TEXT(SUMPRODUCT(MAX((T_PlannedOrders[Part Name]=$A439)*(T_PlannedOrders[WeekIndex]=100)*(T_PlannedOrders[EffectiveQty]&gt;0)*T_PlannedOrders[Order_Month])),"m月")&amp;"発注)")</f>
        <v/>
      </c>
      <c r="CZ577">
        <f>IF(SUMIFS(T_PlannedOrders[EffectiveQty],T_PlannedOrders[Part Name],$A439,T_PlannedOrders[WeekIndex],101)=0,"",SUMIFS(T_PlannedOrders[EffectiveQty],T_PlannedOrders[Part Name],$A439,T_PlannedOrders[WeekIndex],101)&amp;" ("&amp;TEXT(SUMPRODUCT(MAX((T_PlannedOrders[Part Name]=$A439)*(T_PlannedOrders[WeekIndex]=101)*(T_PlannedOrders[EffectiveQty]&gt;0)*T_PlannedOrders[Order_Month])),"m月")&amp;"発注)")</f>
        <v/>
      </c>
      <c r="DA577">
        <f>IF(SUMIFS(T_PlannedOrders[EffectiveQty],T_PlannedOrders[Part Name],$A439,T_PlannedOrders[WeekIndex],102)=0,"",SUMIFS(T_PlannedOrders[EffectiveQty],T_PlannedOrders[Part Name],$A439,T_PlannedOrders[WeekIndex],102)&amp;" ("&amp;TEXT(SUMPRODUCT(MAX((T_PlannedOrders[Part Name]=$A439)*(T_PlannedOrders[WeekIndex]=102)*(T_PlannedOrders[EffectiveQty]&gt;0)*T_PlannedOrders[Order_Month])),"m月")&amp;"発注)")</f>
        <v/>
      </c>
      <c r="DB577">
        <f>IF(SUMIFS(T_PlannedOrders[EffectiveQty],T_PlannedOrders[Part Name],$A439,T_PlannedOrders[WeekIndex],103)=0,"",SUMIFS(T_PlannedOrders[EffectiveQty],T_PlannedOrders[Part Name],$A439,T_PlannedOrders[WeekIndex],103)&amp;" ("&amp;TEXT(SUMPRODUCT(MAX((T_PlannedOrders[Part Name]=$A439)*(T_PlannedOrders[WeekIndex]=103)*(T_PlannedOrders[EffectiveQty]&gt;0)*T_PlannedOrders[Order_Month])),"m月")&amp;"発注)")</f>
        <v/>
      </c>
      <c r="DC577">
        <f>IF(SUMIFS(T_PlannedOrders[EffectiveQty],T_PlannedOrders[Part Name],$A439,T_PlannedOrders[WeekIndex],104)=0,"",SUMIFS(T_PlannedOrders[EffectiveQty],T_PlannedOrders[Part Name],$A439,T_PlannedOrders[WeekIndex],104)&amp;" ("&amp;TEXT(SUMPRODUCT(MAX((T_PlannedOrders[Part Name]=$A439)*(T_PlannedOrders[WeekIndex]=104)*(T_PlannedOrders[EffectiveQty]&gt;0)*T_PlannedOrders[Order_Month])),"m月")&amp;"発注)")</f>
        <v/>
      </c>
    </row>
    <row r="578">
      <c r="B578" s="5" t="inlineStr">
        <is>
          <t>合計在庫(週末時点,kg)</t>
        </is>
      </c>
      <c r="D578">
        <f>'Grid_Stock'!B36</f>
        <v/>
      </c>
      <c r="E578">
        <f>'Grid_Stock'!C36</f>
        <v/>
      </c>
      <c r="F578">
        <f>'Grid_Stock'!D36</f>
        <v/>
      </c>
      <c r="G578">
        <f>'Grid_Stock'!E36</f>
        <v/>
      </c>
      <c r="H578">
        <f>'Grid_Stock'!F36</f>
        <v/>
      </c>
      <c r="I578">
        <f>'Grid_Stock'!G36</f>
        <v/>
      </c>
      <c r="J578">
        <f>'Grid_Stock'!H36</f>
        <v/>
      </c>
      <c r="K578">
        <f>'Grid_Stock'!I36</f>
        <v/>
      </c>
      <c r="L578">
        <f>'Grid_Stock'!J36</f>
        <v/>
      </c>
      <c r="M578">
        <f>'Grid_Stock'!K36</f>
        <v/>
      </c>
      <c r="N578">
        <f>'Grid_Stock'!L36</f>
        <v/>
      </c>
      <c r="O578">
        <f>'Grid_Stock'!M36</f>
        <v/>
      </c>
      <c r="P578">
        <f>'Grid_Stock'!N36</f>
        <v/>
      </c>
      <c r="Q578">
        <f>'Grid_Stock'!O36</f>
        <v/>
      </c>
      <c r="R578">
        <f>'Grid_Stock'!P36</f>
        <v/>
      </c>
      <c r="S578">
        <f>'Grid_Stock'!Q36</f>
        <v/>
      </c>
      <c r="T578">
        <f>'Grid_Stock'!R36</f>
        <v/>
      </c>
      <c r="U578">
        <f>'Grid_Stock'!S36</f>
        <v/>
      </c>
      <c r="V578">
        <f>'Grid_Stock'!T36</f>
        <v/>
      </c>
      <c r="W578">
        <f>'Grid_Stock'!U36</f>
        <v/>
      </c>
      <c r="X578">
        <f>'Grid_Stock'!V36</f>
        <v/>
      </c>
      <c r="Y578">
        <f>'Grid_Stock'!W36</f>
        <v/>
      </c>
      <c r="Z578">
        <f>'Grid_Stock'!X36</f>
        <v/>
      </c>
      <c r="AA578">
        <f>'Grid_Stock'!Y36</f>
        <v/>
      </c>
      <c r="AB578">
        <f>'Grid_Stock'!Z36</f>
        <v/>
      </c>
      <c r="AC578">
        <f>'Grid_Stock'!AA36</f>
        <v/>
      </c>
      <c r="AD578">
        <f>'Grid_Stock'!AB36</f>
        <v/>
      </c>
      <c r="AE578">
        <f>'Grid_Stock'!AC36</f>
        <v/>
      </c>
      <c r="AF578">
        <f>'Grid_Stock'!AD36</f>
        <v/>
      </c>
      <c r="AG578">
        <f>'Grid_Stock'!AE36</f>
        <v/>
      </c>
      <c r="AH578">
        <f>'Grid_Stock'!AF36</f>
        <v/>
      </c>
      <c r="AI578">
        <f>'Grid_Stock'!AG36</f>
        <v/>
      </c>
      <c r="AJ578">
        <f>'Grid_Stock'!AH36</f>
        <v/>
      </c>
      <c r="AK578">
        <f>'Grid_Stock'!AI36</f>
        <v/>
      </c>
      <c r="AL578">
        <f>'Grid_Stock'!AJ36</f>
        <v/>
      </c>
      <c r="AM578">
        <f>'Grid_Stock'!AK36</f>
        <v/>
      </c>
      <c r="AN578">
        <f>'Grid_Stock'!AL36</f>
        <v/>
      </c>
      <c r="AO578">
        <f>'Grid_Stock'!AM36</f>
        <v/>
      </c>
      <c r="AP578">
        <f>'Grid_Stock'!AN36</f>
        <v/>
      </c>
      <c r="AQ578">
        <f>'Grid_Stock'!AO36</f>
        <v/>
      </c>
      <c r="AR578">
        <f>'Grid_Stock'!AP36</f>
        <v/>
      </c>
      <c r="AS578">
        <f>'Grid_Stock'!AQ36</f>
        <v/>
      </c>
      <c r="AT578">
        <f>'Grid_Stock'!AR36</f>
        <v/>
      </c>
      <c r="AU578">
        <f>'Grid_Stock'!AS36</f>
        <v/>
      </c>
      <c r="AV578">
        <f>'Grid_Stock'!AT36</f>
        <v/>
      </c>
      <c r="AW578">
        <f>'Grid_Stock'!AU36</f>
        <v/>
      </c>
      <c r="AX578">
        <f>'Grid_Stock'!AV36</f>
        <v/>
      </c>
      <c r="AY578">
        <f>'Grid_Stock'!AW36</f>
        <v/>
      </c>
      <c r="AZ578">
        <f>'Grid_Stock'!AX36</f>
        <v/>
      </c>
      <c r="BA578">
        <f>'Grid_Stock'!AY36</f>
        <v/>
      </c>
      <c r="BB578">
        <f>'Grid_Stock'!AZ36</f>
        <v/>
      </c>
      <c r="BC578">
        <f>'Grid_Stock'!BA36</f>
        <v/>
      </c>
      <c r="BD578">
        <f>'Grid_Stock'!BB36</f>
        <v/>
      </c>
      <c r="BE578">
        <f>'Grid_Stock'!BC36</f>
        <v/>
      </c>
      <c r="BF578">
        <f>'Grid_Stock'!BD36</f>
        <v/>
      </c>
      <c r="BG578">
        <f>'Grid_Stock'!BE36</f>
        <v/>
      </c>
      <c r="BH578">
        <f>'Grid_Stock'!BF36</f>
        <v/>
      </c>
      <c r="BI578">
        <f>'Grid_Stock'!BG36</f>
        <v/>
      </c>
      <c r="BJ578">
        <f>'Grid_Stock'!BH36</f>
        <v/>
      </c>
      <c r="BK578">
        <f>'Grid_Stock'!BI36</f>
        <v/>
      </c>
      <c r="BL578">
        <f>'Grid_Stock'!BJ36</f>
        <v/>
      </c>
      <c r="BM578">
        <f>'Grid_Stock'!BK36</f>
        <v/>
      </c>
      <c r="BN578">
        <f>'Grid_Stock'!BL36</f>
        <v/>
      </c>
      <c r="BO578">
        <f>'Grid_Stock'!BM36</f>
        <v/>
      </c>
      <c r="BP578">
        <f>'Grid_Stock'!BN36</f>
        <v/>
      </c>
      <c r="BQ578">
        <f>'Grid_Stock'!BO36</f>
        <v/>
      </c>
      <c r="BR578">
        <f>'Grid_Stock'!BP36</f>
        <v/>
      </c>
      <c r="BS578">
        <f>'Grid_Stock'!BQ36</f>
        <v/>
      </c>
      <c r="BT578">
        <f>'Grid_Stock'!BR36</f>
        <v/>
      </c>
      <c r="BU578">
        <f>'Grid_Stock'!BS36</f>
        <v/>
      </c>
      <c r="BV578">
        <f>'Grid_Stock'!BT36</f>
        <v/>
      </c>
      <c r="BW578">
        <f>'Grid_Stock'!BU36</f>
        <v/>
      </c>
      <c r="BX578">
        <f>'Grid_Stock'!BV36</f>
        <v/>
      </c>
      <c r="BY578">
        <f>'Grid_Stock'!BW36</f>
        <v/>
      </c>
      <c r="BZ578">
        <f>'Grid_Stock'!BX36</f>
        <v/>
      </c>
      <c r="CA578">
        <f>'Grid_Stock'!BY36</f>
        <v/>
      </c>
      <c r="CB578">
        <f>'Grid_Stock'!BZ36</f>
        <v/>
      </c>
      <c r="CC578">
        <f>'Grid_Stock'!CA36</f>
        <v/>
      </c>
      <c r="CD578">
        <f>'Grid_Stock'!CB36</f>
        <v/>
      </c>
      <c r="CE578">
        <f>'Grid_Stock'!CC36</f>
        <v/>
      </c>
      <c r="CF578">
        <f>'Grid_Stock'!CD36</f>
        <v/>
      </c>
      <c r="CG578">
        <f>'Grid_Stock'!CE36</f>
        <v/>
      </c>
      <c r="CH578">
        <f>'Grid_Stock'!CF36</f>
        <v/>
      </c>
      <c r="CI578">
        <f>'Grid_Stock'!CG36</f>
        <v/>
      </c>
      <c r="CJ578">
        <f>'Grid_Stock'!CH36</f>
        <v/>
      </c>
      <c r="CK578">
        <f>'Grid_Stock'!CI36</f>
        <v/>
      </c>
      <c r="CL578">
        <f>'Grid_Stock'!CJ36</f>
        <v/>
      </c>
      <c r="CM578">
        <f>'Grid_Stock'!CK36</f>
        <v/>
      </c>
      <c r="CN578">
        <f>'Grid_Stock'!CL36</f>
        <v/>
      </c>
      <c r="CO578">
        <f>'Grid_Stock'!CM36</f>
        <v/>
      </c>
      <c r="CP578">
        <f>'Grid_Stock'!CN36</f>
        <v/>
      </c>
      <c r="CQ578">
        <f>'Grid_Stock'!CO36</f>
        <v/>
      </c>
      <c r="CR578">
        <f>'Grid_Stock'!CP36</f>
        <v/>
      </c>
      <c r="CS578">
        <f>'Grid_Stock'!CQ36</f>
        <v/>
      </c>
      <c r="CT578">
        <f>'Grid_Stock'!CR36</f>
        <v/>
      </c>
      <c r="CU578">
        <f>'Grid_Stock'!CS36</f>
        <v/>
      </c>
      <c r="CV578">
        <f>'Grid_Stock'!CT36</f>
        <v/>
      </c>
      <c r="CW578">
        <f>'Grid_Stock'!CU36</f>
        <v/>
      </c>
      <c r="CX578">
        <f>'Grid_Stock'!CV36</f>
        <v/>
      </c>
      <c r="CY578">
        <f>'Grid_Stock'!CW36</f>
        <v/>
      </c>
      <c r="CZ578">
        <f>'Grid_Stock'!CX36</f>
        <v/>
      </c>
      <c r="DA578">
        <f>'Grid_Stock'!CY36</f>
        <v/>
      </c>
      <c r="DB578">
        <f>'Grid_Stock'!CZ36</f>
        <v/>
      </c>
      <c r="DC578">
        <f>'Grid_Stock'!DA36</f>
        <v/>
      </c>
    </row>
    <row r="579">
      <c r="B579" s="23" t="inlineStr">
        <is>
          <t>（発注の目安はDashboardの基準在庫[下限/上限]と色分けを参照）</t>
        </is>
      </c>
    </row>
    <row r="581">
      <c r="A581" s="21" t="inlineStr">
        <is>
          <t>CHEM-1440</t>
        </is>
      </c>
      <c r="B581" s="21" t="inlineStr">
        <is>
          <t>Citric Acid</t>
        </is>
      </c>
      <c r="C581" s="22" t="n"/>
      <c r="D581" s="21" t="n"/>
      <c r="E581" s="21" t="n"/>
      <c r="F581" s="21" t="n"/>
      <c r="G581" s="21" t="n"/>
      <c r="H581" s="21" t="n"/>
      <c r="I581" s="21" t="n"/>
      <c r="J581" s="21" t="n"/>
      <c r="K581" s="21" t="n"/>
      <c r="L581" s="21" t="n"/>
      <c r="M581" s="21" t="n"/>
      <c r="N581" s="21" t="n"/>
      <c r="O581" s="21" t="n"/>
      <c r="P581" s="21" t="n"/>
      <c r="Q581" s="21" t="n"/>
      <c r="R581" s="21" t="n"/>
      <c r="S581" s="21" t="n"/>
      <c r="T581" s="21" t="n"/>
      <c r="U581" s="21" t="n"/>
      <c r="V581" s="21" t="n"/>
      <c r="W581" s="21" t="n"/>
      <c r="X581" s="21" t="n"/>
      <c r="Y581" s="21" t="n"/>
      <c r="Z581" s="21" t="n"/>
      <c r="AA581" s="21" t="n"/>
      <c r="AB581" s="21" t="n"/>
      <c r="AC581" s="21" t="n"/>
      <c r="AD581" s="21" t="n"/>
      <c r="AE581" s="21" t="n"/>
      <c r="AF581" s="21" t="n"/>
      <c r="AG581" s="21" t="n"/>
      <c r="AH581" s="21" t="n"/>
      <c r="AI581" s="21" t="n"/>
      <c r="AJ581" s="21" t="n"/>
      <c r="AK581" s="21" t="n"/>
      <c r="AL581" s="21" t="n"/>
      <c r="AM581" s="21" t="n"/>
      <c r="AN581" s="21" t="n"/>
      <c r="AO581" s="21" t="n"/>
      <c r="AP581" s="21" t="n"/>
      <c r="AQ581" s="21" t="n"/>
      <c r="AR581" s="21" t="n"/>
      <c r="AS581" s="21" t="n"/>
      <c r="AT581" s="21" t="n"/>
      <c r="AU581" s="21" t="n"/>
      <c r="AV581" s="21" t="n"/>
      <c r="AW581" s="21" t="n"/>
      <c r="AX581" s="21" t="n"/>
      <c r="AY581" s="21" t="n"/>
      <c r="AZ581" s="21" t="n"/>
      <c r="BA581" s="21" t="n"/>
      <c r="BB581" s="21" t="n"/>
      <c r="BC581" s="21" t="n"/>
      <c r="BD581" s="21" t="n"/>
      <c r="BE581" s="21" t="n"/>
      <c r="BF581" s="21" t="n"/>
      <c r="BG581" s="21" t="n"/>
      <c r="BH581" s="21" t="n"/>
      <c r="BI581" s="21" t="n"/>
      <c r="BJ581" s="21" t="n"/>
      <c r="BK581" s="21" t="n"/>
      <c r="BL581" s="21" t="n"/>
      <c r="BM581" s="21" t="n"/>
      <c r="BN581" s="21" t="n"/>
      <c r="BO581" s="21" t="n"/>
      <c r="BP581" s="21" t="n"/>
      <c r="BQ581" s="21" t="n"/>
      <c r="BR581" s="21" t="n"/>
      <c r="BS581" s="21" t="n"/>
      <c r="BT581" s="21" t="n"/>
      <c r="BU581" s="21" t="n"/>
      <c r="BV581" s="21" t="n"/>
      <c r="BW581" s="21" t="n"/>
      <c r="BX581" s="21" t="n"/>
      <c r="BY581" s="21" t="n"/>
      <c r="BZ581" s="21" t="n"/>
      <c r="CA581" s="21" t="n"/>
      <c r="CB581" s="21" t="n"/>
      <c r="CC581" s="21" t="n"/>
      <c r="CD581" s="21" t="n"/>
      <c r="CE581" s="21" t="n"/>
      <c r="CF581" s="21" t="n"/>
      <c r="CG581" s="21" t="n"/>
      <c r="CH581" s="21" t="n"/>
      <c r="CI581" s="21" t="n"/>
      <c r="CJ581" s="21" t="n"/>
      <c r="CK581" s="21" t="n"/>
      <c r="CL581" s="21" t="n"/>
      <c r="CM581" s="21" t="n"/>
      <c r="CN581" s="21" t="n"/>
      <c r="CO581" s="21" t="n"/>
      <c r="CP581" s="21" t="n"/>
      <c r="CQ581" s="21" t="n"/>
      <c r="CR581" s="21" t="n"/>
      <c r="CS581" s="21" t="n"/>
      <c r="CT581" s="21" t="n"/>
      <c r="CU581" s="21" t="n"/>
      <c r="CV581" s="21" t="n"/>
      <c r="CW581" s="21" t="n"/>
      <c r="CX581" s="21" t="n"/>
      <c r="CY581" s="21" t="n"/>
      <c r="CZ581" s="21" t="n"/>
      <c r="DA581" s="21" t="n"/>
      <c r="DB581" s="21" t="n"/>
      <c r="DC581" s="21" t="n"/>
    </row>
    <row r="582">
      <c r="B582" t="inlineStr">
        <is>
          <t>TSP-049</t>
        </is>
      </c>
      <c r="C582" t="inlineStr">
        <is>
          <t>No. of batches</t>
        </is>
      </c>
      <c r="D582">
        <f>IFERROR(INDEX(PP_Grid[#Data],$DD582,2),0)</f>
        <v/>
      </c>
      <c r="E582">
        <f>IFERROR(INDEX(PP_Grid[#Data],$DD582,3),0)</f>
        <v/>
      </c>
      <c r="F582">
        <f>IFERROR(INDEX(PP_Grid[#Data],$DD582,4),0)</f>
        <v/>
      </c>
      <c r="G582">
        <f>IFERROR(INDEX(PP_Grid[#Data],$DD582,5),0)</f>
        <v/>
      </c>
      <c r="H582">
        <f>IFERROR(INDEX(PP_Grid[#Data],$DD582,6),0)</f>
        <v/>
      </c>
      <c r="I582">
        <f>IFERROR(INDEX(PP_Grid[#Data],$DD582,7),0)</f>
        <v/>
      </c>
      <c r="J582">
        <f>IFERROR(INDEX(PP_Grid[#Data],$DD582,8),0)</f>
        <v/>
      </c>
      <c r="K582">
        <f>IFERROR(INDEX(PP_Grid[#Data],$DD582,9),0)</f>
        <v/>
      </c>
      <c r="L582">
        <f>IFERROR(INDEX(PP_Grid[#Data],$DD582,10),0)</f>
        <v/>
      </c>
      <c r="M582">
        <f>IFERROR(INDEX(PP_Grid[#Data],$DD582,11),0)</f>
        <v/>
      </c>
      <c r="N582">
        <f>IFERROR(INDEX(PP_Grid[#Data],$DD582,12),0)</f>
        <v/>
      </c>
      <c r="O582">
        <f>IFERROR(INDEX(PP_Grid[#Data],$DD582,13),0)</f>
        <v/>
      </c>
      <c r="P582">
        <f>IFERROR(INDEX(PP_Grid[#Data],$DD582,14),0)</f>
        <v/>
      </c>
      <c r="Q582">
        <f>IFERROR(INDEX(PP_Grid[#Data],$DD582,15),0)</f>
        <v/>
      </c>
      <c r="R582">
        <f>IFERROR(INDEX(PP_Grid[#Data],$DD582,16),0)</f>
        <v/>
      </c>
      <c r="S582">
        <f>IFERROR(INDEX(PP_Grid[#Data],$DD582,17),0)</f>
        <v/>
      </c>
      <c r="T582">
        <f>IFERROR(INDEX(PP_Grid[#Data],$DD582,18),0)</f>
        <v/>
      </c>
      <c r="U582">
        <f>IFERROR(INDEX(PP_Grid[#Data],$DD582,19),0)</f>
        <v/>
      </c>
      <c r="V582">
        <f>IFERROR(INDEX(PP_Grid[#Data],$DD582,20),0)</f>
        <v/>
      </c>
      <c r="W582">
        <f>IFERROR(INDEX(PP_Grid[#Data],$DD582,21),0)</f>
        <v/>
      </c>
      <c r="X582">
        <f>IFERROR(INDEX(PP_Grid[#Data],$DD582,22),0)</f>
        <v/>
      </c>
      <c r="Y582">
        <f>IFERROR(INDEX(PP_Grid[#Data],$DD582,23),0)</f>
        <v/>
      </c>
      <c r="Z582">
        <f>IFERROR(INDEX(PP_Grid[#Data],$DD582,24),0)</f>
        <v/>
      </c>
      <c r="AA582">
        <f>IFERROR(INDEX(PP_Grid[#Data],$DD582,25),0)</f>
        <v/>
      </c>
      <c r="AB582">
        <f>IFERROR(INDEX(PP_Grid[#Data],$DD582,26),0)</f>
        <v/>
      </c>
      <c r="AC582">
        <f>IFERROR(INDEX(PP_Grid[#Data],$DD582,27),0)</f>
        <v/>
      </c>
      <c r="AD582">
        <f>IFERROR(INDEX(PP_Grid[#Data],$DD582,28),0)</f>
        <v/>
      </c>
      <c r="AE582">
        <f>IFERROR(INDEX(PP_Grid[#Data],$DD582,29),0)</f>
        <v/>
      </c>
      <c r="AF582">
        <f>IFERROR(INDEX(PP_Grid[#Data],$DD582,30),0)</f>
        <v/>
      </c>
      <c r="AG582">
        <f>IFERROR(INDEX(PP_Grid[#Data],$DD582,31),0)</f>
        <v/>
      </c>
      <c r="AH582">
        <f>IFERROR(INDEX(PP_Grid[#Data],$DD582,32),0)</f>
        <v/>
      </c>
      <c r="AI582">
        <f>IFERROR(INDEX(PP_Grid[#Data],$DD582,33),0)</f>
        <v/>
      </c>
      <c r="AJ582">
        <f>IFERROR(INDEX(PP_Grid[#Data],$DD582,34),0)</f>
        <v/>
      </c>
      <c r="AK582">
        <f>IFERROR(INDEX(PP_Grid[#Data],$DD582,35),0)</f>
        <v/>
      </c>
      <c r="AL582">
        <f>IFERROR(INDEX(PP_Grid[#Data],$DD582,36),0)</f>
        <v/>
      </c>
      <c r="AM582">
        <f>IFERROR(INDEX(PP_Grid[#Data],$DD582,37),0)</f>
        <v/>
      </c>
      <c r="AN582">
        <f>IFERROR(INDEX(PP_Grid[#Data],$DD582,38),0)</f>
        <v/>
      </c>
      <c r="AO582">
        <f>IFERROR(INDEX(PP_Grid[#Data],$DD582,39),0)</f>
        <v/>
      </c>
      <c r="AP582">
        <f>IFERROR(INDEX(PP_Grid[#Data],$DD582,40),0)</f>
        <v/>
      </c>
      <c r="AQ582">
        <f>IFERROR(INDEX(PP_Grid[#Data],$DD582,41),0)</f>
        <v/>
      </c>
      <c r="AR582">
        <f>IFERROR(INDEX(PP_Grid[#Data],$DD582,42),0)</f>
        <v/>
      </c>
      <c r="AS582">
        <f>IFERROR(INDEX(PP_Grid[#Data],$DD582,43),0)</f>
        <v/>
      </c>
      <c r="AT582">
        <f>IFERROR(INDEX(PP_Grid[#Data],$DD582,44),0)</f>
        <v/>
      </c>
      <c r="AU582">
        <f>IFERROR(INDEX(PP_Grid[#Data],$DD582,45),0)</f>
        <v/>
      </c>
      <c r="AV582">
        <f>IFERROR(INDEX(PP_Grid[#Data],$DD582,46),0)</f>
        <v/>
      </c>
      <c r="AW582">
        <f>IFERROR(INDEX(PP_Grid[#Data],$DD582,47),0)</f>
        <v/>
      </c>
      <c r="AX582">
        <f>IFERROR(INDEX(PP_Grid[#Data],$DD582,48),0)</f>
        <v/>
      </c>
      <c r="AY582">
        <f>IFERROR(INDEX(PP_Grid[#Data],$DD582,49),0)</f>
        <v/>
      </c>
      <c r="AZ582">
        <f>IFERROR(INDEX(PP_Grid[#Data],$DD582,50),0)</f>
        <v/>
      </c>
      <c r="BA582">
        <f>IFERROR(INDEX(PP_Grid[#Data],$DD582,51),0)</f>
        <v/>
      </c>
      <c r="BB582">
        <f>IFERROR(INDEX(PP_Grid[#Data],$DD582,52),0)</f>
        <v/>
      </c>
      <c r="BC582">
        <f>IFERROR(INDEX(PP_Grid[#Data],$DD582,53),0)</f>
        <v/>
      </c>
      <c r="BD582">
        <f>IFERROR(INDEX(PP_Grid[#Data],$DD582,54),0)</f>
        <v/>
      </c>
      <c r="BE582">
        <f>IFERROR(INDEX(PP_Grid[#Data],$DD582,55),0)</f>
        <v/>
      </c>
      <c r="BF582">
        <f>IFERROR(INDEX(PP_Grid[#Data],$DD582,56),0)</f>
        <v/>
      </c>
      <c r="BG582">
        <f>IFERROR(INDEX(PP_Grid[#Data],$DD582,57),0)</f>
        <v/>
      </c>
      <c r="BH582">
        <f>IFERROR(INDEX(PP_Grid[#Data],$DD582,58),0)</f>
        <v/>
      </c>
      <c r="BI582">
        <f>IFERROR(INDEX(PP_Grid[#Data],$DD582,59),0)</f>
        <v/>
      </c>
      <c r="BJ582">
        <f>IFERROR(INDEX(PP_Grid[#Data],$DD582,60),0)</f>
        <v/>
      </c>
      <c r="BK582">
        <f>IFERROR(INDEX(PP_Grid[#Data],$DD582,61),0)</f>
        <v/>
      </c>
      <c r="BL582">
        <f>IFERROR(INDEX(PP_Grid[#Data],$DD582,62),0)</f>
        <v/>
      </c>
      <c r="BM582">
        <f>IFERROR(INDEX(PP_Grid[#Data],$DD582,63),0)</f>
        <v/>
      </c>
      <c r="BN582">
        <f>IFERROR(INDEX(PP_Grid[#Data],$DD582,64),0)</f>
        <v/>
      </c>
      <c r="BO582">
        <f>IFERROR(INDEX(PP_Grid[#Data],$DD582,65),0)</f>
        <v/>
      </c>
      <c r="BP582">
        <f>IFERROR(INDEX(PP_Grid[#Data],$DD582,66),0)</f>
        <v/>
      </c>
      <c r="BQ582">
        <f>IFERROR(INDEX(PP_Grid[#Data],$DD582,67),0)</f>
        <v/>
      </c>
      <c r="BR582">
        <f>IFERROR(INDEX(PP_Grid[#Data],$DD582,68),0)</f>
        <v/>
      </c>
      <c r="BS582">
        <f>IFERROR(INDEX(PP_Grid[#Data],$DD582,69),0)</f>
        <v/>
      </c>
      <c r="BT582">
        <f>IFERROR(INDEX(PP_Grid[#Data],$DD582,70),0)</f>
        <v/>
      </c>
      <c r="BU582">
        <f>IFERROR(INDEX(PP_Grid[#Data],$DD582,71),0)</f>
        <v/>
      </c>
      <c r="BV582">
        <f>IFERROR(INDEX(PP_Grid[#Data],$DD582,72),0)</f>
        <v/>
      </c>
      <c r="BW582">
        <f>IFERROR(INDEX(PP_Grid[#Data],$DD582,73),0)</f>
        <v/>
      </c>
      <c r="BX582">
        <f>IFERROR(INDEX(PP_Grid[#Data],$DD582,74),0)</f>
        <v/>
      </c>
      <c r="BY582">
        <f>IFERROR(INDEX(PP_Grid[#Data],$DD582,75),0)</f>
        <v/>
      </c>
      <c r="BZ582">
        <f>IFERROR(INDEX(PP_Grid[#Data],$DD582,76),0)</f>
        <v/>
      </c>
      <c r="CA582">
        <f>IFERROR(INDEX(PP_Grid[#Data],$DD582,77),0)</f>
        <v/>
      </c>
      <c r="CB582">
        <f>IFERROR(INDEX(PP_Grid[#Data],$DD582,78),0)</f>
        <v/>
      </c>
      <c r="CC582">
        <f>IFERROR(INDEX(PP_Grid[#Data],$DD582,79),0)</f>
        <v/>
      </c>
      <c r="CD582">
        <f>IFERROR(INDEX(PP_Grid[#Data],$DD582,80),0)</f>
        <v/>
      </c>
      <c r="CE582">
        <f>IFERROR(INDEX(PP_Grid[#Data],$DD582,81),0)</f>
        <v/>
      </c>
      <c r="CF582">
        <f>IFERROR(INDEX(PP_Grid[#Data],$DD582,82),0)</f>
        <v/>
      </c>
      <c r="CG582">
        <f>IFERROR(INDEX(PP_Grid[#Data],$DD582,83),0)</f>
        <v/>
      </c>
      <c r="CH582">
        <f>IFERROR(INDEX(PP_Grid[#Data],$DD582,84),0)</f>
        <v/>
      </c>
      <c r="CI582">
        <f>IFERROR(INDEX(PP_Grid[#Data],$DD582,85),0)</f>
        <v/>
      </c>
      <c r="CJ582">
        <f>IFERROR(INDEX(PP_Grid[#Data],$DD582,86),0)</f>
        <v/>
      </c>
      <c r="CK582">
        <f>IFERROR(INDEX(PP_Grid[#Data],$DD582,87),0)</f>
        <v/>
      </c>
      <c r="CL582">
        <f>IFERROR(INDEX(PP_Grid[#Data],$DD582,88),0)</f>
        <v/>
      </c>
      <c r="CM582">
        <f>IFERROR(INDEX(PP_Grid[#Data],$DD582,89),0)</f>
        <v/>
      </c>
      <c r="CN582">
        <f>IFERROR(INDEX(PP_Grid[#Data],$DD582,90),0)</f>
        <v/>
      </c>
      <c r="CO582">
        <f>IFERROR(INDEX(PP_Grid[#Data],$DD582,91),0)</f>
        <v/>
      </c>
      <c r="CP582">
        <f>IFERROR(INDEX(PP_Grid[#Data],$DD582,92),0)</f>
        <v/>
      </c>
      <c r="CQ582">
        <f>IFERROR(INDEX(PP_Grid[#Data],$DD582,93),0)</f>
        <v/>
      </c>
      <c r="CR582">
        <f>IFERROR(INDEX(PP_Grid[#Data],$DD582,94),0)</f>
        <v/>
      </c>
      <c r="CS582">
        <f>IFERROR(INDEX(PP_Grid[#Data],$DD582,95),0)</f>
        <v/>
      </c>
      <c r="CT582">
        <f>IFERROR(INDEX(PP_Grid[#Data],$DD582,96),0)</f>
        <v/>
      </c>
      <c r="CU582">
        <f>IFERROR(INDEX(PP_Grid[#Data],$DD582,97),0)</f>
        <v/>
      </c>
      <c r="CV582">
        <f>IFERROR(INDEX(PP_Grid[#Data],$DD582,98),0)</f>
        <v/>
      </c>
      <c r="CW582">
        <f>IFERROR(INDEX(PP_Grid[#Data],$DD582,99),0)</f>
        <v/>
      </c>
      <c r="CX582">
        <f>IFERROR(INDEX(PP_Grid[#Data],$DD582,100),0)</f>
        <v/>
      </c>
      <c r="CY582">
        <f>IFERROR(INDEX(PP_Grid[#Data],$DD582,101),0)</f>
        <v/>
      </c>
      <c r="CZ582">
        <f>IFERROR(INDEX(PP_Grid[#Data],$DD582,102),0)</f>
        <v/>
      </c>
      <c r="DA582">
        <f>IFERROR(INDEX(PP_Grid[#Data],$DD582,103),0)</f>
        <v/>
      </c>
      <c r="DB582">
        <f>IFERROR(INDEX(PP_Grid[#Data],$DD582,104),0)</f>
        <v/>
      </c>
      <c r="DC582">
        <f>IFERROR(INDEX(PP_Grid[#Data],$DD582,105),0)</f>
        <v/>
      </c>
      <c r="DD582" s="12">
        <f>IFERROR(MATCH($B582,PP_Grid[Intermediate],0),99999)</f>
        <v/>
      </c>
    </row>
    <row r="583">
      <c r="B583" t="inlineStr">
        <is>
          <t>使用量(kg)</t>
        </is>
      </c>
      <c r="C583">
        <f>SUMIFS(M_BOM[RM_Qty_Per_Batch],M_BOM[Intermediate],$B582,M_BOM[Part Name],$A581)</f>
        <v/>
      </c>
      <c r="D583">
        <f>$C583*D582</f>
        <v/>
      </c>
      <c r="E583">
        <f>$C583*E582</f>
        <v/>
      </c>
      <c r="F583">
        <f>$C583*F582</f>
        <v/>
      </c>
      <c r="G583">
        <f>$C583*G582</f>
        <v/>
      </c>
      <c r="H583">
        <f>$C583*H582</f>
        <v/>
      </c>
      <c r="I583">
        <f>$C583*I582</f>
        <v/>
      </c>
      <c r="J583">
        <f>$C583*J582</f>
        <v/>
      </c>
      <c r="K583">
        <f>$C583*K582</f>
        <v/>
      </c>
      <c r="L583">
        <f>$C583*L582</f>
        <v/>
      </c>
      <c r="M583">
        <f>$C583*M582</f>
        <v/>
      </c>
      <c r="N583">
        <f>$C583*N582</f>
        <v/>
      </c>
      <c r="O583">
        <f>$C583*O582</f>
        <v/>
      </c>
      <c r="P583">
        <f>$C583*P582</f>
        <v/>
      </c>
      <c r="Q583">
        <f>$C583*Q582</f>
        <v/>
      </c>
      <c r="R583">
        <f>$C583*R582</f>
        <v/>
      </c>
      <c r="S583">
        <f>$C583*S582</f>
        <v/>
      </c>
      <c r="T583">
        <f>$C583*T582</f>
        <v/>
      </c>
      <c r="U583">
        <f>$C583*U582</f>
        <v/>
      </c>
      <c r="V583">
        <f>$C583*V582</f>
        <v/>
      </c>
      <c r="W583">
        <f>$C583*W582</f>
        <v/>
      </c>
      <c r="X583">
        <f>$C583*X582</f>
        <v/>
      </c>
      <c r="Y583">
        <f>$C583*Y582</f>
        <v/>
      </c>
      <c r="Z583">
        <f>$C583*Z582</f>
        <v/>
      </c>
      <c r="AA583">
        <f>$C583*AA582</f>
        <v/>
      </c>
      <c r="AB583">
        <f>$C583*AB582</f>
        <v/>
      </c>
      <c r="AC583">
        <f>$C583*AC582</f>
        <v/>
      </c>
      <c r="AD583">
        <f>$C583*AD582</f>
        <v/>
      </c>
      <c r="AE583">
        <f>$C583*AE582</f>
        <v/>
      </c>
      <c r="AF583">
        <f>$C583*AF582</f>
        <v/>
      </c>
      <c r="AG583">
        <f>$C583*AG582</f>
        <v/>
      </c>
      <c r="AH583">
        <f>$C583*AH582</f>
        <v/>
      </c>
      <c r="AI583">
        <f>$C583*AI582</f>
        <v/>
      </c>
      <c r="AJ583">
        <f>$C583*AJ582</f>
        <v/>
      </c>
      <c r="AK583">
        <f>$C583*AK582</f>
        <v/>
      </c>
      <c r="AL583">
        <f>$C583*AL582</f>
        <v/>
      </c>
      <c r="AM583">
        <f>$C583*AM582</f>
        <v/>
      </c>
      <c r="AN583">
        <f>$C583*AN582</f>
        <v/>
      </c>
      <c r="AO583">
        <f>$C583*AO582</f>
        <v/>
      </c>
      <c r="AP583">
        <f>$C583*AP582</f>
        <v/>
      </c>
      <c r="AQ583">
        <f>$C583*AQ582</f>
        <v/>
      </c>
      <c r="AR583">
        <f>$C583*AR582</f>
        <v/>
      </c>
      <c r="AS583">
        <f>$C583*AS582</f>
        <v/>
      </c>
      <c r="AT583">
        <f>$C583*AT582</f>
        <v/>
      </c>
      <c r="AU583">
        <f>$C583*AU582</f>
        <v/>
      </c>
      <c r="AV583">
        <f>$C583*AV582</f>
        <v/>
      </c>
      <c r="AW583">
        <f>$C583*AW582</f>
        <v/>
      </c>
      <c r="AX583">
        <f>$C583*AX582</f>
        <v/>
      </c>
      <c r="AY583">
        <f>$C583*AY582</f>
        <v/>
      </c>
      <c r="AZ583">
        <f>$C583*AZ582</f>
        <v/>
      </c>
      <c r="BA583">
        <f>$C583*BA582</f>
        <v/>
      </c>
      <c r="BB583">
        <f>$C583*BB582</f>
        <v/>
      </c>
      <c r="BC583">
        <f>$C583*BC582</f>
        <v/>
      </c>
      <c r="BD583">
        <f>$C583*BD582</f>
        <v/>
      </c>
      <c r="BE583">
        <f>$C583*BE582</f>
        <v/>
      </c>
      <c r="BF583">
        <f>$C583*BF582</f>
        <v/>
      </c>
      <c r="BG583">
        <f>$C583*BG582</f>
        <v/>
      </c>
      <c r="BH583">
        <f>$C583*BH582</f>
        <v/>
      </c>
      <c r="BI583">
        <f>$C583*BI582</f>
        <v/>
      </c>
      <c r="BJ583">
        <f>$C583*BJ582</f>
        <v/>
      </c>
      <c r="BK583">
        <f>$C583*BK582</f>
        <v/>
      </c>
      <c r="BL583">
        <f>$C583*BL582</f>
        <v/>
      </c>
      <c r="BM583">
        <f>$C583*BM582</f>
        <v/>
      </c>
      <c r="BN583">
        <f>$C583*BN582</f>
        <v/>
      </c>
      <c r="BO583">
        <f>$C583*BO582</f>
        <v/>
      </c>
      <c r="BP583">
        <f>$C583*BP582</f>
        <v/>
      </c>
      <c r="BQ583">
        <f>$C583*BQ582</f>
        <v/>
      </c>
      <c r="BR583">
        <f>$C583*BR582</f>
        <v/>
      </c>
      <c r="BS583">
        <f>$C583*BS582</f>
        <v/>
      </c>
      <c r="BT583">
        <f>$C583*BT582</f>
        <v/>
      </c>
      <c r="BU583">
        <f>$C583*BU582</f>
        <v/>
      </c>
      <c r="BV583">
        <f>$C583*BV582</f>
        <v/>
      </c>
      <c r="BW583">
        <f>$C583*BW582</f>
        <v/>
      </c>
      <c r="BX583">
        <f>$C583*BX582</f>
        <v/>
      </c>
      <c r="BY583">
        <f>$C583*BY582</f>
        <v/>
      </c>
      <c r="BZ583">
        <f>$C583*BZ582</f>
        <v/>
      </c>
      <c r="CA583">
        <f>$C583*CA582</f>
        <v/>
      </c>
      <c r="CB583">
        <f>$C583*CB582</f>
        <v/>
      </c>
      <c r="CC583">
        <f>$C583*CC582</f>
        <v/>
      </c>
      <c r="CD583">
        <f>$C583*CD582</f>
        <v/>
      </c>
      <c r="CE583">
        <f>$C583*CE582</f>
        <v/>
      </c>
      <c r="CF583">
        <f>$C583*CF582</f>
        <v/>
      </c>
      <c r="CG583">
        <f>$C583*CG582</f>
        <v/>
      </c>
      <c r="CH583">
        <f>$C583*CH582</f>
        <v/>
      </c>
      <c r="CI583">
        <f>$C583*CI582</f>
        <v/>
      </c>
      <c r="CJ583">
        <f>$C583*CJ582</f>
        <v/>
      </c>
      <c r="CK583">
        <f>$C583*CK582</f>
        <v/>
      </c>
      <c r="CL583">
        <f>$C583*CL582</f>
        <v/>
      </c>
      <c r="CM583">
        <f>$C583*CM582</f>
        <v/>
      </c>
      <c r="CN583">
        <f>$C583*CN582</f>
        <v/>
      </c>
      <c r="CO583">
        <f>$C583*CO582</f>
        <v/>
      </c>
      <c r="CP583">
        <f>$C583*CP582</f>
        <v/>
      </c>
      <c r="CQ583">
        <f>$C583*CQ582</f>
        <v/>
      </c>
      <c r="CR583">
        <f>$C583*CR582</f>
        <v/>
      </c>
      <c r="CS583">
        <f>$C583*CS582</f>
        <v/>
      </c>
      <c r="CT583">
        <f>$C583*CT582</f>
        <v/>
      </c>
      <c r="CU583">
        <f>$C583*CU582</f>
        <v/>
      </c>
      <c r="CV583">
        <f>$C583*CV582</f>
        <v/>
      </c>
      <c r="CW583">
        <f>$C583*CW582</f>
        <v/>
      </c>
      <c r="CX583">
        <f>$C583*CX582</f>
        <v/>
      </c>
      <c r="CY583">
        <f>$C583*CY582</f>
        <v/>
      </c>
      <c r="CZ583">
        <f>$C583*CZ582</f>
        <v/>
      </c>
      <c r="DA583">
        <f>$C583*DA582</f>
        <v/>
      </c>
      <c r="DB583">
        <f>$C583*DB582</f>
        <v/>
      </c>
      <c r="DC583">
        <f>$C583*DC582</f>
        <v/>
      </c>
    </row>
    <row r="584">
      <c r="B584" t="inlineStr">
        <is>
          <t>TSP-067</t>
        </is>
      </c>
      <c r="C584" t="inlineStr">
        <is>
          <t>No. of batches</t>
        </is>
      </c>
      <c r="D584">
        <f>IFERROR(INDEX(PP_Grid[#Data],$DD584,2),0)</f>
        <v/>
      </c>
      <c r="E584">
        <f>IFERROR(INDEX(PP_Grid[#Data],$DD584,3),0)</f>
        <v/>
      </c>
      <c r="F584">
        <f>IFERROR(INDEX(PP_Grid[#Data],$DD584,4),0)</f>
        <v/>
      </c>
      <c r="G584">
        <f>IFERROR(INDEX(PP_Grid[#Data],$DD584,5),0)</f>
        <v/>
      </c>
      <c r="H584">
        <f>IFERROR(INDEX(PP_Grid[#Data],$DD584,6),0)</f>
        <v/>
      </c>
      <c r="I584">
        <f>IFERROR(INDEX(PP_Grid[#Data],$DD584,7),0)</f>
        <v/>
      </c>
      <c r="J584">
        <f>IFERROR(INDEX(PP_Grid[#Data],$DD584,8),0)</f>
        <v/>
      </c>
      <c r="K584">
        <f>IFERROR(INDEX(PP_Grid[#Data],$DD584,9),0)</f>
        <v/>
      </c>
      <c r="L584">
        <f>IFERROR(INDEX(PP_Grid[#Data],$DD584,10),0)</f>
        <v/>
      </c>
      <c r="M584">
        <f>IFERROR(INDEX(PP_Grid[#Data],$DD584,11),0)</f>
        <v/>
      </c>
      <c r="N584">
        <f>IFERROR(INDEX(PP_Grid[#Data],$DD584,12),0)</f>
        <v/>
      </c>
      <c r="O584">
        <f>IFERROR(INDEX(PP_Grid[#Data],$DD584,13),0)</f>
        <v/>
      </c>
      <c r="P584">
        <f>IFERROR(INDEX(PP_Grid[#Data],$DD584,14),0)</f>
        <v/>
      </c>
      <c r="Q584">
        <f>IFERROR(INDEX(PP_Grid[#Data],$DD584,15),0)</f>
        <v/>
      </c>
      <c r="R584">
        <f>IFERROR(INDEX(PP_Grid[#Data],$DD584,16),0)</f>
        <v/>
      </c>
      <c r="S584">
        <f>IFERROR(INDEX(PP_Grid[#Data],$DD584,17),0)</f>
        <v/>
      </c>
      <c r="T584">
        <f>IFERROR(INDEX(PP_Grid[#Data],$DD584,18),0)</f>
        <v/>
      </c>
      <c r="U584">
        <f>IFERROR(INDEX(PP_Grid[#Data],$DD584,19),0)</f>
        <v/>
      </c>
      <c r="V584">
        <f>IFERROR(INDEX(PP_Grid[#Data],$DD584,20),0)</f>
        <v/>
      </c>
      <c r="W584">
        <f>IFERROR(INDEX(PP_Grid[#Data],$DD584,21),0)</f>
        <v/>
      </c>
      <c r="X584">
        <f>IFERROR(INDEX(PP_Grid[#Data],$DD584,22),0)</f>
        <v/>
      </c>
      <c r="Y584">
        <f>IFERROR(INDEX(PP_Grid[#Data],$DD584,23),0)</f>
        <v/>
      </c>
      <c r="Z584">
        <f>IFERROR(INDEX(PP_Grid[#Data],$DD584,24),0)</f>
        <v/>
      </c>
      <c r="AA584">
        <f>IFERROR(INDEX(PP_Grid[#Data],$DD584,25),0)</f>
        <v/>
      </c>
      <c r="AB584">
        <f>IFERROR(INDEX(PP_Grid[#Data],$DD584,26),0)</f>
        <v/>
      </c>
      <c r="AC584">
        <f>IFERROR(INDEX(PP_Grid[#Data],$DD584,27),0)</f>
        <v/>
      </c>
      <c r="AD584">
        <f>IFERROR(INDEX(PP_Grid[#Data],$DD584,28),0)</f>
        <v/>
      </c>
      <c r="AE584">
        <f>IFERROR(INDEX(PP_Grid[#Data],$DD584,29),0)</f>
        <v/>
      </c>
      <c r="AF584">
        <f>IFERROR(INDEX(PP_Grid[#Data],$DD584,30),0)</f>
        <v/>
      </c>
      <c r="AG584">
        <f>IFERROR(INDEX(PP_Grid[#Data],$DD584,31),0)</f>
        <v/>
      </c>
      <c r="AH584">
        <f>IFERROR(INDEX(PP_Grid[#Data],$DD584,32),0)</f>
        <v/>
      </c>
      <c r="AI584">
        <f>IFERROR(INDEX(PP_Grid[#Data],$DD584,33),0)</f>
        <v/>
      </c>
      <c r="AJ584">
        <f>IFERROR(INDEX(PP_Grid[#Data],$DD584,34),0)</f>
        <v/>
      </c>
      <c r="AK584">
        <f>IFERROR(INDEX(PP_Grid[#Data],$DD584,35),0)</f>
        <v/>
      </c>
      <c r="AL584">
        <f>IFERROR(INDEX(PP_Grid[#Data],$DD584,36),0)</f>
        <v/>
      </c>
      <c r="AM584">
        <f>IFERROR(INDEX(PP_Grid[#Data],$DD584,37),0)</f>
        <v/>
      </c>
      <c r="AN584">
        <f>IFERROR(INDEX(PP_Grid[#Data],$DD584,38),0)</f>
        <v/>
      </c>
      <c r="AO584">
        <f>IFERROR(INDEX(PP_Grid[#Data],$DD584,39),0)</f>
        <v/>
      </c>
      <c r="AP584">
        <f>IFERROR(INDEX(PP_Grid[#Data],$DD584,40),0)</f>
        <v/>
      </c>
      <c r="AQ584">
        <f>IFERROR(INDEX(PP_Grid[#Data],$DD584,41),0)</f>
        <v/>
      </c>
      <c r="AR584">
        <f>IFERROR(INDEX(PP_Grid[#Data],$DD584,42),0)</f>
        <v/>
      </c>
      <c r="AS584">
        <f>IFERROR(INDEX(PP_Grid[#Data],$DD584,43),0)</f>
        <v/>
      </c>
      <c r="AT584">
        <f>IFERROR(INDEX(PP_Grid[#Data],$DD584,44),0)</f>
        <v/>
      </c>
      <c r="AU584">
        <f>IFERROR(INDEX(PP_Grid[#Data],$DD584,45),0)</f>
        <v/>
      </c>
      <c r="AV584">
        <f>IFERROR(INDEX(PP_Grid[#Data],$DD584,46),0)</f>
        <v/>
      </c>
      <c r="AW584">
        <f>IFERROR(INDEX(PP_Grid[#Data],$DD584,47),0)</f>
        <v/>
      </c>
      <c r="AX584">
        <f>IFERROR(INDEX(PP_Grid[#Data],$DD584,48),0)</f>
        <v/>
      </c>
      <c r="AY584">
        <f>IFERROR(INDEX(PP_Grid[#Data],$DD584,49),0)</f>
        <v/>
      </c>
      <c r="AZ584">
        <f>IFERROR(INDEX(PP_Grid[#Data],$DD584,50),0)</f>
        <v/>
      </c>
      <c r="BA584">
        <f>IFERROR(INDEX(PP_Grid[#Data],$DD584,51),0)</f>
        <v/>
      </c>
      <c r="BB584">
        <f>IFERROR(INDEX(PP_Grid[#Data],$DD584,52),0)</f>
        <v/>
      </c>
      <c r="BC584">
        <f>IFERROR(INDEX(PP_Grid[#Data],$DD584,53),0)</f>
        <v/>
      </c>
      <c r="BD584">
        <f>IFERROR(INDEX(PP_Grid[#Data],$DD584,54),0)</f>
        <v/>
      </c>
      <c r="BE584">
        <f>IFERROR(INDEX(PP_Grid[#Data],$DD584,55),0)</f>
        <v/>
      </c>
      <c r="BF584">
        <f>IFERROR(INDEX(PP_Grid[#Data],$DD584,56),0)</f>
        <v/>
      </c>
      <c r="BG584">
        <f>IFERROR(INDEX(PP_Grid[#Data],$DD584,57),0)</f>
        <v/>
      </c>
      <c r="BH584">
        <f>IFERROR(INDEX(PP_Grid[#Data],$DD584,58),0)</f>
        <v/>
      </c>
      <c r="BI584">
        <f>IFERROR(INDEX(PP_Grid[#Data],$DD584,59),0)</f>
        <v/>
      </c>
      <c r="BJ584">
        <f>IFERROR(INDEX(PP_Grid[#Data],$DD584,60),0)</f>
        <v/>
      </c>
      <c r="BK584">
        <f>IFERROR(INDEX(PP_Grid[#Data],$DD584,61),0)</f>
        <v/>
      </c>
      <c r="BL584">
        <f>IFERROR(INDEX(PP_Grid[#Data],$DD584,62),0)</f>
        <v/>
      </c>
      <c r="BM584">
        <f>IFERROR(INDEX(PP_Grid[#Data],$DD584,63),0)</f>
        <v/>
      </c>
      <c r="BN584">
        <f>IFERROR(INDEX(PP_Grid[#Data],$DD584,64),0)</f>
        <v/>
      </c>
      <c r="BO584">
        <f>IFERROR(INDEX(PP_Grid[#Data],$DD584,65),0)</f>
        <v/>
      </c>
      <c r="BP584">
        <f>IFERROR(INDEX(PP_Grid[#Data],$DD584,66),0)</f>
        <v/>
      </c>
      <c r="BQ584">
        <f>IFERROR(INDEX(PP_Grid[#Data],$DD584,67),0)</f>
        <v/>
      </c>
      <c r="BR584">
        <f>IFERROR(INDEX(PP_Grid[#Data],$DD584,68),0)</f>
        <v/>
      </c>
      <c r="BS584">
        <f>IFERROR(INDEX(PP_Grid[#Data],$DD584,69),0)</f>
        <v/>
      </c>
      <c r="BT584">
        <f>IFERROR(INDEX(PP_Grid[#Data],$DD584,70),0)</f>
        <v/>
      </c>
      <c r="BU584">
        <f>IFERROR(INDEX(PP_Grid[#Data],$DD584,71),0)</f>
        <v/>
      </c>
      <c r="BV584">
        <f>IFERROR(INDEX(PP_Grid[#Data],$DD584,72),0)</f>
        <v/>
      </c>
      <c r="BW584">
        <f>IFERROR(INDEX(PP_Grid[#Data],$DD584,73),0)</f>
        <v/>
      </c>
      <c r="BX584">
        <f>IFERROR(INDEX(PP_Grid[#Data],$DD584,74),0)</f>
        <v/>
      </c>
      <c r="BY584">
        <f>IFERROR(INDEX(PP_Grid[#Data],$DD584,75),0)</f>
        <v/>
      </c>
      <c r="BZ584">
        <f>IFERROR(INDEX(PP_Grid[#Data],$DD584,76),0)</f>
        <v/>
      </c>
      <c r="CA584">
        <f>IFERROR(INDEX(PP_Grid[#Data],$DD584,77),0)</f>
        <v/>
      </c>
      <c r="CB584">
        <f>IFERROR(INDEX(PP_Grid[#Data],$DD584,78),0)</f>
        <v/>
      </c>
      <c r="CC584">
        <f>IFERROR(INDEX(PP_Grid[#Data],$DD584,79),0)</f>
        <v/>
      </c>
      <c r="CD584">
        <f>IFERROR(INDEX(PP_Grid[#Data],$DD584,80),0)</f>
        <v/>
      </c>
      <c r="CE584">
        <f>IFERROR(INDEX(PP_Grid[#Data],$DD584,81),0)</f>
        <v/>
      </c>
      <c r="CF584">
        <f>IFERROR(INDEX(PP_Grid[#Data],$DD584,82),0)</f>
        <v/>
      </c>
      <c r="CG584">
        <f>IFERROR(INDEX(PP_Grid[#Data],$DD584,83),0)</f>
        <v/>
      </c>
      <c r="CH584">
        <f>IFERROR(INDEX(PP_Grid[#Data],$DD584,84),0)</f>
        <v/>
      </c>
      <c r="CI584">
        <f>IFERROR(INDEX(PP_Grid[#Data],$DD584,85),0)</f>
        <v/>
      </c>
      <c r="CJ584">
        <f>IFERROR(INDEX(PP_Grid[#Data],$DD584,86),0)</f>
        <v/>
      </c>
      <c r="CK584">
        <f>IFERROR(INDEX(PP_Grid[#Data],$DD584,87),0)</f>
        <v/>
      </c>
      <c r="CL584">
        <f>IFERROR(INDEX(PP_Grid[#Data],$DD584,88),0)</f>
        <v/>
      </c>
      <c r="CM584">
        <f>IFERROR(INDEX(PP_Grid[#Data],$DD584,89),0)</f>
        <v/>
      </c>
      <c r="CN584">
        <f>IFERROR(INDEX(PP_Grid[#Data],$DD584,90),0)</f>
        <v/>
      </c>
      <c r="CO584">
        <f>IFERROR(INDEX(PP_Grid[#Data],$DD584,91),0)</f>
        <v/>
      </c>
      <c r="CP584">
        <f>IFERROR(INDEX(PP_Grid[#Data],$DD584,92),0)</f>
        <v/>
      </c>
      <c r="CQ584">
        <f>IFERROR(INDEX(PP_Grid[#Data],$DD584,93),0)</f>
        <v/>
      </c>
      <c r="CR584">
        <f>IFERROR(INDEX(PP_Grid[#Data],$DD584,94),0)</f>
        <v/>
      </c>
      <c r="CS584">
        <f>IFERROR(INDEX(PP_Grid[#Data],$DD584,95),0)</f>
        <v/>
      </c>
      <c r="CT584">
        <f>IFERROR(INDEX(PP_Grid[#Data],$DD584,96),0)</f>
        <v/>
      </c>
      <c r="CU584">
        <f>IFERROR(INDEX(PP_Grid[#Data],$DD584,97),0)</f>
        <v/>
      </c>
      <c r="CV584">
        <f>IFERROR(INDEX(PP_Grid[#Data],$DD584,98),0)</f>
        <v/>
      </c>
      <c r="CW584">
        <f>IFERROR(INDEX(PP_Grid[#Data],$DD584,99),0)</f>
        <v/>
      </c>
      <c r="CX584">
        <f>IFERROR(INDEX(PP_Grid[#Data],$DD584,100),0)</f>
        <v/>
      </c>
      <c r="CY584">
        <f>IFERROR(INDEX(PP_Grid[#Data],$DD584,101),0)</f>
        <v/>
      </c>
      <c r="CZ584">
        <f>IFERROR(INDEX(PP_Grid[#Data],$DD584,102),0)</f>
        <v/>
      </c>
      <c r="DA584">
        <f>IFERROR(INDEX(PP_Grid[#Data],$DD584,103),0)</f>
        <v/>
      </c>
      <c r="DB584">
        <f>IFERROR(INDEX(PP_Grid[#Data],$DD584,104),0)</f>
        <v/>
      </c>
      <c r="DC584">
        <f>IFERROR(INDEX(PP_Grid[#Data],$DD584,105),0)</f>
        <v/>
      </c>
      <c r="DD584" s="12">
        <f>IFERROR(MATCH($B584,PP_Grid[Intermediate],0),99999)</f>
        <v/>
      </c>
    </row>
    <row r="585">
      <c r="B585" t="inlineStr">
        <is>
          <t>使用量(kg)</t>
        </is>
      </c>
      <c r="C585">
        <f>SUMIFS(M_BOM[RM_Qty_Per_Batch],M_BOM[Intermediate],$B584,M_BOM[Part Name],$A581)</f>
        <v/>
      </c>
      <c r="D585">
        <f>$C585*D584</f>
        <v/>
      </c>
      <c r="E585">
        <f>$C585*E584</f>
        <v/>
      </c>
      <c r="F585">
        <f>$C585*F584</f>
        <v/>
      </c>
      <c r="G585">
        <f>$C585*G584</f>
        <v/>
      </c>
      <c r="H585">
        <f>$C585*H584</f>
        <v/>
      </c>
      <c r="I585">
        <f>$C585*I584</f>
        <v/>
      </c>
      <c r="J585">
        <f>$C585*J584</f>
        <v/>
      </c>
      <c r="K585">
        <f>$C585*K584</f>
        <v/>
      </c>
      <c r="L585">
        <f>$C585*L584</f>
        <v/>
      </c>
      <c r="M585">
        <f>$C585*M584</f>
        <v/>
      </c>
      <c r="N585">
        <f>$C585*N584</f>
        <v/>
      </c>
      <c r="O585">
        <f>$C585*O584</f>
        <v/>
      </c>
      <c r="P585">
        <f>$C585*P584</f>
        <v/>
      </c>
      <c r="Q585">
        <f>$C585*Q584</f>
        <v/>
      </c>
      <c r="R585">
        <f>$C585*R584</f>
        <v/>
      </c>
      <c r="S585">
        <f>$C585*S584</f>
        <v/>
      </c>
      <c r="T585">
        <f>$C585*T584</f>
        <v/>
      </c>
      <c r="U585">
        <f>$C585*U584</f>
        <v/>
      </c>
      <c r="V585">
        <f>$C585*V584</f>
        <v/>
      </c>
      <c r="W585">
        <f>$C585*W584</f>
        <v/>
      </c>
      <c r="X585">
        <f>$C585*X584</f>
        <v/>
      </c>
      <c r="Y585">
        <f>$C585*Y584</f>
        <v/>
      </c>
      <c r="Z585">
        <f>$C585*Z584</f>
        <v/>
      </c>
      <c r="AA585">
        <f>$C585*AA584</f>
        <v/>
      </c>
      <c r="AB585">
        <f>$C585*AB584</f>
        <v/>
      </c>
      <c r="AC585">
        <f>$C585*AC584</f>
        <v/>
      </c>
      <c r="AD585">
        <f>$C585*AD584</f>
        <v/>
      </c>
      <c r="AE585">
        <f>$C585*AE584</f>
        <v/>
      </c>
      <c r="AF585">
        <f>$C585*AF584</f>
        <v/>
      </c>
      <c r="AG585">
        <f>$C585*AG584</f>
        <v/>
      </c>
      <c r="AH585">
        <f>$C585*AH584</f>
        <v/>
      </c>
      <c r="AI585">
        <f>$C585*AI584</f>
        <v/>
      </c>
      <c r="AJ585">
        <f>$C585*AJ584</f>
        <v/>
      </c>
      <c r="AK585">
        <f>$C585*AK584</f>
        <v/>
      </c>
      <c r="AL585">
        <f>$C585*AL584</f>
        <v/>
      </c>
      <c r="AM585">
        <f>$C585*AM584</f>
        <v/>
      </c>
      <c r="AN585">
        <f>$C585*AN584</f>
        <v/>
      </c>
      <c r="AO585">
        <f>$C585*AO584</f>
        <v/>
      </c>
      <c r="AP585">
        <f>$C585*AP584</f>
        <v/>
      </c>
      <c r="AQ585">
        <f>$C585*AQ584</f>
        <v/>
      </c>
      <c r="AR585">
        <f>$C585*AR584</f>
        <v/>
      </c>
      <c r="AS585">
        <f>$C585*AS584</f>
        <v/>
      </c>
      <c r="AT585">
        <f>$C585*AT584</f>
        <v/>
      </c>
      <c r="AU585">
        <f>$C585*AU584</f>
        <v/>
      </c>
      <c r="AV585">
        <f>$C585*AV584</f>
        <v/>
      </c>
      <c r="AW585">
        <f>$C585*AW584</f>
        <v/>
      </c>
      <c r="AX585">
        <f>$C585*AX584</f>
        <v/>
      </c>
      <c r="AY585">
        <f>$C585*AY584</f>
        <v/>
      </c>
      <c r="AZ585">
        <f>$C585*AZ584</f>
        <v/>
      </c>
      <c r="BA585">
        <f>$C585*BA584</f>
        <v/>
      </c>
      <c r="BB585">
        <f>$C585*BB584</f>
        <v/>
      </c>
      <c r="BC585">
        <f>$C585*BC584</f>
        <v/>
      </c>
      <c r="BD585">
        <f>$C585*BD584</f>
        <v/>
      </c>
      <c r="BE585">
        <f>$C585*BE584</f>
        <v/>
      </c>
      <c r="BF585">
        <f>$C585*BF584</f>
        <v/>
      </c>
      <c r="BG585">
        <f>$C585*BG584</f>
        <v/>
      </c>
      <c r="BH585">
        <f>$C585*BH584</f>
        <v/>
      </c>
      <c r="BI585">
        <f>$C585*BI584</f>
        <v/>
      </c>
      <c r="BJ585">
        <f>$C585*BJ584</f>
        <v/>
      </c>
      <c r="BK585">
        <f>$C585*BK584</f>
        <v/>
      </c>
      <c r="BL585">
        <f>$C585*BL584</f>
        <v/>
      </c>
      <c r="BM585">
        <f>$C585*BM584</f>
        <v/>
      </c>
      <c r="BN585">
        <f>$C585*BN584</f>
        <v/>
      </c>
      <c r="BO585">
        <f>$C585*BO584</f>
        <v/>
      </c>
      <c r="BP585">
        <f>$C585*BP584</f>
        <v/>
      </c>
      <c r="BQ585">
        <f>$C585*BQ584</f>
        <v/>
      </c>
      <c r="BR585">
        <f>$C585*BR584</f>
        <v/>
      </c>
      <c r="BS585">
        <f>$C585*BS584</f>
        <v/>
      </c>
      <c r="BT585">
        <f>$C585*BT584</f>
        <v/>
      </c>
      <c r="BU585">
        <f>$C585*BU584</f>
        <v/>
      </c>
      <c r="BV585">
        <f>$C585*BV584</f>
        <v/>
      </c>
      <c r="BW585">
        <f>$C585*BW584</f>
        <v/>
      </c>
      <c r="BX585">
        <f>$C585*BX584</f>
        <v/>
      </c>
      <c r="BY585">
        <f>$C585*BY584</f>
        <v/>
      </c>
      <c r="BZ585">
        <f>$C585*BZ584</f>
        <v/>
      </c>
      <c r="CA585">
        <f>$C585*CA584</f>
        <v/>
      </c>
      <c r="CB585">
        <f>$C585*CB584</f>
        <v/>
      </c>
      <c r="CC585">
        <f>$C585*CC584</f>
        <v/>
      </c>
      <c r="CD585">
        <f>$C585*CD584</f>
        <v/>
      </c>
      <c r="CE585">
        <f>$C585*CE584</f>
        <v/>
      </c>
      <c r="CF585">
        <f>$C585*CF584</f>
        <v/>
      </c>
      <c r="CG585">
        <f>$C585*CG584</f>
        <v/>
      </c>
      <c r="CH585">
        <f>$C585*CH584</f>
        <v/>
      </c>
      <c r="CI585">
        <f>$C585*CI584</f>
        <v/>
      </c>
      <c r="CJ585">
        <f>$C585*CJ584</f>
        <v/>
      </c>
      <c r="CK585">
        <f>$C585*CK584</f>
        <v/>
      </c>
      <c r="CL585">
        <f>$C585*CL584</f>
        <v/>
      </c>
      <c r="CM585">
        <f>$C585*CM584</f>
        <v/>
      </c>
      <c r="CN585">
        <f>$C585*CN584</f>
        <v/>
      </c>
      <c r="CO585">
        <f>$C585*CO584</f>
        <v/>
      </c>
      <c r="CP585">
        <f>$C585*CP584</f>
        <v/>
      </c>
      <c r="CQ585">
        <f>$C585*CQ584</f>
        <v/>
      </c>
      <c r="CR585">
        <f>$C585*CR584</f>
        <v/>
      </c>
      <c r="CS585">
        <f>$C585*CS584</f>
        <v/>
      </c>
      <c r="CT585">
        <f>$C585*CT584</f>
        <v/>
      </c>
      <c r="CU585">
        <f>$C585*CU584</f>
        <v/>
      </c>
      <c r="CV585">
        <f>$C585*CV584</f>
        <v/>
      </c>
      <c r="CW585">
        <f>$C585*CW584</f>
        <v/>
      </c>
      <c r="CX585">
        <f>$C585*CX584</f>
        <v/>
      </c>
      <c r="CY585">
        <f>$C585*CY584</f>
        <v/>
      </c>
      <c r="CZ585">
        <f>$C585*CZ584</f>
        <v/>
      </c>
      <c r="DA585">
        <f>$C585*DA584</f>
        <v/>
      </c>
      <c r="DB585">
        <f>$C585*DB584</f>
        <v/>
      </c>
      <c r="DC585">
        <f>$C585*DC584</f>
        <v/>
      </c>
    </row>
    <row r="586">
      <c r="B586" t="inlineStr">
        <is>
          <t>TSP-069</t>
        </is>
      </c>
      <c r="C586" t="inlineStr">
        <is>
          <t>No. of batches</t>
        </is>
      </c>
      <c r="D586">
        <f>IFERROR(INDEX(PP_Grid[#Data],$DD586,2),0)</f>
        <v/>
      </c>
      <c r="E586">
        <f>IFERROR(INDEX(PP_Grid[#Data],$DD586,3),0)</f>
        <v/>
      </c>
      <c r="F586">
        <f>IFERROR(INDEX(PP_Grid[#Data],$DD586,4),0)</f>
        <v/>
      </c>
      <c r="G586">
        <f>IFERROR(INDEX(PP_Grid[#Data],$DD586,5),0)</f>
        <v/>
      </c>
      <c r="H586">
        <f>IFERROR(INDEX(PP_Grid[#Data],$DD586,6),0)</f>
        <v/>
      </c>
      <c r="I586">
        <f>IFERROR(INDEX(PP_Grid[#Data],$DD586,7),0)</f>
        <v/>
      </c>
      <c r="J586">
        <f>IFERROR(INDEX(PP_Grid[#Data],$DD586,8),0)</f>
        <v/>
      </c>
      <c r="K586">
        <f>IFERROR(INDEX(PP_Grid[#Data],$DD586,9),0)</f>
        <v/>
      </c>
      <c r="L586">
        <f>IFERROR(INDEX(PP_Grid[#Data],$DD586,10),0)</f>
        <v/>
      </c>
      <c r="M586">
        <f>IFERROR(INDEX(PP_Grid[#Data],$DD586,11),0)</f>
        <v/>
      </c>
      <c r="N586">
        <f>IFERROR(INDEX(PP_Grid[#Data],$DD586,12),0)</f>
        <v/>
      </c>
      <c r="O586">
        <f>IFERROR(INDEX(PP_Grid[#Data],$DD586,13),0)</f>
        <v/>
      </c>
      <c r="P586">
        <f>IFERROR(INDEX(PP_Grid[#Data],$DD586,14),0)</f>
        <v/>
      </c>
      <c r="Q586">
        <f>IFERROR(INDEX(PP_Grid[#Data],$DD586,15),0)</f>
        <v/>
      </c>
      <c r="R586">
        <f>IFERROR(INDEX(PP_Grid[#Data],$DD586,16),0)</f>
        <v/>
      </c>
      <c r="S586">
        <f>IFERROR(INDEX(PP_Grid[#Data],$DD586,17),0)</f>
        <v/>
      </c>
      <c r="T586">
        <f>IFERROR(INDEX(PP_Grid[#Data],$DD586,18),0)</f>
        <v/>
      </c>
      <c r="U586">
        <f>IFERROR(INDEX(PP_Grid[#Data],$DD586,19),0)</f>
        <v/>
      </c>
      <c r="V586">
        <f>IFERROR(INDEX(PP_Grid[#Data],$DD586,20),0)</f>
        <v/>
      </c>
      <c r="W586">
        <f>IFERROR(INDEX(PP_Grid[#Data],$DD586,21),0)</f>
        <v/>
      </c>
      <c r="X586">
        <f>IFERROR(INDEX(PP_Grid[#Data],$DD586,22),0)</f>
        <v/>
      </c>
      <c r="Y586">
        <f>IFERROR(INDEX(PP_Grid[#Data],$DD586,23),0)</f>
        <v/>
      </c>
      <c r="Z586">
        <f>IFERROR(INDEX(PP_Grid[#Data],$DD586,24),0)</f>
        <v/>
      </c>
      <c r="AA586">
        <f>IFERROR(INDEX(PP_Grid[#Data],$DD586,25),0)</f>
        <v/>
      </c>
      <c r="AB586">
        <f>IFERROR(INDEX(PP_Grid[#Data],$DD586,26),0)</f>
        <v/>
      </c>
      <c r="AC586">
        <f>IFERROR(INDEX(PP_Grid[#Data],$DD586,27),0)</f>
        <v/>
      </c>
      <c r="AD586">
        <f>IFERROR(INDEX(PP_Grid[#Data],$DD586,28),0)</f>
        <v/>
      </c>
      <c r="AE586">
        <f>IFERROR(INDEX(PP_Grid[#Data],$DD586,29),0)</f>
        <v/>
      </c>
      <c r="AF586">
        <f>IFERROR(INDEX(PP_Grid[#Data],$DD586,30),0)</f>
        <v/>
      </c>
      <c r="AG586">
        <f>IFERROR(INDEX(PP_Grid[#Data],$DD586,31),0)</f>
        <v/>
      </c>
      <c r="AH586">
        <f>IFERROR(INDEX(PP_Grid[#Data],$DD586,32),0)</f>
        <v/>
      </c>
      <c r="AI586">
        <f>IFERROR(INDEX(PP_Grid[#Data],$DD586,33),0)</f>
        <v/>
      </c>
      <c r="AJ586">
        <f>IFERROR(INDEX(PP_Grid[#Data],$DD586,34),0)</f>
        <v/>
      </c>
      <c r="AK586">
        <f>IFERROR(INDEX(PP_Grid[#Data],$DD586,35),0)</f>
        <v/>
      </c>
      <c r="AL586">
        <f>IFERROR(INDEX(PP_Grid[#Data],$DD586,36),0)</f>
        <v/>
      </c>
      <c r="AM586">
        <f>IFERROR(INDEX(PP_Grid[#Data],$DD586,37),0)</f>
        <v/>
      </c>
      <c r="AN586">
        <f>IFERROR(INDEX(PP_Grid[#Data],$DD586,38),0)</f>
        <v/>
      </c>
      <c r="AO586">
        <f>IFERROR(INDEX(PP_Grid[#Data],$DD586,39),0)</f>
        <v/>
      </c>
      <c r="AP586">
        <f>IFERROR(INDEX(PP_Grid[#Data],$DD586,40),0)</f>
        <v/>
      </c>
      <c r="AQ586">
        <f>IFERROR(INDEX(PP_Grid[#Data],$DD586,41),0)</f>
        <v/>
      </c>
      <c r="AR586">
        <f>IFERROR(INDEX(PP_Grid[#Data],$DD586,42),0)</f>
        <v/>
      </c>
      <c r="AS586">
        <f>IFERROR(INDEX(PP_Grid[#Data],$DD586,43),0)</f>
        <v/>
      </c>
      <c r="AT586">
        <f>IFERROR(INDEX(PP_Grid[#Data],$DD586,44),0)</f>
        <v/>
      </c>
      <c r="AU586">
        <f>IFERROR(INDEX(PP_Grid[#Data],$DD586,45),0)</f>
        <v/>
      </c>
      <c r="AV586">
        <f>IFERROR(INDEX(PP_Grid[#Data],$DD586,46),0)</f>
        <v/>
      </c>
      <c r="AW586">
        <f>IFERROR(INDEX(PP_Grid[#Data],$DD586,47),0)</f>
        <v/>
      </c>
      <c r="AX586">
        <f>IFERROR(INDEX(PP_Grid[#Data],$DD586,48),0)</f>
        <v/>
      </c>
      <c r="AY586">
        <f>IFERROR(INDEX(PP_Grid[#Data],$DD586,49),0)</f>
        <v/>
      </c>
      <c r="AZ586">
        <f>IFERROR(INDEX(PP_Grid[#Data],$DD586,50),0)</f>
        <v/>
      </c>
      <c r="BA586">
        <f>IFERROR(INDEX(PP_Grid[#Data],$DD586,51),0)</f>
        <v/>
      </c>
      <c r="BB586">
        <f>IFERROR(INDEX(PP_Grid[#Data],$DD586,52),0)</f>
        <v/>
      </c>
      <c r="BC586">
        <f>IFERROR(INDEX(PP_Grid[#Data],$DD586,53),0)</f>
        <v/>
      </c>
      <c r="BD586">
        <f>IFERROR(INDEX(PP_Grid[#Data],$DD586,54),0)</f>
        <v/>
      </c>
      <c r="BE586">
        <f>IFERROR(INDEX(PP_Grid[#Data],$DD586,55),0)</f>
        <v/>
      </c>
      <c r="BF586">
        <f>IFERROR(INDEX(PP_Grid[#Data],$DD586,56),0)</f>
        <v/>
      </c>
      <c r="BG586">
        <f>IFERROR(INDEX(PP_Grid[#Data],$DD586,57),0)</f>
        <v/>
      </c>
      <c r="BH586">
        <f>IFERROR(INDEX(PP_Grid[#Data],$DD586,58),0)</f>
        <v/>
      </c>
      <c r="BI586">
        <f>IFERROR(INDEX(PP_Grid[#Data],$DD586,59),0)</f>
        <v/>
      </c>
      <c r="BJ586">
        <f>IFERROR(INDEX(PP_Grid[#Data],$DD586,60),0)</f>
        <v/>
      </c>
      <c r="BK586">
        <f>IFERROR(INDEX(PP_Grid[#Data],$DD586,61),0)</f>
        <v/>
      </c>
      <c r="BL586">
        <f>IFERROR(INDEX(PP_Grid[#Data],$DD586,62),0)</f>
        <v/>
      </c>
      <c r="BM586">
        <f>IFERROR(INDEX(PP_Grid[#Data],$DD586,63),0)</f>
        <v/>
      </c>
      <c r="BN586">
        <f>IFERROR(INDEX(PP_Grid[#Data],$DD586,64),0)</f>
        <v/>
      </c>
      <c r="BO586">
        <f>IFERROR(INDEX(PP_Grid[#Data],$DD586,65),0)</f>
        <v/>
      </c>
      <c r="BP586">
        <f>IFERROR(INDEX(PP_Grid[#Data],$DD586,66),0)</f>
        <v/>
      </c>
      <c r="BQ586">
        <f>IFERROR(INDEX(PP_Grid[#Data],$DD586,67),0)</f>
        <v/>
      </c>
      <c r="BR586">
        <f>IFERROR(INDEX(PP_Grid[#Data],$DD586,68),0)</f>
        <v/>
      </c>
      <c r="BS586">
        <f>IFERROR(INDEX(PP_Grid[#Data],$DD586,69),0)</f>
        <v/>
      </c>
      <c r="BT586">
        <f>IFERROR(INDEX(PP_Grid[#Data],$DD586,70),0)</f>
        <v/>
      </c>
      <c r="BU586">
        <f>IFERROR(INDEX(PP_Grid[#Data],$DD586,71),0)</f>
        <v/>
      </c>
      <c r="BV586">
        <f>IFERROR(INDEX(PP_Grid[#Data],$DD586,72),0)</f>
        <v/>
      </c>
      <c r="BW586">
        <f>IFERROR(INDEX(PP_Grid[#Data],$DD586,73),0)</f>
        <v/>
      </c>
      <c r="BX586">
        <f>IFERROR(INDEX(PP_Grid[#Data],$DD586,74),0)</f>
        <v/>
      </c>
      <c r="BY586">
        <f>IFERROR(INDEX(PP_Grid[#Data],$DD586,75),0)</f>
        <v/>
      </c>
      <c r="BZ586">
        <f>IFERROR(INDEX(PP_Grid[#Data],$DD586,76),0)</f>
        <v/>
      </c>
      <c r="CA586">
        <f>IFERROR(INDEX(PP_Grid[#Data],$DD586,77),0)</f>
        <v/>
      </c>
      <c r="CB586">
        <f>IFERROR(INDEX(PP_Grid[#Data],$DD586,78),0)</f>
        <v/>
      </c>
      <c r="CC586">
        <f>IFERROR(INDEX(PP_Grid[#Data],$DD586,79),0)</f>
        <v/>
      </c>
      <c r="CD586">
        <f>IFERROR(INDEX(PP_Grid[#Data],$DD586,80),0)</f>
        <v/>
      </c>
      <c r="CE586">
        <f>IFERROR(INDEX(PP_Grid[#Data],$DD586,81),0)</f>
        <v/>
      </c>
      <c r="CF586">
        <f>IFERROR(INDEX(PP_Grid[#Data],$DD586,82),0)</f>
        <v/>
      </c>
      <c r="CG586">
        <f>IFERROR(INDEX(PP_Grid[#Data],$DD586,83),0)</f>
        <v/>
      </c>
      <c r="CH586">
        <f>IFERROR(INDEX(PP_Grid[#Data],$DD586,84),0)</f>
        <v/>
      </c>
      <c r="CI586">
        <f>IFERROR(INDEX(PP_Grid[#Data],$DD586,85),0)</f>
        <v/>
      </c>
      <c r="CJ586">
        <f>IFERROR(INDEX(PP_Grid[#Data],$DD586,86),0)</f>
        <v/>
      </c>
      <c r="CK586">
        <f>IFERROR(INDEX(PP_Grid[#Data],$DD586,87),0)</f>
        <v/>
      </c>
      <c r="CL586">
        <f>IFERROR(INDEX(PP_Grid[#Data],$DD586,88),0)</f>
        <v/>
      </c>
      <c r="CM586">
        <f>IFERROR(INDEX(PP_Grid[#Data],$DD586,89),0)</f>
        <v/>
      </c>
      <c r="CN586">
        <f>IFERROR(INDEX(PP_Grid[#Data],$DD586,90),0)</f>
        <v/>
      </c>
      <c r="CO586">
        <f>IFERROR(INDEX(PP_Grid[#Data],$DD586,91),0)</f>
        <v/>
      </c>
      <c r="CP586">
        <f>IFERROR(INDEX(PP_Grid[#Data],$DD586,92),0)</f>
        <v/>
      </c>
      <c r="CQ586">
        <f>IFERROR(INDEX(PP_Grid[#Data],$DD586,93),0)</f>
        <v/>
      </c>
      <c r="CR586">
        <f>IFERROR(INDEX(PP_Grid[#Data],$DD586,94),0)</f>
        <v/>
      </c>
      <c r="CS586">
        <f>IFERROR(INDEX(PP_Grid[#Data],$DD586,95),0)</f>
        <v/>
      </c>
      <c r="CT586">
        <f>IFERROR(INDEX(PP_Grid[#Data],$DD586,96),0)</f>
        <v/>
      </c>
      <c r="CU586">
        <f>IFERROR(INDEX(PP_Grid[#Data],$DD586,97),0)</f>
        <v/>
      </c>
      <c r="CV586">
        <f>IFERROR(INDEX(PP_Grid[#Data],$DD586,98),0)</f>
        <v/>
      </c>
      <c r="CW586">
        <f>IFERROR(INDEX(PP_Grid[#Data],$DD586,99),0)</f>
        <v/>
      </c>
      <c r="CX586">
        <f>IFERROR(INDEX(PP_Grid[#Data],$DD586,100),0)</f>
        <v/>
      </c>
      <c r="CY586">
        <f>IFERROR(INDEX(PP_Grid[#Data],$DD586,101),0)</f>
        <v/>
      </c>
      <c r="CZ586">
        <f>IFERROR(INDEX(PP_Grid[#Data],$DD586,102),0)</f>
        <v/>
      </c>
      <c r="DA586">
        <f>IFERROR(INDEX(PP_Grid[#Data],$DD586,103),0)</f>
        <v/>
      </c>
      <c r="DB586">
        <f>IFERROR(INDEX(PP_Grid[#Data],$DD586,104),0)</f>
        <v/>
      </c>
      <c r="DC586">
        <f>IFERROR(INDEX(PP_Grid[#Data],$DD586,105),0)</f>
        <v/>
      </c>
      <c r="DD586" s="12">
        <f>IFERROR(MATCH($B586,PP_Grid[Intermediate],0),99999)</f>
        <v/>
      </c>
    </row>
    <row r="587">
      <c r="B587" t="inlineStr">
        <is>
          <t>使用量(kg)</t>
        </is>
      </c>
      <c r="C587">
        <f>SUMIFS(M_BOM[RM_Qty_Per_Batch],M_BOM[Intermediate],$B586,M_BOM[Part Name],$A581)</f>
        <v/>
      </c>
      <c r="D587">
        <f>$C587*D586</f>
        <v/>
      </c>
      <c r="E587">
        <f>$C587*E586</f>
        <v/>
      </c>
      <c r="F587">
        <f>$C587*F586</f>
        <v/>
      </c>
      <c r="G587">
        <f>$C587*G586</f>
        <v/>
      </c>
      <c r="H587">
        <f>$C587*H586</f>
        <v/>
      </c>
      <c r="I587">
        <f>$C587*I586</f>
        <v/>
      </c>
      <c r="J587">
        <f>$C587*J586</f>
        <v/>
      </c>
      <c r="K587">
        <f>$C587*K586</f>
        <v/>
      </c>
      <c r="L587">
        <f>$C587*L586</f>
        <v/>
      </c>
      <c r="M587">
        <f>$C587*M586</f>
        <v/>
      </c>
      <c r="N587">
        <f>$C587*N586</f>
        <v/>
      </c>
      <c r="O587">
        <f>$C587*O586</f>
        <v/>
      </c>
      <c r="P587">
        <f>$C587*P586</f>
        <v/>
      </c>
      <c r="Q587">
        <f>$C587*Q586</f>
        <v/>
      </c>
      <c r="R587">
        <f>$C587*R586</f>
        <v/>
      </c>
      <c r="S587">
        <f>$C587*S586</f>
        <v/>
      </c>
      <c r="T587">
        <f>$C587*T586</f>
        <v/>
      </c>
      <c r="U587">
        <f>$C587*U586</f>
        <v/>
      </c>
      <c r="V587">
        <f>$C587*V586</f>
        <v/>
      </c>
      <c r="W587">
        <f>$C587*W586</f>
        <v/>
      </c>
      <c r="X587">
        <f>$C587*X586</f>
        <v/>
      </c>
      <c r="Y587">
        <f>$C587*Y586</f>
        <v/>
      </c>
      <c r="Z587">
        <f>$C587*Z586</f>
        <v/>
      </c>
      <c r="AA587">
        <f>$C587*AA586</f>
        <v/>
      </c>
      <c r="AB587">
        <f>$C587*AB586</f>
        <v/>
      </c>
      <c r="AC587">
        <f>$C587*AC586</f>
        <v/>
      </c>
      <c r="AD587">
        <f>$C587*AD586</f>
        <v/>
      </c>
      <c r="AE587">
        <f>$C587*AE586</f>
        <v/>
      </c>
      <c r="AF587">
        <f>$C587*AF586</f>
        <v/>
      </c>
      <c r="AG587">
        <f>$C587*AG586</f>
        <v/>
      </c>
      <c r="AH587">
        <f>$C587*AH586</f>
        <v/>
      </c>
      <c r="AI587">
        <f>$C587*AI586</f>
        <v/>
      </c>
      <c r="AJ587">
        <f>$C587*AJ586</f>
        <v/>
      </c>
      <c r="AK587">
        <f>$C587*AK586</f>
        <v/>
      </c>
      <c r="AL587">
        <f>$C587*AL586</f>
        <v/>
      </c>
      <c r="AM587">
        <f>$C587*AM586</f>
        <v/>
      </c>
      <c r="AN587">
        <f>$C587*AN586</f>
        <v/>
      </c>
      <c r="AO587">
        <f>$C587*AO586</f>
        <v/>
      </c>
      <c r="AP587">
        <f>$C587*AP586</f>
        <v/>
      </c>
      <c r="AQ587">
        <f>$C587*AQ586</f>
        <v/>
      </c>
      <c r="AR587">
        <f>$C587*AR586</f>
        <v/>
      </c>
      <c r="AS587">
        <f>$C587*AS586</f>
        <v/>
      </c>
      <c r="AT587">
        <f>$C587*AT586</f>
        <v/>
      </c>
      <c r="AU587">
        <f>$C587*AU586</f>
        <v/>
      </c>
      <c r="AV587">
        <f>$C587*AV586</f>
        <v/>
      </c>
      <c r="AW587">
        <f>$C587*AW586</f>
        <v/>
      </c>
      <c r="AX587">
        <f>$C587*AX586</f>
        <v/>
      </c>
      <c r="AY587">
        <f>$C587*AY586</f>
        <v/>
      </c>
      <c r="AZ587">
        <f>$C587*AZ586</f>
        <v/>
      </c>
      <c r="BA587">
        <f>$C587*BA586</f>
        <v/>
      </c>
      <c r="BB587">
        <f>$C587*BB586</f>
        <v/>
      </c>
      <c r="BC587">
        <f>$C587*BC586</f>
        <v/>
      </c>
      <c r="BD587">
        <f>$C587*BD586</f>
        <v/>
      </c>
      <c r="BE587">
        <f>$C587*BE586</f>
        <v/>
      </c>
      <c r="BF587">
        <f>$C587*BF586</f>
        <v/>
      </c>
      <c r="BG587">
        <f>$C587*BG586</f>
        <v/>
      </c>
      <c r="BH587">
        <f>$C587*BH586</f>
        <v/>
      </c>
      <c r="BI587">
        <f>$C587*BI586</f>
        <v/>
      </c>
      <c r="BJ587">
        <f>$C587*BJ586</f>
        <v/>
      </c>
      <c r="BK587">
        <f>$C587*BK586</f>
        <v/>
      </c>
      <c r="BL587">
        <f>$C587*BL586</f>
        <v/>
      </c>
      <c r="BM587">
        <f>$C587*BM586</f>
        <v/>
      </c>
      <c r="BN587">
        <f>$C587*BN586</f>
        <v/>
      </c>
      <c r="BO587">
        <f>$C587*BO586</f>
        <v/>
      </c>
      <c r="BP587">
        <f>$C587*BP586</f>
        <v/>
      </c>
      <c r="BQ587">
        <f>$C587*BQ586</f>
        <v/>
      </c>
      <c r="BR587">
        <f>$C587*BR586</f>
        <v/>
      </c>
      <c r="BS587">
        <f>$C587*BS586</f>
        <v/>
      </c>
      <c r="BT587">
        <f>$C587*BT586</f>
        <v/>
      </c>
      <c r="BU587">
        <f>$C587*BU586</f>
        <v/>
      </c>
      <c r="BV587">
        <f>$C587*BV586</f>
        <v/>
      </c>
      <c r="BW587">
        <f>$C587*BW586</f>
        <v/>
      </c>
      <c r="BX587">
        <f>$C587*BX586</f>
        <v/>
      </c>
      <c r="BY587">
        <f>$C587*BY586</f>
        <v/>
      </c>
      <c r="BZ587">
        <f>$C587*BZ586</f>
        <v/>
      </c>
      <c r="CA587">
        <f>$C587*CA586</f>
        <v/>
      </c>
      <c r="CB587">
        <f>$C587*CB586</f>
        <v/>
      </c>
      <c r="CC587">
        <f>$C587*CC586</f>
        <v/>
      </c>
      <c r="CD587">
        <f>$C587*CD586</f>
        <v/>
      </c>
      <c r="CE587">
        <f>$C587*CE586</f>
        <v/>
      </c>
      <c r="CF587">
        <f>$C587*CF586</f>
        <v/>
      </c>
      <c r="CG587">
        <f>$C587*CG586</f>
        <v/>
      </c>
      <c r="CH587">
        <f>$C587*CH586</f>
        <v/>
      </c>
      <c r="CI587">
        <f>$C587*CI586</f>
        <v/>
      </c>
      <c r="CJ587">
        <f>$C587*CJ586</f>
        <v/>
      </c>
      <c r="CK587">
        <f>$C587*CK586</f>
        <v/>
      </c>
      <c r="CL587">
        <f>$C587*CL586</f>
        <v/>
      </c>
      <c r="CM587">
        <f>$C587*CM586</f>
        <v/>
      </c>
      <c r="CN587">
        <f>$C587*CN586</f>
        <v/>
      </c>
      <c r="CO587">
        <f>$C587*CO586</f>
        <v/>
      </c>
      <c r="CP587">
        <f>$C587*CP586</f>
        <v/>
      </c>
      <c r="CQ587">
        <f>$C587*CQ586</f>
        <v/>
      </c>
      <c r="CR587">
        <f>$C587*CR586</f>
        <v/>
      </c>
      <c r="CS587">
        <f>$C587*CS586</f>
        <v/>
      </c>
      <c r="CT587">
        <f>$C587*CT586</f>
        <v/>
      </c>
      <c r="CU587">
        <f>$C587*CU586</f>
        <v/>
      </c>
      <c r="CV587">
        <f>$C587*CV586</f>
        <v/>
      </c>
      <c r="CW587">
        <f>$C587*CW586</f>
        <v/>
      </c>
      <c r="CX587">
        <f>$C587*CX586</f>
        <v/>
      </c>
      <c r="CY587">
        <f>$C587*CY586</f>
        <v/>
      </c>
      <c r="CZ587">
        <f>$C587*CZ586</f>
        <v/>
      </c>
      <c r="DA587">
        <f>$C587*DA586</f>
        <v/>
      </c>
      <c r="DB587">
        <f>$C587*DB586</f>
        <v/>
      </c>
      <c r="DC587">
        <f>$C587*DC586</f>
        <v/>
      </c>
    </row>
    <row r="588">
      <c r="B588" t="inlineStr">
        <is>
          <t>TSP-104</t>
        </is>
      </c>
      <c r="C588" t="inlineStr">
        <is>
          <t>No. of batches</t>
        </is>
      </c>
      <c r="D588">
        <f>IFERROR(INDEX(PP_Grid[#Data],$DD588,2),0)</f>
        <v/>
      </c>
      <c r="E588">
        <f>IFERROR(INDEX(PP_Grid[#Data],$DD588,3),0)</f>
        <v/>
      </c>
      <c r="F588">
        <f>IFERROR(INDEX(PP_Grid[#Data],$DD588,4),0)</f>
        <v/>
      </c>
      <c r="G588">
        <f>IFERROR(INDEX(PP_Grid[#Data],$DD588,5),0)</f>
        <v/>
      </c>
      <c r="H588">
        <f>IFERROR(INDEX(PP_Grid[#Data],$DD588,6),0)</f>
        <v/>
      </c>
      <c r="I588">
        <f>IFERROR(INDEX(PP_Grid[#Data],$DD588,7),0)</f>
        <v/>
      </c>
      <c r="J588">
        <f>IFERROR(INDEX(PP_Grid[#Data],$DD588,8),0)</f>
        <v/>
      </c>
      <c r="K588">
        <f>IFERROR(INDEX(PP_Grid[#Data],$DD588,9),0)</f>
        <v/>
      </c>
      <c r="L588">
        <f>IFERROR(INDEX(PP_Grid[#Data],$DD588,10),0)</f>
        <v/>
      </c>
      <c r="M588">
        <f>IFERROR(INDEX(PP_Grid[#Data],$DD588,11),0)</f>
        <v/>
      </c>
      <c r="N588">
        <f>IFERROR(INDEX(PP_Grid[#Data],$DD588,12),0)</f>
        <v/>
      </c>
      <c r="O588">
        <f>IFERROR(INDEX(PP_Grid[#Data],$DD588,13),0)</f>
        <v/>
      </c>
      <c r="P588">
        <f>IFERROR(INDEX(PP_Grid[#Data],$DD588,14),0)</f>
        <v/>
      </c>
      <c r="Q588">
        <f>IFERROR(INDEX(PP_Grid[#Data],$DD588,15),0)</f>
        <v/>
      </c>
      <c r="R588">
        <f>IFERROR(INDEX(PP_Grid[#Data],$DD588,16),0)</f>
        <v/>
      </c>
      <c r="S588">
        <f>IFERROR(INDEX(PP_Grid[#Data],$DD588,17),0)</f>
        <v/>
      </c>
      <c r="T588">
        <f>IFERROR(INDEX(PP_Grid[#Data],$DD588,18),0)</f>
        <v/>
      </c>
      <c r="U588">
        <f>IFERROR(INDEX(PP_Grid[#Data],$DD588,19),0)</f>
        <v/>
      </c>
      <c r="V588">
        <f>IFERROR(INDEX(PP_Grid[#Data],$DD588,20),0)</f>
        <v/>
      </c>
      <c r="W588">
        <f>IFERROR(INDEX(PP_Grid[#Data],$DD588,21),0)</f>
        <v/>
      </c>
      <c r="X588">
        <f>IFERROR(INDEX(PP_Grid[#Data],$DD588,22),0)</f>
        <v/>
      </c>
      <c r="Y588">
        <f>IFERROR(INDEX(PP_Grid[#Data],$DD588,23),0)</f>
        <v/>
      </c>
      <c r="Z588">
        <f>IFERROR(INDEX(PP_Grid[#Data],$DD588,24),0)</f>
        <v/>
      </c>
      <c r="AA588">
        <f>IFERROR(INDEX(PP_Grid[#Data],$DD588,25),0)</f>
        <v/>
      </c>
      <c r="AB588">
        <f>IFERROR(INDEX(PP_Grid[#Data],$DD588,26),0)</f>
        <v/>
      </c>
      <c r="AC588">
        <f>IFERROR(INDEX(PP_Grid[#Data],$DD588,27),0)</f>
        <v/>
      </c>
      <c r="AD588">
        <f>IFERROR(INDEX(PP_Grid[#Data],$DD588,28),0)</f>
        <v/>
      </c>
      <c r="AE588">
        <f>IFERROR(INDEX(PP_Grid[#Data],$DD588,29),0)</f>
        <v/>
      </c>
      <c r="AF588">
        <f>IFERROR(INDEX(PP_Grid[#Data],$DD588,30),0)</f>
        <v/>
      </c>
      <c r="AG588">
        <f>IFERROR(INDEX(PP_Grid[#Data],$DD588,31),0)</f>
        <v/>
      </c>
      <c r="AH588">
        <f>IFERROR(INDEX(PP_Grid[#Data],$DD588,32),0)</f>
        <v/>
      </c>
      <c r="AI588">
        <f>IFERROR(INDEX(PP_Grid[#Data],$DD588,33),0)</f>
        <v/>
      </c>
      <c r="AJ588">
        <f>IFERROR(INDEX(PP_Grid[#Data],$DD588,34),0)</f>
        <v/>
      </c>
      <c r="AK588">
        <f>IFERROR(INDEX(PP_Grid[#Data],$DD588,35),0)</f>
        <v/>
      </c>
      <c r="AL588">
        <f>IFERROR(INDEX(PP_Grid[#Data],$DD588,36),0)</f>
        <v/>
      </c>
      <c r="AM588">
        <f>IFERROR(INDEX(PP_Grid[#Data],$DD588,37),0)</f>
        <v/>
      </c>
      <c r="AN588">
        <f>IFERROR(INDEX(PP_Grid[#Data],$DD588,38),0)</f>
        <v/>
      </c>
      <c r="AO588">
        <f>IFERROR(INDEX(PP_Grid[#Data],$DD588,39),0)</f>
        <v/>
      </c>
      <c r="AP588">
        <f>IFERROR(INDEX(PP_Grid[#Data],$DD588,40),0)</f>
        <v/>
      </c>
      <c r="AQ588">
        <f>IFERROR(INDEX(PP_Grid[#Data],$DD588,41),0)</f>
        <v/>
      </c>
      <c r="AR588">
        <f>IFERROR(INDEX(PP_Grid[#Data],$DD588,42),0)</f>
        <v/>
      </c>
      <c r="AS588">
        <f>IFERROR(INDEX(PP_Grid[#Data],$DD588,43),0)</f>
        <v/>
      </c>
      <c r="AT588">
        <f>IFERROR(INDEX(PP_Grid[#Data],$DD588,44),0)</f>
        <v/>
      </c>
      <c r="AU588">
        <f>IFERROR(INDEX(PP_Grid[#Data],$DD588,45),0)</f>
        <v/>
      </c>
      <c r="AV588">
        <f>IFERROR(INDEX(PP_Grid[#Data],$DD588,46),0)</f>
        <v/>
      </c>
      <c r="AW588">
        <f>IFERROR(INDEX(PP_Grid[#Data],$DD588,47),0)</f>
        <v/>
      </c>
      <c r="AX588">
        <f>IFERROR(INDEX(PP_Grid[#Data],$DD588,48),0)</f>
        <v/>
      </c>
      <c r="AY588">
        <f>IFERROR(INDEX(PP_Grid[#Data],$DD588,49),0)</f>
        <v/>
      </c>
      <c r="AZ588">
        <f>IFERROR(INDEX(PP_Grid[#Data],$DD588,50),0)</f>
        <v/>
      </c>
      <c r="BA588">
        <f>IFERROR(INDEX(PP_Grid[#Data],$DD588,51),0)</f>
        <v/>
      </c>
      <c r="BB588">
        <f>IFERROR(INDEX(PP_Grid[#Data],$DD588,52),0)</f>
        <v/>
      </c>
      <c r="BC588">
        <f>IFERROR(INDEX(PP_Grid[#Data],$DD588,53),0)</f>
        <v/>
      </c>
      <c r="BD588">
        <f>IFERROR(INDEX(PP_Grid[#Data],$DD588,54),0)</f>
        <v/>
      </c>
      <c r="BE588">
        <f>IFERROR(INDEX(PP_Grid[#Data],$DD588,55),0)</f>
        <v/>
      </c>
      <c r="BF588">
        <f>IFERROR(INDEX(PP_Grid[#Data],$DD588,56),0)</f>
        <v/>
      </c>
      <c r="BG588">
        <f>IFERROR(INDEX(PP_Grid[#Data],$DD588,57),0)</f>
        <v/>
      </c>
      <c r="BH588">
        <f>IFERROR(INDEX(PP_Grid[#Data],$DD588,58),0)</f>
        <v/>
      </c>
      <c r="BI588">
        <f>IFERROR(INDEX(PP_Grid[#Data],$DD588,59),0)</f>
        <v/>
      </c>
      <c r="BJ588">
        <f>IFERROR(INDEX(PP_Grid[#Data],$DD588,60),0)</f>
        <v/>
      </c>
      <c r="BK588">
        <f>IFERROR(INDEX(PP_Grid[#Data],$DD588,61),0)</f>
        <v/>
      </c>
      <c r="BL588">
        <f>IFERROR(INDEX(PP_Grid[#Data],$DD588,62),0)</f>
        <v/>
      </c>
      <c r="BM588">
        <f>IFERROR(INDEX(PP_Grid[#Data],$DD588,63),0)</f>
        <v/>
      </c>
      <c r="BN588">
        <f>IFERROR(INDEX(PP_Grid[#Data],$DD588,64),0)</f>
        <v/>
      </c>
      <c r="BO588">
        <f>IFERROR(INDEX(PP_Grid[#Data],$DD588,65),0)</f>
        <v/>
      </c>
      <c r="BP588">
        <f>IFERROR(INDEX(PP_Grid[#Data],$DD588,66),0)</f>
        <v/>
      </c>
      <c r="BQ588">
        <f>IFERROR(INDEX(PP_Grid[#Data],$DD588,67),0)</f>
        <v/>
      </c>
      <c r="BR588">
        <f>IFERROR(INDEX(PP_Grid[#Data],$DD588,68),0)</f>
        <v/>
      </c>
      <c r="BS588">
        <f>IFERROR(INDEX(PP_Grid[#Data],$DD588,69),0)</f>
        <v/>
      </c>
      <c r="BT588">
        <f>IFERROR(INDEX(PP_Grid[#Data],$DD588,70),0)</f>
        <v/>
      </c>
      <c r="BU588">
        <f>IFERROR(INDEX(PP_Grid[#Data],$DD588,71),0)</f>
        <v/>
      </c>
      <c r="BV588">
        <f>IFERROR(INDEX(PP_Grid[#Data],$DD588,72),0)</f>
        <v/>
      </c>
      <c r="BW588">
        <f>IFERROR(INDEX(PP_Grid[#Data],$DD588,73),0)</f>
        <v/>
      </c>
      <c r="BX588">
        <f>IFERROR(INDEX(PP_Grid[#Data],$DD588,74),0)</f>
        <v/>
      </c>
      <c r="BY588">
        <f>IFERROR(INDEX(PP_Grid[#Data],$DD588,75),0)</f>
        <v/>
      </c>
      <c r="BZ588">
        <f>IFERROR(INDEX(PP_Grid[#Data],$DD588,76),0)</f>
        <v/>
      </c>
      <c r="CA588">
        <f>IFERROR(INDEX(PP_Grid[#Data],$DD588,77),0)</f>
        <v/>
      </c>
      <c r="CB588">
        <f>IFERROR(INDEX(PP_Grid[#Data],$DD588,78),0)</f>
        <v/>
      </c>
      <c r="CC588">
        <f>IFERROR(INDEX(PP_Grid[#Data],$DD588,79),0)</f>
        <v/>
      </c>
      <c r="CD588">
        <f>IFERROR(INDEX(PP_Grid[#Data],$DD588,80),0)</f>
        <v/>
      </c>
      <c r="CE588">
        <f>IFERROR(INDEX(PP_Grid[#Data],$DD588,81),0)</f>
        <v/>
      </c>
      <c r="CF588">
        <f>IFERROR(INDEX(PP_Grid[#Data],$DD588,82),0)</f>
        <v/>
      </c>
      <c r="CG588">
        <f>IFERROR(INDEX(PP_Grid[#Data],$DD588,83),0)</f>
        <v/>
      </c>
      <c r="CH588">
        <f>IFERROR(INDEX(PP_Grid[#Data],$DD588,84),0)</f>
        <v/>
      </c>
      <c r="CI588">
        <f>IFERROR(INDEX(PP_Grid[#Data],$DD588,85),0)</f>
        <v/>
      </c>
      <c r="CJ588">
        <f>IFERROR(INDEX(PP_Grid[#Data],$DD588,86),0)</f>
        <v/>
      </c>
      <c r="CK588">
        <f>IFERROR(INDEX(PP_Grid[#Data],$DD588,87),0)</f>
        <v/>
      </c>
      <c r="CL588">
        <f>IFERROR(INDEX(PP_Grid[#Data],$DD588,88),0)</f>
        <v/>
      </c>
      <c r="CM588">
        <f>IFERROR(INDEX(PP_Grid[#Data],$DD588,89),0)</f>
        <v/>
      </c>
      <c r="CN588">
        <f>IFERROR(INDEX(PP_Grid[#Data],$DD588,90),0)</f>
        <v/>
      </c>
      <c r="CO588">
        <f>IFERROR(INDEX(PP_Grid[#Data],$DD588,91),0)</f>
        <v/>
      </c>
      <c r="CP588">
        <f>IFERROR(INDEX(PP_Grid[#Data],$DD588,92),0)</f>
        <v/>
      </c>
      <c r="CQ588">
        <f>IFERROR(INDEX(PP_Grid[#Data],$DD588,93),0)</f>
        <v/>
      </c>
      <c r="CR588">
        <f>IFERROR(INDEX(PP_Grid[#Data],$DD588,94),0)</f>
        <v/>
      </c>
      <c r="CS588">
        <f>IFERROR(INDEX(PP_Grid[#Data],$DD588,95),0)</f>
        <v/>
      </c>
      <c r="CT588">
        <f>IFERROR(INDEX(PP_Grid[#Data],$DD588,96),0)</f>
        <v/>
      </c>
      <c r="CU588">
        <f>IFERROR(INDEX(PP_Grid[#Data],$DD588,97),0)</f>
        <v/>
      </c>
      <c r="CV588">
        <f>IFERROR(INDEX(PP_Grid[#Data],$DD588,98),0)</f>
        <v/>
      </c>
      <c r="CW588">
        <f>IFERROR(INDEX(PP_Grid[#Data],$DD588,99),0)</f>
        <v/>
      </c>
      <c r="CX588">
        <f>IFERROR(INDEX(PP_Grid[#Data],$DD588,100),0)</f>
        <v/>
      </c>
      <c r="CY588">
        <f>IFERROR(INDEX(PP_Grid[#Data],$DD588,101),0)</f>
        <v/>
      </c>
      <c r="CZ588">
        <f>IFERROR(INDEX(PP_Grid[#Data],$DD588,102),0)</f>
        <v/>
      </c>
      <c r="DA588">
        <f>IFERROR(INDEX(PP_Grid[#Data],$DD588,103),0)</f>
        <v/>
      </c>
      <c r="DB588">
        <f>IFERROR(INDEX(PP_Grid[#Data],$DD588,104),0)</f>
        <v/>
      </c>
      <c r="DC588">
        <f>IFERROR(INDEX(PP_Grid[#Data],$DD588,105),0)</f>
        <v/>
      </c>
      <c r="DD588" s="12">
        <f>IFERROR(MATCH($B588,PP_Grid[Intermediate],0),99999)</f>
        <v/>
      </c>
    </row>
    <row r="589">
      <c r="B589" t="inlineStr">
        <is>
          <t>使用量(kg)</t>
        </is>
      </c>
      <c r="C589">
        <f>SUMIFS(M_BOM[RM_Qty_Per_Batch],M_BOM[Intermediate],$B588,M_BOM[Part Name],$A581)</f>
        <v/>
      </c>
      <c r="D589">
        <f>$C589*D588</f>
        <v/>
      </c>
      <c r="E589">
        <f>$C589*E588</f>
        <v/>
      </c>
      <c r="F589">
        <f>$C589*F588</f>
        <v/>
      </c>
      <c r="G589">
        <f>$C589*G588</f>
        <v/>
      </c>
      <c r="H589">
        <f>$C589*H588</f>
        <v/>
      </c>
      <c r="I589">
        <f>$C589*I588</f>
        <v/>
      </c>
      <c r="J589">
        <f>$C589*J588</f>
        <v/>
      </c>
      <c r="K589">
        <f>$C589*K588</f>
        <v/>
      </c>
      <c r="L589">
        <f>$C589*L588</f>
        <v/>
      </c>
      <c r="M589">
        <f>$C589*M588</f>
        <v/>
      </c>
      <c r="N589">
        <f>$C589*N588</f>
        <v/>
      </c>
      <c r="O589">
        <f>$C589*O588</f>
        <v/>
      </c>
      <c r="P589">
        <f>$C589*P588</f>
        <v/>
      </c>
      <c r="Q589">
        <f>$C589*Q588</f>
        <v/>
      </c>
      <c r="R589">
        <f>$C589*R588</f>
        <v/>
      </c>
      <c r="S589">
        <f>$C589*S588</f>
        <v/>
      </c>
      <c r="T589">
        <f>$C589*T588</f>
        <v/>
      </c>
      <c r="U589">
        <f>$C589*U588</f>
        <v/>
      </c>
      <c r="V589">
        <f>$C589*V588</f>
        <v/>
      </c>
      <c r="W589">
        <f>$C589*W588</f>
        <v/>
      </c>
      <c r="X589">
        <f>$C589*X588</f>
        <v/>
      </c>
      <c r="Y589">
        <f>$C589*Y588</f>
        <v/>
      </c>
      <c r="Z589">
        <f>$C589*Z588</f>
        <v/>
      </c>
      <c r="AA589">
        <f>$C589*AA588</f>
        <v/>
      </c>
      <c r="AB589">
        <f>$C589*AB588</f>
        <v/>
      </c>
      <c r="AC589">
        <f>$C589*AC588</f>
        <v/>
      </c>
      <c r="AD589">
        <f>$C589*AD588</f>
        <v/>
      </c>
      <c r="AE589">
        <f>$C589*AE588</f>
        <v/>
      </c>
      <c r="AF589">
        <f>$C589*AF588</f>
        <v/>
      </c>
      <c r="AG589">
        <f>$C589*AG588</f>
        <v/>
      </c>
      <c r="AH589">
        <f>$C589*AH588</f>
        <v/>
      </c>
      <c r="AI589">
        <f>$C589*AI588</f>
        <v/>
      </c>
      <c r="AJ589">
        <f>$C589*AJ588</f>
        <v/>
      </c>
      <c r="AK589">
        <f>$C589*AK588</f>
        <v/>
      </c>
      <c r="AL589">
        <f>$C589*AL588</f>
        <v/>
      </c>
      <c r="AM589">
        <f>$C589*AM588</f>
        <v/>
      </c>
      <c r="AN589">
        <f>$C589*AN588</f>
        <v/>
      </c>
      <c r="AO589">
        <f>$C589*AO588</f>
        <v/>
      </c>
      <c r="AP589">
        <f>$C589*AP588</f>
        <v/>
      </c>
      <c r="AQ589">
        <f>$C589*AQ588</f>
        <v/>
      </c>
      <c r="AR589">
        <f>$C589*AR588</f>
        <v/>
      </c>
      <c r="AS589">
        <f>$C589*AS588</f>
        <v/>
      </c>
      <c r="AT589">
        <f>$C589*AT588</f>
        <v/>
      </c>
      <c r="AU589">
        <f>$C589*AU588</f>
        <v/>
      </c>
      <c r="AV589">
        <f>$C589*AV588</f>
        <v/>
      </c>
      <c r="AW589">
        <f>$C589*AW588</f>
        <v/>
      </c>
      <c r="AX589">
        <f>$C589*AX588</f>
        <v/>
      </c>
      <c r="AY589">
        <f>$C589*AY588</f>
        <v/>
      </c>
      <c r="AZ589">
        <f>$C589*AZ588</f>
        <v/>
      </c>
      <c r="BA589">
        <f>$C589*BA588</f>
        <v/>
      </c>
      <c r="BB589">
        <f>$C589*BB588</f>
        <v/>
      </c>
      <c r="BC589">
        <f>$C589*BC588</f>
        <v/>
      </c>
      <c r="BD589">
        <f>$C589*BD588</f>
        <v/>
      </c>
      <c r="BE589">
        <f>$C589*BE588</f>
        <v/>
      </c>
      <c r="BF589">
        <f>$C589*BF588</f>
        <v/>
      </c>
      <c r="BG589">
        <f>$C589*BG588</f>
        <v/>
      </c>
      <c r="BH589">
        <f>$C589*BH588</f>
        <v/>
      </c>
      <c r="BI589">
        <f>$C589*BI588</f>
        <v/>
      </c>
      <c r="BJ589">
        <f>$C589*BJ588</f>
        <v/>
      </c>
      <c r="BK589">
        <f>$C589*BK588</f>
        <v/>
      </c>
      <c r="BL589">
        <f>$C589*BL588</f>
        <v/>
      </c>
      <c r="BM589">
        <f>$C589*BM588</f>
        <v/>
      </c>
      <c r="BN589">
        <f>$C589*BN588</f>
        <v/>
      </c>
      <c r="BO589">
        <f>$C589*BO588</f>
        <v/>
      </c>
      <c r="BP589">
        <f>$C589*BP588</f>
        <v/>
      </c>
      <c r="BQ589">
        <f>$C589*BQ588</f>
        <v/>
      </c>
      <c r="BR589">
        <f>$C589*BR588</f>
        <v/>
      </c>
      <c r="BS589">
        <f>$C589*BS588</f>
        <v/>
      </c>
      <c r="BT589">
        <f>$C589*BT588</f>
        <v/>
      </c>
      <c r="BU589">
        <f>$C589*BU588</f>
        <v/>
      </c>
      <c r="BV589">
        <f>$C589*BV588</f>
        <v/>
      </c>
      <c r="BW589">
        <f>$C589*BW588</f>
        <v/>
      </c>
      <c r="BX589">
        <f>$C589*BX588</f>
        <v/>
      </c>
      <c r="BY589">
        <f>$C589*BY588</f>
        <v/>
      </c>
      <c r="BZ589">
        <f>$C589*BZ588</f>
        <v/>
      </c>
      <c r="CA589">
        <f>$C589*CA588</f>
        <v/>
      </c>
      <c r="CB589">
        <f>$C589*CB588</f>
        <v/>
      </c>
      <c r="CC589">
        <f>$C589*CC588</f>
        <v/>
      </c>
      <c r="CD589">
        <f>$C589*CD588</f>
        <v/>
      </c>
      <c r="CE589">
        <f>$C589*CE588</f>
        <v/>
      </c>
      <c r="CF589">
        <f>$C589*CF588</f>
        <v/>
      </c>
      <c r="CG589">
        <f>$C589*CG588</f>
        <v/>
      </c>
      <c r="CH589">
        <f>$C589*CH588</f>
        <v/>
      </c>
      <c r="CI589">
        <f>$C589*CI588</f>
        <v/>
      </c>
      <c r="CJ589">
        <f>$C589*CJ588</f>
        <v/>
      </c>
      <c r="CK589">
        <f>$C589*CK588</f>
        <v/>
      </c>
      <c r="CL589">
        <f>$C589*CL588</f>
        <v/>
      </c>
      <c r="CM589">
        <f>$C589*CM588</f>
        <v/>
      </c>
      <c r="CN589">
        <f>$C589*CN588</f>
        <v/>
      </c>
      <c r="CO589">
        <f>$C589*CO588</f>
        <v/>
      </c>
      <c r="CP589">
        <f>$C589*CP588</f>
        <v/>
      </c>
      <c r="CQ589">
        <f>$C589*CQ588</f>
        <v/>
      </c>
      <c r="CR589">
        <f>$C589*CR588</f>
        <v/>
      </c>
      <c r="CS589">
        <f>$C589*CS588</f>
        <v/>
      </c>
      <c r="CT589">
        <f>$C589*CT588</f>
        <v/>
      </c>
      <c r="CU589">
        <f>$C589*CU588</f>
        <v/>
      </c>
      <c r="CV589">
        <f>$C589*CV588</f>
        <v/>
      </c>
      <c r="CW589">
        <f>$C589*CW588</f>
        <v/>
      </c>
      <c r="CX589">
        <f>$C589*CX588</f>
        <v/>
      </c>
      <c r="CY589">
        <f>$C589*CY588</f>
        <v/>
      </c>
      <c r="CZ589">
        <f>$C589*CZ588</f>
        <v/>
      </c>
      <c r="DA589">
        <f>$C589*DA588</f>
        <v/>
      </c>
      <c r="DB589">
        <f>$C589*DB588</f>
        <v/>
      </c>
      <c r="DC589">
        <f>$C589*DC588</f>
        <v/>
      </c>
    </row>
    <row r="590">
      <c r="B590" t="inlineStr">
        <is>
          <t>TSP-1388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12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Name],$A581)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TSP-1444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12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Name],$A581)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TSP-1445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12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Name],$A581)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TSP-1446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12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Name],$A581)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TSP-1448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12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Name],$A581)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TSP-1449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12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Name],$A581)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TSP-1558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Name],$A581)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TSP-1559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Name],$A581)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TSP-199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Name],$A581)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TSP-205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Name],$A581)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TSP-206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Name],$A581)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TSP-224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12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SUMIFS(M_BOM[RM_Qty_Per_Batch],M_BOM[Intermediate],$B612,M_BOM[Part Name],$A581)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TSP-367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12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SUMIFS(M_BOM[RM_Qty_Per_Batch],M_BOM[Intermediate],$B614,M_BOM[Part Name],$A581)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TSP-369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12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SUMIFS(M_BOM[RM_Qty_Per_Batch],M_BOM[Intermediate],$B616,M_BOM[Part Name],$A581)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TSP-544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12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SUMIFS(M_BOM[RM_Qty_Per_Batch],M_BOM[Intermediate],$B618,M_BOM[Part Name],$A581)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TSP-618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Name],$A581)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TSP-620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Name],$A581)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TSP-623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Name],$A581)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TSP-668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Name],$A581)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TSP-669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Name],$A581)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TSP-670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Name],$A581)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TSP-710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Name],$A581)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t="inlineStr">
        <is>
          <t>TSP-828</t>
        </is>
      </c>
      <c r="C634" t="inlineStr">
        <is>
          <t>No. of batches</t>
        </is>
      </c>
      <c r="D634">
        <f>IFERROR(INDEX(PP_Grid[#Data],$DD634,2),0)</f>
        <v/>
      </c>
      <c r="E634">
        <f>IFERROR(INDEX(PP_Grid[#Data],$DD634,3),0)</f>
        <v/>
      </c>
      <c r="F634">
        <f>IFERROR(INDEX(PP_Grid[#Data],$DD634,4),0)</f>
        <v/>
      </c>
      <c r="G634">
        <f>IFERROR(INDEX(PP_Grid[#Data],$DD634,5),0)</f>
        <v/>
      </c>
      <c r="H634">
        <f>IFERROR(INDEX(PP_Grid[#Data],$DD634,6),0)</f>
        <v/>
      </c>
      <c r="I634">
        <f>IFERROR(INDEX(PP_Grid[#Data],$DD634,7),0)</f>
        <v/>
      </c>
      <c r="J634">
        <f>IFERROR(INDEX(PP_Grid[#Data],$DD634,8),0)</f>
        <v/>
      </c>
      <c r="K634">
        <f>IFERROR(INDEX(PP_Grid[#Data],$DD634,9),0)</f>
        <v/>
      </c>
      <c r="L634">
        <f>IFERROR(INDEX(PP_Grid[#Data],$DD634,10),0)</f>
        <v/>
      </c>
      <c r="M634">
        <f>IFERROR(INDEX(PP_Grid[#Data],$DD634,11),0)</f>
        <v/>
      </c>
      <c r="N634">
        <f>IFERROR(INDEX(PP_Grid[#Data],$DD634,12),0)</f>
        <v/>
      </c>
      <c r="O634">
        <f>IFERROR(INDEX(PP_Grid[#Data],$DD634,13),0)</f>
        <v/>
      </c>
      <c r="P634">
        <f>IFERROR(INDEX(PP_Grid[#Data],$DD634,14),0)</f>
        <v/>
      </c>
      <c r="Q634">
        <f>IFERROR(INDEX(PP_Grid[#Data],$DD634,15),0)</f>
        <v/>
      </c>
      <c r="R634">
        <f>IFERROR(INDEX(PP_Grid[#Data],$DD634,16),0)</f>
        <v/>
      </c>
      <c r="S634">
        <f>IFERROR(INDEX(PP_Grid[#Data],$DD634,17),0)</f>
        <v/>
      </c>
      <c r="T634">
        <f>IFERROR(INDEX(PP_Grid[#Data],$DD634,18),0)</f>
        <v/>
      </c>
      <c r="U634">
        <f>IFERROR(INDEX(PP_Grid[#Data],$DD634,19),0)</f>
        <v/>
      </c>
      <c r="V634">
        <f>IFERROR(INDEX(PP_Grid[#Data],$DD634,20),0)</f>
        <v/>
      </c>
      <c r="W634">
        <f>IFERROR(INDEX(PP_Grid[#Data],$DD634,21),0)</f>
        <v/>
      </c>
      <c r="X634">
        <f>IFERROR(INDEX(PP_Grid[#Data],$DD634,22),0)</f>
        <v/>
      </c>
      <c r="Y634">
        <f>IFERROR(INDEX(PP_Grid[#Data],$DD634,23),0)</f>
        <v/>
      </c>
      <c r="Z634">
        <f>IFERROR(INDEX(PP_Grid[#Data],$DD634,24),0)</f>
        <v/>
      </c>
      <c r="AA634">
        <f>IFERROR(INDEX(PP_Grid[#Data],$DD634,25),0)</f>
        <v/>
      </c>
      <c r="AB634">
        <f>IFERROR(INDEX(PP_Grid[#Data],$DD634,26),0)</f>
        <v/>
      </c>
      <c r="AC634">
        <f>IFERROR(INDEX(PP_Grid[#Data],$DD634,27),0)</f>
        <v/>
      </c>
      <c r="AD634">
        <f>IFERROR(INDEX(PP_Grid[#Data],$DD634,28),0)</f>
        <v/>
      </c>
      <c r="AE634">
        <f>IFERROR(INDEX(PP_Grid[#Data],$DD634,29),0)</f>
        <v/>
      </c>
      <c r="AF634">
        <f>IFERROR(INDEX(PP_Grid[#Data],$DD634,30),0)</f>
        <v/>
      </c>
      <c r="AG634">
        <f>IFERROR(INDEX(PP_Grid[#Data],$DD634,31),0)</f>
        <v/>
      </c>
      <c r="AH634">
        <f>IFERROR(INDEX(PP_Grid[#Data],$DD634,32),0)</f>
        <v/>
      </c>
      <c r="AI634">
        <f>IFERROR(INDEX(PP_Grid[#Data],$DD634,33),0)</f>
        <v/>
      </c>
      <c r="AJ634">
        <f>IFERROR(INDEX(PP_Grid[#Data],$DD634,34),0)</f>
        <v/>
      </c>
      <c r="AK634">
        <f>IFERROR(INDEX(PP_Grid[#Data],$DD634,35),0)</f>
        <v/>
      </c>
      <c r="AL634">
        <f>IFERROR(INDEX(PP_Grid[#Data],$DD634,36),0)</f>
        <v/>
      </c>
      <c r="AM634">
        <f>IFERROR(INDEX(PP_Grid[#Data],$DD634,37),0)</f>
        <v/>
      </c>
      <c r="AN634">
        <f>IFERROR(INDEX(PP_Grid[#Data],$DD634,38),0)</f>
        <v/>
      </c>
      <c r="AO634">
        <f>IFERROR(INDEX(PP_Grid[#Data],$DD634,39),0)</f>
        <v/>
      </c>
      <c r="AP634">
        <f>IFERROR(INDEX(PP_Grid[#Data],$DD634,40),0)</f>
        <v/>
      </c>
      <c r="AQ634">
        <f>IFERROR(INDEX(PP_Grid[#Data],$DD634,41),0)</f>
        <v/>
      </c>
      <c r="AR634">
        <f>IFERROR(INDEX(PP_Grid[#Data],$DD634,42),0)</f>
        <v/>
      </c>
      <c r="AS634">
        <f>IFERROR(INDEX(PP_Grid[#Data],$DD634,43),0)</f>
        <v/>
      </c>
      <c r="AT634">
        <f>IFERROR(INDEX(PP_Grid[#Data],$DD634,44),0)</f>
        <v/>
      </c>
      <c r="AU634">
        <f>IFERROR(INDEX(PP_Grid[#Data],$DD634,45),0)</f>
        <v/>
      </c>
      <c r="AV634">
        <f>IFERROR(INDEX(PP_Grid[#Data],$DD634,46),0)</f>
        <v/>
      </c>
      <c r="AW634">
        <f>IFERROR(INDEX(PP_Grid[#Data],$DD634,47),0)</f>
        <v/>
      </c>
      <c r="AX634">
        <f>IFERROR(INDEX(PP_Grid[#Data],$DD634,48),0)</f>
        <v/>
      </c>
      <c r="AY634">
        <f>IFERROR(INDEX(PP_Grid[#Data],$DD634,49),0)</f>
        <v/>
      </c>
      <c r="AZ634">
        <f>IFERROR(INDEX(PP_Grid[#Data],$DD634,50),0)</f>
        <v/>
      </c>
      <c r="BA634">
        <f>IFERROR(INDEX(PP_Grid[#Data],$DD634,51),0)</f>
        <v/>
      </c>
      <c r="BB634">
        <f>IFERROR(INDEX(PP_Grid[#Data],$DD634,52),0)</f>
        <v/>
      </c>
      <c r="BC634">
        <f>IFERROR(INDEX(PP_Grid[#Data],$DD634,53),0)</f>
        <v/>
      </c>
      <c r="BD634">
        <f>IFERROR(INDEX(PP_Grid[#Data],$DD634,54),0)</f>
        <v/>
      </c>
      <c r="BE634">
        <f>IFERROR(INDEX(PP_Grid[#Data],$DD634,55),0)</f>
        <v/>
      </c>
      <c r="BF634">
        <f>IFERROR(INDEX(PP_Grid[#Data],$DD634,56),0)</f>
        <v/>
      </c>
      <c r="BG634">
        <f>IFERROR(INDEX(PP_Grid[#Data],$DD634,57),0)</f>
        <v/>
      </c>
      <c r="BH634">
        <f>IFERROR(INDEX(PP_Grid[#Data],$DD634,58),0)</f>
        <v/>
      </c>
      <c r="BI634">
        <f>IFERROR(INDEX(PP_Grid[#Data],$DD634,59),0)</f>
        <v/>
      </c>
      <c r="BJ634">
        <f>IFERROR(INDEX(PP_Grid[#Data],$DD634,60),0)</f>
        <v/>
      </c>
      <c r="BK634">
        <f>IFERROR(INDEX(PP_Grid[#Data],$DD634,61),0)</f>
        <v/>
      </c>
      <c r="BL634">
        <f>IFERROR(INDEX(PP_Grid[#Data],$DD634,62),0)</f>
        <v/>
      </c>
      <c r="BM634">
        <f>IFERROR(INDEX(PP_Grid[#Data],$DD634,63),0)</f>
        <v/>
      </c>
      <c r="BN634">
        <f>IFERROR(INDEX(PP_Grid[#Data],$DD634,64),0)</f>
        <v/>
      </c>
      <c r="BO634">
        <f>IFERROR(INDEX(PP_Grid[#Data],$DD634,65),0)</f>
        <v/>
      </c>
      <c r="BP634">
        <f>IFERROR(INDEX(PP_Grid[#Data],$DD634,66),0)</f>
        <v/>
      </c>
      <c r="BQ634">
        <f>IFERROR(INDEX(PP_Grid[#Data],$DD634,67),0)</f>
        <v/>
      </c>
      <c r="BR634">
        <f>IFERROR(INDEX(PP_Grid[#Data],$DD634,68),0)</f>
        <v/>
      </c>
      <c r="BS634">
        <f>IFERROR(INDEX(PP_Grid[#Data],$DD634,69),0)</f>
        <v/>
      </c>
      <c r="BT634">
        <f>IFERROR(INDEX(PP_Grid[#Data],$DD634,70),0)</f>
        <v/>
      </c>
      <c r="BU634">
        <f>IFERROR(INDEX(PP_Grid[#Data],$DD634,71),0)</f>
        <v/>
      </c>
      <c r="BV634">
        <f>IFERROR(INDEX(PP_Grid[#Data],$DD634,72),0)</f>
        <v/>
      </c>
      <c r="BW634">
        <f>IFERROR(INDEX(PP_Grid[#Data],$DD634,73),0)</f>
        <v/>
      </c>
      <c r="BX634">
        <f>IFERROR(INDEX(PP_Grid[#Data],$DD634,74),0)</f>
        <v/>
      </c>
      <c r="BY634">
        <f>IFERROR(INDEX(PP_Grid[#Data],$DD634,75),0)</f>
        <v/>
      </c>
      <c r="BZ634">
        <f>IFERROR(INDEX(PP_Grid[#Data],$DD634,76),0)</f>
        <v/>
      </c>
      <c r="CA634">
        <f>IFERROR(INDEX(PP_Grid[#Data],$DD634,77),0)</f>
        <v/>
      </c>
      <c r="CB634">
        <f>IFERROR(INDEX(PP_Grid[#Data],$DD634,78),0)</f>
        <v/>
      </c>
      <c r="CC634">
        <f>IFERROR(INDEX(PP_Grid[#Data],$DD634,79),0)</f>
        <v/>
      </c>
      <c r="CD634">
        <f>IFERROR(INDEX(PP_Grid[#Data],$DD634,80),0)</f>
        <v/>
      </c>
      <c r="CE634">
        <f>IFERROR(INDEX(PP_Grid[#Data],$DD634,81),0)</f>
        <v/>
      </c>
      <c r="CF634">
        <f>IFERROR(INDEX(PP_Grid[#Data],$DD634,82),0)</f>
        <v/>
      </c>
      <c r="CG634">
        <f>IFERROR(INDEX(PP_Grid[#Data],$DD634,83),0)</f>
        <v/>
      </c>
      <c r="CH634">
        <f>IFERROR(INDEX(PP_Grid[#Data],$DD634,84),0)</f>
        <v/>
      </c>
      <c r="CI634">
        <f>IFERROR(INDEX(PP_Grid[#Data],$DD634,85),0)</f>
        <v/>
      </c>
      <c r="CJ634">
        <f>IFERROR(INDEX(PP_Grid[#Data],$DD634,86),0)</f>
        <v/>
      </c>
      <c r="CK634">
        <f>IFERROR(INDEX(PP_Grid[#Data],$DD634,87),0)</f>
        <v/>
      </c>
      <c r="CL634">
        <f>IFERROR(INDEX(PP_Grid[#Data],$DD634,88),0)</f>
        <v/>
      </c>
      <c r="CM634">
        <f>IFERROR(INDEX(PP_Grid[#Data],$DD634,89),0)</f>
        <v/>
      </c>
      <c r="CN634">
        <f>IFERROR(INDEX(PP_Grid[#Data],$DD634,90),0)</f>
        <v/>
      </c>
      <c r="CO634">
        <f>IFERROR(INDEX(PP_Grid[#Data],$DD634,91),0)</f>
        <v/>
      </c>
      <c r="CP634">
        <f>IFERROR(INDEX(PP_Grid[#Data],$DD634,92),0)</f>
        <v/>
      </c>
      <c r="CQ634">
        <f>IFERROR(INDEX(PP_Grid[#Data],$DD634,93),0)</f>
        <v/>
      </c>
      <c r="CR634">
        <f>IFERROR(INDEX(PP_Grid[#Data],$DD634,94),0)</f>
        <v/>
      </c>
      <c r="CS634">
        <f>IFERROR(INDEX(PP_Grid[#Data],$DD634,95),0)</f>
        <v/>
      </c>
      <c r="CT634">
        <f>IFERROR(INDEX(PP_Grid[#Data],$DD634,96),0)</f>
        <v/>
      </c>
      <c r="CU634">
        <f>IFERROR(INDEX(PP_Grid[#Data],$DD634,97),0)</f>
        <v/>
      </c>
      <c r="CV634">
        <f>IFERROR(INDEX(PP_Grid[#Data],$DD634,98),0)</f>
        <v/>
      </c>
      <c r="CW634">
        <f>IFERROR(INDEX(PP_Grid[#Data],$DD634,99),0)</f>
        <v/>
      </c>
      <c r="CX634">
        <f>IFERROR(INDEX(PP_Grid[#Data],$DD634,100),0)</f>
        <v/>
      </c>
      <c r="CY634">
        <f>IFERROR(INDEX(PP_Grid[#Data],$DD634,101),0)</f>
        <v/>
      </c>
      <c r="CZ634">
        <f>IFERROR(INDEX(PP_Grid[#Data],$DD634,102),0)</f>
        <v/>
      </c>
      <c r="DA634">
        <f>IFERROR(INDEX(PP_Grid[#Data],$DD634,103),0)</f>
        <v/>
      </c>
      <c r="DB634">
        <f>IFERROR(INDEX(PP_Grid[#Data],$DD634,104),0)</f>
        <v/>
      </c>
      <c r="DC634">
        <f>IFERROR(INDEX(PP_Grid[#Data],$DD634,105),0)</f>
        <v/>
      </c>
      <c r="DD634" s="12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SUMIFS(M_BOM[RM_Qty_Per_Batch],M_BOM[Intermediate],$B634,M_BOM[Part Name],$A581)</f>
        <v/>
      </c>
      <c r="D635">
        <f>$C635*D634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</row>
    <row r="636">
      <c r="B636" t="inlineStr">
        <is>
          <t>TSP-903</t>
        </is>
      </c>
      <c r="C636" t="inlineStr">
        <is>
          <t>No. of batches</t>
        </is>
      </c>
      <c r="D636">
        <f>IFERROR(INDEX(PP_Grid[#Data],$DD636,2),0)</f>
        <v/>
      </c>
      <c r="E636">
        <f>IFERROR(INDEX(PP_Grid[#Data],$DD636,3),0)</f>
        <v/>
      </c>
      <c r="F636">
        <f>IFERROR(INDEX(PP_Grid[#Data],$DD636,4),0)</f>
        <v/>
      </c>
      <c r="G636">
        <f>IFERROR(INDEX(PP_Grid[#Data],$DD636,5),0)</f>
        <v/>
      </c>
      <c r="H636">
        <f>IFERROR(INDEX(PP_Grid[#Data],$DD636,6),0)</f>
        <v/>
      </c>
      <c r="I636">
        <f>IFERROR(INDEX(PP_Grid[#Data],$DD636,7),0)</f>
        <v/>
      </c>
      <c r="J636">
        <f>IFERROR(INDEX(PP_Grid[#Data],$DD636,8),0)</f>
        <v/>
      </c>
      <c r="K636">
        <f>IFERROR(INDEX(PP_Grid[#Data],$DD636,9),0)</f>
        <v/>
      </c>
      <c r="L636">
        <f>IFERROR(INDEX(PP_Grid[#Data],$DD636,10),0)</f>
        <v/>
      </c>
      <c r="M636">
        <f>IFERROR(INDEX(PP_Grid[#Data],$DD636,11),0)</f>
        <v/>
      </c>
      <c r="N636">
        <f>IFERROR(INDEX(PP_Grid[#Data],$DD636,12),0)</f>
        <v/>
      </c>
      <c r="O636">
        <f>IFERROR(INDEX(PP_Grid[#Data],$DD636,13),0)</f>
        <v/>
      </c>
      <c r="P636">
        <f>IFERROR(INDEX(PP_Grid[#Data],$DD636,14),0)</f>
        <v/>
      </c>
      <c r="Q636">
        <f>IFERROR(INDEX(PP_Grid[#Data],$DD636,15),0)</f>
        <v/>
      </c>
      <c r="R636">
        <f>IFERROR(INDEX(PP_Grid[#Data],$DD636,16),0)</f>
        <v/>
      </c>
      <c r="S636">
        <f>IFERROR(INDEX(PP_Grid[#Data],$DD636,17),0)</f>
        <v/>
      </c>
      <c r="T636">
        <f>IFERROR(INDEX(PP_Grid[#Data],$DD636,18),0)</f>
        <v/>
      </c>
      <c r="U636">
        <f>IFERROR(INDEX(PP_Grid[#Data],$DD636,19),0)</f>
        <v/>
      </c>
      <c r="V636">
        <f>IFERROR(INDEX(PP_Grid[#Data],$DD636,20),0)</f>
        <v/>
      </c>
      <c r="W636">
        <f>IFERROR(INDEX(PP_Grid[#Data],$DD636,21),0)</f>
        <v/>
      </c>
      <c r="X636">
        <f>IFERROR(INDEX(PP_Grid[#Data],$DD636,22),0)</f>
        <v/>
      </c>
      <c r="Y636">
        <f>IFERROR(INDEX(PP_Grid[#Data],$DD636,23),0)</f>
        <v/>
      </c>
      <c r="Z636">
        <f>IFERROR(INDEX(PP_Grid[#Data],$DD636,24),0)</f>
        <v/>
      </c>
      <c r="AA636">
        <f>IFERROR(INDEX(PP_Grid[#Data],$DD636,25),0)</f>
        <v/>
      </c>
      <c r="AB636">
        <f>IFERROR(INDEX(PP_Grid[#Data],$DD636,26),0)</f>
        <v/>
      </c>
      <c r="AC636">
        <f>IFERROR(INDEX(PP_Grid[#Data],$DD636,27),0)</f>
        <v/>
      </c>
      <c r="AD636">
        <f>IFERROR(INDEX(PP_Grid[#Data],$DD636,28),0)</f>
        <v/>
      </c>
      <c r="AE636">
        <f>IFERROR(INDEX(PP_Grid[#Data],$DD636,29),0)</f>
        <v/>
      </c>
      <c r="AF636">
        <f>IFERROR(INDEX(PP_Grid[#Data],$DD636,30),0)</f>
        <v/>
      </c>
      <c r="AG636">
        <f>IFERROR(INDEX(PP_Grid[#Data],$DD636,31),0)</f>
        <v/>
      </c>
      <c r="AH636">
        <f>IFERROR(INDEX(PP_Grid[#Data],$DD636,32),0)</f>
        <v/>
      </c>
      <c r="AI636">
        <f>IFERROR(INDEX(PP_Grid[#Data],$DD636,33),0)</f>
        <v/>
      </c>
      <c r="AJ636">
        <f>IFERROR(INDEX(PP_Grid[#Data],$DD636,34),0)</f>
        <v/>
      </c>
      <c r="AK636">
        <f>IFERROR(INDEX(PP_Grid[#Data],$DD636,35),0)</f>
        <v/>
      </c>
      <c r="AL636">
        <f>IFERROR(INDEX(PP_Grid[#Data],$DD636,36),0)</f>
        <v/>
      </c>
      <c r="AM636">
        <f>IFERROR(INDEX(PP_Grid[#Data],$DD636,37),0)</f>
        <v/>
      </c>
      <c r="AN636">
        <f>IFERROR(INDEX(PP_Grid[#Data],$DD636,38),0)</f>
        <v/>
      </c>
      <c r="AO636">
        <f>IFERROR(INDEX(PP_Grid[#Data],$DD636,39),0)</f>
        <v/>
      </c>
      <c r="AP636">
        <f>IFERROR(INDEX(PP_Grid[#Data],$DD636,40),0)</f>
        <v/>
      </c>
      <c r="AQ636">
        <f>IFERROR(INDEX(PP_Grid[#Data],$DD636,41),0)</f>
        <v/>
      </c>
      <c r="AR636">
        <f>IFERROR(INDEX(PP_Grid[#Data],$DD636,42),0)</f>
        <v/>
      </c>
      <c r="AS636">
        <f>IFERROR(INDEX(PP_Grid[#Data],$DD636,43),0)</f>
        <v/>
      </c>
      <c r="AT636">
        <f>IFERROR(INDEX(PP_Grid[#Data],$DD636,44),0)</f>
        <v/>
      </c>
      <c r="AU636">
        <f>IFERROR(INDEX(PP_Grid[#Data],$DD636,45),0)</f>
        <v/>
      </c>
      <c r="AV636">
        <f>IFERROR(INDEX(PP_Grid[#Data],$DD636,46),0)</f>
        <v/>
      </c>
      <c r="AW636">
        <f>IFERROR(INDEX(PP_Grid[#Data],$DD636,47),0)</f>
        <v/>
      </c>
      <c r="AX636">
        <f>IFERROR(INDEX(PP_Grid[#Data],$DD636,48),0)</f>
        <v/>
      </c>
      <c r="AY636">
        <f>IFERROR(INDEX(PP_Grid[#Data],$DD636,49),0)</f>
        <v/>
      </c>
      <c r="AZ636">
        <f>IFERROR(INDEX(PP_Grid[#Data],$DD636,50),0)</f>
        <v/>
      </c>
      <c r="BA636">
        <f>IFERROR(INDEX(PP_Grid[#Data],$DD636,51),0)</f>
        <v/>
      </c>
      <c r="BB636">
        <f>IFERROR(INDEX(PP_Grid[#Data],$DD636,52),0)</f>
        <v/>
      </c>
      <c r="BC636">
        <f>IFERROR(INDEX(PP_Grid[#Data],$DD636,53),0)</f>
        <v/>
      </c>
      <c r="BD636">
        <f>IFERROR(INDEX(PP_Grid[#Data],$DD636,54),0)</f>
        <v/>
      </c>
      <c r="BE636">
        <f>IFERROR(INDEX(PP_Grid[#Data],$DD636,55),0)</f>
        <v/>
      </c>
      <c r="BF636">
        <f>IFERROR(INDEX(PP_Grid[#Data],$DD636,56),0)</f>
        <v/>
      </c>
      <c r="BG636">
        <f>IFERROR(INDEX(PP_Grid[#Data],$DD636,57),0)</f>
        <v/>
      </c>
      <c r="BH636">
        <f>IFERROR(INDEX(PP_Grid[#Data],$DD636,58),0)</f>
        <v/>
      </c>
      <c r="BI636">
        <f>IFERROR(INDEX(PP_Grid[#Data],$DD636,59),0)</f>
        <v/>
      </c>
      <c r="BJ636">
        <f>IFERROR(INDEX(PP_Grid[#Data],$DD636,60),0)</f>
        <v/>
      </c>
      <c r="BK636">
        <f>IFERROR(INDEX(PP_Grid[#Data],$DD636,61),0)</f>
        <v/>
      </c>
      <c r="BL636">
        <f>IFERROR(INDEX(PP_Grid[#Data],$DD636,62),0)</f>
        <v/>
      </c>
      <c r="BM636">
        <f>IFERROR(INDEX(PP_Grid[#Data],$DD636,63),0)</f>
        <v/>
      </c>
      <c r="BN636">
        <f>IFERROR(INDEX(PP_Grid[#Data],$DD636,64),0)</f>
        <v/>
      </c>
      <c r="BO636">
        <f>IFERROR(INDEX(PP_Grid[#Data],$DD636,65),0)</f>
        <v/>
      </c>
      <c r="BP636">
        <f>IFERROR(INDEX(PP_Grid[#Data],$DD636,66),0)</f>
        <v/>
      </c>
      <c r="BQ636">
        <f>IFERROR(INDEX(PP_Grid[#Data],$DD636,67),0)</f>
        <v/>
      </c>
      <c r="BR636">
        <f>IFERROR(INDEX(PP_Grid[#Data],$DD636,68),0)</f>
        <v/>
      </c>
      <c r="BS636">
        <f>IFERROR(INDEX(PP_Grid[#Data],$DD636,69),0)</f>
        <v/>
      </c>
      <c r="BT636">
        <f>IFERROR(INDEX(PP_Grid[#Data],$DD636,70),0)</f>
        <v/>
      </c>
      <c r="BU636">
        <f>IFERROR(INDEX(PP_Grid[#Data],$DD636,71),0)</f>
        <v/>
      </c>
      <c r="BV636">
        <f>IFERROR(INDEX(PP_Grid[#Data],$DD636,72),0)</f>
        <v/>
      </c>
      <c r="BW636">
        <f>IFERROR(INDEX(PP_Grid[#Data],$DD636,73),0)</f>
        <v/>
      </c>
      <c r="BX636">
        <f>IFERROR(INDEX(PP_Grid[#Data],$DD636,74),0)</f>
        <v/>
      </c>
      <c r="BY636">
        <f>IFERROR(INDEX(PP_Grid[#Data],$DD636,75),0)</f>
        <v/>
      </c>
      <c r="BZ636">
        <f>IFERROR(INDEX(PP_Grid[#Data],$DD636,76),0)</f>
        <v/>
      </c>
      <c r="CA636">
        <f>IFERROR(INDEX(PP_Grid[#Data],$DD636,77),0)</f>
        <v/>
      </c>
      <c r="CB636">
        <f>IFERROR(INDEX(PP_Grid[#Data],$DD636,78),0)</f>
        <v/>
      </c>
      <c r="CC636">
        <f>IFERROR(INDEX(PP_Grid[#Data],$DD636,79),0)</f>
        <v/>
      </c>
      <c r="CD636">
        <f>IFERROR(INDEX(PP_Grid[#Data],$DD636,80),0)</f>
        <v/>
      </c>
      <c r="CE636">
        <f>IFERROR(INDEX(PP_Grid[#Data],$DD636,81),0)</f>
        <v/>
      </c>
      <c r="CF636">
        <f>IFERROR(INDEX(PP_Grid[#Data],$DD636,82),0)</f>
        <v/>
      </c>
      <c r="CG636">
        <f>IFERROR(INDEX(PP_Grid[#Data],$DD636,83),0)</f>
        <v/>
      </c>
      <c r="CH636">
        <f>IFERROR(INDEX(PP_Grid[#Data],$DD636,84),0)</f>
        <v/>
      </c>
      <c r="CI636">
        <f>IFERROR(INDEX(PP_Grid[#Data],$DD636,85),0)</f>
        <v/>
      </c>
      <c r="CJ636">
        <f>IFERROR(INDEX(PP_Grid[#Data],$DD636,86),0)</f>
        <v/>
      </c>
      <c r="CK636">
        <f>IFERROR(INDEX(PP_Grid[#Data],$DD636,87),0)</f>
        <v/>
      </c>
      <c r="CL636">
        <f>IFERROR(INDEX(PP_Grid[#Data],$DD636,88),0)</f>
        <v/>
      </c>
      <c r="CM636">
        <f>IFERROR(INDEX(PP_Grid[#Data],$DD636,89),0)</f>
        <v/>
      </c>
      <c r="CN636">
        <f>IFERROR(INDEX(PP_Grid[#Data],$DD636,90),0)</f>
        <v/>
      </c>
      <c r="CO636">
        <f>IFERROR(INDEX(PP_Grid[#Data],$DD636,91),0)</f>
        <v/>
      </c>
      <c r="CP636">
        <f>IFERROR(INDEX(PP_Grid[#Data],$DD636,92),0)</f>
        <v/>
      </c>
      <c r="CQ636">
        <f>IFERROR(INDEX(PP_Grid[#Data],$DD636,93),0)</f>
        <v/>
      </c>
      <c r="CR636">
        <f>IFERROR(INDEX(PP_Grid[#Data],$DD636,94),0)</f>
        <v/>
      </c>
      <c r="CS636">
        <f>IFERROR(INDEX(PP_Grid[#Data],$DD636,95),0)</f>
        <v/>
      </c>
      <c r="CT636">
        <f>IFERROR(INDEX(PP_Grid[#Data],$DD636,96),0)</f>
        <v/>
      </c>
      <c r="CU636">
        <f>IFERROR(INDEX(PP_Grid[#Data],$DD636,97),0)</f>
        <v/>
      </c>
      <c r="CV636">
        <f>IFERROR(INDEX(PP_Grid[#Data],$DD636,98),0)</f>
        <v/>
      </c>
      <c r="CW636">
        <f>IFERROR(INDEX(PP_Grid[#Data],$DD636,99),0)</f>
        <v/>
      </c>
      <c r="CX636">
        <f>IFERROR(INDEX(PP_Grid[#Data],$DD636,100),0)</f>
        <v/>
      </c>
      <c r="CY636">
        <f>IFERROR(INDEX(PP_Grid[#Data],$DD636,101),0)</f>
        <v/>
      </c>
      <c r="CZ636">
        <f>IFERROR(INDEX(PP_Grid[#Data],$DD636,102),0)</f>
        <v/>
      </c>
      <c r="DA636">
        <f>IFERROR(INDEX(PP_Grid[#Data],$DD636,103),0)</f>
        <v/>
      </c>
      <c r="DB636">
        <f>IFERROR(INDEX(PP_Grid[#Data],$DD636,104),0)</f>
        <v/>
      </c>
      <c r="DC636">
        <f>IFERROR(INDEX(PP_Grid[#Data],$DD636,105),0)</f>
        <v/>
      </c>
      <c r="DD636" s="12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SUMIFS(M_BOM[RM_Qty_Per_Batch],M_BOM[Intermediate],$B636,M_BOM[Part Name],$A581)</f>
        <v/>
      </c>
      <c r="D637">
        <f>$C637*D636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</row>
    <row r="638">
      <c r="B638" t="inlineStr">
        <is>
          <t>TSP-924</t>
        </is>
      </c>
      <c r="C638" t="inlineStr">
        <is>
          <t>No. of batches</t>
        </is>
      </c>
      <c r="D638">
        <f>IFERROR(INDEX(PP_Grid[#Data],$DD638,2),0)</f>
        <v/>
      </c>
      <c r="E638">
        <f>IFERROR(INDEX(PP_Grid[#Data],$DD638,3),0)</f>
        <v/>
      </c>
      <c r="F638">
        <f>IFERROR(INDEX(PP_Grid[#Data],$DD638,4),0)</f>
        <v/>
      </c>
      <c r="G638">
        <f>IFERROR(INDEX(PP_Grid[#Data],$DD638,5),0)</f>
        <v/>
      </c>
      <c r="H638">
        <f>IFERROR(INDEX(PP_Grid[#Data],$DD638,6),0)</f>
        <v/>
      </c>
      <c r="I638">
        <f>IFERROR(INDEX(PP_Grid[#Data],$DD638,7),0)</f>
        <v/>
      </c>
      <c r="J638">
        <f>IFERROR(INDEX(PP_Grid[#Data],$DD638,8),0)</f>
        <v/>
      </c>
      <c r="K638">
        <f>IFERROR(INDEX(PP_Grid[#Data],$DD638,9),0)</f>
        <v/>
      </c>
      <c r="L638">
        <f>IFERROR(INDEX(PP_Grid[#Data],$DD638,10),0)</f>
        <v/>
      </c>
      <c r="M638">
        <f>IFERROR(INDEX(PP_Grid[#Data],$DD638,11),0)</f>
        <v/>
      </c>
      <c r="N638">
        <f>IFERROR(INDEX(PP_Grid[#Data],$DD638,12),0)</f>
        <v/>
      </c>
      <c r="O638">
        <f>IFERROR(INDEX(PP_Grid[#Data],$DD638,13),0)</f>
        <v/>
      </c>
      <c r="P638">
        <f>IFERROR(INDEX(PP_Grid[#Data],$DD638,14),0)</f>
        <v/>
      </c>
      <c r="Q638">
        <f>IFERROR(INDEX(PP_Grid[#Data],$DD638,15),0)</f>
        <v/>
      </c>
      <c r="R638">
        <f>IFERROR(INDEX(PP_Grid[#Data],$DD638,16),0)</f>
        <v/>
      </c>
      <c r="S638">
        <f>IFERROR(INDEX(PP_Grid[#Data],$DD638,17),0)</f>
        <v/>
      </c>
      <c r="T638">
        <f>IFERROR(INDEX(PP_Grid[#Data],$DD638,18),0)</f>
        <v/>
      </c>
      <c r="U638">
        <f>IFERROR(INDEX(PP_Grid[#Data],$DD638,19),0)</f>
        <v/>
      </c>
      <c r="V638">
        <f>IFERROR(INDEX(PP_Grid[#Data],$DD638,20),0)</f>
        <v/>
      </c>
      <c r="W638">
        <f>IFERROR(INDEX(PP_Grid[#Data],$DD638,21),0)</f>
        <v/>
      </c>
      <c r="X638">
        <f>IFERROR(INDEX(PP_Grid[#Data],$DD638,22),0)</f>
        <v/>
      </c>
      <c r="Y638">
        <f>IFERROR(INDEX(PP_Grid[#Data],$DD638,23),0)</f>
        <v/>
      </c>
      <c r="Z638">
        <f>IFERROR(INDEX(PP_Grid[#Data],$DD638,24),0)</f>
        <v/>
      </c>
      <c r="AA638">
        <f>IFERROR(INDEX(PP_Grid[#Data],$DD638,25),0)</f>
        <v/>
      </c>
      <c r="AB638">
        <f>IFERROR(INDEX(PP_Grid[#Data],$DD638,26),0)</f>
        <v/>
      </c>
      <c r="AC638">
        <f>IFERROR(INDEX(PP_Grid[#Data],$DD638,27),0)</f>
        <v/>
      </c>
      <c r="AD638">
        <f>IFERROR(INDEX(PP_Grid[#Data],$DD638,28),0)</f>
        <v/>
      </c>
      <c r="AE638">
        <f>IFERROR(INDEX(PP_Grid[#Data],$DD638,29),0)</f>
        <v/>
      </c>
      <c r="AF638">
        <f>IFERROR(INDEX(PP_Grid[#Data],$DD638,30),0)</f>
        <v/>
      </c>
      <c r="AG638">
        <f>IFERROR(INDEX(PP_Grid[#Data],$DD638,31),0)</f>
        <v/>
      </c>
      <c r="AH638">
        <f>IFERROR(INDEX(PP_Grid[#Data],$DD638,32),0)</f>
        <v/>
      </c>
      <c r="AI638">
        <f>IFERROR(INDEX(PP_Grid[#Data],$DD638,33),0)</f>
        <v/>
      </c>
      <c r="AJ638">
        <f>IFERROR(INDEX(PP_Grid[#Data],$DD638,34),0)</f>
        <v/>
      </c>
      <c r="AK638">
        <f>IFERROR(INDEX(PP_Grid[#Data],$DD638,35),0)</f>
        <v/>
      </c>
      <c r="AL638">
        <f>IFERROR(INDEX(PP_Grid[#Data],$DD638,36),0)</f>
        <v/>
      </c>
      <c r="AM638">
        <f>IFERROR(INDEX(PP_Grid[#Data],$DD638,37),0)</f>
        <v/>
      </c>
      <c r="AN638">
        <f>IFERROR(INDEX(PP_Grid[#Data],$DD638,38),0)</f>
        <v/>
      </c>
      <c r="AO638">
        <f>IFERROR(INDEX(PP_Grid[#Data],$DD638,39),0)</f>
        <v/>
      </c>
      <c r="AP638">
        <f>IFERROR(INDEX(PP_Grid[#Data],$DD638,40),0)</f>
        <v/>
      </c>
      <c r="AQ638">
        <f>IFERROR(INDEX(PP_Grid[#Data],$DD638,41),0)</f>
        <v/>
      </c>
      <c r="AR638">
        <f>IFERROR(INDEX(PP_Grid[#Data],$DD638,42),0)</f>
        <v/>
      </c>
      <c r="AS638">
        <f>IFERROR(INDEX(PP_Grid[#Data],$DD638,43),0)</f>
        <v/>
      </c>
      <c r="AT638">
        <f>IFERROR(INDEX(PP_Grid[#Data],$DD638,44),0)</f>
        <v/>
      </c>
      <c r="AU638">
        <f>IFERROR(INDEX(PP_Grid[#Data],$DD638,45),0)</f>
        <v/>
      </c>
      <c r="AV638">
        <f>IFERROR(INDEX(PP_Grid[#Data],$DD638,46),0)</f>
        <v/>
      </c>
      <c r="AW638">
        <f>IFERROR(INDEX(PP_Grid[#Data],$DD638,47),0)</f>
        <v/>
      </c>
      <c r="AX638">
        <f>IFERROR(INDEX(PP_Grid[#Data],$DD638,48),0)</f>
        <v/>
      </c>
      <c r="AY638">
        <f>IFERROR(INDEX(PP_Grid[#Data],$DD638,49),0)</f>
        <v/>
      </c>
      <c r="AZ638">
        <f>IFERROR(INDEX(PP_Grid[#Data],$DD638,50),0)</f>
        <v/>
      </c>
      <c r="BA638">
        <f>IFERROR(INDEX(PP_Grid[#Data],$DD638,51),0)</f>
        <v/>
      </c>
      <c r="BB638">
        <f>IFERROR(INDEX(PP_Grid[#Data],$DD638,52),0)</f>
        <v/>
      </c>
      <c r="BC638">
        <f>IFERROR(INDEX(PP_Grid[#Data],$DD638,53),0)</f>
        <v/>
      </c>
      <c r="BD638">
        <f>IFERROR(INDEX(PP_Grid[#Data],$DD638,54),0)</f>
        <v/>
      </c>
      <c r="BE638">
        <f>IFERROR(INDEX(PP_Grid[#Data],$DD638,55),0)</f>
        <v/>
      </c>
      <c r="BF638">
        <f>IFERROR(INDEX(PP_Grid[#Data],$DD638,56),0)</f>
        <v/>
      </c>
      <c r="BG638">
        <f>IFERROR(INDEX(PP_Grid[#Data],$DD638,57),0)</f>
        <v/>
      </c>
      <c r="BH638">
        <f>IFERROR(INDEX(PP_Grid[#Data],$DD638,58),0)</f>
        <v/>
      </c>
      <c r="BI638">
        <f>IFERROR(INDEX(PP_Grid[#Data],$DD638,59),0)</f>
        <v/>
      </c>
      <c r="BJ638">
        <f>IFERROR(INDEX(PP_Grid[#Data],$DD638,60),0)</f>
        <v/>
      </c>
      <c r="BK638">
        <f>IFERROR(INDEX(PP_Grid[#Data],$DD638,61),0)</f>
        <v/>
      </c>
      <c r="BL638">
        <f>IFERROR(INDEX(PP_Grid[#Data],$DD638,62),0)</f>
        <v/>
      </c>
      <c r="BM638">
        <f>IFERROR(INDEX(PP_Grid[#Data],$DD638,63),0)</f>
        <v/>
      </c>
      <c r="BN638">
        <f>IFERROR(INDEX(PP_Grid[#Data],$DD638,64),0)</f>
        <v/>
      </c>
      <c r="BO638">
        <f>IFERROR(INDEX(PP_Grid[#Data],$DD638,65),0)</f>
        <v/>
      </c>
      <c r="BP638">
        <f>IFERROR(INDEX(PP_Grid[#Data],$DD638,66),0)</f>
        <v/>
      </c>
      <c r="BQ638">
        <f>IFERROR(INDEX(PP_Grid[#Data],$DD638,67),0)</f>
        <v/>
      </c>
      <c r="BR638">
        <f>IFERROR(INDEX(PP_Grid[#Data],$DD638,68),0)</f>
        <v/>
      </c>
      <c r="BS638">
        <f>IFERROR(INDEX(PP_Grid[#Data],$DD638,69),0)</f>
        <v/>
      </c>
      <c r="BT638">
        <f>IFERROR(INDEX(PP_Grid[#Data],$DD638,70),0)</f>
        <v/>
      </c>
      <c r="BU638">
        <f>IFERROR(INDEX(PP_Grid[#Data],$DD638,71),0)</f>
        <v/>
      </c>
      <c r="BV638">
        <f>IFERROR(INDEX(PP_Grid[#Data],$DD638,72),0)</f>
        <v/>
      </c>
      <c r="BW638">
        <f>IFERROR(INDEX(PP_Grid[#Data],$DD638,73),0)</f>
        <v/>
      </c>
      <c r="BX638">
        <f>IFERROR(INDEX(PP_Grid[#Data],$DD638,74),0)</f>
        <v/>
      </c>
      <c r="BY638">
        <f>IFERROR(INDEX(PP_Grid[#Data],$DD638,75),0)</f>
        <v/>
      </c>
      <c r="BZ638">
        <f>IFERROR(INDEX(PP_Grid[#Data],$DD638,76),0)</f>
        <v/>
      </c>
      <c r="CA638">
        <f>IFERROR(INDEX(PP_Grid[#Data],$DD638,77),0)</f>
        <v/>
      </c>
      <c r="CB638">
        <f>IFERROR(INDEX(PP_Grid[#Data],$DD638,78),0)</f>
        <v/>
      </c>
      <c r="CC638">
        <f>IFERROR(INDEX(PP_Grid[#Data],$DD638,79),0)</f>
        <v/>
      </c>
      <c r="CD638">
        <f>IFERROR(INDEX(PP_Grid[#Data],$DD638,80),0)</f>
        <v/>
      </c>
      <c r="CE638">
        <f>IFERROR(INDEX(PP_Grid[#Data],$DD638,81),0)</f>
        <v/>
      </c>
      <c r="CF638">
        <f>IFERROR(INDEX(PP_Grid[#Data],$DD638,82),0)</f>
        <v/>
      </c>
      <c r="CG638">
        <f>IFERROR(INDEX(PP_Grid[#Data],$DD638,83),0)</f>
        <v/>
      </c>
      <c r="CH638">
        <f>IFERROR(INDEX(PP_Grid[#Data],$DD638,84),0)</f>
        <v/>
      </c>
      <c r="CI638">
        <f>IFERROR(INDEX(PP_Grid[#Data],$DD638,85),0)</f>
        <v/>
      </c>
      <c r="CJ638">
        <f>IFERROR(INDEX(PP_Grid[#Data],$DD638,86),0)</f>
        <v/>
      </c>
      <c r="CK638">
        <f>IFERROR(INDEX(PP_Grid[#Data],$DD638,87),0)</f>
        <v/>
      </c>
      <c r="CL638">
        <f>IFERROR(INDEX(PP_Grid[#Data],$DD638,88),0)</f>
        <v/>
      </c>
      <c r="CM638">
        <f>IFERROR(INDEX(PP_Grid[#Data],$DD638,89),0)</f>
        <v/>
      </c>
      <c r="CN638">
        <f>IFERROR(INDEX(PP_Grid[#Data],$DD638,90),0)</f>
        <v/>
      </c>
      <c r="CO638">
        <f>IFERROR(INDEX(PP_Grid[#Data],$DD638,91),0)</f>
        <v/>
      </c>
      <c r="CP638">
        <f>IFERROR(INDEX(PP_Grid[#Data],$DD638,92),0)</f>
        <v/>
      </c>
      <c r="CQ638">
        <f>IFERROR(INDEX(PP_Grid[#Data],$DD638,93),0)</f>
        <v/>
      </c>
      <c r="CR638">
        <f>IFERROR(INDEX(PP_Grid[#Data],$DD638,94),0)</f>
        <v/>
      </c>
      <c r="CS638">
        <f>IFERROR(INDEX(PP_Grid[#Data],$DD638,95),0)</f>
        <v/>
      </c>
      <c r="CT638">
        <f>IFERROR(INDEX(PP_Grid[#Data],$DD638,96),0)</f>
        <v/>
      </c>
      <c r="CU638">
        <f>IFERROR(INDEX(PP_Grid[#Data],$DD638,97),0)</f>
        <v/>
      </c>
      <c r="CV638">
        <f>IFERROR(INDEX(PP_Grid[#Data],$DD638,98),0)</f>
        <v/>
      </c>
      <c r="CW638">
        <f>IFERROR(INDEX(PP_Grid[#Data],$DD638,99),0)</f>
        <v/>
      </c>
      <c r="CX638">
        <f>IFERROR(INDEX(PP_Grid[#Data],$DD638,100),0)</f>
        <v/>
      </c>
      <c r="CY638">
        <f>IFERROR(INDEX(PP_Grid[#Data],$DD638,101),0)</f>
        <v/>
      </c>
      <c r="CZ638">
        <f>IFERROR(INDEX(PP_Grid[#Data],$DD638,102),0)</f>
        <v/>
      </c>
      <c r="DA638">
        <f>IFERROR(INDEX(PP_Grid[#Data],$DD638,103),0)</f>
        <v/>
      </c>
      <c r="DB638">
        <f>IFERROR(INDEX(PP_Grid[#Data],$DD638,104),0)</f>
        <v/>
      </c>
      <c r="DC638">
        <f>IFERROR(INDEX(PP_Grid[#Data],$DD638,105),0)</f>
        <v/>
      </c>
      <c r="DD638" s="12">
        <f>IFERROR(MATCH($B638,PP_Grid[Intermediate],0),99999)</f>
        <v/>
      </c>
    </row>
    <row r="639">
      <c r="B639" t="inlineStr">
        <is>
          <t>使用量(kg)</t>
        </is>
      </c>
      <c r="C639">
        <f>SUMIFS(M_BOM[RM_Qty_Per_Batch],M_BOM[Intermediate],$B638,M_BOM[Part Name],$A581)</f>
        <v/>
      </c>
      <c r="D639">
        <f>$C639*D638</f>
        <v/>
      </c>
      <c r="E639">
        <f>$C639*E638</f>
        <v/>
      </c>
      <c r="F639">
        <f>$C639*F638</f>
        <v/>
      </c>
      <c r="G639">
        <f>$C639*G638</f>
        <v/>
      </c>
      <c r="H639">
        <f>$C639*H638</f>
        <v/>
      </c>
      <c r="I639">
        <f>$C639*I638</f>
        <v/>
      </c>
      <c r="J639">
        <f>$C639*J638</f>
        <v/>
      </c>
      <c r="K639">
        <f>$C639*K638</f>
        <v/>
      </c>
      <c r="L639">
        <f>$C639*L638</f>
        <v/>
      </c>
      <c r="M639">
        <f>$C639*M638</f>
        <v/>
      </c>
      <c r="N639">
        <f>$C639*N638</f>
        <v/>
      </c>
      <c r="O639">
        <f>$C639*O638</f>
        <v/>
      </c>
      <c r="P639">
        <f>$C639*P638</f>
        <v/>
      </c>
      <c r="Q639">
        <f>$C639*Q638</f>
        <v/>
      </c>
      <c r="R639">
        <f>$C639*R638</f>
        <v/>
      </c>
      <c r="S639">
        <f>$C639*S638</f>
        <v/>
      </c>
      <c r="T639">
        <f>$C639*T638</f>
        <v/>
      </c>
      <c r="U639">
        <f>$C639*U638</f>
        <v/>
      </c>
      <c r="V639">
        <f>$C639*V638</f>
        <v/>
      </c>
      <c r="W639">
        <f>$C639*W638</f>
        <v/>
      </c>
      <c r="X639">
        <f>$C639*X638</f>
        <v/>
      </c>
      <c r="Y639">
        <f>$C639*Y638</f>
        <v/>
      </c>
      <c r="Z639">
        <f>$C639*Z638</f>
        <v/>
      </c>
      <c r="AA639">
        <f>$C639*AA638</f>
        <v/>
      </c>
      <c r="AB639">
        <f>$C639*AB638</f>
        <v/>
      </c>
      <c r="AC639">
        <f>$C639*AC638</f>
        <v/>
      </c>
      <c r="AD639">
        <f>$C639*AD638</f>
        <v/>
      </c>
      <c r="AE639">
        <f>$C639*AE638</f>
        <v/>
      </c>
      <c r="AF639">
        <f>$C639*AF638</f>
        <v/>
      </c>
      <c r="AG639">
        <f>$C639*AG638</f>
        <v/>
      </c>
      <c r="AH639">
        <f>$C639*AH638</f>
        <v/>
      </c>
      <c r="AI639">
        <f>$C639*AI638</f>
        <v/>
      </c>
      <c r="AJ639">
        <f>$C639*AJ638</f>
        <v/>
      </c>
      <c r="AK639">
        <f>$C639*AK638</f>
        <v/>
      </c>
      <c r="AL639">
        <f>$C639*AL638</f>
        <v/>
      </c>
      <c r="AM639">
        <f>$C639*AM638</f>
        <v/>
      </c>
      <c r="AN639">
        <f>$C639*AN638</f>
        <v/>
      </c>
      <c r="AO639">
        <f>$C639*AO638</f>
        <v/>
      </c>
      <c r="AP639">
        <f>$C639*AP638</f>
        <v/>
      </c>
      <c r="AQ639">
        <f>$C639*AQ638</f>
        <v/>
      </c>
      <c r="AR639">
        <f>$C639*AR638</f>
        <v/>
      </c>
      <c r="AS639">
        <f>$C639*AS638</f>
        <v/>
      </c>
      <c r="AT639">
        <f>$C639*AT638</f>
        <v/>
      </c>
      <c r="AU639">
        <f>$C639*AU638</f>
        <v/>
      </c>
      <c r="AV639">
        <f>$C639*AV638</f>
        <v/>
      </c>
      <c r="AW639">
        <f>$C639*AW638</f>
        <v/>
      </c>
      <c r="AX639">
        <f>$C639*AX638</f>
        <v/>
      </c>
      <c r="AY639">
        <f>$C639*AY638</f>
        <v/>
      </c>
      <c r="AZ639">
        <f>$C639*AZ638</f>
        <v/>
      </c>
      <c r="BA639">
        <f>$C639*BA638</f>
        <v/>
      </c>
      <c r="BB639">
        <f>$C639*BB638</f>
        <v/>
      </c>
      <c r="BC639">
        <f>$C639*BC638</f>
        <v/>
      </c>
      <c r="BD639">
        <f>$C639*BD638</f>
        <v/>
      </c>
      <c r="BE639">
        <f>$C639*BE638</f>
        <v/>
      </c>
      <c r="BF639">
        <f>$C639*BF638</f>
        <v/>
      </c>
      <c r="BG639">
        <f>$C639*BG638</f>
        <v/>
      </c>
      <c r="BH639">
        <f>$C639*BH638</f>
        <v/>
      </c>
      <c r="BI639">
        <f>$C639*BI638</f>
        <v/>
      </c>
      <c r="BJ639">
        <f>$C639*BJ638</f>
        <v/>
      </c>
      <c r="BK639">
        <f>$C639*BK638</f>
        <v/>
      </c>
      <c r="BL639">
        <f>$C639*BL638</f>
        <v/>
      </c>
      <c r="BM639">
        <f>$C639*BM638</f>
        <v/>
      </c>
      <c r="BN639">
        <f>$C639*BN638</f>
        <v/>
      </c>
      <c r="BO639">
        <f>$C639*BO638</f>
        <v/>
      </c>
      <c r="BP639">
        <f>$C639*BP638</f>
        <v/>
      </c>
      <c r="BQ639">
        <f>$C639*BQ638</f>
        <v/>
      </c>
      <c r="BR639">
        <f>$C639*BR638</f>
        <v/>
      </c>
      <c r="BS639">
        <f>$C639*BS638</f>
        <v/>
      </c>
      <c r="BT639">
        <f>$C639*BT638</f>
        <v/>
      </c>
      <c r="BU639">
        <f>$C639*BU638</f>
        <v/>
      </c>
      <c r="BV639">
        <f>$C639*BV638</f>
        <v/>
      </c>
      <c r="BW639">
        <f>$C639*BW638</f>
        <v/>
      </c>
      <c r="BX639">
        <f>$C639*BX638</f>
        <v/>
      </c>
      <c r="BY639">
        <f>$C639*BY638</f>
        <v/>
      </c>
      <c r="BZ639">
        <f>$C639*BZ638</f>
        <v/>
      </c>
      <c r="CA639">
        <f>$C639*CA638</f>
        <v/>
      </c>
      <c r="CB639">
        <f>$C639*CB638</f>
        <v/>
      </c>
      <c r="CC639">
        <f>$C639*CC638</f>
        <v/>
      </c>
      <c r="CD639">
        <f>$C639*CD638</f>
        <v/>
      </c>
      <c r="CE639">
        <f>$C639*CE638</f>
        <v/>
      </c>
      <c r="CF639">
        <f>$C639*CF638</f>
        <v/>
      </c>
      <c r="CG639">
        <f>$C639*CG638</f>
        <v/>
      </c>
      <c r="CH639">
        <f>$C639*CH638</f>
        <v/>
      </c>
      <c r="CI639">
        <f>$C639*CI638</f>
        <v/>
      </c>
      <c r="CJ639">
        <f>$C639*CJ638</f>
        <v/>
      </c>
      <c r="CK639">
        <f>$C639*CK638</f>
        <v/>
      </c>
      <c r="CL639">
        <f>$C639*CL638</f>
        <v/>
      </c>
      <c r="CM639">
        <f>$C639*CM638</f>
        <v/>
      </c>
      <c r="CN639">
        <f>$C639*CN638</f>
        <v/>
      </c>
      <c r="CO639">
        <f>$C639*CO638</f>
        <v/>
      </c>
      <c r="CP639">
        <f>$C639*CP638</f>
        <v/>
      </c>
      <c r="CQ639">
        <f>$C639*CQ638</f>
        <v/>
      </c>
      <c r="CR639">
        <f>$C639*CR638</f>
        <v/>
      </c>
      <c r="CS639">
        <f>$C639*CS638</f>
        <v/>
      </c>
      <c r="CT639">
        <f>$C639*CT638</f>
        <v/>
      </c>
      <c r="CU639">
        <f>$C639*CU638</f>
        <v/>
      </c>
      <c r="CV639">
        <f>$C639*CV638</f>
        <v/>
      </c>
      <c r="CW639">
        <f>$C639*CW638</f>
        <v/>
      </c>
      <c r="CX639">
        <f>$C639*CX638</f>
        <v/>
      </c>
      <c r="CY639">
        <f>$C639*CY638</f>
        <v/>
      </c>
      <c r="CZ639">
        <f>$C639*CZ638</f>
        <v/>
      </c>
      <c r="DA639">
        <f>$C639*DA638</f>
        <v/>
      </c>
      <c r="DB639">
        <f>$C639*DB638</f>
        <v/>
      </c>
      <c r="DC639">
        <f>$C639*DC638</f>
        <v/>
      </c>
    </row>
    <row r="640">
      <c r="B640" t="inlineStr">
        <is>
          <t>TSP-925</t>
        </is>
      </c>
      <c r="C640" t="inlineStr">
        <is>
          <t>No. of batches</t>
        </is>
      </c>
      <c r="D640">
        <f>IFERROR(INDEX(PP_Grid[#Data],$DD640,2),0)</f>
        <v/>
      </c>
      <c r="E640">
        <f>IFERROR(INDEX(PP_Grid[#Data],$DD640,3),0)</f>
        <v/>
      </c>
      <c r="F640">
        <f>IFERROR(INDEX(PP_Grid[#Data],$DD640,4),0)</f>
        <v/>
      </c>
      <c r="G640">
        <f>IFERROR(INDEX(PP_Grid[#Data],$DD640,5),0)</f>
        <v/>
      </c>
      <c r="H640">
        <f>IFERROR(INDEX(PP_Grid[#Data],$DD640,6),0)</f>
        <v/>
      </c>
      <c r="I640">
        <f>IFERROR(INDEX(PP_Grid[#Data],$DD640,7),0)</f>
        <v/>
      </c>
      <c r="J640">
        <f>IFERROR(INDEX(PP_Grid[#Data],$DD640,8),0)</f>
        <v/>
      </c>
      <c r="K640">
        <f>IFERROR(INDEX(PP_Grid[#Data],$DD640,9),0)</f>
        <v/>
      </c>
      <c r="L640">
        <f>IFERROR(INDEX(PP_Grid[#Data],$DD640,10),0)</f>
        <v/>
      </c>
      <c r="M640">
        <f>IFERROR(INDEX(PP_Grid[#Data],$DD640,11),0)</f>
        <v/>
      </c>
      <c r="N640">
        <f>IFERROR(INDEX(PP_Grid[#Data],$DD640,12),0)</f>
        <v/>
      </c>
      <c r="O640">
        <f>IFERROR(INDEX(PP_Grid[#Data],$DD640,13),0)</f>
        <v/>
      </c>
      <c r="P640">
        <f>IFERROR(INDEX(PP_Grid[#Data],$DD640,14),0)</f>
        <v/>
      </c>
      <c r="Q640">
        <f>IFERROR(INDEX(PP_Grid[#Data],$DD640,15),0)</f>
        <v/>
      </c>
      <c r="R640">
        <f>IFERROR(INDEX(PP_Grid[#Data],$DD640,16),0)</f>
        <v/>
      </c>
      <c r="S640">
        <f>IFERROR(INDEX(PP_Grid[#Data],$DD640,17),0)</f>
        <v/>
      </c>
      <c r="T640">
        <f>IFERROR(INDEX(PP_Grid[#Data],$DD640,18),0)</f>
        <v/>
      </c>
      <c r="U640">
        <f>IFERROR(INDEX(PP_Grid[#Data],$DD640,19),0)</f>
        <v/>
      </c>
      <c r="V640">
        <f>IFERROR(INDEX(PP_Grid[#Data],$DD640,20),0)</f>
        <v/>
      </c>
      <c r="W640">
        <f>IFERROR(INDEX(PP_Grid[#Data],$DD640,21),0)</f>
        <v/>
      </c>
      <c r="X640">
        <f>IFERROR(INDEX(PP_Grid[#Data],$DD640,22),0)</f>
        <v/>
      </c>
      <c r="Y640">
        <f>IFERROR(INDEX(PP_Grid[#Data],$DD640,23),0)</f>
        <v/>
      </c>
      <c r="Z640">
        <f>IFERROR(INDEX(PP_Grid[#Data],$DD640,24),0)</f>
        <v/>
      </c>
      <c r="AA640">
        <f>IFERROR(INDEX(PP_Grid[#Data],$DD640,25),0)</f>
        <v/>
      </c>
      <c r="AB640">
        <f>IFERROR(INDEX(PP_Grid[#Data],$DD640,26),0)</f>
        <v/>
      </c>
      <c r="AC640">
        <f>IFERROR(INDEX(PP_Grid[#Data],$DD640,27),0)</f>
        <v/>
      </c>
      <c r="AD640">
        <f>IFERROR(INDEX(PP_Grid[#Data],$DD640,28),0)</f>
        <v/>
      </c>
      <c r="AE640">
        <f>IFERROR(INDEX(PP_Grid[#Data],$DD640,29),0)</f>
        <v/>
      </c>
      <c r="AF640">
        <f>IFERROR(INDEX(PP_Grid[#Data],$DD640,30),0)</f>
        <v/>
      </c>
      <c r="AG640">
        <f>IFERROR(INDEX(PP_Grid[#Data],$DD640,31),0)</f>
        <v/>
      </c>
      <c r="AH640">
        <f>IFERROR(INDEX(PP_Grid[#Data],$DD640,32),0)</f>
        <v/>
      </c>
      <c r="AI640">
        <f>IFERROR(INDEX(PP_Grid[#Data],$DD640,33),0)</f>
        <v/>
      </c>
      <c r="AJ640">
        <f>IFERROR(INDEX(PP_Grid[#Data],$DD640,34),0)</f>
        <v/>
      </c>
      <c r="AK640">
        <f>IFERROR(INDEX(PP_Grid[#Data],$DD640,35),0)</f>
        <v/>
      </c>
      <c r="AL640">
        <f>IFERROR(INDEX(PP_Grid[#Data],$DD640,36),0)</f>
        <v/>
      </c>
      <c r="AM640">
        <f>IFERROR(INDEX(PP_Grid[#Data],$DD640,37),0)</f>
        <v/>
      </c>
      <c r="AN640">
        <f>IFERROR(INDEX(PP_Grid[#Data],$DD640,38),0)</f>
        <v/>
      </c>
      <c r="AO640">
        <f>IFERROR(INDEX(PP_Grid[#Data],$DD640,39),0)</f>
        <v/>
      </c>
      <c r="AP640">
        <f>IFERROR(INDEX(PP_Grid[#Data],$DD640,40),0)</f>
        <v/>
      </c>
      <c r="AQ640">
        <f>IFERROR(INDEX(PP_Grid[#Data],$DD640,41),0)</f>
        <v/>
      </c>
      <c r="AR640">
        <f>IFERROR(INDEX(PP_Grid[#Data],$DD640,42),0)</f>
        <v/>
      </c>
      <c r="AS640">
        <f>IFERROR(INDEX(PP_Grid[#Data],$DD640,43),0)</f>
        <v/>
      </c>
      <c r="AT640">
        <f>IFERROR(INDEX(PP_Grid[#Data],$DD640,44),0)</f>
        <v/>
      </c>
      <c r="AU640">
        <f>IFERROR(INDEX(PP_Grid[#Data],$DD640,45),0)</f>
        <v/>
      </c>
      <c r="AV640">
        <f>IFERROR(INDEX(PP_Grid[#Data],$DD640,46),0)</f>
        <v/>
      </c>
      <c r="AW640">
        <f>IFERROR(INDEX(PP_Grid[#Data],$DD640,47),0)</f>
        <v/>
      </c>
      <c r="AX640">
        <f>IFERROR(INDEX(PP_Grid[#Data],$DD640,48),0)</f>
        <v/>
      </c>
      <c r="AY640">
        <f>IFERROR(INDEX(PP_Grid[#Data],$DD640,49),0)</f>
        <v/>
      </c>
      <c r="AZ640">
        <f>IFERROR(INDEX(PP_Grid[#Data],$DD640,50),0)</f>
        <v/>
      </c>
      <c r="BA640">
        <f>IFERROR(INDEX(PP_Grid[#Data],$DD640,51),0)</f>
        <v/>
      </c>
      <c r="BB640">
        <f>IFERROR(INDEX(PP_Grid[#Data],$DD640,52),0)</f>
        <v/>
      </c>
      <c r="BC640">
        <f>IFERROR(INDEX(PP_Grid[#Data],$DD640,53),0)</f>
        <v/>
      </c>
      <c r="BD640">
        <f>IFERROR(INDEX(PP_Grid[#Data],$DD640,54),0)</f>
        <v/>
      </c>
      <c r="BE640">
        <f>IFERROR(INDEX(PP_Grid[#Data],$DD640,55),0)</f>
        <v/>
      </c>
      <c r="BF640">
        <f>IFERROR(INDEX(PP_Grid[#Data],$DD640,56),0)</f>
        <v/>
      </c>
      <c r="BG640">
        <f>IFERROR(INDEX(PP_Grid[#Data],$DD640,57),0)</f>
        <v/>
      </c>
      <c r="BH640">
        <f>IFERROR(INDEX(PP_Grid[#Data],$DD640,58),0)</f>
        <v/>
      </c>
      <c r="BI640">
        <f>IFERROR(INDEX(PP_Grid[#Data],$DD640,59),0)</f>
        <v/>
      </c>
      <c r="BJ640">
        <f>IFERROR(INDEX(PP_Grid[#Data],$DD640,60),0)</f>
        <v/>
      </c>
      <c r="BK640">
        <f>IFERROR(INDEX(PP_Grid[#Data],$DD640,61),0)</f>
        <v/>
      </c>
      <c r="BL640">
        <f>IFERROR(INDEX(PP_Grid[#Data],$DD640,62),0)</f>
        <v/>
      </c>
      <c r="BM640">
        <f>IFERROR(INDEX(PP_Grid[#Data],$DD640,63),0)</f>
        <v/>
      </c>
      <c r="BN640">
        <f>IFERROR(INDEX(PP_Grid[#Data],$DD640,64),0)</f>
        <v/>
      </c>
      <c r="BO640">
        <f>IFERROR(INDEX(PP_Grid[#Data],$DD640,65),0)</f>
        <v/>
      </c>
      <c r="BP640">
        <f>IFERROR(INDEX(PP_Grid[#Data],$DD640,66),0)</f>
        <v/>
      </c>
      <c r="BQ640">
        <f>IFERROR(INDEX(PP_Grid[#Data],$DD640,67),0)</f>
        <v/>
      </c>
      <c r="BR640">
        <f>IFERROR(INDEX(PP_Grid[#Data],$DD640,68),0)</f>
        <v/>
      </c>
      <c r="BS640">
        <f>IFERROR(INDEX(PP_Grid[#Data],$DD640,69),0)</f>
        <v/>
      </c>
      <c r="BT640">
        <f>IFERROR(INDEX(PP_Grid[#Data],$DD640,70),0)</f>
        <v/>
      </c>
      <c r="BU640">
        <f>IFERROR(INDEX(PP_Grid[#Data],$DD640,71),0)</f>
        <v/>
      </c>
      <c r="BV640">
        <f>IFERROR(INDEX(PP_Grid[#Data],$DD640,72),0)</f>
        <v/>
      </c>
      <c r="BW640">
        <f>IFERROR(INDEX(PP_Grid[#Data],$DD640,73),0)</f>
        <v/>
      </c>
      <c r="BX640">
        <f>IFERROR(INDEX(PP_Grid[#Data],$DD640,74),0)</f>
        <v/>
      </c>
      <c r="BY640">
        <f>IFERROR(INDEX(PP_Grid[#Data],$DD640,75),0)</f>
        <v/>
      </c>
      <c r="BZ640">
        <f>IFERROR(INDEX(PP_Grid[#Data],$DD640,76),0)</f>
        <v/>
      </c>
      <c r="CA640">
        <f>IFERROR(INDEX(PP_Grid[#Data],$DD640,77),0)</f>
        <v/>
      </c>
      <c r="CB640">
        <f>IFERROR(INDEX(PP_Grid[#Data],$DD640,78),0)</f>
        <v/>
      </c>
      <c r="CC640">
        <f>IFERROR(INDEX(PP_Grid[#Data],$DD640,79),0)</f>
        <v/>
      </c>
      <c r="CD640">
        <f>IFERROR(INDEX(PP_Grid[#Data],$DD640,80),0)</f>
        <v/>
      </c>
      <c r="CE640">
        <f>IFERROR(INDEX(PP_Grid[#Data],$DD640,81),0)</f>
        <v/>
      </c>
      <c r="CF640">
        <f>IFERROR(INDEX(PP_Grid[#Data],$DD640,82),0)</f>
        <v/>
      </c>
      <c r="CG640">
        <f>IFERROR(INDEX(PP_Grid[#Data],$DD640,83),0)</f>
        <v/>
      </c>
      <c r="CH640">
        <f>IFERROR(INDEX(PP_Grid[#Data],$DD640,84),0)</f>
        <v/>
      </c>
      <c r="CI640">
        <f>IFERROR(INDEX(PP_Grid[#Data],$DD640,85),0)</f>
        <v/>
      </c>
      <c r="CJ640">
        <f>IFERROR(INDEX(PP_Grid[#Data],$DD640,86),0)</f>
        <v/>
      </c>
      <c r="CK640">
        <f>IFERROR(INDEX(PP_Grid[#Data],$DD640,87),0)</f>
        <v/>
      </c>
      <c r="CL640">
        <f>IFERROR(INDEX(PP_Grid[#Data],$DD640,88),0)</f>
        <v/>
      </c>
      <c r="CM640">
        <f>IFERROR(INDEX(PP_Grid[#Data],$DD640,89),0)</f>
        <v/>
      </c>
      <c r="CN640">
        <f>IFERROR(INDEX(PP_Grid[#Data],$DD640,90),0)</f>
        <v/>
      </c>
      <c r="CO640">
        <f>IFERROR(INDEX(PP_Grid[#Data],$DD640,91),0)</f>
        <v/>
      </c>
      <c r="CP640">
        <f>IFERROR(INDEX(PP_Grid[#Data],$DD640,92),0)</f>
        <v/>
      </c>
      <c r="CQ640">
        <f>IFERROR(INDEX(PP_Grid[#Data],$DD640,93),0)</f>
        <v/>
      </c>
      <c r="CR640">
        <f>IFERROR(INDEX(PP_Grid[#Data],$DD640,94),0)</f>
        <v/>
      </c>
      <c r="CS640">
        <f>IFERROR(INDEX(PP_Grid[#Data],$DD640,95),0)</f>
        <v/>
      </c>
      <c r="CT640">
        <f>IFERROR(INDEX(PP_Grid[#Data],$DD640,96),0)</f>
        <v/>
      </c>
      <c r="CU640">
        <f>IFERROR(INDEX(PP_Grid[#Data],$DD640,97),0)</f>
        <v/>
      </c>
      <c r="CV640">
        <f>IFERROR(INDEX(PP_Grid[#Data],$DD640,98),0)</f>
        <v/>
      </c>
      <c r="CW640">
        <f>IFERROR(INDEX(PP_Grid[#Data],$DD640,99),0)</f>
        <v/>
      </c>
      <c r="CX640">
        <f>IFERROR(INDEX(PP_Grid[#Data],$DD640,100),0)</f>
        <v/>
      </c>
      <c r="CY640">
        <f>IFERROR(INDEX(PP_Grid[#Data],$DD640,101),0)</f>
        <v/>
      </c>
      <c r="CZ640">
        <f>IFERROR(INDEX(PP_Grid[#Data],$DD640,102),0)</f>
        <v/>
      </c>
      <c r="DA640">
        <f>IFERROR(INDEX(PP_Grid[#Data],$DD640,103),0)</f>
        <v/>
      </c>
      <c r="DB640">
        <f>IFERROR(INDEX(PP_Grid[#Data],$DD640,104),0)</f>
        <v/>
      </c>
      <c r="DC640">
        <f>IFERROR(INDEX(PP_Grid[#Data],$DD640,105),0)</f>
        <v/>
      </c>
      <c r="DD640" s="12">
        <f>IFERROR(MATCH($B640,PP_Grid[Intermediate],0),99999)</f>
        <v/>
      </c>
    </row>
    <row r="641">
      <c r="B641" t="inlineStr">
        <is>
          <t>使用量(kg)</t>
        </is>
      </c>
      <c r="C641">
        <f>SUMIFS(M_BOM[RM_Qty_Per_Batch],M_BOM[Intermediate],$B640,M_BOM[Part Name],$A581)</f>
        <v/>
      </c>
      <c r="D641">
        <f>$C641*D640</f>
        <v/>
      </c>
      <c r="E641">
        <f>$C641*E640</f>
        <v/>
      </c>
      <c r="F641">
        <f>$C641*F640</f>
        <v/>
      </c>
      <c r="G641">
        <f>$C641*G640</f>
        <v/>
      </c>
      <c r="H641">
        <f>$C641*H640</f>
        <v/>
      </c>
      <c r="I641">
        <f>$C641*I640</f>
        <v/>
      </c>
      <c r="J641">
        <f>$C641*J640</f>
        <v/>
      </c>
      <c r="K641">
        <f>$C641*K640</f>
        <v/>
      </c>
      <c r="L641">
        <f>$C641*L640</f>
        <v/>
      </c>
      <c r="M641">
        <f>$C641*M640</f>
        <v/>
      </c>
      <c r="N641">
        <f>$C641*N640</f>
        <v/>
      </c>
      <c r="O641">
        <f>$C641*O640</f>
        <v/>
      </c>
      <c r="P641">
        <f>$C641*P640</f>
        <v/>
      </c>
      <c r="Q641">
        <f>$C641*Q640</f>
        <v/>
      </c>
      <c r="R641">
        <f>$C641*R640</f>
        <v/>
      </c>
      <c r="S641">
        <f>$C641*S640</f>
        <v/>
      </c>
      <c r="T641">
        <f>$C641*T640</f>
        <v/>
      </c>
      <c r="U641">
        <f>$C641*U640</f>
        <v/>
      </c>
      <c r="V641">
        <f>$C641*V640</f>
        <v/>
      </c>
      <c r="W641">
        <f>$C641*W640</f>
        <v/>
      </c>
      <c r="X641">
        <f>$C641*X640</f>
        <v/>
      </c>
      <c r="Y641">
        <f>$C641*Y640</f>
        <v/>
      </c>
      <c r="Z641">
        <f>$C641*Z640</f>
        <v/>
      </c>
      <c r="AA641">
        <f>$C641*AA640</f>
        <v/>
      </c>
      <c r="AB641">
        <f>$C641*AB640</f>
        <v/>
      </c>
      <c r="AC641">
        <f>$C641*AC640</f>
        <v/>
      </c>
      <c r="AD641">
        <f>$C641*AD640</f>
        <v/>
      </c>
      <c r="AE641">
        <f>$C641*AE640</f>
        <v/>
      </c>
      <c r="AF641">
        <f>$C641*AF640</f>
        <v/>
      </c>
      <c r="AG641">
        <f>$C641*AG640</f>
        <v/>
      </c>
      <c r="AH641">
        <f>$C641*AH640</f>
        <v/>
      </c>
      <c r="AI641">
        <f>$C641*AI640</f>
        <v/>
      </c>
      <c r="AJ641">
        <f>$C641*AJ640</f>
        <v/>
      </c>
      <c r="AK641">
        <f>$C641*AK640</f>
        <v/>
      </c>
      <c r="AL641">
        <f>$C641*AL640</f>
        <v/>
      </c>
      <c r="AM641">
        <f>$C641*AM640</f>
        <v/>
      </c>
      <c r="AN641">
        <f>$C641*AN640</f>
        <v/>
      </c>
      <c r="AO641">
        <f>$C641*AO640</f>
        <v/>
      </c>
      <c r="AP641">
        <f>$C641*AP640</f>
        <v/>
      </c>
      <c r="AQ641">
        <f>$C641*AQ640</f>
        <v/>
      </c>
      <c r="AR641">
        <f>$C641*AR640</f>
        <v/>
      </c>
      <c r="AS641">
        <f>$C641*AS640</f>
        <v/>
      </c>
      <c r="AT641">
        <f>$C641*AT640</f>
        <v/>
      </c>
      <c r="AU641">
        <f>$C641*AU640</f>
        <v/>
      </c>
      <c r="AV641">
        <f>$C641*AV640</f>
        <v/>
      </c>
      <c r="AW641">
        <f>$C641*AW640</f>
        <v/>
      </c>
      <c r="AX641">
        <f>$C641*AX640</f>
        <v/>
      </c>
      <c r="AY641">
        <f>$C641*AY640</f>
        <v/>
      </c>
      <c r="AZ641">
        <f>$C641*AZ640</f>
        <v/>
      </c>
      <c r="BA641">
        <f>$C641*BA640</f>
        <v/>
      </c>
      <c r="BB641">
        <f>$C641*BB640</f>
        <v/>
      </c>
      <c r="BC641">
        <f>$C641*BC640</f>
        <v/>
      </c>
      <c r="BD641">
        <f>$C641*BD640</f>
        <v/>
      </c>
      <c r="BE641">
        <f>$C641*BE640</f>
        <v/>
      </c>
      <c r="BF641">
        <f>$C641*BF640</f>
        <v/>
      </c>
      <c r="BG641">
        <f>$C641*BG640</f>
        <v/>
      </c>
      <c r="BH641">
        <f>$C641*BH640</f>
        <v/>
      </c>
      <c r="BI641">
        <f>$C641*BI640</f>
        <v/>
      </c>
      <c r="BJ641">
        <f>$C641*BJ640</f>
        <v/>
      </c>
      <c r="BK641">
        <f>$C641*BK640</f>
        <v/>
      </c>
      <c r="BL641">
        <f>$C641*BL640</f>
        <v/>
      </c>
      <c r="BM641">
        <f>$C641*BM640</f>
        <v/>
      </c>
      <c r="BN641">
        <f>$C641*BN640</f>
        <v/>
      </c>
      <c r="BO641">
        <f>$C641*BO640</f>
        <v/>
      </c>
      <c r="BP641">
        <f>$C641*BP640</f>
        <v/>
      </c>
      <c r="BQ641">
        <f>$C641*BQ640</f>
        <v/>
      </c>
      <c r="BR641">
        <f>$C641*BR640</f>
        <v/>
      </c>
      <c r="BS641">
        <f>$C641*BS640</f>
        <v/>
      </c>
      <c r="BT641">
        <f>$C641*BT640</f>
        <v/>
      </c>
      <c r="BU641">
        <f>$C641*BU640</f>
        <v/>
      </c>
      <c r="BV641">
        <f>$C641*BV640</f>
        <v/>
      </c>
      <c r="BW641">
        <f>$C641*BW640</f>
        <v/>
      </c>
      <c r="BX641">
        <f>$C641*BX640</f>
        <v/>
      </c>
      <c r="BY641">
        <f>$C641*BY640</f>
        <v/>
      </c>
      <c r="BZ641">
        <f>$C641*BZ640</f>
        <v/>
      </c>
      <c r="CA641">
        <f>$C641*CA640</f>
        <v/>
      </c>
      <c r="CB641">
        <f>$C641*CB640</f>
        <v/>
      </c>
      <c r="CC641">
        <f>$C641*CC640</f>
        <v/>
      </c>
      <c r="CD641">
        <f>$C641*CD640</f>
        <v/>
      </c>
      <c r="CE641">
        <f>$C641*CE640</f>
        <v/>
      </c>
      <c r="CF641">
        <f>$C641*CF640</f>
        <v/>
      </c>
      <c r="CG641">
        <f>$C641*CG640</f>
        <v/>
      </c>
      <c r="CH641">
        <f>$C641*CH640</f>
        <v/>
      </c>
      <c r="CI641">
        <f>$C641*CI640</f>
        <v/>
      </c>
      <c r="CJ641">
        <f>$C641*CJ640</f>
        <v/>
      </c>
      <c r="CK641">
        <f>$C641*CK640</f>
        <v/>
      </c>
      <c r="CL641">
        <f>$C641*CL640</f>
        <v/>
      </c>
      <c r="CM641">
        <f>$C641*CM640</f>
        <v/>
      </c>
      <c r="CN641">
        <f>$C641*CN640</f>
        <v/>
      </c>
      <c r="CO641">
        <f>$C641*CO640</f>
        <v/>
      </c>
      <c r="CP641">
        <f>$C641*CP640</f>
        <v/>
      </c>
      <c r="CQ641">
        <f>$C641*CQ640</f>
        <v/>
      </c>
      <c r="CR641">
        <f>$C641*CR640</f>
        <v/>
      </c>
      <c r="CS641">
        <f>$C641*CS640</f>
        <v/>
      </c>
      <c r="CT641">
        <f>$C641*CT640</f>
        <v/>
      </c>
      <c r="CU641">
        <f>$C641*CU640</f>
        <v/>
      </c>
      <c r="CV641">
        <f>$C641*CV640</f>
        <v/>
      </c>
      <c r="CW641">
        <f>$C641*CW640</f>
        <v/>
      </c>
      <c r="CX641">
        <f>$C641*CX640</f>
        <v/>
      </c>
      <c r="CY641">
        <f>$C641*CY640</f>
        <v/>
      </c>
      <c r="CZ641">
        <f>$C641*CZ640</f>
        <v/>
      </c>
      <c r="DA641">
        <f>$C641*DA640</f>
        <v/>
      </c>
      <c r="DB641">
        <f>$C641*DB640</f>
        <v/>
      </c>
      <c r="DC641">
        <f>$C641*DC640</f>
        <v/>
      </c>
    </row>
    <row r="642">
      <c r="B642" t="inlineStr">
        <is>
          <t>TSP-927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12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Name],$A581)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TSP-928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12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Name],$A581)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t="inlineStr">
        <is>
          <t>TSP-929</t>
        </is>
      </c>
      <c r="C646" t="inlineStr">
        <is>
          <t>No. of batches</t>
        </is>
      </c>
      <c r="D646">
        <f>IFERROR(INDEX(PP_Grid[#Data],$DD646,2),0)</f>
        <v/>
      </c>
      <c r="E646">
        <f>IFERROR(INDEX(PP_Grid[#Data],$DD646,3),0)</f>
        <v/>
      </c>
      <c r="F646">
        <f>IFERROR(INDEX(PP_Grid[#Data],$DD646,4),0)</f>
        <v/>
      </c>
      <c r="G646">
        <f>IFERROR(INDEX(PP_Grid[#Data],$DD646,5),0)</f>
        <v/>
      </c>
      <c r="H646">
        <f>IFERROR(INDEX(PP_Grid[#Data],$DD646,6),0)</f>
        <v/>
      </c>
      <c r="I646">
        <f>IFERROR(INDEX(PP_Grid[#Data],$DD646,7),0)</f>
        <v/>
      </c>
      <c r="J646">
        <f>IFERROR(INDEX(PP_Grid[#Data],$DD646,8),0)</f>
        <v/>
      </c>
      <c r="K646">
        <f>IFERROR(INDEX(PP_Grid[#Data],$DD646,9),0)</f>
        <v/>
      </c>
      <c r="L646">
        <f>IFERROR(INDEX(PP_Grid[#Data],$DD646,10),0)</f>
        <v/>
      </c>
      <c r="M646">
        <f>IFERROR(INDEX(PP_Grid[#Data],$DD646,11),0)</f>
        <v/>
      </c>
      <c r="N646">
        <f>IFERROR(INDEX(PP_Grid[#Data],$DD646,12),0)</f>
        <v/>
      </c>
      <c r="O646">
        <f>IFERROR(INDEX(PP_Grid[#Data],$DD646,13),0)</f>
        <v/>
      </c>
      <c r="P646">
        <f>IFERROR(INDEX(PP_Grid[#Data],$DD646,14),0)</f>
        <v/>
      </c>
      <c r="Q646">
        <f>IFERROR(INDEX(PP_Grid[#Data],$DD646,15),0)</f>
        <v/>
      </c>
      <c r="R646">
        <f>IFERROR(INDEX(PP_Grid[#Data],$DD646,16),0)</f>
        <v/>
      </c>
      <c r="S646">
        <f>IFERROR(INDEX(PP_Grid[#Data],$DD646,17),0)</f>
        <v/>
      </c>
      <c r="T646">
        <f>IFERROR(INDEX(PP_Grid[#Data],$DD646,18),0)</f>
        <v/>
      </c>
      <c r="U646">
        <f>IFERROR(INDEX(PP_Grid[#Data],$DD646,19),0)</f>
        <v/>
      </c>
      <c r="V646">
        <f>IFERROR(INDEX(PP_Grid[#Data],$DD646,20),0)</f>
        <v/>
      </c>
      <c r="W646">
        <f>IFERROR(INDEX(PP_Grid[#Data],$DD646,21),0)</f>
        <v/>
      </c>
      <c r="X646">
        <f>IFERROR(INDEX(PP_Grid[#Data],$DD646,22),0)</f>
        <v/>
      </c>
      <c r="Y646">
        <f>IFERROR(INDEX(PP_Grid[#Data],$DD646,23),0)</f>
        <v/>
      </c>
      <c r="Z646">
        <f>IFERROR(INDEX(PP_Grid[#Data],$DD646,24),0)</f>
        <v/>
      </c>
      <c r="AA646">
        <f>IFERROR(INDEX(PP_Grid[#Data],$DD646,25),0)</f>
        <v/>
      </c>
      <c r="AB646">
        <f>IFERROR(INDEX(PP_Grid[#Data],$DD646,26),0)</f>
        <v/>
      </c>
      <c r="AC646">
        <f>IFERROR(INDEX(PP_Grid[#Data],$DD646,27),0)</f>
        <v/>
      </c>
      <c r="AD646">
        <f>IFERROR(INDEX(PP_Grid[#Data],$DD646,28),0)</f>
        <v/>
      </c>
      <c r="AE646">
        <f>IFERROR(INDEX(PP_Grid[#Data],$DD646,29),0)</f>
        <v/>
      </c>
      <c r="AF646">
        <f>IFERROR(INDEX(PP_Grid[#Data],$DD646,30),0)</f>
        <v/>
      </c>
      <c r="AG646">
        <f>IFERROR(INDEX(PP_Grid[#Data],$DD646,31),0)</f>
        <v/>
      </c>
      <c r="AH646">
        <f>IFERROR(INDEX(PP_Grid[#Data],$DD646,32),0)</f>
        <v/>
      </c>
      <c r="AI646">
        <f>IFERROR(INDEX(PP_Grid[#Data],$DD646,33),0)</f>
        <v/>
      </c>
      <c r="AJ646">
        <f>IFERROR(INDEX(PP_Grid[#Data],$DD646,34),0)</f>
        <v/>
      </c>
      <c r="AK646">
        <f>IFERROR(INDEX(PP_Grid[#Data],$DD646,35),0)</f>
        <v/>
      </c>
      <c r="AL646">
        <f>IFERROR(INDEX(PP_Grid[#Data],$DD646,36),0)</f>
        <v/>
      </c>
      <c r="AM646">
        <f>IFERROR(INDEX(PP_Grid[#Data],$DD646,37),0)</f>
        <v/>
      </c>
      <c r="AN646">
        <f>IFERROR(INDEX(PP_Grid[#Data],$DD646,38),0)</f>
        <v/>
      </c>
      <c r="AO646">
        <f>IFERROR(INDEX(PP_Grid[#Data],$DD646,39),0)</f>
        <v/>
      </c>
      <c r="AP646">
        <f>IFERROR(INDEX(PP_Grid[#Data],$DD646,40),0)</f>
        <v/>
      </c>
      <c r="AQ646">
        <f>IFERROR(INDEX(PP_Grid[#Data],$DD646,41),0)</f>
        <v/>
      </c>
      <c r="AR646">
        <f>IFERROR(INDEX(PP_Grid[#Data],$DD646,42),0)</f>
        <v/>
      </c>
      <c r="AS646">
        <f>IFERROR(INDEX(PP_Grid[#Data],$DD646,43),0)</f>
        <v/>
      </c>
      <c r="AT646">
        <f>IFERROR(INDEX(PP_Grid[#Data],$DD646,44),0)</f>
        <v/>
      </c>
      <c r="AU646">
        <f>IFERROR(INDEX(PP_Grid[#Data],$DD646,45),0)</f>
        <v/>
      </c>
      <c r="AV646">
        <f>IFERROR(INDEX(PP_Grid[#Data],$DD646,46),0)</f>
        <v/>
      </c>
      <c r="AW646">
        <f>IFERROR(INDEX(PP_Grid[#Data],$DD646,47),0)</f>
        <v/>
      </c>
      <c r="AX646">
        <f>IFERROR(INDEX(PP_Grid[#Data],$DD646,48),0)</f>
        <v/>
      </c>
      <c r="AY646">
        <f>IFERROR(INDEX(PP_Grid[#Data],$DD646,49),0)</f>
        <v/>
      </c>
      <c r="AZ646">
        <f>IFERROR(INDEX(PP_Grid[#Data],$DD646,50),0)</f>
        <v/>
      </c>
      <c r="BA646">
        <f>IFERROR(INDEX(PP_Grid[#Data],$DD646,51),0)</f>
        <v/>
      </c>
      <c r="BB646">
        <f>IFERROR(INDEX(PP_Grid[#Data],$DD646,52),0)</f>
        <v/>
      </c>
      <c r="BC646">
        <f>IFERROR(INDEX(PP_Grid[#Data],$DD646,53),0)</f>
        <v/>
      </c>
      <c r="BD646">
        <f>IFERROR(INDEX(PP_Grid[#Data],$DD646,54),0)</f>
        <v/>
      </c>
      <c r="BE646">
        <f>IFERROR(INDEX(PP_Grid[#Data],$DD646,55),0)</f>
        <v/>
      </c>
      <c r="BF646">
        <f>IFERROR(INDEX(PP_Grid[#Data],$DD646,56),0)</f>
        <v/>
      </c>
      <c r="BG646">
        <f>IFERROR(INDEX(PP_Grid[#Data],$DD646,57),0)</f>
        <v/>
      </c>
      <c r="BH646">
        <f>IFERROR(INDEX(PP_Grid[#Data],$DD646,58),0)</f>
        <v/>
      </c>
      <c r="BI646">
        <f>IFERROR(INDEX(PP_Grid[#Data],$DD646,59),0)</f>
        <v/>
      </c>
      <c r="BJ646">
        <f>IFERROR(INDEX(PP_Grid[#Data],$DD646,60),0)</f>
        <v/>
      </c>
      <c r="BK646">
        <f>IFERROR(INDEX(PP_Grid[#Data],$DD646,61),0)</f>
        <v/>
      </c>
      <c r="BL646">
        <f>IFERROR(INDEX(PP_Grid[#Data],$DD646,62),0)</f>
        <v/>
      </c>
      <c r="BM646">
        <f>IFERROR(INDEX(PP_Grid[#Data],$DD646,63),0)</f>
        <v/>
      </c>
      <c r="BN646">
        <f>IFERROR(INDEX(PP_Grid[#Data],$DD646,64),0)</f>
        <v/>
      </c>
      <c r="BO646">
        <f>IFERROR(INDEX(PP_Grid[#Data],$DD646,65),0)</f>
        <v/>
      </c>
      <c r="BP646">
        <f>IFERROR(INDEX(PP_Grid[#Data],$DD646,66),0)</f>
        <v/>
      </c>
      <c r="BQ646">
        <f>IFERROR(INDEX(PP_Grid[#Data],$DD646,67),0)</f>
        <v/>
      </c>
      <c r="BR646">
        <f>IFERROR(INDEX(PP_Grid[#Data],$DD646,68),0)</f>
        <v/>
      </c>
      <c r="BS646">
        <f>IFERROR(INDEX(PP_Grid[#Data],$DD646,69),0)</f>
        <v/>
      </c>
      <c r="BT646">
        <f>IFERROR(INDEX(PP_Grid[#Data],$DD646,70),0)</f>
        <v/>
      </c>
      <c r="BU646">
        <f>IFERROR(INDEX(PP_Grid[#Data],$DD646,71),0)</f>
        <v/>
      </c>
      <c r="BV646">
        <f>IFERROR(INDEX(PP_Grid[#Data],$DD646,72),0)</f>
        <v/>
      </c>
      <c r="BW646">
        <f>IFERROR(INDEX(PP_Grid[#Data],$DD646,73),0)</f>
        <v/>
      </c>
      <c r="BX646">
        <f>IFERROR(INDEX(PP_Grid[#Data],$DD646,74),0)</f>
        <v/>
      </c>
      <c r="BY646">
        <f>IFERROR(INDEX(PP_Grid[#Data],$DD646,75),0)</f>
        <v/>
      </c>
      <c r="BZ646">
        <f>IFERROR(INDEX(PP_Grid[#Data],$DD646,76),0)</f>
        <v/>
      </c>
      <c r="CA646">
        <f>IFERROR(INDEX(PP_Grid[#Data],$DD646,77),0)</f>
        <v/>
      </c>
      <c r="CB646">
        <f>IFERROR(INDEX(PP_Grid[#Data],$DD646,78),0)</f>
        <v/>
      </c>
      <c r="CC646">
        <f>IFERROR(INDEX(PP_Grid[#Data],$DD646,79),0)</f>
        <v/>
      </c>
      <c r="CD646">
        <f>IFERROR(INDEX(PP_Grid[#Data],$DD646,80),0)</f>
        <v/>
      </c>
      <c r="CE646">
        <f>IFERROR(INDEX(PP_Grid[#Data],$DD646,81),0)</f>
        <v/>
      </c>
      <c r="CF646">
        <f>IFERROR(INDEX(PP_Grid[#Data],$DD646,82),0)</f>
        <v/>
      </c>
      <c r="CG646">
        <f>IFERROR(INDEX(PP_Grid[#Data],$DD646,83),0)</f>
        <v/>
      </c>
      <c r="CH646">
        <f>IFERROR(INDEX(PP_Grid[#Data],$DD646,84),0)</f>
        <v/>
      </c>
      <c r="CI646">
        <f>IFERROR(INDEX(PP_Grid[#Data],$DD646,85),0)</f>
        <v/>
      </c>
      <c r="CJ646">
        <f>IFERROR(INDEX(PP_Grid[#Data],$DD646,86),0)</f>
        <v/>
      </c>
      <c r="CK646">
        <f>IFERROR(INDEX(PP_Grid[#Data],$DD646,87),0)</f>
        <v/>
      </c>
      <c r="CL646">
        <f>IFERROR(INDEX(PP_Grid[#Data],$DD646,88),0)</f>
        <v/>
      </c>
      <c r="CM646">
        <f>IFERROR(INDEX(PP_Grid[#Data],$DD646,89),0)</f>
        <v/>
      </c>
      <c r="CN646">
        <f>IFERROR(INDEX(PP_Grid[#Data],$DD646,90),0)</f>
        <v/>
      </c>
      <c r="CO646">
        <f>IFERROR(INDEX(PP_Grid[#Data],$DD646,91),0)</f>
        <v/>
      </c>
      <c r="CP646">
        <f>IFERROR(INDEX(PP_Grid[#Data],$DD646,92),0)</f>
        <v/>
      </c>
      <c r="CQ646">
        <f>IFERROR(INDEX(PP_Grid[#Data],$DD646,93),0)</f>
        <v/>
      </c>
      <c r="CR646">
        <f>IFERROR(INDEX(PP_Grid[#Data],$DD646,94),0)</f>
        <v/>
      </c>
      <c r="CS646">
        <f>IFERROR(INDEX(PP_Grid[#Data],$DD646,95),0)</f>
        <v/>
      </c>
      <c r="CT646">
        <f>IFERROR(INDEX(PP_Grid[#Data],$DD646,96),0)</f>
        <v/>
      </c>
      <c r="CU646">
        <f>IFERROR(INDEX(PP_Grid[#Data],$DD646,97),0)</f>
        <v/>
      </c>
      <c r="CV646">
        <f>IFERROR(INDEX(PP_Grid[#Data],$DD646,98),0)</f>
        <v/>
      </c>
      <c r="CW646">
        <f>IFERROR(INDEX(PP_Grid[#Data],$DD646,99),0)</f>
        <v/>
      </c>
      <c r="CX646">
        <f>IFERROR(INDEX(PP_Grid[#Data],$DD646,100),0)</f>
        <v/>
      </c>
      <c r="CY646">
        <f>IFERROR(INDEX(PP_Grid[#Data],$DD646,101),0)</f>
        <v/>
      </c>
      <c r="CZ646">
        <f>IFERROR(INDEX(PP_Grid[#Data],$DD646,102),0)</f>
        <v/>
      </c>
      <c r="DA646">
        <f>IFERROR(INDEX(PP_Grid[#Data],$DD646,103),0)</f>
        <v/>
      </c>
      <c r="DB646">
        <f>IFERROR(INDEX(PP_Grid[#Data],$DD646,104),0)</f>
        <v/>
      </c>
      <c r="DC646">
        <f>IFERROR(INDEX(PP_Grid[#Data],$DD646,105),0)</f>
        <v/>
      </c>
      <c r="DD646" s="12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SUMIFS(M_BOM[RM_Qty_Per_Batch],M_BOM[Intermediate],$B646,M_BOM[Part Name],$A581)</f>
        <v/>
      </c>
      <c r="D647">
        <f>$C647*D646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</row>
    <row r="648">
      <c r="B648" t="inlineStr">
        <is>
          <t>TSP-930</t>
        </is>
      </c>
      <c r="C648" t="inlineStr">
        <is>
          <t>No. of batches</t>
        </is>
      </c>
      <c r="D648">
        <f>IFERROR(INDEX(PP_Grid[#Data],$DD648,2),0)</f>
        <v/>
      </c>
      <c r="E648">
        <f>IFERROR(INDEX(PP_Grid[#Data],$DD648,3),0)</f>
        <v/>
      </c>
      <c r="F648">
        <f>IFERROR(INDEX(PP_Grid[#Data],$DD648,4),0)</f>
        <v/>
      </c>
      <c r="G648">
        <f>IFERROR(INDEX(PP_Grid[#Data],$DD648,5),0)</f>
        <v/>
      </c>
      <c r="H648">
        <f>IFERROR(INDEX(PP_Grid[#Data],$DD648,6),0)</f>
        <v/>
      </c>
      <c r="I648">
        <f>IFERROR(INDEX(PP_Grid[#Data],$DD648,7),0)</f>
        <v/>
      </c>
      <c r="J648">
        <f>IFERROR(INDEX(PP_Grid[#Data],$DD648,8),0)</f>
        <v/>
      </c>
      <c r="K648">
        <f>IFERROR(INDEX(PP_Grid[#Data],$DD648,9),0)</f>
        <v/>
      </c>
      <c r="L648">
        <f>IFERROR(INDEX(PP_Grid[#Data],$DD648,10),0)</f>
        <v/>
      </c>
      <c r="M648">
        <f>IFERROR(INDEX(PP_Grid[#Data],$DD648,11),0)</f>
        <v/>
      </c>
      <c r="N648">
        <f>IFERROR(INDEX(PP_Grid[#Data],$DD648,12),0)</f>
        <v/>
      </c>
      <c r="O648">
        <f>IFERROR(INDEX(PP_Grid[#Data],$DD648,13),0)</f>
        <v/>
      </c>
      <c r="P648">
        <f>IFERROR(INDEX(PP_Grid[#Data],$DD648,14),0)</f>
        <v/>
      </c>
      <c r="Q648">
        <f>IFERROR(INDEX(PP_Grid[#Data],$DD648,15),0)</f>
        <v/>
      </c>
      <c r="R648">
        <f>IFERROR(INDEX(PP_Grid[#Data],$DD648,16),0)</f>
        <v/>
      </c>
      <c r="S648">
        <f>IFERROR(INDEX(PP_Grid[#Data],$DD648,17),0)</f>
        <v/>
      </c>
      <c r="T648">
        <f>IFERROR(INDEX(PP_Grid[#Data],$DD648,18),0)</f>
        <v/>
      </c>
      <c r="U648">
        <f>IFERROR(INDEX(PP_Grid[#Data],$DD648,19),0)</f>
        <v/>
      </c>
      <c r="V648">
        <f>IFERROR(INDEX(PP_Grid[#Data],$DD648,20),0)</f>
        <v/>
      </c>
      <c r="W648">
        <f>IFERROR(INDEX(PP_Grid[#Data],$DD648,21),0)</f>
        <v/>
      </c>
      <c r="X648">
        <f>IFERROR(INDEX(PP_Grid[#Data],$DD648,22),0)</f>
        <v/>
      </c>
      <c r="Y648">
        <f>IFERROR(INDEX(PP_Grid[#Data],$DD648,23),0)</f>
        <v/>
      </c>
      <c r="Z648">
        <f>IFERROR(INDEX(PP_Grid[#Data],$DD648,24),0)</f>
        <v/>
      </c>
      <c r="AA648">
        <f>IFERROR(INDEX(PP_Grid[#Data],$DD648,25),0)</f>
        <v/>
      </c>
      <c r="AB648">
        <f>IFERROR(INDEX(PP_Grid[#Data],$DD648,26),0)</f>
        <v/>
      </c>
      <c r="AC648">
        <f>IFERROR(INDEX(PP_Grid[#Data],$DD648,27),0)</f>
        <v/>
      </c>
      <c r="AD648">
        <f>IFERROR(INDEX(PP_Grid[#Data],$DD648,28),0)</f>
        <v/>
      </c>
      <c r="AE648">
        <f>IFERROR(INDEX(PP_Grid[#Data],$DD648,29),0)</f>
        <v/>
      </c>
      <c r="AF648">
        <f>IFERROR(INDEX(PP_Grid[#Data],$DD648,30),0)</f>
        <v/>
      </c>
      <c r="AG648">
        <f>IFERROR(INDEX(PP_Grid[#Data],$DD648,31),0)</f>
        <v/>
      </c>
      <c r="AH648">
        <f>IFERROR(INDEX(PP_Grid[#Data],$DD648,32),0)</f>
        <v/>
      </c>
      <c r="AI648">
        <f>IFERROR(INDEX(PP_Grid[#Data],$DD648,33),0)</f>
        <v/>
      </c>
      <c r="AJ648">
        <f>IFERROR(INDEX(PP_Grid[#Data],$DD648,34),0)</f>
        <v/>
      </c>
      <c r="AK648">
        <f>IFERROR(INDEX(PP_Grid[#Data],$DD648,35),0)</f>
        <v/>
      </c>
      <c r="AL648">
        <f>IFERROR(INDEX(PP_Grid[#Data],$DD648,36),0)</f>
        <v/>
      </c>
      <c r="AM648">
        <f>IFERROR(INDEX(PP_Grid[#Data],$DD648,37),0)</f>
        <v/>
      </c>
      <c r="AN648">
        <f>IFERROR(INDEX(PP_Grid[#Data],$DD648,38),0)</f>
        <v/>
      </c>
      <c r="AO648">
        <f>IFERROR(INDEX(PP_Grid[#Data],$DD648,39),0)</f>
        <v/>
      </c>
      <c r="AP648">
        <f>IFERROR(INDEX(PP_Grid[#Data],$DD648,40),0)</f>
        <v/>
      </c>
      <c r="AQ648">
        <f>IFERROR(INDEX(PP_Grid[#Data],$DD648,41),0)</f>
        <v/>
      </c>
      <c r="AR648">
        <f>IFERROR(INDEX(PP_Grid[#Data],$DD648,42),0)</f>
        <v/>
      </c>
      <c r="AS648">
        <f>IFERROR(INDEX(PP_Grid[#Data],$DD648,43),0)</f>
        <v/>
      </c>
      <c r="AT648">
        <f>IFERROR(INDEX(PP_Grid[#Data],$DD648,44),0)</f>
        <v/>
      </c>
      <c r="AU648">
        <f>IFERROR(INDEX(PP_Grid[#Data],$DD648,45),0)</f>
        <v/>
      </c>
      <c r="AV648">
        <f>IFERROR(INDEX(PP_Grid[#Data],$DD648,46),0)</f>
        <v/>
      </c>
      <c r="AW648">
        <f>IFERROR(INDEX(PP_Grid[#Data],$DD648,47),0)</f>
        <v/>
      </c>
      <c r="AX648">
        <f>IFERROR(INDEX(PP_Grid[#Data],$DD648,48),0)</f>
        <v/>
      </c>
      <c r="AY648">
        <f>IFERROR(INDEX(PP_Grid[#Data],$DD648,49),0)</f>
        <v/>
      </c>
      <c r="AZ648">
        <f>IFERROR(INDEX(PP_Grid[#Data],$DD648,50),0)</f>
        <v/>
      </c>
      <c r="BA648">
        <f>IFERROR(INDEX(PP_Grid[#Data],$DD648,51),0)</f>
        <v/>
      </c>
      <c r="BB648">
        <f>IFERROR(INDEX(PP_Grid[#Data],$DD648,52),0)</f>
        <v/>
      </c>
      <c r="BC648">
        <f>IFERROR(INDEX(PP_Grid[#Data],$DD648,53),0)</f>
        <v/>
      </c>
      <c r="BD648">
        <f>IFERROR(INDEX(PP_Grid[#Data],$DD648,54),0)</f>
        <v/>
      </c>
      <c r="BE648">
        <f>IFERROR(INDEX(PP_Grid[#Data],$DD648,55),0)</f>
        <v/>
      </c>
      <c r="BF648">
        <f>IFERROR(INDEX(PP_Grid[#Data],$DD648,56),0)</f>
        <v/>
      </c>
      <c r="BG648">
        <f>IFERROR(INDEX(PP_Grid[#Data],$DD648,57),0)</f>
        <v/>
      </c>
      <c r="BH648">
        <f>IFERROR(INDEX(PP_Grid[#Data],$DD648,58),0)</f>
        <v/>
      </c>
      <c r="BI648">
        <f>IFERROR(INDEX(PP_Grid[#Data],$DD648,59),0)</f>
        <v/>
      </c>
      <c r="BJ648">
        <f>IFERROR(INDEX(PP_Grid[#Data],$DD648,60),0)</f>
        <v/>
      </c>
      <c r="BK648">
        <f>IFERROR(INDEX(PP_Grid[#Data],$DD648,61),0)</f>
        <v/>
      </c>
      <c r="BL648">
        <f>IFERROR(INDEX(PP_Grid[#Data],$DD648,62),0)</f>
        <v/>
      </c>
      <c r="BM648">
        <f>IFERROR(INDEX(PP_Grid[#Data],$DD648,63),0)</f>
        <v/>
      </c>
      <c r="BN648">
        <f>IFERROR(INDEX(PP_Grid[#Data],$DD648,64),0)</f>
        <v/>
      </c>
      <c r="BO648">
        <f>IFERROR(INDEX(PP_Grid[#Data],$DD648,65),0)</f>
        <v/>
      </c>
      <c r="BP648">
        <f>IFERROR(INDEX(PP_Grid[#Data],$DD648,66),0)</f>
        <v/>
      </c>
      <c r="BQ648">
        <f>IFERROR(INDEX(PP_Grid[#Data],$DD648,67),0)</f>
        <v/>
      </c>
      <c r="BR648">
        <f>IFERROR(INDEX(PP_Grid[#Data],$DD648,68),0)</f>
        <v/>
      </c>
      <c r="BS648">
        <f>IFERROR(INDEX(PP_Grid[#Data],$DD648,69),0)</f>
        <v/>
      </c>
      <c r="BT648">
        <f>IFERROR(INDEX(PP_Grid[#Data],$DD648,70),0)</f>
        <v/>
      </c>
      <c r="BU648">
        <f>IFERROR(INDEX(PP_Grid[#Data],$DD648,71),0)</f>
        <v/>
      </c>
      <c r="BV648">
        <f>IFERROR(INDEX(PP_Grid[#Data],$DD648,72),0)</f>
        <v/>
      </c>
      <c r="BW648">
        <f>IFERROR(INDEX(PP_Grid[#Data],$DD648,73),0)</f>
        <v/>
      </c>
      <c r="BX648">
        <f>IFERROR(INDEX(PP_Grid[#Data],$DD648,74),0)</f>
        <v/>
      </c>
      <c r="BY648">
        <f>IFERROR(INDEX(PP_Grid[#Data],$DD648,75),0)</f>
        <v/>
      </c>
      <c r="BZ648">
        <f>IFERROR(INDEX(PP_Grid[#Data],$DD648,76),0)</f>
        <v/>
      </c>
      <c r="CA648">
        <f>IFERROR(INDEX(PP_Grid[#Data],$DD648,77),0)</f>
        <v/>
      </c>
      <c r="CB648">
        <f>IFERROR(INDEX(PP_Grid[#Data],$DD648,78),0)</f>
        <v/>
      </c>
      <c r="CC648">
        <f>IFERROR(INDEX(PP_Grid[#Data],$DD648,79),0)</f>
        <v/>
      </c>
      <c r="CD648">
        <f>IFERROR(INDEX(PP_Grid[#Data],$DD648,80),0)</f>
        <v/>
      </c>
      <c r="CE648">
        <f>IFERROR(INDEX(PP_Grid[#Data],$DD648,81),0)</f>
        <v/>
      </c>
      <c r="CF648">
        <f>IFERROR(INDEX(PP_Grid[#Data],$DD648,82),0)</f>
        <v/>
      </c>
      <c r="CG648">
        <f>IFERROR(INDEX(PP_Grid[#Data],$DD648,83),0)</f>
        <v/>
      </c>
      <c r="CH648">
        <f>IFERROR(INDEX(PP_Grid[#Data],$DD648,84),0)</f>
        <v/>
      </c>
      <c r="CI648">
        <f>IFERROR(INDEX(PP_Grid[#Data],$DD648,85),0)</f>
        <v/>
      </c>
      <c r="CJ648">
        <f>IFERROR(INDEX(PP_Grid[#Data],$DD648,86),0)</f>
        <v/>
      </c>
      <c r="CK648">
        <f>IFERROR(INDEX(PP_Grid[#Data],$DD648,87),0)</f>
        <v/>
      </c>
      <c r="CL648">
        <f>IFERROR(INDEX(PP_Grid[#Data],$DD648,88),0)</f>
        <v/>
      </c>
      <c r="CM648">
        <f>IFERROR(INDEX(PP_Grid[#Data],$DD648,89),0)</f>
        <v/>
      </c>
      <c r="CN648">
        <f>IFERROR(INDEX(PP_Grid[#Data],$DD648,90),0)</f>
        <v/>
      </c>
      <c r="CO648">
        <f>IFERROR(INDEX(PP_Grid[#Data],$DD648,91),0)</f>
        <v/>
      </c>
      <c r="CP648">
        <f>IFERROR(INDEX(PP_Grid[#Data],$DD648,92),0)</f>
        <v/>
      </c>
      <c r="CQ648">
        <f>IFERROR(INDEX(PP_Grid[#Data],$DD648,93),0)</f>
        <v/>
      </c>
      <c r="CR648">
        <f>IFERROR(INDEX(PP_Grid[#Data],$DD648,94),0)</f>
        <v/>
      </c>
      <c r="CS648">
        <f>IFERROR(INDEX(PP_Grid[#Data],$DD648,95),0)</f>
        <v/>
      </c>
      <c r="CT648">
        <f>IFERROR(INDEX(PP_Grid[#Data],$DD648,96),0)</f>
        <v/>
      </c>
      <c r="CU648">
        <f>IFERROR(INDEX(PP_Grid[#Data],$DD648,97),0)</f>
        <v/>
      </c>
      <c r="CV648">
        <f>IFERROR(INDEX(PP_Grid[#Data],$DD648,98),0)</f>
        <v/>
      </c>
      <c r="CW648">
        <f>IFERROR(INDEX(PP_Grid[#Data],$DD648,99),0)</f>
        <v/>
      </c>
      <c r="CX648">
        <f>IFERROR(INDEX(PP_Grid[#Data],$DD648,100),0)</f>
        <v/>
      </c>
      <c r="CY648">
        <f>IFERROR(INDEX(PP_Grid[#Data],$DD648,101),0)</f>
        <v/>
      </c>
      <c r="CZ648">
        <f>IFERROR(INDEX(PP_Grid[#Data],$DD648,102),0)</f>
        <v/>
      </c>
      <c r="DA648">
        <f>IFERROR(INDEX(PP_Grid[#Data],$DD648,103),0)</f>
        <v/>
      </c>
      <c r="DB648">
        <f>IFERROR(INDEX(PP_Grid[#Data],$DD648,104),0)</f>
        <v/>
      </c>
      <c r="DC648">
        <f>IFERROR(INDEX(PP_Grid[#Data],$DD648,105),0)</f>
        <v/>
      </c>
      <c r="DD648" s="12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SUMIFS(M_BOM[RM_Qty_Per_Batch],M_BOM[Intermediate],$B648,M_BOM[Part Name],$A581)</f>
        <v/>
      </c>
      <c r="D649">
        <f>$C649*D648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</row>
    <row r="650">
      <c r="B650" t="inlineStr">
        <is>
          <t>TSP-934</t>
        </is>
      </c>
      <c r="C650" t="inlineStr">
        <is>
          <t>No. of batches</t>
        </is>
      </c>
      <c r="D650">
        <f>IFERROR(INDEX(PP_Grid[#Data],$DD650,2),0)</f>
        <v/>
      </c>
      <c r="E650">
        <f>IFERROR(INDEX(PP_Grid[#Data],$DD650,3),0)</f>
        <v/>
      </c>
      <c r="F650">
        <f>IFERROR(INDEX(PP_Grid[#Data],$DD650,4),0)</f>
        <v/>
      </c>
      <c r="G650">
        <f>IFERROR(INDEX(PP_Grid[#Data],$DD650,5),0)</f>
        <v/>
      </c>
      <c r="H650">
        <f>IFERROR(INDEX(PP_Grid[#Data],$DD650,6),0)</f>
        <v/>
      </c>
      <c r="I650">
        <f>IFERROR(INDEX(PP_Grid[#Data],$DD650,7),0)</f>
        <v/>
      </c>
      <c r="J650">
        <f>IFERROR(INDEX(PP_Grid[#Data],$DD650,8),0)</f>
        <v/>
      </c>
      <c r="K650">
        <f>IFERROR(INDEX(PP_Grid[#Data],$DD650,9),0)</f>
        <v/>
      </c>
      <c r="L650">
        <f>IFERROR(INDEX(PP_Grid[#Data],$DD650,10),0)</f>
        <v/>
      </c>
      <c r="M650">
        <f>IFERROR(INDEX(PP_Grid[#Data],$DD650,11),0)</f>
        <v/>
      </c>
      <c r="N650">
        <f>IFERROR(INDEX(PP_Grid[#Data],$DD650,12),0)</f>
        <v/>
      </c>
      <c r="O650">
        <f>IFERROR(INDEX(PP_Grid[#Data],$DD650,13),0)</f>
        <v/>
      </c>
      <c r="P650">
        <f>IFERROR(INDEX(PP_Grid[#Data],$DD650,14),0)</f>
        <v/>
      </c>
      <c r="Q650">
        <f>IFERROR(INDEX(PP_Grid[#Data],$DD650,15),0)</f>
        <v/>
      </c>
      <c r="R650">
        <f>IFERROR(INDEX(PP_Grid[#Data],$DD650,16),0)</f>
        <v/>
      </c>
      <c r="S650">
        <f>IFERROR(INDEX(PP_Grid[#Data],$DD650,17),0)</f>
        <v/>
      </c>
      <c r="T650">
        <f>IFERROR(INDEX(PP_Grid[#Data],$DD650,18),0)</f>
        <v/>
      </c>
      <c r="U650">
        <f>IFERROR(INDEX(PP_Grid[#Data],$DD650,19),0)</f>
        <v/>
      </c>
      <c r="V650">
        <f>IFERROR(INDEX(PP_Grid[#Data],$DD650,20),0)</f>
        <v/>
      </c>
      <c r="W650">
        <f>IFERROR(INDEX(PP_Grid[#Data],$DD650,21),0)</f>
        <v/>
      </c>
      <c r="X650">
        <f>IFERROR(INDEX(PP_Grid[#Data],$DD650,22),0)</f>
        <v/>
      </c>
      <c r="Y650">
        <f>IFERROR(INDEX(PP_Grid[#Data],$DD650,23),0)</f>
        <v/>
      </c>
      <c r="Z650">
        <f>IFERROR(INDEX(PP_Grid[#Data],$DD650,24),0)</f>
        <v/>
      </c>
      <c r="AA650">
        <f>IFERROR(INDEX(PP_Grid[#Data],$DD650,25),0)</f>
        <v/>
      </c>
      <c r="AB650">
        <f>IFERROR(INDEX(PP_Grid[#Data],$DD650,26),0)</f>
        <v/>
      </c>
      <c r="AC650">
        <f>IFERROR(INDEX(PP_Grid[#Data],$DD650,27),0)</f>
        <v/>
      </c>
      <c r="AD650">
        <f>IFERROR(INDEX(PP_Grid[#Data],$DD650,28),0)</f>
        <v/>
      </c>
      <c r="AE650">
        <f>IFERROR(INDEX(PP_Grid[#Data],$DD650,29),0)</f>
        <v/>
      </c>
      <c r="AF650">
        <f>IFERROR(INDEX(PP_Grid[#Data],$DD650,30),0)</f>
        <v/>
      </c>
      <c r="AG650">
        <f>IFERROR(INDEX(PP_Grid[#Data],$DD650,31),0)</f>
        <v/>
      </c>
      <c r="AH650">
        <f>IFERROR(INDEX(PP_Grid[#Data],$DD650,32),0)</f>
        <v/>
      </c>
      <c r="AI650">
        <f>IFERROR(INDEX(PP_Grid[#Data],$DD650,33),0)</f>
        <v/>
      </c>
      <c r="AJ650">
        <f>IFERROR(INDEX(PP_Grid[#Data],$DD650,34),0)</f>
        <v/>
      </c>
      <c r="AK650">
        <f>IFERROR(INDEX(PP_Grid[#Data],$DD650,35),0)</f>
        <v/>
      </c>
      <c r="AL650">
        <f>IFERROR(INDEX(PP_Grid[#Data],$DD650,36),0)</f>
        <v/>
      </c>
      <c r="AM650">
        <f>IFERROR(INDEX(PP_Grid[#Data],$DD650,37),0)</f>
        <v/>
      </c>
      <c r="AN650">
        <f>IFERROR(INDEX(PP_Grid[#Data],$DD650,38),0)</f>
        <v/>
      </c>
      <c r="AO650">
        <f>IFERROR(INDEX(PP_Grid[#Data],$DD650,39),0)</f>
        <v/>
      </c>
      <c r="AP650">
        <f>IFERROR(INDEX(PP_Grid[#Data],$DD650,40),0)</f>
        <v/>
      </c>
      <c r="AQ650">
        <f>IFERROR(INDEX(PP_Grid[#Data],$DD650,41),0)</f>
        <v/>
      </c>
      <c r="AR650">
        <f>IFERROR(INDEX(PP_Grid[#Data],$DD650,42),0)</f>
        <v/>
      </c>
      <c r="AS650">
        <f>IFERROR(INDEX(PP_Grid[#Data],$DD650,43),0)</f>
        <v/>
      </c>
      <c r="AT650">
        <f>IFERROR(INDEX(PP_Grid[#Data],$DD650,44),0)</f>
        <v/>
      </c>
      <c r="AU650">
        <f>IFERROR(INDEX(PP_Grid[#Data],$DD650,45),0)</f>
        <v/>
      </c>
      <c r="AV650">
        <f>IFERROR(INDEX(PP_Grid[#Data],$DD650,46),0)</f>
        <v/>
      </c>
      <c r="AW650">
        <f>IFERROR(INDEX(PP_Grid[#Data],$DD650,47),0)</f>
        <v/>
      </c>
      <c r="AX650">
        <f>IFERROR(INDEX(PP_Grid[#Data],$DD650,48),0)</f>
        <v/>
      </c>
      <c r="AY650">
        <f>IFERROR(INDEX(PP_Grid[#Data],$DD650,49),0)</f>
        <v/>
      </c>
      <c r="AZ650">
        <f>IFERROR(INDEX(PP_Grid[#Data],$DD650,50),0)</f>
        <v/>
      </c>
      <c r="BA650">
        <f>IFERROR(INDEX(PP_Grid[#Data],$DD650,51),0)</f>
        <v/>
      </c>
      <c r="BB650">
        <f>IFERROR(INDEX(PP_Grid[#Data],$DD650,52),0)</f>
        <v/>
      </c>
      <c r="BC650">
        <f>IFERROR(INDEX(PP_Grid[#Data],$DD650,53),0)</f>
        <v/>
      </c>
      <c r="BD650">
        <f>IFERROR(INDEX(PP_Grid[#Data],$DD650,54),0)</f>
        <v/>
      </c>
      <c r="BE650">
        <f>IFERROR(INDEX(PP_Grid[#Data],$DD650,55),0)</f>
        <v/>
      </c>
      <c r="BF650">
        <f>IFERROR(INDEX(PP_Grid[#Data],$DD650,56),0)</f>
        <v/>
      </c>
      <c r="BG650">
        <f>IFERROR(INDEX(PP_Grid[#Data],$DD650,57),0)</f>
        <v/>
      </c>
      <c r="BH650">
        <f>IFERROR(INDEX(PP_Grid[#Data],$DD650,58),0)</f>
        <v/>
      </c>
      <c r="BI650">
        <f>IFERROR(INDEX(PP_Grid[#Data],$DD650,59),0)</f>
        <v/>
      </c>
      <c r="BJ650">
        <f>IFERROR(INDEX(PP_Grid[#Data],$DD650,60),0)</f>
        <v/>
      </c>
      <c r="BK650">
        <f>IFERROR(INDEX(PP_Grid[#Data],$DD650,61),0)</f>
        <v/>
      </c>
      <c r="BL650">
        <f>IFERROR(INDEX(PP_Grid[#Data],$DD650,62),0)</f>
        <v/>
      </c>
      <c r="BM650">
        <f>IFERROR(INDEX(PP_Grid[#Data],$DD650,63),0)</f>
        <v/>
      </c>
      <c r="BN650">
        <f>IFERROR(INDEX(PP_Grid[#Data],$DD650,64),0)</f>
        <v/>
      </c>
      <c r="BO650">
        <f>IFERROR(INDEX(PP_Grid[#Data],$DD650,65),0)</f>
        <v/>
      </c>
      <c r="BP650">
        <f>IFERROR(INDEX(PP_Grid[#Data],$DD650,66),0)</f>
        <v/>
      </c>
      <c r="BQ650">
        <f>IFERROR(INDEX(PP_Grid[#Data],$DD650,67),0)</f>
        <v/>
      </c>
      <c r="BR650">
        <f>IFERROR(INDEX(PP_Grid[#Data],$DD650,68),0)</f>
        <v/>
      </c>
      <c r="BS650">
        <f>IFERROR(INDEX(PP_Grid[#Data],$DD650,69),0)</f>
        <v/>
      </c>
      <c r="BT650">
        <f>IFERROR(INDEX(PP_Grid[#Data],$DD650,70),0)</f>
        <v/>
      </c>
      <c r="BU650">
        <f>IFERROR(INDEX(PP_Grid[#Data],$DD650,71),0)</f>
        <v/>
      </c>
      <c r="BV650">
        <f>IFERROR(INDEX(PP_Grid[#Data],$DD650,72),0)</f>
        <v/>
      </c>
      <c r="BW650">
        <f>IFERROR(INDEX(PP_Grid[#Data],$DD650,73),0)</f>
        <v/>
      </c>
      <c r="BX650">
        <f>IFERROR(INDEX(PP_Grid[#Data],$DD650,74),0)</f>
        <v/>
      </c>
      <c r="BY650">
        <f>IFERROR(INDEX(PP_Grid[#Data],$DD650,75),0)</f>
        <v/>
      </c>
      <c r="BZ650">
        <f>IFERROR(INDEX(PP_Grid[#Data],$DD650,76),0)</f>
        <v/>
      </c>
      <c r="CA650">
        <f>IFERROR(INDEX(PP_Grid[#Data],$DD650,77),0)</f>
        <v/>
      </c>
      <c r="CB650">
        <f>IFERROR(INDEX(PP_Grid[#Data],$DD650,78),0)</f>
        <v/>
      </c>
      <c r="CC650">
        <f>IFERROR(INDEX(PP_Grid[#Data],$DD650,79),0)</f>
        <v/>
      </c>
      <c r="CD650">
        <f>IFERROR(INDEX(PP_Grid[#Data],$DD650,80),0)</f>
        <v/>
      </c>
      <c r="CE650">
        <f>IFERROR(INDEX(PP_Grid[#Data],$DD650,81),0)</f>
        <v/>
      </c>
      <c r="CF650">
        <f>IFERROR(INDEX(PP_Grid[#Data],$DD650,82),0)</f>
        <v/>
      </c>
      <c r="CG650">
        <f>IFERROR(INDEX(PP_Grid[#Data],$DD650,83),0)</f>
        <v/>
      </c>
      <c r="CH650">
        <f>IFERROR(INDEX(PP_Grid[#Data],$DD650,84),0)</f>
        <v/>
      </c>
      <c r="CI650">
        <f>IFERROR(INDEX(PP_Grid[#Data],$DD650,85),0)</f>
        <v/>
      </c>
      <c r="CJ650">
        <f>IFERROR(INDEX(PP_Grid[#Data],$DD650,86),0)</f>
        <v/>
      </c>
      <c r="CK650">
        <f>IFERROR(INDEX(PP_Grid[#Data],$DD650,87),0)</f>
        <v/>
      </c>
      <c r="CL650">
        <f>IFERROR(INDEX(PP_Grid[#Data],$DD650,88),0)</f>
        <v/>
      </c>
      <c r="CM650">
        <f>IFERROR(INDEX(PP_Grid[#Data],$DD650,89),0)</f>
        <v/>
      </c>
      <c r="CN650">
        <f>IFERROR(INDEX(PP_Grid[#Data],$DD650,90),0)</f>
        <v/>
      </c>
      <c r="CO650">
        <f>IFERROR(INDEX(PP_Grid[#Data],$DD650,91),0)</f>
        <v/>
      </c>
      <c r="CP650">
        <f>IFERROR(INDEX(PP_Grid[#Data],$DD650,92),0)</f>
        <v/>
      </c>
      <c r="CQ650">
        <f>IFERROR(INDEX(PP_Grid[#Data],$DD650,93),0)</f>
        <v/>
      </c>
      <c r="CR650">
        <f>IFERROR(INDEX(PP_Grid[#Data],$DD650,94),0)</f>
        <v/>
      </c>
      <c r="CS650">
        <f>IFERROR(INDEX(PP_Grid[#Data],$DD650,95),0)</f>
        <v/>
      </c>
      <c r="CT650">
        <f>IFERROR(INDEX(PP_Grid[#Data],$DD650,96),0)</f>
        <v/>
      </c>
      <c r="CU650">
        <f>IFERROR(INDEX(PP_Grid[#Data],$DD650,97),0)</f>
        <v/>
      </c>
      <c r="CV650">
        <f>IFERROR(INDEX(PP_Grid[#Data],$DD650,98),0)</f>
        <v/>
      </c>
      <c r="CW650">
        <f>IFERROR(INDEX(PP_Grid[#Data],$DD650,99),0)</f>
        <v/>
      </c>
      <c r="CX650">
        <f>IFERROR(INDEX(PP_Grid[#Data],$DD650,100),0)</f>
        <v/>
      </c>
      <c r="CY650">
        <f>IFERROR(INDEX(PP_Grid[#Data],$DD650,101),0)</f>
        <v/>
      </c>
      <c r="CZ650">
        <f>IFERROR(INDEX(PP_Grid[#Data],$DD650,102),0)</f>
        <v/>
      </c>
      <c r="DA650">
        <f>IFERROR(INDEX(PP_Grid[#Data],$DD650,103),0)</f>
        <v/>
      </c>
      <c r="DB650">
        <f>IFERROR(INDEX(PP_Grid[#Data],$DD650,104),0)</f>
        <v/>
      </c>
      <c r="DC650">
        <f>IFERROR(INDEX(PP_Grid[#Data],$DD650,105),0)</f>
        <v/>
      </c>
      <c r="DD650" s="12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SUMIFS(M_BOM[RM_Qty_Per_Batch],M_BOM[Intermediate],$B650,M_BOM[Part Name],$A581)</f>
        <v/>
      </c>
      <c r="D651">
        <f>$C651*D650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</row>
    <row r="652">
      <c r="B652" t="inlineStr">
        <is>
          <t>TSP-935</t>
        </is>
      </c>
      <c r="C652" t="inlineStr">
        <is>
          <t>No. of batches</t>
        </is>
      </c>
      <c r="D652">
        <f>IFERROR(INDEX(PP_Grid[#Data],$DD652,2),0)</f>
        <v/>
      </c>
      <c r="E652">
        <f>IFERROR(INDEX(PP_Grid[#Data],$DD652,3),0)</f>
        <v/>
      </c>
      <c r="F652">
        <f>IFERROR(INDEX(PP_Grid[#Data],$DD652,4),0)</f>
        <v/>
      </c>
      <c r="G652">
        <f>IFERROR(INDEX(PP_Grid[#Data],$DD652,5),0)</f>
        <v/>
      </c>
      <c r="H652">
        <f>IFERROR(INDEX(PP_Grid[#Data],$DD652,6),0)</f>
        <v/>
      </c>
      <c r="I652">
        <f>IFERROR(INDEX(PP_Grid[#Data],$DD652,7),0)</f>
        <v/>
      </c>
      <c r="J652">
        <f>IFERROR(INDEX(PP_Grid[#Data],$DD652,8),0)</f>
        <v/>
      </c>
      <c r="K652">
        <f>IFERROR(INDEX(PP_Grid[#Data],$DD652,9),0)</f>
        <v/>
      </c>
      <c r="L652">
        <f>IFERROR(INDEX(PP_Grid[#Data],$DD652,10),0)</f>
        <v/>
      </c>
      <c r="M652">
        <f>IFERROR(INDEX(PP_Grid[#Data],$DD652,11),0)</f>
        <v/>
      </c>
      <c r="N652">
        <f>IFERROR(INDEX(PP_Grid[#Data],$DD652,12),0)</f>
        <v/>
      </c>
      <c r="O652">
        <f>IFERROR(INDEX(PP_Grid[#Data],$DD652,13),0)</f>
        <v/>
      </c>
      <c r="P652">
        <f>IFERROR(INDEX(PP_Grid[#Data],$DD652,14),0)</f>
        <v/>
      </c>
      <c r="Q652">
        <f>IFERROR(INDEX(PP_Grid[#Data],$DD652,15),0)</f>
        <v/>
      </c>
      <c r="R652">
        <f>IFERROR(INDEX(PP_Grid[#Data],$DD652,16),0)</f>
        <v/>
      </c>
      <c r="S652">
        <f>IFERROR(INDEX(PP_Grid[#Data],$DD652,17),0)</f>
        <v/>
      </c>
      <c r="T652">
        <f>IFERROR(INDEX(PP_Grid[#Data],$DD652,18),0)</f>
        <v/>
      </c>
      <c r="U652">
        <f>IFERROR(INDEX(PP_Grid[#Data],$DD652,19),0)</f>
        <v/>
      </c>
      <c r="V652">
        <f>IFERROR(INDEX(PP_Grid[#Data],$DD652,20),0)</f>
        <v/>
      </c>
      <c r="W652">
        <f>IFERROR(INDEX(PP_Grid[#Data],$DD652,21),0)</f>
        <v/>
      </c>
      <c r="X652">
        <f>IFERROR(INDEX(PP_Grid[#Data],$DD652,22),0)</f>
        <v/>
      </c>
      <c r="Y652">
        <f>IFERROR(INDEX(PP_Grid[#Data],$DD652,23),0)</f>
        <v/>
      </c>
      <c r="Z652">
        <f>IFERROR(INDEX(PP_Grid[#Data],$DD652,24),0)</f>
        <v/>
      </c>
      <c r="AA652">
        <f>IFERROR(INDEX(PP_Grid[#Data],$DD652,25),0)</f>
        <v/>
      </c>
      <c r="AB652">
        <f>IFERROR(INDEX(PP_Grid[#Data],$DD652,26),0)</f>
        <v/>
      </c>
      <c r="AC652">
        <f>IFERROR(INDEX(PP_Grid[#Data],$DD652,27),0)</f>
        <v/>
      </c>
      <c r="AD652">
        <f>IFERROR(INDEX(PP_Grid[#Data],$DD652,28),0)</f>
        <v/>
      </c>
      <c r="AE652">
        <f>IFERROR(INDEX(PP_Grid[#Data],$DD652,29),0)</f>
        <v/>
      </c>
      <c r="AF652">
        <f>IFERROR(INDEX(PP_Grid[#Data],$DD652,30),0)</f>
        <v/>
      </c>
      <c r="AG652">
        <f>IFERROR(INDEX(PP_Grid[#Data],$DD652,31),0)</f>
        <v/>
      </c>
      <c r="AH652">
        <f>IFERROR(INDEX(PP_Grid[#Data],$DD652,32),0)</f>
        <v/>
      </c>
      <c r="AI652">
        <f>IFERROR(INDEX(PP_Grid[#Data],$DD652,33),0)</f>
        <v/>
      </c>
      <c r="AJ652">
        <f>IFERROR(INDEX(PP_Grid[#Data],$DD652,34),0)</f>
        <v/>
      </c>
      <c r="AK652">
        <f>IFERROR(INDEX(PP_Grid[#Data],$DD652,35),0)</f>
        <v/>
      </c>
      <c r="AL652">
        <f>IFERROR(INDEX(PP_Grid[#Data],$DD652,36),0)</f>
        <v/>
      </c>
      <c r="AM652">
        <f>IFERROR(INDEX(PP_Grid[#Data],$DD652,37),0)</f>
        <v/>
      </c>
      <c r="AN652">
        <f>IFERROR(INDEX(PP_Grid[#Data],$DD652,38),0)</f>
        <v/>
      </c>
      <c r="AO652">
        <f>IFERROR(INDEX(PP_Grid[#Data],$DD652,39),0)</f>
        <v/>
      </c>
      <c r="AP652">
        <f>IFERROR(INDEX(PP_Grid[#Data],$DD652,40),0)</f>
        <v/>
      </c>
      <c r="AQ652">
        <f>IFERROR(INDEX(PP_Grid[#Data],$DD652,41),0)</f>
        <v/>
      </c>
      <c r="AR652">
        <f>IFERROR(INDEX(PP_Grid[#Data],$DD652,42),0)</f>
        <v/>
      </c>
      <c r="AS652">
        <f>IFERROR(INDEX(PP_Grid[#Data],$DD652,43),0)</f>
        <v/>
      </c>
      <c r="AT652">
        <f>IFERROR(INDEX(PP_Grid[#Data],$DD652,44),0)</f>
        <v/>
      </c>
      <c r="AU652">
        <f>IFERROR(INDEX(PP_Grid[#Data],$DD652,45),0)</f>
        <v/>
      </c>
      <c r="AV652">
        <f>IFERROR(INDEX(PP_Grid[#Data],$DD652,46),0)</f>
        <v/>
      </c>
      <c r="AW652">
        <f>IFERROR(INDEX(PP_Grid[#Data],$DD652,47),0)</f>
        <v/>
      </c>
      <c r="AX652">
        <f>IFERROR(INDEX(PP_Grid[#Data],$DD652,48),0)</f>
        <v/>
      </c>
      <c r="AY652">
        <f>IFERROR(INDEX(PP_Grid[#Data],$DD652,49),0)</f>
        <v/>
      </c>
      <c r="AZ652">
        <f>IFERROR(INDEX(PP_Grid[#Data],$DD652,50),0)</f>
        <v/>
      </c>
      <c r="BA652">
        <f>IFERROR(INDEX(PP_Grid[#Data],$DD652,51),0)</f>
        <v/>
      </c>
      <c r="BB652">
        <f>IFERROR(INDEX(PP_Grid[#Data],$DD652,52),0)</f>
        <v/>
      </c>
      <c r="BC652">
        <f>IFERROR(INDEX(PP_Grid[#Data],$DD652,53),0)</f>
        <v/>
      </c>
      <c r="BD652">
        <f>IFERROR(INDEX(PP_Grid[#Data],$DD652,54),0)</f>
        <v/>
      </c>
      <c r="BE652">
        <f>IFERROR(INDEX(PP_Grid[#Data],$DD652,55),0)</f>
        <v/>
      </c>
      <c r="BF652">
        <f>IFERROR(INDEX(PP_Grid[#Data],$DD652,56),0)</f>
        <v/>
      </c>
      <c r="BG652">
        <f>IFERROR(INDEX(PP_Grid[#Data],$DD652,57),0)</f>
        <v/>
      </c>
      <c r="BH652">
        <f>IFERROR(INDEX(PP_Grid[#Data],$DD652,58),0)</f>
        <v/>
      </c>
      <c r="BI652">
        <f>IFERROR(INDEX(PP_Grid[#Data],$DD652,59),0)</f>
        <v/>
      </c>
      <c r="BJ652">
        <f>IFERROR(INDEX(PP_Grid[#Data],$DD652,60),0)</f>
        <v/>
      </c>
      <c r="BK652">
        <f>IFERROR(INDEX(PP_Grid[#Data],$DD652,61),0)</f>
        <v/>
      </c>
      <c r="BL652">
        <f>IFERROR(INDEX(PP_Grid[#Data],$DD652,62),0)</f>
        <v/>
      </c>
      <c r="BM652">
        <f>IFERROR(INDEX(PP_Grid[#Data],$DD652,63),0)</f>
        <v/>
      </c>
      <c r="BN652">
        <f>IFERROR(INDEX(PP_Grid[#Data],$DD652,64),0)</f>
        <v/>
      </c>
      <c r="BO652">
        <f>IFERROR(INDEX(PP_Grid[#Data],$DD652,65),0)</f>
        <v/>
      </c>
      <c r="BP652">
        <f>IFERROR(INDEX(PP_Grid[#Data],$DD652,66),0)</f>
        <v/>
      </c>
      <c r="BQ652">
        <f>IFERROR(INDEX(PP_Grid[#Data],$DD652,67),0)</f>
        <v/>
      </c>
      <c r="BR652">
        <f>IFERROR(INDEX(PP_Grid[#Data],$DD652,68),0)</f>
        <v/>
      </c>
      <c r="BS652">
        <f>IFERROR(INDEX(PP_Grid[#Data],$DD652,69),0)</f>
        <v/>
      </c>
      <c r="BT652">
        <f>IFERROR(INDEX(PP_Grid[#Data],$DD652,70),0)</f>
        <v/>
      </c>
      <c r="BU652">
        <f>IFERROR(INDEX(PP_Grid[#Data],$DD652,71),0)</f>
        <v/>
      </c>
      <c r="BV652">
        <f>IFERROR(INDEX(PP_Grid[#Data],$DD652,72),0)</f>
        <v/>
      </c>
      <c r="BW652">
        <f>IFERROR(INDEX(PP_Grid[#Data],$DD652,73),0)</f>
        <v/>
      </c>
      <c r="BX652">
        <f>IFERROR(INDEX(PP_Grid[#Data],$DD652,74),0)</f>
        <v/>
      </c>
      <c r="BY652">
        <f>IFERROR(INDEX(PP_Grid[#Data],$DD652,75),0)</f>
        <v/>
      </c>
      <c r="BZ652">
        <f>IFERROR(INDEX(PP_Grid[#Data],$DD652,76),0)</f>
        <v/>
      </c>
      <c r="CA652">
        <f>IFERROR(INDEX(PP_Grid[#Data],$DD652,77),0)</f>
        <v/>
      </c>
      <c r="CB652">
        <f>IFERROR(INDEX(PP_Grid[#Data],$DD652,78),0)</f>
        <v/>
      </c>
      <c r="CC652">
        <f>IFERROR(INDEX(PP_Grid[#Data],$DD652,79),0)</f>
        <v/>
      </c>
      <c r="CD652">
        <f>IFERROR(INDEX(PP_Grid[#Data],$DD652,80),0)</f>
        <v/>
      </c>
      <c r="CE652">
        <f>IFERROR(INDEX(PP_Grid[#Data],$DD652,81),0)</f>
        <v/>
      </c>
      <c r="CF652">
        <f>IFERROR(INDEX(PP_Grid[#Data],$DD652,82),0)</f>
        <v/>
      </c>
      <c r="CG652">
        <f>IFERROR(INDEX(PP_Grid[#Data],$DD652,83),0)</f>
        <v/>
      </c>
      <c r="CH652">
        <f>IFERROR(INDEX(PP_Grid[#Data],$DD652,84),0)</f>
        <v/>
      </c>
      <c r="CI652">
        <f>IFERROR(INDEX(PP_Grid[#Data],$DD652,85),0)</f>
        <v/>
      </c>
      <c r="CJ652">
        <f>IFERROR(INDEX(PP_Grid[#Data],$DD652,86),0)</f>
        <v/>
      </c>
      <c r="CK652">
        <f>IFERROR(INDEX(PP_Grid[#Data],$DD652,87),0)</f>
        <v/>
      </c>
      <c r="CL652">
        <f>IFERROR(INDEX(PP_Grid[#Data],$DD652,88),0)</f>
        <v/>
      </c>
      <c r="CM652">
        <f>IFERROR(INDEX(PP_Grid[#Data],$DD652,89),0)</f>
        <v/>
      </c>
      <c r="CN652">
        <f>IFERROR(INDEX(PP_Grid[#Data],$DD652,90),0)</f>
        <v/>
      </c>
      <c r="CO652">
        <f>IFERROR(INDEX(PP_Grid[#Data],$DD652,91),0)</f>
        <v/>
      </c>
      <c r="CP652">
        <f>IFERROR(INDEX(PP_Grid[#Data],$DD652,92),0)</f>
        <v/>
      </c>
      <c r="CQ652">
        <f>IFERROR(INDEX(PP_Grid[#Data],$DD652,93),0)</f>
        <v/>
      </c>
      <c r="CR652">
        <f>IFERROR(INDEX(PP_Grid[#Data],$DD652,94),0)</f>
        <v/>
      </c>
      <c r="CS652">
        <f>IFERROR(INDEX(PP_Grid[#Data],$DD652,95),0)</f>
        <v/>
      </c>
      <c r="CT652">
        <f>IFERROR(INDEX(PP_Grid[#Data],$DD652,96),0)</f>
        <v/>
      </c>
      <c r="CU652">
        <f>IFERROR(INDEX(PP_Grid[#Data],$DD652,97),0)</f>
        <v/>
      </c>
      <c r="CV652">
        <f>IFERROR(INDEX(PP_Grid[#Data],$DD652,98),0)</f>
        <v/>
      </c>
      <c r="CW652">
        <f>IFERROR(INDEX(PP_Grid[#Data],$DD652,99),0)</f>
        <v/>
      </c>
      <c r="CX652">
        <f>IFERROR(INDEX(PP_Grid[#Data],$DD652,100),0)</f>
        <v/>
      </c>
      <c r="CY652">
        <f>IFERROR(INDEX(PP_Grid[#Data],$DD652,101),0)</f>
        <v/>
      </c>
      <c r="CZ652">
        <f>IFERROR(INDEX(PP_Grid[#Data],$DD652,102),0)</f>
        <v/>
      </c>
      <c r="DA652">
        <f>IFERROR(INDEX(PP_Grid[#Data],$DD652,103),0)</f>
        <v/>
      </c>
      <c r="DB652">
        <f>IFERROR(INDEX(PP_Grid[#Data],$DD652,104),0)</f>
        <v/>
      </c>
      <c r="DC652">
        <f>IFERROR(INDEX(PP_Grid[#Data],$DD652,105),0)</f>
        <v/>
      </c>
      <c r="DD652" s="12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SUMIFS(M_BOM[RM_Qty_Per_Batch],M_BOM[Intermediate],$B652,M_BOM[Part Name],$A581)</f>
        <v/>
      </c>
      <c r="D653">
        <f>$C653*D652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</row>
    <row r="654">
      <c r="B654" t="inlineStr">
        <is>
          <t>TSP-936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12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Name],$A581)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TSP-937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12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Name],$A581)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VSP-600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12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Name],$A581)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VSP-602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12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Name],$A581)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VSP-822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12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Name],$A581)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VSP-910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12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Name],$A581)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VSP-989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12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Name],$A581)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VSP-990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12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Name],$A581)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s="5" t="inlineStr">
        <is>
          <t>合計使用量(kg)/週</t>
        </is>
      </c>
      <c r="D670">
        <f>'Grid_Requirement'!B31</f>
        <v/>
      </c>
      <c r="E670">
        <f>'Grid_Requirement'!C31</f>
        <v/>
      </c>
      <c r="F670">
        <f>'Grid_Requirement'!D31</f>
        <v/>
      </c>
      <c r="G670">
        <f>'Grid_Requirement'!E31</f>
        <v/>
      </c>
      <c r="H670">
        <f>'Grid_Requirement'!F31</f>
        <v/>
      </c>
      <c r="I670">
        <f>'Grid_Requirement'!G31</f>
        <v/>
      </c>
      <c r="J670">
        <f>'Grid_Requirement'!H31</f>
        <v/>
      </c>
      <c r="K670">
        <f>'Grid_Requirement'!I31</f>
        <v/>
      </c>
      <c r="L670">
        <f>'Grid_Requirement'!J31</f>
        <v/>
      </c>
      <c r="M670">
        <f>'Grid_Requirement'!K31</f>
        <v/>
      </c>
      <c r="N670">
        <f>'Grid_Requirement'!L31</f>
        <v/>
      </c>
      <c r="O670">
        <f>'Grid_Requirement'!M31</f>
        <v/>
      </c>
      <c r="P670">
        <f>'Grid_Requirement'!N31</f>
        <v/>
      </c>
      <c r="Q670">
        <f>'Grid_Requirement'!O31</f>
        <v/>
      </c>
      <c r="R670">
        <f>'Grid_Requirement'!P31</f>
        <v/>
      </c>
      <c r="S670">
        <f>'Grid_Requirement'!Q31</f>
        <v/>
      </c>
      <c r="T670">
        <f>'Grid_Requirement'!R31</f>
        <v/>
      </c>
      <c r="U670">
        <f>'Grid_Requirement'!S31</f>
        <v/>
      </c>
      <c r="V670">
        <f>'Grid_Requirement'!T31</f>
        <v/>
      </c>
      <c r="W670">
        <f>'Grid_Requirement'!U31</f>
        <v/>
      </c>
      <c r="X670">
        <f>'Grid_Requirement'!V31</f>
        <v/>
      </c>
      <c r="Y670">
        <f>'Grid_Requirement'!W31</f>
        <v/>
      </c>
      <c r="Z670">
        <f>'Grid_Requirement'!X31</f>
        <v/>
      </c>
      <c r="AA670">
        <f>'Grid_Requirement'!Y31</f>
        <v/>
      </c>
      <c r="AB670">
        <f>'Grid_Requirement'!Z31</f>
        <v/>
      </c>
      <c r="AC670">
        <f>'Grid_Requirement'!AA31</f>
        <v/>
      </c>
      <c r="AD670">
        <f>'Grid_Requirement'!AB31</f>
        <v/>
      </c>
      <c r="AE670">
        <f>'Grid_Requirement'!AC31</f>
        <v/>
      </c>
      <c r="AF670">
        <f>'Grid_Requirement'!AD31</f>
        <v/>
      </c>
      <c r="AG670">
        <f>'Grid_Requirement'!AE31</f>
        <v/>
      </c>
      <c r="AH670">
        <f>'Grid_Requirement'!AF31</f>
        <v/>
      </c>
      <c r="AI670">
        <f>'Grid_Requirement'!AG31</f>
        <v/>
      </c>
      <c r="AJ670">
        <f>'Grid_Requirement'!AH31</f>
        <v/>
      </c>
      <c r="AK670">
        <f>'Grid_Requirement'!AI31</f>
        <v/>
      </c>
      <c r="AL670">
        <f>'Grid_Requirement'!AJ31</f>
        <v/>
      </c>
      <c r="AM670">
        <f>'Grid_Requirement'!AK31</f>
        <v/>
      </c>
      <c r="AN670">
        <f>'Grid_Requirement'!AL31</f>
        <v/>
      </c>
      <c r="AO670">
        <f>'Grid_Requirement'!AM31</f>
        <v/>
      </c>
      <c r="AP670">
        <f>'Grid_Requirement'!AN31</f>
        <v/>
      </c>
      <c r="AQ670">
        <f>'Grid_Requirement'!AO31</f>
        <v/>
      </c>
      <c r="AR670">
        <f>'Grid_Requirement'!AP31</f>
        <v/>
      </c>
      <c r="AS670">
        <f>'Grid_Requirement'!AQ31</f>
        <v/>
      </c>
      <c r="AT670">
        <f>'Grid_Requirement'!AR31</f>
        <v/>
      </c>
      <c r="AU670">
        <f>'Grid_Requirement'!AS31</f>
        <v/>
      </c>
      <c r="AV670">
        <f>'Grid_Requirement'!AT31</f>
        <v/>
      </c>
      <c r="AW670">
        <f>'Grid_Requirement'!AU31</f>
        <v/>
      </c>
      <c r="AX670">
        <f>'Grid_Requirement'!AV31</f>
        <v/>
      </c>
      <c r="AY670">
        <f>'Grid_Requirement'!AW31</f>
        <v/>
      </c>
      <c r="AZ670">
        <f>'Grid_Requirement'!AX31</f>
        <v/>
      </c>
      <c r="BA670">
        <f>'Grid_Requirement'!AY31</f>
        <v/>
      </c>
      <c r="BB670">
        <f>'Grid_Requirement'!AZ31</f>
        <v/>
      </c>
      <c r="BC670">
        <f>'Grid_Requirement'!BA31</f>
        <v/>
      </c>
      <c r="BD670">
        <f>'Grid_Requirement'!BB31</f>
        <v/>
      </c>
      <c r="BE670">
        <f>'Grid_Requirement'!BC31</f>
        <v/>
      </c>
      <c r="BF670">
        <f>'Grid_Requirement'!BD31</f>
        <v/>
      </c>
      <c r="BG670">
        <f>'Grid_Requirement'!BE31</f>
        <v/>
      </c>
      <c r="BH670">
        <f>'Grid_Requirement'!BF31</f>
        <v/>
      </c>
      <c r="BI670">
        <f>'Grid_Requirement'!BG31</f>
        <v/>
      </c>
      <c r="BJ670">
        <f>'Grid_Requirement'!BH31</f>
        <v/>
      </c>
      <c r="BK670">
        <f>'Grid_Requirement'!BI31</f>
        <v/>
      </c>
      <c r="BL670">
        <f>'Grid_Requirement'!BJ31</f>
        <v/>
      </c>
      <c r="BM670">
        <f>'Grid_Requirement'!BK31</f>
        <v/>
      </c>
      <c r="BN670">
        <f>'Grid_Requirement'!BL31</f>
        <v/>
      </c>
      <c r="BO670">
        <f>'Grid_Requirement'!BM31</f>
        <v/>
      </c>
      <c r="BP670">
        <f>'Grid_Requirement'!BN31</f>
        <v/>
      </c>
      <c r="BQ670">
        <f>'Grid_Requirement'!BO31</f>
        <v/>
      </c>
      <c r="BR670">
        <f>'Grid_Requirement'!BP31</f>
        <v/>
      </c>
      <c r="BS670">
        <f>'Grid_Requirement'!BQ31</f>
        <v/>
      </c>
      <c r="BT670">
        <f>'Grid_Requirement'!BR31</f>
        <v/>
      </c>
      <c r="BU670">
        <f>'Grid_Requirement'!BS31</f>
        <v/>
      </c>
      <c r="BV670">
        <f>'Grid_Requirement'!BT31</f>
        <v/>
      </c>
      <c r="BW670">
        <f>'Grid_Requirement'!BU31</f>
        <v/>
      </c>
      <c r="BX670">
        <f>'Grid_Requirement'!BV31</f>
        <v/>
      </c>
      <c r="BY670">
        <f>'Grid_Requirement'!BW31</f>
        <v/>
      </c>
      <c r="BZ670">
        <f>'Grid_Requirement'!BX31</f>
        <v/>
      </c>
      <c r="CA670">
        <f>'Grid_Requirement'!BY31</f>
        <v/>
      </c>
      <c r="CB670">
        <f>'Grid_Requirement'!BZ31</f>
        <v/>
      </c>
      <c r="CC670">
        <f>'Grid_Requirement'!CA31</f>
        <v/>
      </c>
      <c r="CD670">
        <f>'Grid_Requirement'!CB31</f>
        <v/>
      </c>
      <c r="CE670">
        <f>'Grid_Requirement'!CC31</f>
        <v/>
      </c>
      <c r="CF670">
        <f>'Grid_Requirement'!CD31</f>
        <v/>
      </c>
      <c r="CG670">
        <f>'Grid_Requirement'!CE31</f>
        <v/>
      </c>
      <c r="CH670">
        <f>'Grid_Requirement'!CF31</f>
        <v/>
      </c>
      <c r="CI670">
        <f>'Grid_Requirement'!CG31</f>
        <v/>
      </c>
      <c r="CJ670">
        <f>'Grid_Requirement'!CH31</f>
        <v/>
      </c>
      <c r="CK670">
        <f>'Grid_Requirement'!CI31</f>
        <v/>
      </c>
      <c r="CL670">
        <f>'Grid_Requirement'!CJ31</f>
        <v/>
      </c>
      <c r="CM670">
        <f>'Grid_Requirement'!CK31</f>
        <v/>
      </c>
      <c r="CN670">
        <f>'Grid_Requirement'!CL31</f>
        <v/>
      </c>
      <c r="CO670">
        <f>'Grid_Requirement'!CM31</f>
        <v/>
      </c>
      <c r="CP670">
        <f>'Grid_Requirement'!CN31</f>
        <v/>
      </c>
      <c r="CQ670">
        <f>'Grid_Requirement'!CO31</f>
        <v/>
      </c>
      <c r="CR670">
        <f>'Grid_Requirement'!CP31</f>
        <v/>
      </c>
      <c r="CS670">
        <f>'Grid_Requirement'!CQ31</f>
        <v/>
      </c>
      <c r="CT670">
        <f>'Grid_Requirement'!CR31</f>
        <v/>
      </c>
      <c r="CU670">
        <f>'Grid_Requirement'!CS31</f>
        <v/>
      </c>
      <c r="CV670">
        <f>'Grid_Requirement'!CT31</f>
        <v/>
      </c>
      <c r="CW670">
        <f>'Grid_Requirement'!CU31</f>
        <v/>
      </c>
      <c r="CX670">
        <f>'Grid_Requirement'!CV31</f>
        <v/>
      </c>
      <c r="CY670">
        <f>'Grid_Requirement'!CW31</f>
        <v/>
      </c>
      <c r="CZ670">
        <f>'Grid_Requirement'!CX31</f>
        <v/>
      </c>
      <c r="DA670">
        <f>'Grid_Requirement'!CY31</f>
        <v/>
      </c>
      <c r="DB670">
        <f>'Grid_Requirement'!CZ31</f>
        <v/>
      </c>
      <c r="DC670">
        <f>'Grid_Requirement'!DA31</f>
        <v/>
      </c>
    </row>
    <row r="671">
      <c r="B671" t="inlineStr">
        <is>
          <t>TTAF在庫(実績,kg)</t>
        </is>
      </c>
      <c r="D671">
        <f>'T_TTAFStock'!B35</f>
        <v/>
      </c>
      <c r="E671">
        <f>'T_TTAFStock'!C35</f>
        <v/>
      </c>
      <c r="F671">
        <f>'T_TTAFStock'!D35</f>
        <v/>
      </c>
      <c r="G671">
        <f>'T_TTAFStock'!E35</f>
        <v/>
      </c>
      <c r="H671">
        <f>'T_TTAFStock'!F35</f>
        <v/>
      </c>
      <c r="I671">
        <f>'T_TTAFStock'!G35</f>
        <v/>
      </c>
      <c r="J671">
        <f>'T_TTAFStock'!H35</f>
        <v/>
      </c>
      <c r="K671">
        <f>'T_TTAFStock'!I35</f>
        <v/>
      </c>
      <c r="L671">
        <f>'T_TTAFStock'!J35</f>
        <v/>
      </c>
      <c r="M671">
        <f>'T_TTAFStock'!K35</f>
        <v/>
      </c>
      <c r="N671">
        <f>'T_TTAFStock'!L35</f>
        <v/>
      </c>
      <c r="O671">
        <f>'T_TTAFStock'!M35</f>
        <v/>
      </c>
      <c r="P671">
        <f>'T_TTAFStock'!N35</f>
        <v/>
      </c>
      <c r="Q671">
        <f>'T_TTAFStock'!O35</f>
        <v/>
      </c>
      <c r="R671">
        <f>'T_TTAFStock'!P35</f>
        <v/>
      </c>
      <c r="S671">
        <f>'T_TTAFStock'!Q35</f>
        <v/>
      </c>
      <c r="T671">
        <f>'T_TTAFStock'!R35</f>
        <v/>
      </c>
      <c r="U671">
        <f>'T_TTAFStock'!S35</f>
        <v/>
      </c>
      <c r="V671">
        <f>'T_TTAFStock'!T35</f>
        <v/>
      </c>
      <c r="W671">
        <f>'T_TTAFStock'!U35</f>
        <v/>
      </c>
      <c r="X671">
        <f>'T_TTAFStock'!V35</f>
        <v/>
      </c>
      <c r="Y671">
        <f>'T_TTAFStock'!W35</f>
        <v/>
      </c>
      <c r="Z671">
        <f>'T_TTAFStock'!X35</f>
        <v/>
      </c>
      <c r="AA671">
        <f>'T_TTAFStock'!Y35</f>
        <v/>
      </c>
      <c r="AB671">
        <f>'T_TTAFStock'!Z35</f>
        <v/>
      </c>
      <c r="AC671">
        <f>'T_TTAFStock'!AA35</f>
        <v/>
      </c>
      <c r="AD671">
        <f>'T_TTAFStock'!AB35</f>
        <v/>
      </c>
      <c r="AE671">
        <f>'T_TTAFStock'!AC35</f>
        <v/>
      </c>
      <c r="AF671">
        <f>'T_TTAFStock'!AD35</f>
        <v/>
      </c>
      <c r="AG671">
        <f>'T_TTAFStock'!AE35</f>
        <v/>
      </c>
      <c r="AH671">
        <f>'T_TTAFStock'!AF35</f>
        <v/>
      </c>
      <c r="AI671">
        <f>'T_TTAFStock'!AG35</f>
        <v/>
      </c>
      <c r="AJ671">
        <f>'T_TTAFStock'!AH35</f>
        <v/>
      </c>
      <c r="AK671">
        <f>'T_TTAFStock'!AI35</f>
        <v/>
      </c>
      <c r="AL671">
        <f>'T_TTAFStock'!AJ35</f>
        <v/>
      </c>
      <c r="AM671">
        <f>'T_TTAFStock'!AK35</f>
        <v/>
      </c>
      <c r="AN671">
        <f>'T_TTAFStock'!AL35</f>
        <v/>
      </c>
      <c r="AO671">
        <f>'T_TTAFStock'!AM35</f>
        <v/>
      </c>
      <c r="AP671">
        <f>'T_TTAFStock'!AN35</f>
        <v/>
      </c>
      <c r="AQ671">
        <f>'T_TTAFStock'!AO35</f>
        <v/>
      </c>
      <c r="AR671">
        <f>'T_TTAFStock'!AP35</f>
        <v/>
      </c>
      <c r="AS671">
        <f>'T_TTAFStock'!AQ35</f>
        <v/>
      </c>
      <c r="AT671">
        <f>'T_TTAFStock'!AR35</f>
        <v/>
      </c>
      <c r="AU671">
        <f>'T_TTAFStock'!AS35</f>
        <v/>
      </c>
      <c r="AV671">
        <f>'T_TTAFStock'!AT35</f>
        <v/>
      </c>
      <c r="AW671">
        <f>'T_TTAFStock'!AU35</f>
        <v/>
      </c>
      <c r="AX671">
        <f>'T_TTAFStock'!AV35</f>
        <v/>
      </c>
      <c r="AY671">
        <f>'T_TTAFStock'!AW35</f>
        <v/>
      </c>
      <c r="AZ671">
        <f>'T_TTAFStock'!AX35</f>
        <v/>
      </c>
      <c r="BA671">
        <f>'T_TTAFStock'!AY35</f>
        <v/>
      </c>
      <c r="BB671">
        <f>'T_TTAFStock'!AZ35</f>
        <v/>
      </c>
      <c r="BC671">
        <f>'T_TTAFStock'!BA35</f>
        <v/>
      </c>
      <c r="BD671">
        <f>'T_TTAFStock'!BB35</f>
        <v/>
      </c>
      <c r="BE671">
        <f>'T_TTAFStock'!BC35</f>
        <v/>
      </c>
      <c r="BF671">
        <f>'T_TTAFStock'!BD35</f>
        <v/>
      </c>
      <c r="BG671">
        <f>'T_TTAFStock'!BE35</f>
        <v/>
      </c>
      <c r="BH671">
        <f>'T_TTAFStock'!BF35</f>
        <v/>
      </c>
      <c r="BI671">
        <f>'T_TTAFStock'!BG35</f>
        <v/>
      </c>
      <c r="BJ671">
        <f>'T_TTAFStock'!BH35</f>
        <v/>
      </c>
      <c r="BK671">
        <f>'T_TTAFStock'!BI35</f>
        <v/>
      </c>
      <c r="BL671">
        <f>'T_TTAFStock'!BJ35</f>
        <v/>
      </c>
      <c r="BM671">
        <f>'T_TTAFStock'!BK35</f>
        <v/>
      </c>
      <c r="BN671">
        <f>'T_TTAFStock'!BL35</f>
        <v/>
      </c>
      <c r="BO671">
        <f>'T_TTAFStock'!BM35</f>
        <v/>
      </c>
      <c r="BP671">
        <f>'T_TTAFStock'!BN35</f>
        <v/>
      </c>
      <c r="BQ671">
        <f>'T_TTAFStock'!BO35</f>
        <v/>
      </c>
      <c r="BR671">
        <f>'T_TTAFStock'!BP35</f>
        <v/>
      </c>
      <c r="BS671">
        <f>'T_TTAFStock'!BQ35</f>
        <v/>
      </c>
      <c r="BT671">
        <f>'T_TTAFStock'!BR35</f>
        <v/>
      </c>
      <c r="BU671">
        <f>'T_TTAFStock'!BS35</f>
        <v/>
      </c>
      <c r="BV671">
        <f>'T_TTAFStock'!BT35</f>
        <v/>
      </c>
      <c r="BW671">
        <f>'T_TTAFStock'!BU35</f>
        <v/>
      </c>
      <c r="BX671">
        <f>'T_TTAFStock'!BV35</f>
        <v/>
      </c>
      <c r="BY671">
        <f>'T_TTAFStock'!BW35</f>
        <v/>
      </c>
      <c r="BZ671">
        <f>'T_TTAFStock'!BX35</f>
        <v/>
      </c>
      <c r="CA671">
        <f>'T_TTAFStock'!BY35</f>
        <v/>
      </c>
      <c r="CB671">
        <f>'T_TTAFStock'!BZ35</f>
        <v/>
      </c>
      <c r="CC671">
        <f>'T_TTAFStock'!CA35</f>
        <v/>
      </c>
      <c r="CD671">
        <f>'T_TTAFStock'!CB35</f>
        <v/>
      </c>
      <c r="CE671">
        <f>'T_TTAFStock'!CC35</f>
        <v/>
      </c>
      <c r="CF671">
        <f>'T_TTAFStock'!CD35</f>
        <v/>
      </c>
      <c r="CG671">
        <f>'T_TTAFStock'!CE35</f>
        <v/>
      </c>
      <c r="CH671">
        <f>'T_TTAFStock'!CF35</f>
        <v/>
      </c>
      <c r="CI671">
        <f>'T_TTAFStock'!CG35</f>
        <v/>
      </c>
      <c r="CJ671">
        <f>'T_TTAFStock'!CH35</f>
        <v/>
      </c>
      <c r="CK671">
        <f>'T_TTAFStock'!CI35</f>
        <v/>
      </c>
      <c r="CL671">
        <f>'T_TTAFStock'!CJ35</f>
        <v/>
      </c>
      <c r="CM671">
        <f>'T_TTAFStock'!CK35</f>
        <v/>
      </c>
      <c r="CN671">
        <f>'T_TTAFStock'!CL35</f>
        <v/>
      </c>
      <c r="CO671">
        <f>'T_TTAFStock'!CM35</f>
        <v/>
      </c>
      <c r="CP671">
        <f>'T_TTAFStock'!CN35</f>
        <v/>
      </c>
      <c r="CQ671">
        <f>'T_TTAFStock'!CO35</f>
        <v/>
      </c>
      <c r="CR671">
        <f>'T_TTAFStock'!CP35</f>
        <v/>
      </c>
      <c r="CS671">
        <f>'T_TTAFStock'!CQ35</f>
        <v/>
      </c>
      <c r="CT671">
        <f>'T_TTAFStock'!CR35</f>
        <v/>
      </c>
      <c r="CU671">
        <f>'T_TTAFStock'!CS35</f>
        <v/>
      </c>
      <c r="CV671">
        <f>'T_TTAFStock'!CT35</f>
        <v/>
      </c>
      <c r="CW671">
        <f>'T_TTAFStock'!CU35</f>
        <v/>
      </c>
      <c r="CX671">
        <f>'T_TTAFStock'!CV35</f>
        <v/>
      </c>
      <c r="CY671">
        <f>'T_TTAFStock'!CW35</f>
        <v/>
      </c>
      <c r="CZ671">
        <f>'T_TTAFStock'!CX35</f>
        <v/>
      </c>
      <c r="DA671">
        <f>'T_TTAFStock'!CY35</f>
        <v/>
      </c>
      <c r="DB671">
        <f>'T_TTAFStock'!CZ35</f>
        <v/>
      </c>
      <c r="DC671">
        <f>'T_TTAFStock'!DA35</f>
        <v/>
      </c>
    </row>
    <row r="672">
      <c r="B672" t="inlineStr">
        <is>
          <t>自社在庫(実績,kg)</t>
        </is>
      </c>
      <c r="D672">
        <f>'T_SelfStock'!B35</f>
        <v/>
      </c>
      <c r="E672">
        <f>'T_SelfStock'!C35</f>
        <v/>
      </c>
      <c r="F672">
        <f>'T_SelfStock'!D35</f>
        <v/>
      </c>
      <c r="G672">
        <f>'T_SelfStock'!E35</f>
        <v/>
      </c>
      <c r="H672">
        <f>'T_SelfStock'!F35</f>
        <v/>
      </c>
      <c r="I672">
        <f>'T_SelfStock'!G35</f>
        <v/>
      </c>
      <c r="J672">
        <f>'T_SelfStock'!H35</f>
        <v/>
      </c>
      <c r="K672">
        <f>'T_SelfStock'!I35</f>
        <v/>
      </c>
      <c r="L672">
        <f>'T_SelfStock'!J35</f>
        <v/>
      </c>
      <c r="M672">
        <f>'T_SelfStock'!K35</f>
        <v/>
      </c>
      <c r="N672">
        <f>'T_SelfStock'!L35</f>
        <v/>
      </c>
      <c r="O672">
        <f>'T_SelfStock'!M35</f>
        <v/>
      </c>
      <c r="P672">
        <f>'T_SelfStock'!N35</f>
        <v/>
      </c>
      <c r="Q672">
        <f>'T_SelfStock'!O35</f>
        <v/>
      </c>
      <c r="R672">
        <f>'T_SelfStock'!P35</f>
        <v/>
      </c>
      <c r="S672">
        <f>'T_SelfStock'!Q35</f>
        <v/>
      </c>
      <c r="T672">
        <f>'T_SelfStock'!R35</f>
        <v/>
      </c>
      <c r="U672">
        <f>'T_SelfStock'!S35</f>
        <v/>
      </c>
      <c r="V672">
        <f>'T_SelfStock'!T35</f>
        <v/>
      </c>
      <c r="W672">
        <f>'T_SelfStock'!U35</f>
        <v/>
      </c>
      <c r="X672">
        <f>'T_SelfStock'!V35</f>
        <v/>
      </c>
      <c r="Y672">
        <f>'T_SelfStock'!W35</f>
        <v/>
      </c>
      <c r="Z672">
        <f>'T_SelfStock'!X35</f>
        <v/>
      </c>
      <c r="AA672">
        <f>'T_SelfStock'!Y35</f>
        <v/>
      </c>
      <c r="AB672">
        <f>'T_SelfStock'!Z35</f>
        <v/>
      </c>
      <c r="AC672">
        <f>'T_SelfStock'!AA35</f>
        <v/>
      </c>
      <c r="AD672">
        <f>'T_SelfStock'!AB35</f>
        <v/>
      </c>
      <c r="AE672">
        <f>'T_SelfStock'!AC35</f>
        <v/>
      </c>
      <c r="AF672">
        <f>'T_SelfStock'!AD35</f>
        <v/>
      </c>
      <c r="AG672">
        <f>'T_SelfStock'!AE35</f>
        <v/>
      </c>
      <c r="AH672">
        <f>'T_SelfStock'!AF35</f>
        <v/>
      </c>
      <c r="AI672">
        <f>'T_SelfStock'!AG35</f>
        <v/>
      </c>
      <c r="AJ672">
        <f>'T_SelfStock'!AH35</f>
        <v/>
      </c>
      <c r="AK672">
        <f>'T_SelfStock'!AI35</f>
        <v/>
      </c>
      <c r="AL672">
        <f>'T_SelfStock'!AJ35</f>
        <v/>
      </c>
      <c r="AM672">
        <f>'T_SelfStock'!AK35</f>
        <v/>
      </c>
      <c r="AN672">
        <f>'T_SelfStock'!AL35</f>
        <v/>
      </c>
      <c r="AO672">
        <f>'T_SelfStock'!AM35</f>
        <v/>
      </c>
      <c r="AP672">
        <f>'T_SelfStock'!AN35</f>
        <v/>
      </c>
      <c r="AQ672">
        <f>'T_SelfStock'!AO35</f>
        <v/>
      </c>
      <c r="AR672">
        <f>'T_SelfStock'!AP35</f>
        <v/>
      </c>
      <c r="AS672">
        <f>'T_SelfStock'!AQ35</f>
        <v/>
      </c>
      <c r="AT672">
        <f>'T_SelfStock'!AR35</f>
        <v/>
      </c>
      <c r="AU672">
        <f>'T_SelfStock'!AS35</f>
        <v/>
      </c>
      <c r="AV672">
        <f>'T_SelfStock'!AT35</f>
        <v/>
      </c>
      <c r="AW672">
        <f>'T_SelfStock'!AU35</f>
        <v/>
      </c>
      <c r="AX672">
        <f>'T_SelfStock'!AV35</f>
        <v/>
      </c>
      <c r="AY672">
        <f>'T_SelfStock'!AW35</f>
        <v/>
      </c>
      <c r="AZ672">
        <f>'T_SelfStock'!AX35</f>
        <v/>
      </c>
      <c r="BA672">
        <f>'T_SelfStock'!AY35</f>
        <v/>
      </c>
      <c r="BB672">
        <f>'T_SelfStock'!AZ35</f>
        <v/>
      </c>
      <c r="BC672">
        <f>'T_SelfStock'!BA35</f>
        <v/>
      </c>
      <c r="BD672">
        <f>'T_SelfStock'!BB35</f>
        <v/>
      </c>
      <c r="BE672">
        <f>'T_SelfStock'!BC35</f>
        <v/>
      </c>
      <c r="BF672">
        <f>'T_SelfStock'!BD35</f>
        <v/>
      </c>
      <c r="BG672">
        <f>'T_SelfStock'!BE35</f>
        <v/>
      </c>
      <c r="BH672">
        <f>'T_SelfStock'!BF35</f>
        <v/>
      </c>
      <c r="BI672">
        <f>'T_SelfStock'!BG35</f>
        <v/>
      </c>
      <c r="BJ672">
        <f>'T_SelfStock'!BH35</f>
        <v/>
      </c>
      <c r="BK672">
        <f>'T_SelfStock'!BI35</f>
        <v/>
      </c>
      <c r="BL672">
        <f>'T_SelfStock'!BJ35</f>
        <v/>
      </c>
      <c r="BM672">
        <f>'T_SelfStock'!BK35</f>
        <v/>
      </c>
      <c r="BN672">
        <f>'T_SelfStock'!BL35</f>
        <v/>
      </c>
      <c r="BO672">
        <f>'T_SelfStock'!BM35</f>
        <v/>
      </c>
      <c r="BP672">
        <f>'T_SelfStock'!BN35</f>
        <v/>
      </c>
      <c r="BQ672">
        <f>'T_SelfStock'!BO35</f>
        <v/>
      </c>
      <c r="BR672">
        <f>'T_SelfStock'!BP35</f>
        <v/>
      </c>
      <c r="BS672">
        <f>'T_SelfStock'!BQ35</f>
        <v/>
      </c>
      <c r="BT672">
        <f>'T_SelfStock'!BR35</f>
        <v/>
      </c>
      <c r="BU672">
        <f>'T_SelfStock'!BS35</f>
        <v/>
      </c>
      <c r="BV672">
        <f>'T_SelfStock'!BT35</f>
        <v/>
      </c>
      <c r="BW672">
        <f>'T_SelfStock'!BU35</f>
        <v/>
      </c>
      <c r="BX672">
        <f>'T_SelfStock'!BV35</f>
        <v/>
      </c>
      <c r="BY672">
        <f>'T_SelfStock'!BW35</f>
        <v/>
      </c>
      <c r="BZ672">
        <f>'T_SelfStock'!BX35</f>
        <v/>
      </c>
      <c r="CA672">
        <f>'T_SelfStock'!BY35</f>
        <v/>
      </c>
      <c r="CB672">
        <f>'T_SelfStock'!BZ35</f>
        <v/>
      </c>
      <c r="CC672">
        <f>'T_SelfStock'!CA35</f>
        <v/>
      </c>
      <c r="CD672">
        <f>'T_SelfStock'!CB35</f>
        <v/>
      </c>
      <c r="CE672">
        <f>'T_SelfStock'!CC35</f>
        <v/>
      </c>
      <c r="CF672">
        <f>'T_SelfStock'!CD35</f>
        <v/>
      </c>
      <c r="CG672">
        <f>'T_SelfStock'!CE35</f>
        <v/>
      </c>
      <c r="CH672">
        <f>'T_SelfStock'!CF35</f>
        <v/>
      </c>
      <c r="CI672">
        <f>'T_SelfStock'!CG35</f>
        <v/>
      </c>
      <c r="CJ672">
        <f>'T_SelfStock'!CH35</f>
        <v/>
      </c>
      <c r="CK672">
        <f>'T_SelfStock'!CI35</f>
        <v/>
      </c>
      <c r="CL672">
        <f>'T_SelfStock'!CJ35</f>
        <v/>
      </c>
      <c r="CM672">
        <f>'T_SelfStock'!CK35</f>
        <v/>
      </c>
      <c r="CN672">
        <f>'T_SelfStock'!CL35</f>
        <v/>
      </c>
      <c r="CO672">
        <f>'T_SelfStock'!CM35</f>
        <v/>
      </c>
      <c r="CP672">
        <f>'T_SelfStock'!CN35</f>
        <v/>
      </c>
      <c r="CQ672">
        <f>'T_SelfStock'!CO35</f>
        <v/>
      </c>
      <c r="CR672">
        <f>'T_SelfStock'!CP35</f>
        <v/>
      </c>
      <c r="CS672">
        <f>'T_SelfStock'!CQ35</f>
        <v/>
      </c>
      <c r="CT672">
        <f>'T_SelfStock'!CR35</f>
        <v/>
      </c>
      <c r="CU672">
        <f>'T_SelfStock'!CS35</f>
        <v/>
      </c>
      <c r="CV672">
        <f>'T_SelfStock'!CT35</f>
        <v/>
      </c>
      <c r="CW672">
        <f>'T_SelfStock'!CU35</f>
        <v/>
      </c>
      <c r="CX672">
        <f>'T_SelfStock'!CV35</f>
        <v/>
      </c>
      <c r="CY672">
        <f>'T_SelfStock'!CW35</f>
        <v/>
      </c>
      <c r="CZ672">
        <f>'T_SelfStock'!CX35</f>
        <v/>
      </c>
      <c r="DA672">
        <f>'T_SelfStock'!CY35</f>
        <v/>
      </c>
      <c r="DB672">
        <f>'T_SelfStock'!CZ35</f>
        <v/>
      </c>
      <c r="DC672">
        <f>'T_SelfStock'!DA35</f>
        <v/>
      </c>
    </row>
    <row r="673">
      <c r="B673" t="inlineStr">
        <is>
          <t>Order(発注予定,kg)</t>
        </is>
      </c>
      <c r="D673">
        <f>IF(SUMIFS(T_PlannedOrders[EffectiveQty],T_PlannedOrders[Part Name],$A581,T_PlannedOrders[WeekIndex],1)=0,"",SUMIFS(T_PlannedOrders[EffectiveQty],T_PlannedOrders[Part Name],$A581,T_PlannedOrders[WeekIndex],1)&amp;" ("&amp;TEXT(SUMPRODUCT(MAX((T_PlannedOrders[Part Name]=$A581)*(T_PlannedOrders[WeekIndex]=1)*(T_PlannedOrders[EffectiveQty]&gt;0)*T_PlannedOrders[Order_Month])),"m月")&amp;"発注)")</f>
        <v/>
      </c>
      <c r="E673">
        <f>IF(SUMIFS(T_PlannedOrders[EffectiveQty],T_PlannedOrders[Part Name],$A581,T_PlannedOrders[WeekIndex],2)=0,"",SUMIFS(T_PlannedOrders[EffectiveQty],T_PlannedOrders[Part Name],$A581,T_PlannedOrders[WeekIndex],2)&amp;" ("&amp;TEXT(SUMPRODUCT(MAX((T_PlannedOrders[Part Name]=$A581)*(T_PlannedOrders[WeekIndex]=2)*(T_PlannedOrders[EffectiveQty]&gt;0)*T_PlannedOrders[Order_Month])),"m月")&amp;"発注)")</f>
        <v/>
      </c>
      <c r="F673">
        <f>IF(SUMIFS(T_PlannedOrders[EffectiveQty],T_PlannedOrders[Part Name],$A581,T_PlannedOrders[WeekIndex],3)=0,"",SUMIFS(T_PlannedOrders[EffectiveQty],T_PlannedOrders[Part Name],$A581,T_PlannedOrders[WeekIndex],3)&amp;" ("&amp;TEXT(SUMPRODUCT(MAX((T_PlannedOrders[Part Name]=$A581)*(T_PlannedOrders[WeekIndex]=3)*(T_PlannedOrders[EffectiveQty]&gt;0)*T_PlannedOrders[Order_Month])),"m月")&amp;"発注)")</f>
        <v/>
      </c>
      <c r="G673">
        <f>IF(SUMIFS(T_PlannedOrders[EffectiveQty],T_PlannedOrders[Part Name],$A581,T_PlannedOrders[WeekIndex],4)=0,"",SUMIFS(T_PlannedOrders[EffectiveQty],T_PlannedOrders[Part Name],$A581,T_PlannedOrders[WeekIndex],4)&amp;" ("&amp;TEXT(SUMPRODUCT(MAX((T_PlannedOrders[Part Name]=$A581)*(T_PlannedOrders[WeekIndex]=4)*(T_PlannedOrders[EffectiveQty]&gt;0)*T_PlannedOrders[Order_Month])),"m月")&amp;"発注)")</f>
        <v/>
      </c>
      <c r="H673">
        <f>IF(SUMIFS(T_PlannedOrders[EffectiveQty],T_PlannedOrders[Part Name],$A581,T_PlannedOrders[WeekIndex],5)=0,"",SUMIFS(T_PlannedOrders[EffectiveQty],T_PlannedOrders[Part Name],$A581,T_PlannedOrders[WeekIndex],5)&amp;" ("&amp;TEXT(SUMPRODUCT(MAX((T_PlannedOrders[Part Name]=$A581)*(T_PlannedOrders[WeekIndex]=5)*(T_PlannedOrders[EffectiveQty]&gt;0)*T_PlannedOrders[Order_Month])),"m月")&amp;"発注)")</f>
        <v/>
      </c>
      <c r="I673">
        <f>IF(SUMIFS(T_PlannedOrders[EffectiveQty],T_PlannedOrders[Part Name],$A581,T_PlannedOrders[WeekIndex],6)=0,"",SUMIFS(T_PlannedOrders[EffectiveQty],T_PlannedOrders[Part Name],$A581,T_PlannedOrders[WeekIndex],6)&amp;" ("&amp;TEXT(SUMPRODUCT(MAX((T_PlannedOrders[Part Name]=$A581)*(T_PlannedOrders[WeekIndex]=6)*(T_PlannedOrders[EffectiveQty]&gt;0)*T_PlannedOrders[Order_Month])),"m月")&amp;"発注)")</f>
        <v/>
      </c>
      <c r="J673">
        <f>IF(SUMIFS(T_PlannedOrders[EffectiveQty],T_PlannedOrders[Part Name],$A581,T_PlannedOrders[WeekIndex],7)=0,"",SUMIFS(T_PlannedOrders[EffectiveQty],T_PlannedOrders[Part Name],$A581,T_PlannedOrders[WeekIndex],7)&amp;" ("&amp;TEXT(SUMPRODUCT(MAX((T_PlannedOrders[Part Name]=$A581)*(T_PlannedOrders[WeekIndex]=7)*(T_PlannedOrders[EffectiveQty]&gt;0)*T_PlannedOrders[Order_Month])),"m月")&amp;"発注)")</f>
        <v/>
      </c>
      <c r="K673">
        <f>IF(SUMIFS(T_PlannedOrders[EffectiveQty],T_PlannedOrders[Part Name],$A581,T_PlannedOrders[WeekIndex],8)=0,"",SUMIFS(T_PlannedOrders[EffectiveQty],T_PlannedOrders[Part Name],$A581,T_PlannedOrders[WeekIndex],8)&amp;" ("&amp;TEXT(SUMPRODUCT(MAX((T_PlannedOrders[Part Name]=$A581)*(T_PlannedOrders[WeekIndex]=8)*(T_PlannedOrders[EffectiveQty]&gt;0)*T_PlannedOrders[Order_Month])),"m月")&amp;"発注)")</f>
        <v/>
      </c>
      <c r="L673">
        <f>IF(SUMIFS(T_PlannedOrders[EffectiveQty],T_PlannedOrders[Part Name],$A581,T_PlannedOrders[WeekIndex],9)=0,"",SUMIFS(T_PlannedOrders[EffectiveQty],T_PlannedOrders[Part Name],$A581,T_PlannedOrders[WeekIndex],9)&amp;" ("&amp;TEXT(SUMPRODUCT(MAX((T_PlannedOrders[Part Name]=$A581)*(T_PlannedOrders[WeekIndex]=9)*(T_PlannedOrders[EffectiveQty]&gt;0)*T_PlannedOrders[Order_Month])),"m月")&amp;"発注)")</f>
        <v/>
      </c>
      <c r="M673">
        <f>IF(SUMIFS(T_PlannedOrders[EffectiveQty],T_PlannedOrders[Part Name],$A581,T_PlannedOrders[WeekIndex],10)=0,"",SUMIFS(T_PlannedOrders[EffectiveQty],T_PlannedOrders[Part Name],$A581,T_PlannedOrders[WeekIndex],10)&amp;" ("&amp;TEXT(SUMPRODUCT(MAX((T_PlannedOrders[Part Name]=$A581)*(T_PlannedOrders[WeekIndex]=10)*(T_PlannedOrders[EffectiveQty]&gt;0)*T_PlannedOrders[Order_Month])),"m月")&amp;"発注)")</f>
        <v/>
      </c>
      <c r="N673">
        <f>IF(SUMIFS(T_PlannedOrders[EffectiveQty],T_PlannedOrders[Part Name],$A581,T_PlannedOrders[WeekIndex],11)=0,"",SUMIFS(T_PlannedOrders[EffectiveQty],T_PlannedOrders[Part Name],$A581,T_PlannedOrders[WeekIndex],11)&amp;" ("&amp;TEXT(SUMPRODUCT(MAX((T_PlannedOrders[Part Name]=$A581)*(T_PlannedOrders[WeekIndex]=11)*(T_PlannedOrders[EffectiveQty]&gt;0)*T_PlannedOrders[Order_Month])),"m月")&amp;"発注)")</f>
        <v/>
      </c>
      <c r="O673">
        <f>IF(SUMIFS(T_PlannedOrders[EffectiveQty],T_PlannedOrders[Part Name],$A581,T_PlannedOrders[WeekIndex],12)=0,"",SUMIFS(T_PlannedOrders[EffectiveQty],T_PlannedOrders[Part Name],$A581,T_PlannedOrders[WeekIndex],12)&amp;" ("&amp;TEXT(SUMPRODUCT(MAX((T_PlannedOrders[Part Name]=$A581)*(T_PlannedOrders[WeekIndex]=12)*(T_PlannedOrders[EffectiveQty]&gt;0)*T_PlannedOrders[Order_Month])),"m月")&amp;"発注)")</f>
        <v/>
      </c>
      <c r="P673">
        <f>IF(SUMIFS(T_PlannedOrders[EffectiveQty],T_PlannedOrders[Part Name],$A581,T_PlannedOrders[WeekIndex],13)=0,"",SUMIFS(T_PlannedOrders[EffectiveQty],T_PlannedOrders[Part Name],$A581,T_PlannedOrders[WeekIndex],13)&amp;" ("&amp;TEXT(SUMPRODUCT(MAX((T_PlannedOrders[Part Name]=$A581)*(T_PlannedOrders[WeekIndex]=13)*(T_PlannedOrders[EffectiveQty]&gt;0)*T_PlannedOrders[Order_Month])),"m月")&amp;"発注)")</f>
        <v/>
      </c>
      <c r="Q673">
        <f>IF(SUMIFS(T_PlannedOrders[EffectiveQty],T_PlannedOrders[Part Name],$A581,T_PlannedOrders[WeekIndex],14)=0,"",SUMIFS(T_PlannedOrders[EffectiveQty],T_PlannedOrders[Part Name],$A581,T_PlannedOrders[WeekIndex],14)&amp;" ("&amp;TEXT(SUMPRODUCT(MAX((T_PlannedOrders[Part Name]=$A581)*(T_PlannedOrders[WeekIndex]=14)*(T_PlannedOrders[EffectiveQty]&gt;0)*T_PlannedOrders[Order_Month])),"m月")&amp;"発注)")</f>
        <v/>
      </c>
      <c r="R673">
        <f>IF(SUMIFS(T_PlannedOrders[EffectiveQty],T_PlannedOrders[Part Name],$A581,T_PlannedOrders[WeekIndex],15)=0,"",SUMIFS(T_PlannedOrders[EffectiveQty],T_PlannedOrders[Part Name],$A581,T_PlannedOrders[WeekIndex],15)&amp;" ("&amp;TEXT(SUMPRODUCT(MAX((T_PlannedOrders[Part Name]=$A581)*(T_PlannedOrders[WeekIndex]=15)*(T_PlannedOrders[EffectiveQty]&gt;0)*T_PlannedOrders[Order_Month])),"m月")&amp;"発注)")</f>
        <v/>
      </c>
      <c r="S673">
        <f>IF(SUMIFS(T_PlannedOrders[EffectiveQty],T_PlannedOrders[Part Name],$A581,T_PlannedOrders[WeekIndex],16)=0,"",SUMIFS(T_PlannedOrders[EffectiveQty],T_PlannedOrders[Part Name],$A581,T_PlannedOrders[WeekIndex],16)&amp;" ("&amp;TEXT(SUMPRODUCT(MAX((T_PlannedOrders[Part Name]=$A581)*(T_PlannedOrders[WeekIndex]=16)*(T_PlannedOrders[EffectiveQty]&gt;0)*T_PlannedOrders[Order_Month])),"m月")&amp;"発注)")</f>
        <v/>
      </c>
      <c r="T673">
        <f>IF(SUMIFS(T_PlannedOrders[EffectiveQty],T_PlannedOrders[Part Name],$A581,T_PlannedOrders[WeekIndex],17)=0,"",SUMIFS(T_PlannedOrders[EffectiveQty],T_PlannedOrders[Part Name],$A581,T_PlannedOrders[WeekIndex],17)&amp;" ("&amp;TEXT(SUMPRODUCT(MAX((T_PlannedOrders[Part Name]=$A581)*(T_PlannedOrders[WeekIndex]=17)*(T_PlannedOrders[EffectiveQty]&gt;0)*T_PlannedOrders[Order_Month])),"m月")&amp;"発注)")</f>
        <v/>
      </c>
      <c r="U673">
        <f>IF(SUMIFS(T_PlannedOrders[EffectiveQty],T_PlannedOrders[Part Name],$A581,T_PlannedOrders[WeekIndex],18)=0,"",SUMIFS(T_PlannedOrders[EffectiveQty],T_PlannedOrders[Part Name],$A581,T_PlannedOrders[WeekIndex],18)&amp;" ("&amp;TEXT(SUMPRODUCT(MAX((T_PlannedOrders[Part Name]=$A581)*(T_PlannedOrders[WeekIndex]=18)*(T_PlannedOrders[EffectiveQty]&gt;0)*T_PlannedOrders[Order_Month])),"m月")&amp;"発注)")</f>
        <v/>
      </c>
      <c r="V673">
        <f>IF(SUMIFS(T_PlannedOrders[EffectiveQty],T_PlannedOrders[Part Name],$A581,T_PlannedOrders[WeekIndex],19)=0,"",SUMIFS(T_PlannedOrders[EffectiveQty],T_PlannedOrders[Part Name],$A581,T_PlannedOrders[WeekIndex],19)&amp;" ("&amp;TEXT(SUMPRODUCT(MAX((T_PlannedOrders[Part Name]=$A581)*(T_PlannedOrders[WeekIndex]=19)*(T_PlannedOrders[EffectiveQty]&gt;0)*T_PlannedOrders[Order_Month])),"m月")&amp;"発注)")</f>
        <v/>
      </c>
      <c r="W673">
        <f>IF(SUMIFS(T_PlannedOrders[EffectiveQty],T_PlannedOrders[Part Name],$A581,T_PlannedOrders[WeekIndex],20)=0,"",SUMIFS(T_PlannedOrders[EffectiveQty],T_PlannedOrders[Part Name],$A581,T_PlannedOrders[WeekIndex],20)&amp;" ("&amp;TEXT(SUMPRODUCT(MAX((T_PlannedOrders[Part Name]=$A581)*(T_PlannedOrders[WeekIndex]=20)*(T_PlannedOrders[EffectiveQty]&gt;0)*T_PlannedOrders[Order_Month])),"m月")&amp;"発注)")</f>
        <v/>
      </c>
      <c r="X673">
        <f>IF(SUMIFS(T_PlannedOrders[EffectiveQty],T_PlannedOrders[Part Name],$A581,T_PlannedOrders[WeekIndex],21)=0,"",SUMIFS(T_PlannedOrders[EffectiveQty],T_PlannedOrders[Part Name],$A581,T_PlannedOrders[WeekIndex],21)&amp;" ("&amp;TEXT(SUMPRODUCT(MAX((T_PlannedOrders[Part Name]=$A581)*(T_PlannedOrders[WeekIndex]=21)*(T_PlannedOrders[EffectiveQty]&gt;0)*T_PlannedOrders[Order_Month])),"m月")&amp;"発注)")</f>
        <v/>
      </c>
      <c r="Y673">
        <f>IF(SUMIFS(T_PlannedOrders[EffectiveQty],T_PlannedOrders[Part Name],$A581,T_PlannedOrders[WeekIndex],22)=0,"",SUMIFS(T_PlannedOrders[EffectiveQty],T_PlannedOrders[Part Name],$A581,T_PlannedOrders[WeekIndex],22)&amp;" ("&amp;TEXT(SUMPRODUCT(MAX((T_PlannedOrders[Part Name]=$A581)*(T_PlannedOrders[WeekIndex]=22)*(T_PlannedOrders[EffectiveQty]&gt;0)*T_PlannedOrders[Order_Month])),"m月")&amp;"発注)")</f>
        <v/>
      </c>
      <c r="Z673">
        <f>IF(SUMIFS(T_PlannedOrders[EffectiveQty],T_PlannedOrders[Part Name],$A581,T_PlannedOrders[WeekIndex],23)=0,"",SUMIFS(T_PlannedOrders[EffectiveQty],T_PlannedOrders[Part Name],$A581,T_PlannedOrders[WeekIndex],23)&amp;" ("&amp;TEXT(SUMPRODUCT(MAX((T_PlannedOrders[Part Name]=$A581)*(T_PlannedOrders[WeekIndex]=23)*(T_PlannedOrders[EffectiveQty]&gt;0)*T_PlannedOrders[Order_Month])),"m月")&amp;"発注)")</f>
        <v/>
      </c>
      <c r="AA673">
        <f>IF(SUMIFS(T_PlannedOrders[EffectiveQty],T_PlannedOrders[Part Name],$A581,T_PlannedOrders[WeekIndex],24)=0,"",SUMIFS(T_PlannedOrders[EffectiveQty],T_PlannedOrders[Part Name],$A581,T_PlannedOrders[WeekIndex],24)&amp;" ("&amp;TEXT(SUMPRODUCT(MAX((T_PlannedOrders[Part Name]=$A581)*(T_PlannedOrders[WeekIndex]=24)*(T_PlannedOrders[EffectiveQty]&gt;0)*T_PlannedOrders[Order_Month])),"m月")&amp;"発注)")</f>
        <v/>
      </c>
      <c r="AB673">
        <f>IF(SUMIFS(T_PlannedOrders[EffectiveQty],T_PlannedOrders[Part Name],$A581,T_PlannedOrders[WeekIndex],25)=0,"",SUMIFS(T_PlannedOrders[EffectiveQty],T_PlannedOrders[Part Name],$A581,T_PlannedOrders[WeekIndex],25)&amp;" ("&amp;TEXT(SUMPRODUCT(MAX((T_PlannedOrders[Part Name]=$A581)*(T_PlannedOrders[WeekIndex]=25)*(T_PlannedOrders[EffectiveQty]&gt;0)*T_PlannedOrders[Order_Month])),"m月")&amp;"発注)")</f>
        <v/>
      </c>
      <c r="AC673">
        <f>IF(SUMIFS(T_PlannedOrders[EffectiveQty],T_PlannedOrders[Part Name],$A581,T_PlannedOrders[WeekIndex],26)=0,"",SUMIFS(T_PlannedOrders[EffectiveQty],T_PlannedOrders[Part Name],$A581,T_PlannedOrders[WeekIndex],26)&amp;" ("&amp;TEXT(SUMPRODUCT(MAX((T_PlannedOrders[Part Name]=$A581)*(T_PlannedOrders[WeekIndex]=26)*(T_PlannedOrders[EffectiveQty]&gt;0)*T_PlannedOrders[Order_Month])),"m月")&amp;"発注)")</f>
        <v/>
      </c>
      <c r="AD673">
        <f>IF(SUMIFS(T_PlannedOrders[EffectiveQty],T_PlannedOrders[Part Name],$A581,T_PlannedOrders[WeekIndex],27)=0,"",SUMIFS(T_PlannedOrders[EffectiveQty],T_PlannedOrders[Part Name],$A581,T_PlannedOrders[WeekIndex],27)&amp;" ("&amp;TEXT(SUMPRODUCT(MAX((T_PlannedOrders[Part Name]=$A581)*(T_PlannedOrders[WeekIndex]=27)*(T_PlannedOrders[EffectiveQty]&gt;0)*T_PlannedOrders[Order_Month])),"m月")&amp;"発注)")</f>
        <v/>
      </c>
      <c r="AE673">
        <f>IF(SUMIFS(T_PlannedOrders[EffectiveQty],T_PlannedOrders[Part Name],$A581,T_PlannedOrders[WeekIndex],28)=0,"",SUMIFS(T_PlannedOrders[EffectiveQty],T_PlannedOrders[Part Name],$A581,T_PlannedOrders[WeekIndex],28)&amp;" ("&amp;TEXT(SUMPRODUCT(MAX((T_PlannedOrders[Part Name]=$A581)*(T_PlannedOrders[WeekIndex]=28)*(T_PlannedOrders[EffectiveQty]&gt;0)*T_PlannedOrders[Order_Month])),"m月")&amp;"発注)")</f>
        <v/>
      </c>
      <c r="AF673">
        <f>IF(SUMIFS(T_PlannedOrders[EffectiveQty],T_PlannedOrders[Part Name],$A581,T_PlannedOrders[WeekIndex],29)=0,"",SUMIFS(T_PlannedOrders[EffectiveQty],T_PlannedOrders[Part Name],$A581,T_PlannedOrders[WeekIndex],29)&amp;" ("&amp;TEXT(SUMPRODUCT(MAX((T_PlannedOrders[Part Name]=$A581)*(T_PlannedOrders[WeekIndex]=29)*(T_PlannedOrders[EffectiveQty]&gt;0)*T_PlannedOrders[Order_Month])),"m月")&amp;"発注)")</f>
        <v/>
      </c>
      <c r="AG673">
        <f>IF(SUMIFS(T_PlannedOrders[EffectiveQty],T_PlannedOrders[Part Name],$A581,T_PlannedOrders[WeekIndex],30)=0,"",SUMIFS(T_PlannedOrders[EffectiveQty],T_PlannedOrders[Part Name],$A581,T_PlannedOrders[WeekIndex],30)&amp;" ("&amp;TEXT(SUMPRODUCT(MAX((T_PlannedOrders[Part Name]=$A581)*(T_PlannedOrders[WeekIndex]=30)*(T_PlannedOrders[EffectiveQty]&gt;0)*T_PlannedOrders[Order_Month])),"m月")&amp;"発注)")</f>
        <v/>
      </c>
      <c r="AH673">
        <f>IF(SUMIFS(T_PlannedOrders[EffectiveQty],T_PlannedOrders[Part Name],$A581,T_PlannedOrders[WeekIndex],31)=0,"",SUMIFS(T_PlannedOrders[EffectiveQty],T_PlannedOrders[Part Name],$A581,T_PlannedOrders[WeekIndex],31)&amp;" ("&amp;TEXT(SUMPRODUCT(MAX((T_PlannedOrders[Part Name]=$A581)*(T_PlannedOrders[WeekIndex]=31)*(T_PlannedOrders[EffectiveQty]&gt;0)*T_PlannedOrders[Order_Month])),"m月")&amp;"発注)")</f>
        <v/>
      </c>
      <c r="AI673">
        <f>IF(SUMIFS(T_PlannedOrders[EffectiveQty],T_PlannedOrders[Part Name],$A581,T_PlannedOrders[WeekIndex],32)=0,"",SUMIFS(T_PlannedOrders[EffectiveQty],T_PlannedOrders[Part Name],$A581,T_PlannedOrders[WeekIndex],32)&amp;" ("&amp;TEXT(SUMPRODUCT(MAX((T_PlannedOrders[Part Name]=$A581)*(T_PlannedOrders[WeekIndex]=32)*(T_PlannedOrders[EffectiveQty]&gt;0)*T_PlannedOrders[Order_Month])),"m月")&amp;"発注)")</f>
        <v/>
      </c>
      <c r="AJ673">
        <f>IF(SUMIFS(T_PlannedOrders[EffectiveQty],T_PlannedOrders[Part Name],$A581,T_PlannedOrders[WeekIndex],33)=0,"",SUMIFS(T_PlannedOrders[EffectiveQty],T_PlannedOrders[Part Name],$A581,T_PlannedOrders[WeekIndex],33)&amp;" ("&amp;TEXT(SUMPRODUCT(MAX((T_PlannedOrders[Part Name]=$A581)*(T_PlannedOrders[WeekIndex]=33)*(T_PlannedOrders[EffectiveQty]&gt;0)*T_PlannedOrders[Order_Month])),"m月")&amp;"発注)")</f>
        <v/>
      </c>
      <c r="AK673">
        <f>IF(SUMIFS(T_PlannedOrders[EffectiveQty],T_PlannedOrders[Part Name],$A581,T_PlannedOrders[WeekIndex],34)=0,"",SUMIFS(T_PlannedOrders[EffectiveQty],T_PlannedOrders[Part Name],$A581,T_PlannedOrders[WeekIndex],34)&amp;" ("&amp;TEXT(SUMPRODUCT(MAX((T_PlannedOrders[Part Name]=$A581)*(T_PlannedOrders[WeekIndex]=34)*(T_PlannedOrders[EffectiveQty]&gt;0)*T_PlannedOrders[Order_Month])),"m月")&amp;"発注)")</f>
        <v/>
      </c>
      <c r="AL673">
        <f>IF(SUMIFS(T_PlannedOrders[EffectiveQty],T_PlannedOrders[Part Name],$A581,T_PlannedOrders[WeekIndex],35)=0,"",SUMIFS(T_PlannedOrders[EffectiveQty],T_PlannedOrders[Part Name],$A581,T_PlannedOrders[WeekIndex],35)&amp;" ("&amp;TEXT(SUMPRODUCT(MAX((T_PlannedOrders[Part Name]=$A581)*(T_PlannedOrders[WeekIndex]=35)*(T_PlannedOrders[EffectiveQty]&gt;0)*T_PlannedOrders[Order_Month])),"m月")&amp;"発注)")</f>
        <v/>
      </c>
      <c r="AM673">
        <f>IF(SUMIFS(T_PlannedOrders[EffectiveQty],T_PlannedOrders[Part Name],$A581,T_PlannedOrders[WeekIndex],36)=0,"",SUMIFS(T_PlannedOrders[EffectiveQty],T_PlannedOrders[Part Name],$A581,T_PlannedOrders[WeekIndex],36)&amp;" ("&amp;TEXT(SUMPRODUCT(MAX((T_PlannedOrders[Part Name]=$A581)*(T_PlannedOrders[WeekIndex]=36)*(T_PlannedOrders[EffectiveQty]&gt;0)*T_PlannedOrders[Order_Month])),"m月")&amp;"発注)")</f>
        <v/>
      </c>
      <c r="AN673">
        <f>IF(SUMIFS(T_PlannedOrders[EffectiveQty],T_PlannedOrders[Part Name],$A581,T_PlannedOrders[WeekIndex],37)=0,"",SUMIFS(T_PlannedOrders[EffectiveQty],T_PlannedOrders[Part Name],$A581,T_PlannedOrders[WeekIndex],37)&amp;" ("&amp;TEXT(SUMPRODUCT(MAX((T_PlannedOrders[Part Name]=$A581)*(T_PlannedOrders[WeekIndex]=37)*(T_PlannedOrders[EffectiveQty]&gt;0)*T_PlannedOrders[Order_Month])),"m月")&amp;"発注)")</f>
        <v/>
      </c>
      <c r="AO673">
        <f>IF(SUMIFS(T_PlannedOrders[EffectiveQty],T_PlannedOrders[Part Name],$A581,T_PlannedOrders[WeekIndex],38)=0,"",SUMIFS(T_PlannedOrders[EffectiveQty],T_PlannedOrders[Part Name],$A581,T_PlannedOrders[WeekIndex],38)&amp;" ("&amp;TEXT(SUMPRODUCT(MAX((T_PlannedOrders[Part Name]=$A581)*(T_PlannedOrders[WeekIndex]=38)*(T_PlannedOrders[EffectiveQty]&gt;0)*T_PlannedOrders[Order_Month])),"m月")&amp;"発注)")</f>
        <v/>
      </c>
      <c r="AP673">
        <f>IF(SUMIFS(T_PlannedOrders[EffectiveQty],T_PlannedOrders[Part Name],$A581,T_PlannedOrders[WeekIndex],39)=0,"",SUMIFS(T_PlannedOrders[EffectiveQty],T_PlannedOrders[Part Name],$A581,T_PlannedOrders[WeekIndex],39)&amp;" ("&amp;TEXT(SUMPRODUCT(MAX((T_PlannedOrders[Part Name]=$A581)*(T_PlannedOrders[WeekIndex]=39)*(T_PlannedOrders[EffectiveQty]&gt;0)*T_PlannedOrders[Order_Month])),"m月")&amp;"発注)")</f>
        <v/>
      </c>
      <c r="AQ673">
        <f>IF(SUMIFS(T_PlannedOrders[EffectiveQty],T_PlannedOrders[Part Name],$A581,T_PlannedOrders[WeekIndex],40)=0,"",SUMIFS(T_PlannedOrders[EffectiveQty],T_PlannedOrders[Part Name],$A581,T_PlannedOrders[WeekIndex],40)&amp;" ("&amp;TEXT(SUMPRODUCT(MAX((T_PlannedOrders[Part Name]=$A581)*(T_PlannedOrders[WeekIndex]=40)*(T_PlannedOrders[EffectiveQty]&gt;0)*T_PlannedOrders[Order_Month])),"m月")&amp;"発注)")</f>
        <v/>
      </c>
      <c r="AR673">
        <f>IF(SUMIFS(T_PlannedOrders[EffectiveQty],T_PlannedOrders[Part Name],$A581,T_PlannedOrders[WeekIndex],41)=0,"",SUMIFS(T_PlannedOrders[EffectiveQty],T_PlannedOrders[Part Name],$A581,T_PlannedOrders[WeekIndex],41)&amp;" ("&amp;TEXT(SUMPRODUCT(MAX((T_PlannedOrders[Part Name]=$A581)*(T_PlannedOrders[WeekIndex]=41)*(T_PlannedOrders[EffectiveQty]&gt;0)*T_PlannedOrders[Order_Month])),"m月")&amp;"発注)")</f>
        <v/>
      </c>
      <c r="AS673">
        <f>IF(SUMIFS(T_PlannedOrders[EffectiveQty],T_PlannedOrders[Part Name],$A581,T_PlannedOrders[WeekIndex],42)=0,"",SUMIFS(T_PlannedOrders[EffectiveQty],T_PlannedOrders[Part Name],$A581,T_PlannedOrders[WeekIndex],42)&amp;" ("&amp;TEXT(SUMPRODUCT(MAX((T_PlannedOrders[Part Name]=$A581)*(T_PlannedOrders[WeekIndex]=42)*(T_PlannedOrders[EffectiveQty]&gt;0)*T_PlannedOrders[Order_Month])),"m月")&amp;"発注)")</f>
        <v/>
      </c>
      <c r="AT673">
        <f>IF(SUMIFS(T_PlannedOrders[EffectiveQty],T_PlannedOrders[Part Name],$A581,T_PlannedOrders[WeekIndex],43)=0,"",SUMIFS(T_PlannedOrders[EffectiveQty],T_PlannedOrders[Part Name],$A581,T_PlannedOrders[WeekIndex],43)&amp;" ("&amp;TEXT(SUMPRODUCT(MAX((T_PlannedOrders[Part Name]=$A581)*(T_PlannedOrders[WeekIndex]=43)*(T_PlannedOrders[EffectiveQty]&gt;0)*T_PlannedOrders[Order_Month])),"m月")&amp;"発注)")</f>
        <v/>
      </c>
      <c r="AU673">
        <f>IF(SUMIFS(T_PlannedOrders[EffectiveQty],T_PlannedOrders[Part Name],$A581,T_PlannedOrders[WeekIndex],44)=0,"",SUMIFS(T_PlannedOrders[EffectiveQty],T_PlannedOrders[Part Name],$A581,T_PlannedOrders[WeekIndex],44)&amp;" ("&amp;TEXT(SUMPRODUCT(MAX((T_PlannedOrders[Part Name]=$A581)*(T_PlannedOrders[WeekIndex]=44)*(T_PlannedOrders[EffectiveQty]&gt;0)*T_PlannedOrders[Order_Month])),"m月")&amp;"発注)")</f>
        <v/>
      </c>
      <c r="AV673">
        <f>IF(SUMIFS(T_PlannedOrders[EffectiveQty],T_PlannedOrders[Part Name],$A581,T_PlannedOrders[WeekIndex],45)=0,"",SUMIFS(T_PlannedOrders[EffectiveQty],T_PlannedOrders[Part Name],$A581,T_PlannedOrders[WeekIndex],45)&amp;" ("&amp;TEXT(SUMPRODUCT(MAX((T_PlannedOrders[Part Name]=$A581)*(T_PlannedOrders[WeekIndex]=45)*(T_PlannedOrders[EffectiveQty]&gt;0)*T_PlannedOrders[Order_Month])),"m月")&amp;"発注)")</f>
        <v/>
      </c>
      <c r="AW673">
        <f>IF(SUMIFS(T_PlannedOrders[EffectiveQty],T_PlannedOrders[Part Name],$A581,T_PlannedOrders[WeekIndex],46)=0,"",SUMIFS(T_PlannedOrders[EffectiveQty],T_PlannedOrders[Part Name],$A581,T_PlannedOrders[WeekIndex],46)&amp;" ("&amp;TEXT(SUMPRODUCT(MAX((T_PlannedOrders[Part Name]=$A581)*(T_PlannedOrders[WeekIndex]=46)*(T_PlannedOrders[EffectiveQty]&gt;0)*T_PlannedOrders[Order_Month])),"m月")&amp;"発注)")</f>
        <v/>
      </c>
      <c r="AX673">
        <f>IF(SUMIFS(T_PlannedOrders[EffectiveQty],T_PlannedOrders[Part Name],$A581,T_PlannedOrders[WeekIndex],47)=0,"",SUMIFS(T_PlannedOrders[EffectiveQty],T_PlannedOrders[Part Name],$A581,T_PlannedOrders[WeekIndex],47)&amp;" ("&amp;TEXT(SUMPRODUCT(MAX((T_PlannedOrders[Part Name]=$A581)*(T_PlannedOrders[WeekIndex]=47)*(T_PlannedOrders[EffectiveQty]&gt;0)*T_PlannedOrders[Order_Month])),"m月")&amp;"発注)")</f>
        <v/>
      </c>
      <c r="AY673">
        <f>IF(SUMIFS(T_PlannedOrders[EffectiveQty],T_PlannedOrders[Part Name],$A581,T_PlannedOrders[WeekIndex],48)=0,"",SUMIFS(T_PlannedOrders[EffectiveQty],T_PlannedOrders[Part Name],$A581,T_PlannedOrders[WeekIndex],48)&amp;" ("&amp;TEXT(SUMPRODUCT(MAX((T_PlannedOrders[Part Name]=$A581)*(T_PlannedOrders[WeekIndex]=48)*(T_PlannedOrders[EffectiveQty]&gt;0)*T_PlannedOrders[Order_Month])),"m月")&amp;"発注)")</f>
        <v/>
      </c>
      <c r="AZ673">
        <f>IF(SUMIFS(T_PlannedOrders[EffectiveQty],T_PlannedOrders[Part Name],$A581,T_PlannedOrders[WeekIndex],49)=0,"",SUMIFS(T_PlannedOrders[EffectiveQty],T_PlannedOrders[Part Name],$A581,T_PlannedOrders[WeekIndex],49)&amp;" ("&amp;TEXT(SUMPRODUCT(MAX((T_PlannedOrders[Part Name]=$A581)*(T_PlannedOrders[WeekIndex]=49)*(T_PlannedOrders[EffectiveQty]&gt;0)*T_PlannedOrders[Order_Month])),"m月")&amp;"発注)")</f>
        <v/>
      </c>
      <c r="BA673">
        <f>IF(SUMIFS(T_PlannedOrders[EffectiveQty],T_PlannedOrders[Part Name],$A581,T_PlannedOrders[WeekIndex],50)=0,"",SUMIFS(T_PlannedOrders[EffectiveQty],T_PlannedOrders[Part Name],$A581,T_PlannedOrders[WeekIndex],50)&amp;" ("&amp;TEXT(SUMPRODUCT(MAX((T_PlannedOrders[Part Name]=$A581)*(T_PlannedOrders[WeekIndex]=50)*(T_PlannedOrders[EffectiveQty]&gt;0)*T_PlannedOrders[Order_Month])),"m月")&amp;"発注)")</f>
        <v/>
      </c>
      <c r="BB673">
        <f>IF(SUMIFS(T_PlannedOrders[EffectiveQty],T_PlannedOrders[Part Name],$A581,T_PlannedOrders[WeekIndex],51)=0,"",SUMIFS(T_PlannedOrders[EffectiveQty],T_PlannedOrders[Part Name],$A581,T_PlannedOrders[WeekIndex],51)&amp;" ("&amp;TEXT(SUMPRODUCT(MAX((T_PlannedOrders[Part Name]=$A581)*(T_PlannedOrders[WeekIndex]=51)*(T_PlannedOrders[EffectiveQty]&gt;0)*T_PlannedOrders[Order_Month])),"m月")&amp;"発注)")</f>
        <v/>
      </c>
      <c r="BC673">
        <f>IF(SUMIFS(T_PlannedOrders[EffectiveQty],T_PlannedOrders[Part Name],$A581,T_PlannedOrders[WeekIndex],52)=0,"",SUMIFS(T_PlannedOrders[EffectiveQty],T_PlannedOrders[Part Name],$A581,T_PlannedOrders[WeekIndex],52)&amp;" ("&amp;TEXT(SUMPRODUCT(MAX((T_PlannedOrders[Part Name]=$A581)*(T_PlannedOrders[WeekIndex]=52)*(T_PlannedOrders[EffectiveQty]&gt;0)*T_PlannedOrders[Order_Month])),"m月")&amp;"発注)")</f>
        <v/>
      </c>
      <c r="BD673">
        <f>IF(SUMIFS(T_PlannedOrders[EffectiveQty],T_PlannedOrders[Part Name],$A581,T_PlannedOrders[WeekIndex],53)=0,"",SUMIFS(T_PlannedOrders[EffectiveQty],T_PlannedOrders[Part Name],$A581,T_PlannedOrders[WeekIndex],53)&amp;" ("&amp;TEXT(SUMPRODUCT(MAX((T_PlannedOrders[Part Name]=$A581)*(T_PlannedOrders[WeekIndex]=53)*(T_PlannedOrders[EffectiveQty]&gt;0)*T_PlannedOrders[Order_Month])),"m月")&amp;"発注)")</f>
        <v/>
      </c>
      <c r="BE673">
        <f>IF(SUMIFS(T_PlannedOrders[EffectiveQty],T_PlannedOrders[Part Name],$A581,T_PlannedOrders[WeekIndex],54)=0,"",SUMIFS(T_PlannedOrders[EffectiveQty],T_PlannedOrders[Part Name],$A581,T_PlannedOrders[WeekIndex],54)&amp;" ("&amp;TEXT(SUMPRODUCT(MAX((T_PlannedOrders[Part Name]=$A581)*(T_PlannedOrders[WeekIndex]=54)*(T_PlannedOrders[EffectiveQty]&gt;0)*T_PlannedOrders[Order_Month])),"m月")&amp;"発注)")</f>
        <v/>
      </c>
      <c r="BF673">
        <f>IF(SUMIFS(T_PlannedOrders[EffectiveQty],T_PlannedOrders[Part Name],$A581,T_PlannedOrders[WeekIndex],55)=0,"",SUMIFS(T_PlannedOrders[EffectiveQty],T_PlannedOrders[Part Name],$A581,T_PlannedOrders[WeekIndex],55)&amp;" ("&amp;TEXT(SUMPRODUCT(MAX((T_PlannedOrders[Part Name]=$A581)*(T_PlannedOrders[WeekIndex]=55)*(T_PlannedOrders[EffectiveQty]&gt;0)*T_PlannedOrders[Order_Month])),"m月")&amp;"発注)")</f>
        <v/>
      </c>
      <c r="BG673">
        <f>IF(SUMIFS(T_PlannedOrders[EffectiveQty],T_PlannedOrders[Part Name],$A581,T_PlannedOrders[WeekIndex],56)=0,"",SUMIFS(T_PlannedOrders[EffectiveQty],T_PlannedOrders[Part Name],$A581,T_PlannedOrders[WeekIndex],56)&amp;" ("&amp;TEXT(SUMPRODUCT(MAX((T_PlannedOrders[Part Name]=$A581)*(T_PlannedOrders[WeekIndex]=56)*(T_PlannedOrders[EffectiveQty]&gt;0)*T_PlannedOrders[Order_Month])),"m月")&amp;"発注)")</f>
        <v/>
      </c>
      <c r="BH673">
        <f>IF(SUMIFS(T_PlannedOrders[EffectiveQty],T_PlannedOrders[Part Name],$A581,T_PlannedOrders[WeekIndex],57)=0,"",SUMIFS(T_PlannedOrders[EffectiveQty],T_PlannedOrders[Part Name],$A581,T_PlannedOrders[WeekIndex],57)&amp;" ("&amp;TEXT(SUMPRODUCT(MAX((T_PlannedOrders[Part Name]=$A581)*(T_PlannedOrders[WeekIndex]=57)*(T_PlannedOrders[EffectiveQty]&gt;0)*T_PlannedOrders[Order_Month])),"m月")&amp;"発注)")</f>
        <v/>
      </c>
      <c r="BI673">
        <f>IF(SUMIFS(T_PlannedOrders[EffectiveQty],T_PlannedOrders[Part Name],$A581,T_PlannedOrders[WeekIndex],58)=0,"",SUMIFS(T_PlannedOrders[EffectiveQty],T_PlannedOrders[Part Name],$A581,T_PlannedOrders[WeekIndex],58)&amp;" ("&amp;TEXT(SUMPRODUCT(MAX((T_PlannedOrders[Part Name]=$A581)*(T_PlannedOrders[WeekIndex]=58)*(T_PlannedOrders[EffectiveQty]&gt;0)*T_PlannedOrders[Order_Month])),"m月")&amp;"発注)")</f>
        <v/>
      </c>
      <c r="BJ673">
        <f>IF(SUMIFS(T_PlannedOrders[EffectiveQty],T_PlannedOrders[Part Name],$A581,T_PlannedOrders[WeekIndex],59)=0,"",SUMIFS(T_PlannedOrders[EffectiveQty],T_PlannedOrders[Part Name],$A581,T_PlannedOrders[WeekIndex],59)&amp;" ("&amp;TEXT(SUMPRODUCT(MAX((T_PlannedOrders[Part Name]=$A581)*(T_PlannedOrders[WeekIndex]=59)*(T_PlannedOrders[EffectiveQty]&gt;0)*T_PlannedOrders[Order_Month])),"m月")&amp;"発注)")</f>
        <v/>
      </c>
      <c r="BK673">
        <f>IF(SUMIFS(T_PlannedOrders[EffectiveQty],T_PlannedOrders[Part Name],$A581,T_PlannedOrders[WeekIndex],60)=0,"",SUMIFS(T_PlannedOrders[EffectiveQty],T_PlannedOrders[Part Name],$A581,T_PlannedOrders[WeekIndex],60)&amp;" ("&amp;TEXT(SUMPRODUCT(MAX((T_PlannedOrders[Part Name]=$A581)*(T_PlannedOrders[WeekIndex]=60)*(T_PlannedOrders[EffectiveQty]&gt;0)*T_PlannedOrders[Order_Month])),"m月")&amp;"発注)")</f>
        <v/>
      </c>
      <c r="BL673">
        <f>IF(SUMIFS(T_PlannedOrders[EffectiveQty],T_PlannedOrders[Part Name],$A581,T_PlannedOrders[WeekIndex],61)=0,"",SUMIFS(T_PlannedOrders[EffectiveQty],T_PlannedOrders[Part Name],$A581,T_PlannedOrders[WeekIndex],61)&amp;" ("&amp;TEXT(SUMPRODUCT(MAX((T_PlannedOrders[Part Name]=$A581)*(T_PlannedOrders[WeekIndex]=61)*(T_PlannedOrders[EffectiveQty]&gt;0)*T_PlannedOrders[Order_Month])),"m月")&amp;"発注)")</f>
        <v/>
      </c>
      <c r="BM673">
        <f>IF(SUMIFS(T_PlannedOrders[EffectiveQty],T_PlannedOrders[Part Name],$A581,T_PlannedOrders[WeekIndex],62)=0,"",SUMIFS(T_PlannedOrders[EffectiveQty],T_PlannedOrders[Part Name],$A581,T_PlannedOrders[WeekIndex],62)&amp;" ("&amp;TEXT(SUMPRODUCT(MAX((T_PlannedOrders[Part Name]=$A581)*(T_PlannedOrders[WeekIndex]=62)*(T_PlannedOrders[EffectiveQty]&gt;0)*T_PlannedOrders[Order_Month])),"m月")&amp;"発注)")</f>
        <v/>
      </c>
      <c r="BN673">
        <f>IF(SUMIFS(T_PlannedOrders[EffectiveQty],T_PlannedOrders[Part Name],$A581,T_PlannedOrders[WeekIndex],63)=0,"",SUMIFS(T_PlannedOrders[EffectiveQty],T_PlannedOrders[Part Name],$A581,T_PlannedOrders[WeekIndex],63)&amp;" ("&amp;TEXT(SUMPRODUCT(MAX((T_PlannedOrders[Part Name]=$A581)*(T_PlannedOrders[WeekIndex]=63)*(T_PlannedOrders[EffectiveQty]&gt;0)*T_PlannedOrders[Order_Month])),"m月")&amp;"発注)")</f>
        <v/>
      </c>
      <c r="BO673">
        <f>IF(SUMIFS(T_PlannedOrders[EffectiveQty],T_PlannedOrders[Part Name],$A581,T_PlannedOrders[WeekIndex],64)=0,"",SUMIFS(T_PlannedOrders[EffectiveQty],T_PlannedOrders[Part Name],$A581,T_PlannedOrders[WeekIndex],64)&amp;" ("&amp;TEXT(SUMPRODUCT(MAX((T_PlannedOrders[Part Name]=$A581)*(T_PlannedOrders[WeekIndex]=64)*(T_PlannedOrders[EffectiveQty]&gt;0)*T_PlannedOrders[Order_Month])),"m月")&amp;"発注)")</f>
        <v/>
      </c>
      <c r="BP673">
        <f>IF(SUMIFS(T_PlannedOrders[EffectiveQty],T_PlannedOrders[Part Name],$A581,T_PlannedOrders[WeekIndex],65)=0,"",SUMIFS(T_PlannedOrders[EffectiveQty],T_PlannedOrders[Part Name],$A581,T_PlannedOrders[WeekIndex],65)&amp;" ("&amp;TEXT(SUMPRODUCT(MAX((T_PlannedOrders[Part Name]=$A581)*(T_PlannedOrders[WeekIndex]=65)*(T_PlannedOrders[EffectiveQty]&gt;0)*T_PlannedOrders[Order_Month])),"m月")&amp;"発注)")</f>
        <v/>
      </c>
      <c r="BQ673">
        <f>IF(SUMIFS(T_PlannedOrders[EffectiveQty],T_PlannedOrders[Part Name],$A581,T_PlannedOrders[WeekIndex],66)=0,"",SUMIFS(T_PlannedOrders[EffectiveQty],T_PlannedOrders[Part Name],$A581,T_PlannedOrders[WeekIndex],66)&amp;" ("&amp;TEXT(SUMPRODUCT(MAX((T_PlannedOrders[Part Name]=$A581)*(T_PlannedOrders[WeekIndex]=66)*(T_PlannedOrders[EffectiveQty]&gt;0)*T_PlannedOrders[Order_Month])),"m月")&amp;"発注)")</f>
        <v/>
      </c>
      <c r="BR673">
        <f>IF(SUMIFS(T_PlannedOrders[EffectiveQty],T_PlannedOrders[Part Name],$A581,T_PlannedOrders[WeekIndex],67)=0,"",SUMIFS(T_PlannedOrders[EffectiveQty],T_PlannedOrders[Part Name],$A581,T_PlannedOrders[WeekIndex],67)&amp;" ("&amp;TEXT(SUMPRODUCT(MAX((T_PlannedOrders[Part Name]=$A581)*(T_PlannedOrders[WeekIndex]=67)*(T_PlannedOrders[EffectiveQty]&gt;0)*T_PlannedOrders[Order_Month])),"m月")&amp;"発注)")</f>
        <v/>
      </c>
      <c r="BS673">
        <f>IF(SUMIFS(T_PlannedOrders[EffectiveQty],T_PlannedOrders[Part Name],$A581,T_PlannedOrders[WeekIndex],68)=0,"",SUMIFS(T_PlannedOrders[EffectiveQty],T_PlannedOrders[Part Name],$A581,T_PlannedOrders[WeekIndex],68)&amp;" ("&amp;TEXT(SUMPRODUCT(MAX((T_PlannedOrders[Part Name]=$A581)*(T_PlannedOrders[WeekIndex]=68)*(T_PlannedOrders[EffectiveQty]&gt;0)*T_PlannedOrders[Order_Month])),"m月")&amp;"発注)")</f>
        <v/>
      </c>
      <c r="BT673">
        <f>IF(SUMIFS(T_PlannedOrders[EffectiveQty],T_PlannedOrders[Part Name],$A581,T_PlannedOrders[WeekIndex],69)=0,"",SUMIFS(T_PlannedOrders[EffectiveQty],T_PlannedOrders[Part Name],$A581,T_PlannedOrders[WeekIndex],69)&amp;" ("&amp;TEXT(SUMPRODUCT(MAX((T_PlannedOrders[Part Name]=$A581)*(T_PlannedOrders[WeekIndex]=69)*(T_PlannedOrders[EffectiveQty]&gt;0)*T_PlannedOrders[Order_Month])),"m月")&amp;"発注)")</f>
        <v/>
      </c>
      <c r="BU673">
        <f>IF(SUMIFS(T_PlannedOrders[EffectiveQty],T_PlannedOrders[Part Name],$A581,T_PlannedOrders[WeekIndex],70)=0,"",SUMIFS(T_PlannedOrders[EffectiveQty],T_PlannedOrders[Part Name],$A581,T_PlannedOrders[WeekIndex],70)&amp;" ("&amp;TEXT(SUMPRODUCT(MAX((T_PlannedOrders[Part Name]=$A581)*(T_PlannedOrders[WeekIndex]=70)*(T_PlannedOrders[EffectiveQty]&gt;0)*T_PlannedOrders[Order_Month])),"m月")&amp;"発注)")</f>
        <v/>
      </c>
      <c r="BV673">
        <f>IF(SUMIFS(T_PlannedOrders[EffectiveQty],T_PlannedOrders[Part Name],$A581,T_PlannedOrders[WeekIndex],71)=0,"",SUMIFS(T_PlannedOrders[EffectiveQty],T_PlannedOrders[Part Name],$A581,T_PlannedOrders[WeekIndex],71)&amp;" ("&amp;TEXT(SUMPRODUCT(MAX((T_PlannedOrders[Part Name]=$A581)*(T_PlannedOrders[WeekIndex]=71)*(T_PlannedOrders[EffectiveQty]&gt;0)*T_PlannedOrders[Order_Month])),"m月")&amp;"発注)")</f>
        <v/>
      </c>
      <c r="BW673">
        <f>IF(SUMIFS(T_PlannedOrders[EffectiveQty],T_PlannedOrders[Part Name],$A581,T_PlannedOrders[WeekIndex],72)=0,"",SUMIFS(T_PlannedOrders[EffectiveQty],T_PlannedOrders[Part Name],$A581,T_PlannedOrders[WeekIndex],72)&amp;" ("&amp;TEXT(SUMPRODUCT(MAX((T_PlannedOrders[Part Name]=$A581)*(T_PlannedOrders[WeekIndex]=72)*(T_PlannedOrders[EffectiveQty]&gt;0)*T_PlannedOrders[Order_Month])),"m月")&amp;"発注)")</f>
        <v/>
      </c>
      <c r="BX673">
        <f>IF(SUMIFS(T_PlannedOrders[EffectiveQty],T_PlannedOrders[Part Name],$A581,T_PlannedOrders[WeekIndex],73)=0,"",SUMIFS(T_PlannedOrders[EffectiveQty],T_PlannedOrders[Part Name],$A581,T_PlannedOrders[WeekIndex],73)&amp;" ("&amp;TEXT(SUMPRODUCT(MAX((T_PlannedOrders[Part Name]=$A581)*(T_PlannedOrders[WeekIndex]=73)*(T_PlannedOrders[EffectiveQty]&gt;0)*T_PlannedOrders[Order_Month])),"m月")&amp;"発注)")</f>
        <v/>
      </c>
      <c r="BY673">
        <f>IF(SUMIFS(T_PlannedOrders[EffectiveQty],T_PlannedOrders[Part Name],$A581,T_PlannedOrders[WeekIndex],74)=0,"",SUMIFS(T_PlannedOrders[EffectiveQty],T_PlannedOrders[Part Name],$A581,T_PlannedOrders[WeekIndex],74)&amp;" ("&amp;TEXT(SUMPRODUCT(MAX((T_PlannedOrders[Part Name]=$A581)*(T_PlannedOrders[WeekIndex]=74)*(T_PlannedOrders[EffectiveQty]&gt;0)*T_PlannedOrders[Order_Month])),"m月")&amp;"発注)")</f>
        <v/>
      </c>
      <c r="BZ673">
        <f>IF(SUMIFS(T_PlannedOrders[EffectiveQty],T_PlannedOrders[Part Name],$A581,T_PlannedOrders[WeekIndex],75)=0,"",SUMIFS(T_PlannedOrders[EffectiveQty],T_PlannedOrders[Part Name],$A581,T_PlannedOrders[WeekIndex],75)&amp;" ("&amp;TEXT(SUMPRODUCT(MAX((T_PlannedOrders[Part Name]=$A581)*(T_PlannedOrders[WeekIndex]=75)*(T_PlannedOrders[EffectiveQty]&gt;0)*T_PlannedOrders[Order_Month])),"m月")&amp;"発注)")</f>
        <v/>
      </c>
      <c r="CA673">
        <f>IF(SUMIFS(T_PlannedOrders[EffectiveQty],T_PlannedOrders[Part Name],$A581,T_PlannedOrders[WeekIndex],76)=0,"",SUMIFS(T_PlannedOrders[EffectiveQty],T_PlannedOrders[Part Name],$A581,T_PlannedOrders[WeekIndex],76)&amp;" ("&amp;TEXT(SUMPRODUCT(MAX((T_PlannedOrders[Part Name]=$A581)*(T_PlannedOrders[WeekIndex]=76)*(T_PlannedOrders[EffectiveQty]&gt;0)*T_PlannedOrders[Order_Month])),"m月")&amp;"発注)")</f>
        <v/>
      </c>
      <c r="CB673">
        <f>IF(SUMIFS(T_PlannedOrders[EffectiveQty],T_PlannedOrders[Part Name],$A581,T_PlannedOrders[WeekIndex],77)=0,"",SUMIFS(T_PlannedOrders[EffectiveQty],T_PlannedOrders[Part Name],$A581,T_PlannedOrders[WeekIndex],77)&amp;" ("&amp;TEXT(SUMPRODUCT(MAX((T_PlannedOrders[Part Name]=$A581)*(T_PlannedOrders[WeekIndex]=77)*(T_PlannedOrders[EffectiveQty]&gt;0)*T_PlannedOrders[Order_Month])),"m月")&amp;"発注)")</f>
        <v/>
      </c>
      <c r="CC673">
        <f>IF(SUMIFS(T_PlannedOrders[EffectiveQty],T_PlannedOrders[Part Name],$A581,T_PlannedOrders[WeekIndex],78)=0,"",SUMIFS(T_PlannedOrders[EffectiveQty],T_PlannedOrders[Part Name],$A581,T_PlannedOrders[WeekIndex],78)&amp;" ("&amp;TEXT(SUMPRODUCT(MAX((T_PlannedOrders[Part Name]=$A581)*(T_PlannedOrders[WeekIndex]=78)*(T_PlannedOrders[EffectiveQty]&gt;0)*T_PlannedOrders[Order_Month])),"m月")&amp;"発注)")</f>
        <v/>
      </c>
      <c r="CD673">
        <f>IF(SUMIFS(T_PlannedOrders[EffectiveQty],T_PlannedOrders[Part Name],$A581,T_PlannedOrders[WeekIndex],79)=0,"",SUMIFS(T_PlannedOrders[EffectiveQty],T_PlannedOrders[Part Name],$A581,T_PlannedOrders[WeekIndex],79)&amp;" ("&amp;TEXT(SUMPRODUCT(MAX((T_PlannedOrders[Part Name]=$A581)*(T_PlannedOrders[WeekIndex]=79)*(T_PlannedOrders[EffectiveQty]&gt;0)*T_PlannedOrders[Order_Month])),"m月")&amp;"発注)")</f>
        <v/>
      </c>
      <c r="CE673">
        <f>IF(SUMIFS(T_PlannedOrders[EffectiveQty],T_PlannedOrders[Part Name],$A581,T_PlannedOrders[WeekIndex],80)=0,"",SUMIFS(T_PlannedOrders[EffectiveQty],T_PlannedOrders[Part Name],$A581,T_PlannedOrders[WeekIndex],80)&amp;" ("&amp;TEXT(SUMPRODUCT(MAX((T_PlannedOrders[Part Name]=$A581)*(T_PlannedOrders[WeekIndex]=80)*(T_PlannedOrders[EffectiveQty]&gt;0)*T_PlannedOrders[Order_Month])),"m月")&amp;"発注)")</f>
        <v/>
      </c>
      <c r="CF673">
        <f>IF(SUMIFS(T_PlannedOrders[EffectiveQty],T_PlannedOrders[Part Name],$A581,T_PlannedOrders[WeekIndex],81)=0,"",SUMIFS(T_PlannedOrders[EffectiveQty],T_PlannedOrders[Part Name],$A581,T_PlannedOrders[WeekIndex],81)&amp;" ("&amp;TEXT(SUMPRODUCT(MAX((T_PlannedOrders[Part Name]=$A581)*(T_PlannedOrders[WeekIndex]=81)*(T_PlannedOrders[EffectiveQty]&gt;0)*T_PlannedOrders[Order_Month])),"m月")&amp;"発注)")</f>
        <v/>
      </c>
      <c r="CG673">
        <f>IF(SUMIFS(T_PlannedOrders[EffectiveQty],T_PlannedOrders[Part Name],$A581,T_PlannedOrders[WeekIndex],82)=0,"",SUMIFS(T_PlannedOrders[EffectiveQty],T_PlannedOrders[Part Name],$A581,T_PlannedOrders[WeekIndex],82)&amp;" ("&amp;TEXT(SUMPRODUCT(MAX((T_PlannedOrders[Part Name]=$A581)*(T_PlannedOrders[WeekIndex]=82)*(T_PlannedOrders[EffectiveQty]&gt;0)*T_PlannedOrders[Order_Month])),"m月")&amp;"発注)")</f>
        <v/>
      </c>
      <c r="CH673">
        <f>IF(SUMIFS(T_PlannedOrders[EffectiveQty],T_PlannedOrders[Part Name],$A581,T_PlannedOrders[WeekIndex],83)=0,"",SUMIFS(T_PlannedOrders[EffectiveQty],T_PlannedOrders[Part Name],$A581,T_PlannedOrders[WeekIndex],83)&amp;" ("&amp;TEXT(SUMPRODUCT(MAX((T_PlannedOrders[Part Name]=$A581)*(T_PlannedOrders[WeekIndex]=83)*(T_PlannedOrders[EffectiveQty]&gt;0)*T_PlannedOrders[Order_Month])),"m月")&amp;"発注)")</f>
        <v/>
      </c>
      <c r="CI673">
        <f>IF(SUMIFS(T_PlannedOrders[EffectiveQty],T_PlannedOrders[Part Name],$A581,T_PlannedOrders[WeekIndex],84)=0,"",SUMIFS(T_PlannedOrders[EffectiveQty],T_PlannedOrders[Part Name],$A581,T_PlannedOrders[WeekIndex],84)&amp;" ("&amp;TEXT(SUMPRODUCT(MAX((T_PlannedOrders[Part Name]=$A581)*(T_PlannedOrders[WeekIndex]=84)*(T_PlannedOrders[EffectiveQty]&gt;0)*T_PlannedOrders[Order_Month])),"m月")&amp;"発注)")</f>
        <v/>
      </c>
      <c r="CJ673">
        <f>IF(SUMIFS(T_PlannedOrders[EffectiveQty],T_PlannedOrders[Part Name],$A581,T_PlannedOrders[WeekIndex],85)=0,"",SUMIFS(T_PlannedOrders[EffectiveQty],T_PlannedOrders[Part Name],$A581,T_PlannedOrders[WeekIndex],85)&amp;" ("&amp;TEXT(SUMPRODUCT(MAX((T_PlannedOrders[Part Name]=$A581)*(T_PlannedOrders[WeekIndex]=85)*(T_PlannedOrders[EffectiveQty]&gt;0)*T_PlannedOrders[Order_Month])),"m月")&amp;"発注)")</f>
        <v/>
      </c>
      <c r="CK673">
        <f>IF(SUMIFS(T_PlannedOrders[EffectiveQty],T_PlannedOrders[Part Name],$A581,T_PlannedOrders[WeekIndex],86)=0,"",SUMIFS(T_PlannedOrders[EffectiveQty],T_PlannedOrders[Part Name],$A581,T_PlannedOrders[WeekIndex],86)&amp;" ("&amp;TEXT(SUMPRODUCT(MAX((T_PlannedOrders[Part Name]=$A581)*(T_PlannedOrders[WeekIndex]=86)*(T_PlannedOrders[EffectiveQty]&gt;0)*T_PlannedOrders[Order_Month])),"m月")&amp;"発注)")</f>
        <v/>
      </c>
      <c r="CL673">
        <f>IF(SUMIFS(T_PlannedOrders[EffectiveQty],T_PlannedOrders[Part Name],$A581,T_PlannedOrders[WeekIndex],87)=0,"",SUMIFS(T_PlannedOrders[EffectiveQty],T_PlannedOrders[Part Name],$A581,T_PlannedOrders[WeekIndex],87)&amp;" ("&amp;TEXT(SUMPRODUCT(MAX((T_PlannedOrders[Part Name]=$A581)*(T_PlannedOrders[WeekIndex]=87)*(T_PlannedOrders[EffectiveQty]&gt;0)*T_PlannedOrders[Order_Month])),"m月")&amp;"発注)")</f>
        <v/>
      </c>
      <c r="CM673">
        <f>IF(SUMIFS(T_PlannedOrders[EffectiveQty],T_PlannedOrders[Part Name],$A581,T_PlannedOrders[WeekIndex],88)=0,"",SUMIFS(T_PlannedOrders[EffectiveQty],T_PlannedOrders[Part Name],$A581,T_PlannedOrders[WeekIndex],88)&amp;" ("&amp;TEXT(SUMPRODUCT(MAX((T_PlannedOrders[Part Name]=$A581)*(T_PlannedOrders[WeekIndex]=88)*(T_PlannedOrders[EffectiveQty]&gt;0)*T_PlannedOrders[Order_Month])),"m月")&amp;"発注)")</f>
        <v/>
      </c>
      <c r="CN673">
        <f>IF(SUMIFS(T_PlannedOrders[EffectiveQty],T_PlannedOrders[Part Name],$A581,T_PlannedOrders[WeekIndex],89)=0,"",SUMIFS(T_PlannedOrders[EffectiveQty],T_PlannedOrders[Part Name],$A581,T_PlannedOrders[WeekIndex],89)&amp;" ("&amp;TEXT(SUMPRODUCT(MAX((T_PlannedOrders[Part Name]=$A581)*(T_PlannedOrders[WeekIndex]=89)*(T_PlannedOrders[EffectiveQty]&gt;0)*T_PlannedOrders[Order_Month])),"m月")&amp;"発注)")</f>
        <v/>
      </c>
      <c r="CO673">
        <f>IF(SUMIFS(T_PlannedOrders[EffectiveQty],T_PlannedOrders[Part Name],$A581,T_PlannedOrders[WeekIndex],90)=0,"",SUMIFS(T_PlannedOrders[EffectiveQty],T_PlannedOrders[Part Name],$A581,T_PlannedOrders[WeekIndex],90)&amp;" ("&amp;TEXT(SUMPRODUCT(MAX((T_PlannedOrders[Part Name]=$A581)*(T_PlannedOrders[WeekIndex]=90)*(T_PlannedOrders[EffectiveQty]&gt;0)*T_PlannedOrders[Order_Month])),"m月")&amp;"発注)")</f>
        <v/>
      </c>
      <c r="CP673">
        <f>IF(SUMIFS(T_PlannedOrders[EffectiveQty],T_PlannedOrders[Part Name],$A581,T_PlannedOrders[WeekIndex],91)=0,"",SUMIFS(T_PlannedOrders[EffectiveQty],T_PlannedOrders[Part Name],$A581,T_PlannedOrders[WeekIndex],91)&amp;" ("&amp;TEXT(SUMPRODUCT(MAX((T_PlannedOrders[Part Name]=$A581)*(T_PlannedOrders[WeekIndex]=91)*(T_PlannedOrders[EffectiveQty]&gt;0)*T_PlannedOrders[Order_Month])),"m月")&amp;"発注)")</f>
        <v/>
      </c>
      <c r="CQ673">
        <f>IF(SUMIFS(T_PlannedOrders[EffectiveQty],T_PlannedOrders[Part Name],$A581,T_PlannedOrders[WeekIndex],92)=0,"",SUMIFS(T_PlannedOrders[EffectiveQty],T_PlannedOrders[Part Name],$A581,T_PlannedOrders[WeekIndex],92)&amp;" ("&amp;TEXT(SUMPRODUCT(MAX((T_PlannedOrders[Part Name]=$A581)*(T_PlannedOrders[WeekIndex]=92)*(T_PlannedOrders[EffectiveQty]&gt;0)*T_PlannedOrders[Order_Month])),"m月")&amp;"発注)")</f>
        <v/>
      </c>
      <c r="CR673">
        <f>IF(SUMIFS(T_PlannedOrders[EffectiveQty],T_PlannedOrders[Part Name],$A581,T_PlannedOrders[WeekIndex],93)=0,"",SUMIFS(T_PlannedOrders[EffectiveQty],T_PlannedOrders[Part Name],$A581,T_PlannedOrders[WeekIndex],93)&amp;" ("&amp;TEXT(SUMPRODUCT(MAX((T_PlannedOrders[Part Name]=$A581)*(T_PlannedOrders[WeekIndex]=93)*(T_PlannedOrders[EffectiveQty]&gt;0)*T_PlannedOrders[Order_Month])),"m月")&amp;"発注)")</f>
        <v/>
      </c>
      <c r="CS673">
        <f>IF(SUMIFS(T_PlannedOrders[EffectiveQty],T_PlannedOrders[Part Name],$A581,T_PlannedOrders[WeekIndex],94)=0,"",SUMIFS(T_PlannedOrders[EffectiveQty],T_PlannedOrders[Part Name],$A581,T_PlannedOrders[WeekIndex],94)&amp;" ("&amp;TEXT(SUMPRODUCT(MAX((T_PlannedOrders[Part Name]=$A581)*(T_PlannedOrders[WeekIndex]=94)*(T_PlannedOrders[EffectiveQty]&gt;0)*T_PlannedOrders[Order_Month])),"m月")&amp;"発注)")</f>
        <v/>
      </c>
      <c r="CT673">
        <f>IF(SUMIFS(T_PlannedOrders[EffectiveQty],T_PlannedOrders[Part Name],$A581,T_PlannedOrders[WeekIndex],95)=0,"",SUMIFS(T_PlannedOrders[EffectiveQty],T_PlannedOrders[Part Name],$A581,T_PlannedOrders[WeekIndex],95)&amp;" ("&amp;TEXT(SUMPRODUCT(MAX((T_PlannedOrders[Part Name]=$A581)*(T_PlannedOrders[WeekIndex]=95)*(T_PlannedOrders[EffectiveQty]&gt;0)*T_PlannedOrders[Order_Month])),"m月")&amp;"発注)")</f>
        <v/>
      </c>
      <c r="CU673">
        <f>IF(SUMIFS(T_PlannedOrders[EffectiveQty],T_PlannedOrders[Part Name],$A581,T_PlannedOrders[WeekIndex],96)=0,"",SUMIFS(T_PlannedOrders[EffectiveQty],T_PlannedOrders[Part Name],$A581,T_PlannedOrders[WeekIndex],96)&amp;" ("&amp;TEXT(SUMPRODUCT(MAX((T_PlannedOrders[Part Name]=$A581)*(T_PlannedOrders[WeekIndex]=96)*(T_PlannedOrders[EffectiveQty]&gt;0)*T_PlannedOrders[Order_Month])),"m月")&amp;"発注)")</f>
        <v/>
      </c>
      <c r="CV673">
        <f>IF(SUMIFS(T_PlannedOrders[EffectiveQty],T_PlannedOrders[Part Name],$A581,T_PlannedOrders[WeekIndex],97)=0,"",SUMIFS(T_PlannedOrders[EffectiveQty],T_PlannedOrders[Part Name],$A581,T_PlannedOrders[WeekIndex],97)&amp;" ("&amp;TEXT(SUMPRODUCT(MAX((T_PlannedOrders[Part Name]=$A581)*(T_PlannedOrders[WeekIndex]=97)*(T_PlannedOrders[EffectiveQty]&gt;0)*T_PlannedOrders[Order_Month])),"m月")&amp;"発注)")</f>
        <v/>
      </c>
      <c r="CW673">
        <f>IF(SUMIFS(T_PlannedOrders[EffectiveQty],T_PlannedOrders[Part Name],$A581,T_PlannedOrders[WeekIndex],98)=0,"",SUMIFS(T_PlannedOrders[EffectiveQty],T_PlannedOrders[Part Name],$A581,T_PlannedOrders[WeekIndex],98)&amp;" ("&amp;TEXT(SUMPRODUCT(MAX((T_PlannedOrders[Part Name]=$A581)*(T_PlannedOrders[WeekIndex]=98)*(T_PlannedOrders[EffectiveQty]&gt;0)*T_PlannedOrders[Order_Month])),"m月")&amp;"発注)")</f>
        <v/>
      </c>
      <c r="CX673">
        <f>IF(SUMIFS(T_PlannedOrders[EffectiveQty],T_PlannedOrders[Part Name],$A581,T_PlannedOrders[WeekIndex],99)=0,"",SUMIFS(T_PlannedOrders[EffectiveQty],T_PlannedOrders[Part Name],$A581,T_PlannedOrders[WeekIndex],99)&amp;" ("&amp;TEXT(SUMPRODUCT(MAX((T_PlannedOrders[Part Name]=$A581)*(T_PlannedOrders[WeekIndex]=99)*(T_PlannedOrders[EffectiveQty]&gt;0)*T_PlannedOrders[Order_Month])),"m月")&amp;"発注)")</f>
        <v/>
      </c>
      <c r="CY673">
        <f>IF(SUMIFS(T_PlannedOrders[EffectiveQty],T_PlannedOrders[Part Name],$A581,T_PlannedOrders[WeekIndex],100)=0,"",SUMIFS(T_PlannedOrders[EffectiveQty],T_PlannedOrders[Part Name],$A581,T_PlannedOrders[WeekIndex],100)&amp;" ("&amp;TEXT(SUMPRODUCT(MAX((T_PlannedOrders[Part Name]=$A581)*(T_PlannedOrders[WeekIndex]=100)*(T_PlannedOrders[EffectiveQty]&gt;0)*T_PlannedOrders[Order_Month])),"m月")&amp;"発注)")</f>
        <v/>
      </c>
      <c r="CZ673">
        <f>IF(SUMIFS(T_PlannedOrders[EffectiveQty],T_PlannedOrders[Part Name],$A581,T_PlannedOrders[WeekIndex],101)=0,"",SUMIFS(T_PlannedOrders[EffectiveQty],T_PlannedOrders[Part Name],$A581,T_PlannedOrders[WeekIndex],101)&amp;" ("&amp;TEXT(SUMPRODUCT(MAX((T_PlannedOrders[Part Name]=$A581)*(T_PlannedOrders[WeekIndex]=101)*(T_PlannedOrders[EffectiveQty]&gt;0)*T_PlannedOrders[Order_Month])),"m月")&amp;"発注)")</f>
        <v/>
      </c>
      <c r="DA673">
        <f>IF(SUMIFS(T_PlannedOrders[EffectiveQty],T_PlannedOrders[Part Name],$A581,T_PlannedOrders[WeekIndex],102)=0,"",SUMIFS(T_PlannedOrders[EffectiveQty],T_PlannedOrders[Part Name],$A581,T_PlannedOrders[WeekIndex],102)&amp;" ("&amp;TEXT(SUMPRODUCT(MAX((T_PlannedOrders[Part Name]=$A581)*(T_PlannedOrders[WeekIndex]=102)*(T_PlannedOrders[EffectiveQty]&gt;0)*T_PlannedOrders[Order_Month])),"m月")&amp;"発注)")</f>
        <v/>
      </c>
      <c r="DB673">
        <f>IF(SUMIFS(T_PlannedOrders[EffectiveQty],T_PlannedOrders[Part Name],$A581,T_PlannedOrders[WeekIndex],103)=0,"",SUMIFS(T_PlannedOrders[EffectiveQty],T_PlannedOrders[Part Name],$A581,T_PlannedOrders[WeekIndex],103)&amp;" ("&amp;TEXT(SUMPRODUCT(MAX((T_PlannedOrders[Part Name]=$A581)*(T_PlannedOrders[WeekIndex]=103)*(T_PlannedOrders[EffectiveQty]&gt;0)*T_PlannedOrders[Order_Month])),"m月")&amp;"発注)")</f>
        <v/>
      </c>
      <c r="DC673">
        <f>IF(SUMIFS(T_PlannedOrders[EffectiveQty],T_PlannedOrders[Part Name],$A581,T_PlannedOrders[WeekIndex],104)=0,"",SUMIFS(T_PlannedOrders[EffectiveQty],T_PlannedOrders[Part Name],$A581,T_PlannedOrders[WeekIndex],104)&amp;" ("&amp;TEXT(SUMPRODUCT(MAX((T_PlannedOrders[Part Name]=$A581)*(T_PlannedOrders[WeekIndex]=104)*(T_PlannedOrders[EffectiveQty]&gt;0)*T_PlannedOrders[Order_Month])),"m月")&amp;"発注)")</f>
        <v/>
      </c>
    </row>
    <row r="674">
      <c r="B674" s="5" t="inlineStr">
        <is>
          <t>合計在庫(週末時点,kg)</t>
        </is>
      </c>
      <c r="D674">
        <f>'Grid_Stock'!B31</f>
        <v/>
      </c>
      <c r="E674">
        <f>'Grid_Stock'!C31</f>
        <v/>
      </c>
      <c r="F674">
        <f>'Grid_Stock'!D31</f>
        <v/>
      </c>
      <c r="G674">
        <f>'Grid_Stock'!E31</f>
        <v/>
      </c>
      <c r="H674">
        <f>'Grid_Stock'!F31</f>
        <v/>
      </c>
      <c r="I674">
        <f>'Grid_Stock'!G31</f>
        <v/>
      </c>
      <c r="J674">
        <f>'Grid_Stock'!H31</f>
        <v/>
      </c>
      <c r="K674">
        <f>'Grid_Stock'!I31</f>
        <v/>
      </c>
      <c r="L674">
        <f>'Grid_Stock'!J31</f>
        <v/>
      </c>
      <c r="M674">
        <f>'Grid_Stock'!K31</f>
        <v/>
      </c>
      <c r="N674">
        <f>'Grid_Stock'!L31</f>
        <v/>
      </c>
      <c r="O674">
        <f>'Grid_Stock'!M31</f>
        <v/>
      </c>
      <c r="P674">
        <f>'Grid_Stock'!N31</f>
        <v/>
      </c>
      <c r="Q674">
        <f>'Grid_Stock'!O31</f>
        <v/>
      </c>
      <c r="R674">
        <f>'Grid_Stock'!P31</f>
        <v/>
      </c>
      <c r="S674">
        <f>'Grid_Stock'!Q31</f>
        <v/>
      </c>
      <c r="T674">
        <f>'Grid_Stock'!R31</f>
        <v/>
      </c>
      <c r="U674">
        <f>'Grid_Stock'!S31</f>
        <v/>
      </c>
      <c r="V674">
        <f>'Grid_Stock'!T31</f>
        <v/>
      </c>
      <c r="W674">
        <f>'Grid_Stock'!U31</f>
        <v/>
      </c>
      <c r="X674">
        <f>'Grid_Stock'!V31</f>
        <v/>
      </c>
      <c r="Y674">
        <f>'Grid_Stock'!W31</f>
        <v/>
      </c>
      <c r="Z674">
        <f>'Grid_Stock'!X31</f>
        <v/>
      </c>
      <c r="AA674">
        <f>'Grid_Stock'!Y31</f>
        <v/>
      </c>
      <c r="AB674">
        <f>'Grid_Stock'!Z31</f>
        <v/>
      </c>
      <c r="AC674">
        <f>'Grid_Stock'!AA31</f>
        <v/>
      </c>
      <c r="AD674">
        <f>'Grid_Stock'!AB31</f>
        <v/>
      </c>
      <c r="AE674">
        <f>'Grid_Stock'!AC31</f>
        <v/>
      </c>
      <c r="AF674">
        <f>'Grid_Stock'!AD31</f>
        <v/>
      </c>
      <c r="AG674">
        <f>'Grid_Stock'!AE31</f>
        <v/>
      </c>
      <c r="AH674">
        <f>'Grid_Stock'!AF31</f>
        <v/>
      </c>
      <c r="AI674">
        <f>'Grid_Stock'!AG31</f>
        <v/>
      </c>
      <c r="AJ674">
        <f>'Grid_Stock'!AH31</f>
        <v/>
      </c>
      <c r="AK674">
        <f>'Grid_Stock'!AI31</f>
        <v/>
      </c>
      <c r="AL674">
        <f>'Grid_Stock'!AJ31</f>
        <v/>
      </c>
      <c r="AM674">
        <f>'Grid_Stock'!AK31</f>
        <v/>
      </c>
      <c r="AN674">
        <f>'Grid_Stock'!AL31</f>
        <v/>
      </c>
      <c r="AO674">
        <f>'Grid_Stock'!AM31</f>
        <v/>
      </c>
      <c r="AP674">
        <f>'Grid_Stock'!AN31</f>
        <v/>
      </c>
      <c r="AQ674">
        <f>'Grid_Stock'!AO31</f>
        <v/>
      </c>
      <c r="AR674">
        <f>'Grid_Stock'!AP31</f>
        <v/>
      </c>
      <c r="AS674">
        <f>'Grid_Stock'!AQ31</f>
        <v/>
      </c>
      <c r="AT674">
        <f>'Grid_Stock'!AR31</f>
        <v/>
      </c>
      <c r="AU674">
        <f>'Grid_Stock'!AS31</f>
        <v/>
      </c>
      <c r="AV674">
        <f>'Grid_Stock'!AT31</f>
        <v/>
      </c>
      <c r="AW674">
        <f>'Grid_Stock'!AU31</f>
        <v/>
      </c>
      <c r="AX674">
        <f>'Grid_Stock'!AV31</f>
        <v/>
      </c>
      <c r="AY674">
        <f>'Grid_Stock'!AW31</f>
        <v/>
      </c>
      <c r="AZ674">
        <f>'Grid_Stock'!AX31</f>
        <v/>
      </c>
      <c r="BA674">
        <f>'Grid_Stock'!AY31</f>
        <v/>
      </c>
      <c r="BB674">
        <f>'Grid_Stock'!AZ31</f>
        <v/>
      </c>
      <c r="BC674">
        <f>'Grid_Stock'!BA31</f>
        <v/>
      </c>
      <c r="BD674">
        <f>'Grid_Stock'!BB31</f>
        <v/>
      </c>
      <c r="BE674">
        <f>'Grid_Stock'!BC31</f>
        <v/>
      </c>
      <c r="BF674">
        <f>'Grid_Stock'!BD31</f>
        <v/>
      </c>
      <c r="BG674">
        <f>'Grid_Stock'!BE31</f>
        <v/>
      </c>
      <c r="BH674">
        <f>'Grid_Stock'!BF31</f>
        <v/>
      </c>
      <c r="BI674">
        <f>'Grid_Stock'!BG31</f>
        <v/>
      </c>
      <c r="BJ674">
        <f>'Grid_Stock'!BH31</f>
        <v/>
      </c>
      <c r="BK674">
        <f>'Grid_Stock'!BI31</f>
        <v/>
      </c>
      <c r="BL674">
        <f>'Grid_Stock'!BJ31</f>
        <v/>
      </c>
      <c r="BM674">
        <f>'Grid_Stock'!BK31</f>
        <v/>
      </c>
      <c r="BN674">
        <f>'Grid_Stock'!BL31</f>
        <v/>
      </c>
      <c r="BO674">
        <f>'Grid_Stock'!BM31</f>
        <v/>
      </c>
      <c r="BP674">
        <f>'Grid_Stock'!BN31</f>
        <v/>
      </c>
      <c r="BQ674">
        <f>'Grid_Stock'!BO31</f>
        <v/>
      </c>
      <c r="BR674">
        <f>'Grid_Stock'!BP31</f>
        <v/>
      </c>
      <c r="BS674">
        <f>'Grid_Stock'!BQ31</f>
        <v/>
      </c>
      <c r="BT674">
        <f>'Grid_Stock'!BR31</f>
        <v/>
      </c>
      <c r="BU674">
        <f>'Grid_Stock'!BS31</f>
        <v/>
      </c>
      <c r="BV674">
        <f>'Grid_Stock'!BT31</f>
        <v/>
      </c>
      <c r="BW674">
        <f>'Grid_Stock'!BU31</f>
        <v/>
      </c>
      <c r="BX674">
        <f>'Grid_Stock'!BV31</f>
        <v/>
      </c>
      <c r="BY674">
        <f>'Grid_Stock'!BW31</f>
        <v/>
      </c>
      <c r="BZ674">
        <f>'Grid_Stock'!BX31</f>
        <v/>
      </c>
      <c r="CA674">
        <f>'Grid_Stock'!BY31</f>
        <v/>
      </c>
      <c r="CB674">
        <f>'Grid_Stock'!BZ31</f>
        <v/>
      </c>
      <c r="CC674">
        <f>'Grid_Stock'!CA31</f>
        <v/>
      </c>
      <c r="CD674">
        <f>'Grid_Stock'!CB31</f>
        <v/>
      </c>
      <c r="CE674">
        <f>'Grid_Stock'!CC31</f>
        <v/>
      </c>
      <c r="CF674">
        <f>'Grid_Stock'!CD31</f>
        <v/>
      </c>
      <c r="CG674">
        <f>'Grid_Stock'!CE31</f>
        <v/>
      </c>
      <c r="CH674">
        <f>'Grid_Stock'!CF31</f>
        <v/>
      </c>
      <c r="CI674">
        <f>'Grid_Stock'!CG31</f>
        <v/>
      </c>
      <c r="CJ674">
        <f>'Grid_Stock'!CH31</f>
        <v/>
      </c>
      <c r="CK674">
        <f>'Grid_Stock'!CI31</f>
        <v/>
      </c>
      <c r="CL674">
        <f>'Grid_Stock'!CJ31</f>
        <v/>
      </c>
      <c r="CM674">
        <f>'Grid_Stock'!CK31</f>
        <v/>
      </c>
      <c r="CN674">
        <f>'Grid_Stock'!CL31</f>
        <v/>
      </c>
      <c r="CO674">
        <f>'Grid_Stock'!CM31</f>
        <v/>
      </c>
      <c r="CP674">
        <f>'Grid_Stock'!CN31</f>
        <v/>
      </c>
      <c r="CQ674">
        <f>'Grid_Stock'!CO31</f>
        <v/>
      </c>
      <c r="CR674">
        <f>'Grid_Stock'!CP31</f>
        <v/>
      </c>
      <c r="CS674">
        <f>'Grid_Stock'!CQ31</f>
        <v/>
      </c>
      <c r="CT674">
        <f>'Grid_Stock'!CR31</f>
        <v/>
      </c>
      <c r="CU674">
        <f>'Grid_Stock'!CS31</f>
        <v/>
      </c>
      <c r="CV674">
        <f>'Grid_Stock'!CT31</f>
        <v/>
      </c>
      <c r="CW674">
        <f>'Grid_Stock'!CU31</f>
        <v/>
      </c>
      <c r="CX674">
        <f>'Grid_Stock'!CV31</f>
        <v/>
      </c>
      <c r="CY674">
        <f>'Grid_Stock'!CW31</f>
        <v/>
      </c>
      <c r="CZ674">
        <f>'Grid_Stock'!CX31</f>
        <v/>
      </c>
      <c r="DA674">
        <f>'Grid_Stock'!CY31</f>
        <v/>
      </c>
      <c r="DB674">
        <f>'Grid_Stock'!CZ31</f>
        <v/>
      </c>
      <c r="DC674">
        <f>'Grid_Stock'!DA31</f>
        <v/>
      </c>
    </row>
    <row r="675">
      <c r="B675" s="23" t="inlineStr">
        <is>
          <t>（発注の目安はDashboardの基準在庫[下限/上限]と色分けを参照）</t>
        </is>
      </c>
    </row>
    <row r="677">
      <c r="A677" s="21" t="inlineStr">
        <is>
          <t>CHEM-1400</t>
        </is>
      </c>
      <c r="B677" s="21" t="inlineStr">
        <is>
          <t>Dispal</t>
        </is>
      </c>
      <c r="C677" s="22" t="n"/>
      <c r="D677" s="21" t="n"/>
      <c r="E677" s="21" t="n"/>
      <c r="F677" s="21" t="n"/>
      <c r="G677" s="21" t="n"/>
      <c r="H677" s="21" t="n"/>
      <c r="I677" s="21" t="n"/>
      <c r="J677" s="21" t="n"/>
      <c r="K677" s="21" t="n"/>
      <c r="L677" s="21" t="n"/>
      <c r="M677" s="21" t="n"/>
      <c r="N677" s="21" t="n"/>
      <c r="O677" s="21" t="n"/>
      <c r="P677" s="21" t="n"/>
      <c r="Q677" s="21" t="n"/>
      <c r="R677" s="21" t="n"/>
      <c r="S677" s="21" t="n"/>
      <c r="T677" s="21" t="n"/>
      <c r="U677" s="21" t="n"/>
      <c r="V677" s="21" t="n"/>
      <c r="W677" s="21" t="n"/>
      <c r="X677" s="21" t="n"/>
      <c r="Y677" s="21" t="n"/>
      <c r="Z677" s="21" t="n"/>
      <c r="AA677" s="21" t="n"/>
      <c r="AB677" s="21" t="n"/>
      <c r="AC677" s="21" t="n"/>
      <c r="AD677" s="21" t="n"/>
      <c r="AE677" s="21" t="n"/>
      <c r="AF677" s="21" t="n"/>
      <c r="AG677" s="21" t="n"/>
      <c r="AH677" s="21" t="n"/>
      <c r="AI677" s="21" t="n"/>
      <c r="AJ677" s="21" t="n"/>
      <c r="AK677" s="21" t="n"/>
      <c r="AL677" s="21" t="n"/>
      <c r="AM677" s="21" t="n"/>
      <c r="AN677" s="21" t="n"/>
      <c r="AO677" s="21" t="n"/>
      <c r="AP677" s="21" t="n"/>
      <c r="AQ677" s="21" t="n"/>
      <c r="AR677" s="21" t="n"/>
      <c r="AS677" s="21" t="n"/>
      <c r="AT677" s="21" t="n"/>
      <c r="AU677" s="21" t="n"/>
      <c r="AV677" s="21" t="n"/>
      <c r="AW677" s="21" t="n"/>
      <c r="AX677" s="21" t="n"/>
      <c r="AY677" s="21" t="n"/>
      <c r="AZ677" s="21" t="n"/>
      <c r="BA677" s="21" t="n"/>
      <c r="BB677" s="21" t="n"/>
      <c r="BC677" s="21" t="n"/>
      <c r="BD677" s="21" t="n"/>
      <c r="BE677" s="21" t="n"/>
      <c r="BF677" s="21" t="n"/>
      <c r="BG677" s="21" t="n"/>
      <c r="BH677" s="21" t="n"/>
      <c r="BI677" s="21" t="n"/>
      <c r="BJ677" s="21" t="n"/>
      <c r="BK677" s="21" t="n"/>
      <c r="BL677" s="21" t="n"/>
      <c r="BM677" s="21" t="n"/>
      <c r="BN677" s="21" t="n"/>
      <c r="BO677" s="21" t="n"/>
      <c r="BP677" s="21" t="n"/>
      <c r="BQ677" s="21" t="n"/>
      <c r="BR677" s="21" t="n"/>
      <c r="BS677" s="21" t="n"/>
      <c r="BT677" s="21" t="n"/>
      <c r="BU677" s="21" t="n"/>
      <c r="BV677" s="21" t="n"/>
      <c r="BW677" s="21" t="n"/>
      <c r="BX677" s="21" t="n"/>
      <c r="BY677" s="21" t="n"/>
      <c r="BZ677" s="21" t="n"/>
      <c r="CA677" s="21" t="n"/>
      <c r="CB677" s="21" t="n"/>
      <c r="CC677" s="21" t="n"/>
      <c r="CD677" s="21" t="n"/>
      <c r="CE677" s="21" t="n"/>
      <c r="CF677" s="21" t="n"/>
      <c r="CG677" s="21" t="n"/>
      <c r="CH677" s="21" t="n"/>
      <c r="CI677" s="21" t="n"/>
      <c r="CJ677" s="21" t="n"/>
      <c r="CK677" s="21" t="n"/>
      <c r="CL677" s="21" t="n"/>
      <c r="CM677" s="21" t="n"/>
      <c r="CN677" s="21" t="n"/>
      <c r="CO677" s="21" t="n"/>
      <c r="CP677" s="21" t="n"/>
      <c r="CQ677" s="21" t="n"/>
      <c r="CR677" s="21" t="n"/>
      <c r="CS677" s="21" t="n"/>
      <c r="CT677" s="21" t="n"/>
      <c r="CU677" s="21" t="n"/>
      <c r="CV677" s="21" t="n"/>
      <c r="CW677" s="21" t="n"/>
      <c r="CX677" s="21" t="n"/>
      <c r="CY677" s="21" t="n"/>
      <c r="CZ677" s="21" t="n"/>
      <c r="DA677" s="21" t="n"/>
      <c r="DB677" s="21" t="n"/>
      <c r="DC677" s="21" t="n"/>
    </row>
    <row r="678">
      <c r="B678" t="inlineStr">
        <is>
          <t>TSP-050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Name],$A677)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TSP-078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Name],$A677)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TSP-080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Name],$A677)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TSP-105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Name],$A677)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TSP-1499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Name],$A677)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TSP-1555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Name],$A677)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TSP-199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Name],$A677)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TSP-205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Name],$A677)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TSP-206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Name],$A677)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TSP-225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Name],$A677)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TSP-360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Name],$A677)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TSP-367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Name],$A677)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TSP-369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Name],$A677)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TSP-402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Name],$A677)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TSP-403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Name],$A677)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TSP-404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Name],$A677)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TSP-405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Name],$A677)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TSP-544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Name],$A677)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TSP-558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Name],$A677)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TSP-618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Name],$A677)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TSP-620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Name],$A677)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TSP-623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Name],$A677)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TSP-655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Name],$A677)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TSP-656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Name],$A677)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TSP-710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Name],$A677)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TSP-828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Name],$A677)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TSP-903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Name],$A677)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TSP-959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Name],$A677)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TSP-966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Name],$A677)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VSP-600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Name],$A677)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VSP-601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Name],$A677)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VSP-602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Name],$A677)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VSP-820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Name],$A677)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VSP-822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Name],$A677)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VSP-910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Name],$A677)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VSP-989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Name],$A677)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VSP-990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Name],$A677)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s="5" t="inlineStr">
        <is>
          <t>合計使用量(kg)/週</t>
        </is>
      </c>
      <c r="D752">
        <f>'Grid_Requirement'!B33</f>
        <v/>
      </c>
      <c r="E752">
        <f>'Grid_Requirement'!C33</f>
        <v/>
      </c>
      <c r="F752">
        <f>'Grid_Requirement'!D33</f>
        <v/>
      </c>
      <c r="G752">
        <f>'Grid_Requirement'!E33</f>
        <v/>
      </c>
      <c r="H752">
        <f>'Grid_Requirement'!F33</f>
        <v/>
      </c>
      <c r="I752">
        <f>'Grid_Requirement'!G33</f>
        <v/>
      </c>
      <c r="J752">
        <f>'Grid_Requirement'!H33</f>
        <v/>
      </c>
      <c r="K752">
        <f>'Grid_Requirement'!I33</f>
        <v/>
      </c>
      <c r="L752">
        <f>'Grid_Requirement'!J33</f>
        <v/>
      </c>
      <c r="M752">
        <f>'Grid_Requirement'!K33</f>
        <v/>
      </c>
      <c r="N752">
        <f>'Grid_Requirement'!L33</f>
        <v/>
      </c>
      <c r="O752">
        <f>'Grid_Requirement'!M33</f>
        <v/>
      </c>
      <c r="P752">
        <f>'Grid_Requirement'!N33</f>
        <v/>
      </c>
      <c r="Q752">
        <f>'Grid_Requirement'!O33</f>
        <v/>
      </c>
      <c r="R752">
        <f>'Grid_Requirement'!P33</f>
        <v/>
      </c>
      <c r="S752">
        <f>'Grid_Requirement'!Q33</f>
        <v/>
      </c>
      <c r="T752">
        <f>'Grid_Requirement'!R33</f>
        <v/>
      </c>
      <c r="U752">
        <f>'Grid_Requirement'!S33</f>
        <v/>
      </c>
      <c r="V752">
        <f>'Grid_Requirement'!T33</f>
        <v/>
      </c>
      <c r="W752">
        <f>'Grid_Requirement'!U33</f>
        <v/>
      </c>
      <c r="X752">
        <f>'Grid_Requirement'!V33</f>
        <v/>
      </c>
      <c r="Y752">
        <f>'Grid_Requirement'!W33</f>
        <v/>
      </c>
      <c r="Z752">
        <f>'Grid_Requirement'!X33</f>
        <v/>
      </c>
      <c r="AA752">
        <f>'Grid_Requirement'!Y33</f>
        <v/>
      </c>
      <c r="AB752">
        <f>'Grid_Requirement'!Z33</f>
        <v/>
      </c>
      <c r="AC752">
        <f>'Grid_Requirement'!AA33</f>
        <v/>
      </c>
      <c r="AD752">
        <f>'Grid_Requirement'!AB33</f>
        <v/>
      </c>
      <c r="AE752">
        <f>'Grid_Requirement'!AC33</f>
        <v/>
      </c>
      <c r="AF752">
        <f>'Grid_Requirement'!AD33</f>
        <v/>
      </c>
      <c r="AG752">
        <f>'Grid_Requirement'!AE33</f>
        <v/>
      </c>
      <c r="AH752">
        <f>'Grid_Requirement'!AF33</f>
        <v/>
      </c>
      <c r="AI752">
        <f>'Grid_Requirement'!AG33</f>
        <v/>
      </c>
      <c r="AJ752">
        <f>'Grid_Requirement'!AH33</f>
        <v/>
      </c>
      <c r="AK752">
        <f>'Grid_Requirement'!AI33</f>
        <v/>
      </c>
      <c r="AL752">
        <f>'Grid_Requirement'!AJ33</f>
        <v/>
      </c>
      <c r="AM752">
        <f>'Grid_Requirement'!AK33</f>
        <v/>
      </c>
      <c r="AN752">
        <f>'Grid_Requirement'!AL33</f>
        <v/>
      </c>
      <c r="AO752">
        <f>'Grid_Requirement'!AM33</f>
        <v/>
      </c>
      <c r="AP752">
        <f>'Grid_Requirement'!AN33</f>
        <v/>
      </c>
      <c r="AQ752">
        <f>'Grid_Requirement'!AO33</f>
        <v/>
      </c>
      <c r="AR752">
        <f>'Grid_Requirement'!AP33</f>
        <v/>
      </c>
      <c r="AS752">
        <f>'Grid_Requirement'!AQ33</f>
        <v/>
      </c>
      <c r="AT752">
        <f>'Grid_Requirement'!AR33</f>
        <v/>
      </c>
      <c r="AU752">
        <f>'Grid_Requirement'!AS33</f>
        <v/>
      </c>
      <c r="AV752">
        <f>'Grid_Requirement'!AT33</f>
        <v/>
      </c>
      <c r="AW752">
        <f>'Grid_Requirement'!AU33</f>
        <v/>
      </c>
      <c r="AX752">
        <f>'Grid_Requirement'!AV33</f>
        <v/>
      </c>
      <c r="AY752">
        <f>'Grid_Requirement'!AW33</f>
        <v/>
      </c>
      <c r="AZ752">
        <f>'Grid_Requirement'!AX33</f>
        <v/>
      </c>
      <c r="BA752">
        <f>'Grid_Requirement'!AY33</f>
        <v/>
      </c>
      <c r="BB752">
        <f>'Grid_Requirement'!AZ33</f>
        <v/>
      </c>
      <c r="BC752">
        <f>'Grid_Requirement'!BA33</f>
        <v/>
      </c>
      <c r="BD752">
        <f>'Grid_Requirement'!BB33</f>
        <v/>
      </c>
      <c r="BE752">
        <f>'Grid_Requirement'!BC33</f>
        <v/>
      </c>
      <c r="BF752">
        <f>'Grid_Requirement'!BD33</f>
        <v/>
      </c>
      <c r="BG752">
        <f>'Grid_Requirement'!BE33</f>
        <v/>
      </c>
      <c r="BH752">
        <f>'Grid_Requirement'!BF33</f>
        <v/>
      </c>
      <c r="BI752">
        <f>'Grid_Requirement'!BG33</f>
        <v/>
      </c>
      <c r="BJ752">
        <f>'Grid_Requirement'!BH33</f>
        <v/>
      </c>
      <c r="BK752">
        <f>'Grid_Requirement'!BI33</f>
        <v/>
      </c>
      <c r="BL752">
        <f>'Grid_Requirement'!BJ33</f>
        <v/>
      </c>
      <c r="BM752">
        <f>'Grid_Requirement'!BK33</f>
        <v/>
      </c>
      <c r="BN752">
        <f>'Grid_Requirement'!BL33</f>
        <v/>
      </c>
      <c r="BO752">
        <f>'Grid_Requirement'!BM33</f>
        <v/>
      </c>
      <c r="BP752">
        <f>'Grid_Requirement'!BN33</f>
        <v/>
      </c>
      <c r="BQ752">
        <f>'Grid_Requirement'!BO33</f>
        <v/>
      </c>
      <c r="BR752">
        <f>'Grid_Requirement'!BP33</f>
        <v/>
      </c>
      <c r="BS752">
        <f>'Grid_Requirement'!BQ33</f>
        <v/>
      </c>
      <c r="BT752">
        <f>'Grid_Requirement'!BR33</f>
        <v/>
      </c>
      <c r="BU752">
        <f>'Grid_Requirement'!BS33</f>
        <v/>
      </c>
      <c r="BV752">
        <f>'Grid_Requirement'!BT33</f>
        <v/>
      </c>
      <c r="BW752">
        <f>'Grid_Requirement'!BU33</f>
        <v/>
      </c>
      <c r="BX752">
        <f>'Grid_Requirement'!BV33</f>
        <v/>
      </c>
      <c r="BY752">
        <f>'Grid_Requirement'!BW33</f>
        <v/>
      </c>
      <c r="BZ752">
        <f>'Grid_Requirement'!BX33</f>
        <v/>
      </c>
      <c r="CA752">
        <f>'Grid_Requirement'!BY33</f>
        <v/>
      </c>
      <c r="CB752">
        <f>'Grid_Requirement'!BZ33</f>
        <v/>
      </c>
      <c r="CC752">
        <f>'Grid_Requirement'!CA33</f>
        <v/>
      </c>
      <c r="CD752">
        <f>'Grid_Requirement'!CB33</f>
        <v/>
      </c>
      <c r="CE752">
        <f>'Grid_Requirement'!CC33</f>
        <v/>
      </c>
      <c r="CF752">
        <f>'Grid_Requirement'!CD33</f>
        <v/>
      </c>
      <c r="CG752">
        <f>'Grid_Requirement'!CE33</f>
        <v/>
      </c>
      <c r="CH752">
        <f>'Grid_Requirement'!CF33</f>
        <v/>
      </c>
      <c r="CI752">
        <f>'Grid_Requirement'!CG33</f>
        <v/>
      </c>
      <c r="CJ752">
        <f>'Grid_Requirement'!CH33</f>
        <v/>
      </c>
      <c r="CK752">
        <f>'Grid_Requirement'!CI33</f>
        <v/>
      </c>
      <c r="CL752">
        <f>'Grid_Requirement'!CJ33</f>
        <v/>
      </c>
      <c r="CM752">
        <f>'Grid_Requirement'!CK33</f>
        <v/>
      </c>
      <c r="CN752">
        <f>'Grid_Requirement'!CL33</f>
        <v/>
      </c>
      <c r="CO752">
        <f>'Grid_Requirement'!CM33</f>
        <v/>
      </c>
      <c r="CP752">
        <f>'Grid_Requirement'!CN33</f>
        <v/>
      </c>
      <c r="CQ752">
        <f>'Grid_Requirement'!CO33</f>
        <v/>
      </c>
      <c r="CR752">
        <f>'Grid_Requirement'!CP33</f>
        <v/>
      </c>
      <c r="CS752">
        <f>'Grid_Requirement'!CQ33</f>
        <v/>
      </c>
      <c r="CT752">
        <f>'Grid_Requirement'!CR33</f>
        <v/>
      </c>
      <c r="CU752">
        <f>'Grid_Requirement'!CS33</f>
        <v/>
      </c>
      <c r="CV752">
        <f>'Grid_Requirement'!CT33</f>
        <v/>
      </c>
      <c r="CW752">
        <f>'Grid_Requirement'!CU33</f>
        <v/>
      </c>
      <c r="CX752">
        <f>'Grid_Requirement'!CV33</f>
        <v/>
      </c>
      <c r="CY752">
        <f>'Grid_Requirement'!CW33</f>
        <v/>
      </c>
      <c r="CZ752">
        <f>'Grid_Requirement'!CX33</f>
        <v/>
      </c>
      <c r="DA752">
        <f>'Grid_Requirement'!CY33</f>
        <v/>
      </c>
      <c r="DB752">
        <f>'Grid_Requirement'!CZ33</f>
        <v/>
      </c>
      <c r="DC752">
        <f>'Grid_Requirement'!DA33</f>
        <v/>
      </c>
    </row>
    <row r="753">
      <c r="B753" t="inlineStr">
        <is>
          <t>TTAF在庫(実績,kg)</t>
        </is>
      </c>
      <c r="D753">
        <f>'T_TTAFStock'!B37</f>
        <v/>
      </c>
      <c r="E753">
        <f>'T_TTAFStock'!C37</f>
        <v/>
      </c>
      <c r="F753">
        <f>'T_TTAFStock'!D37</f>
        <v/>
      </c>
      <c r="G753">
        <f>'T_TTAFStock'!E37</f>
        <v/>
      </c>
      <c r="H753">
        <f>'T_TTAFStock'!F37</f>
        <v/>
      </c>
      <c r="I753">
        <f>'T_TTAFStock'!G37</f>
        <v/>
      </c>
      <c r="J753">
        <f>'T_TTAFStock'!H37</f>
        <v/>
      </c>
      <c r="K753">
        <f>'T_TTAFStock'!I37</f>
        <v/>
      </c>
      <c r="L753">
        <f>'T_TTAFStock'!J37</f>
        <v/>
      </c>
      <c r="M753">
        <f>'T_TTAFStock'!K37</f>
        <v/>
      </c>
      <c r="N753">
        <f>'T_TTAFStock'!L37</f>
        <v/>
      </c>
      <c r="O753">
        <f>'T_TTAFStock'!M37</f>
        <v/>
      </c>
      <c r="P753">
        <f>'T_TTAFStock'!N37</f>
        <v/>
      </c>
      <c r="Q753">
        <f>'T_TTAFStock'!O37</f>
        <v/>
      </c>
      <c r="R753">
        <f>'T_TTAFStock'!P37</f>
        <v/>
      </c>
      <c r="S753">
        <f>'T_TTAFStock'!Q37</f>
        <v/>
      </c>
      <c r="T753">
        <f>'T_TTAFStock'!R37</f>
        <v/>
      </c>
      <c r="U753">
        <f>'T_TTAFStock'!S37</f>
        <v/>
      </c>
      <c r="V753">
        <f>'T_TTAFStock'!T37</f>
        <v/>
      </c>
      <c r="W753">
        <f>'T_TTAFStock'!U37</f>
        <v/>
      </c>
      <c r="X753">
        <f>'T_TTAFStock'!V37</f>
        <v/>
      </c>
      <c r="Y753">
        <f>'T_TTAFStock'!W37</f>
        <v/>
      </c>
      <c r="Z753">
        <f>'T_TTAFStock'!X37</f>
        <v/>
      </c>
      <c r="AA753">
        <f>'T_TTAFStock'!Y37</f>
        <v/>
      </c>
      <c r="AB753">
        <f>'T_TTAFStock'!Z37</f>
        <v/>
      </c>
      <c r="AC753">
        <f>'T_TTAFStock'!AA37</f>
        <v/>
      </c>
      <c r="AD753">
        <f>'T_TTAFStock'!AB37</f>
        <v/>
      </c>
      <c r="AE753">
        <f>'T_TTAFStock'!AC37</f>
        <v/>
      </c>
      <c r="AF753">
        <f>'T_TTAFStock'!AD37</f>
        <v/>
      </c>
      <c r="AG753">
        <f>'T_TTAFStock'!AE37</f>
        <v/>
      </c>
      <c r="AH753">
        <f>'T_TTAFStock'!AF37</f>
        <v/>
      </c>
      <c r="AI753">
        <f>'T_TTAFStock'!AG37</f>
        <v/>
      </c>
      <c r="AJ753">
        <f>'T_TTAFStock'!AH37</f>
        <v/>
      </c>
      <c r="AK753">
        <f>'T_TTAFStock'!AI37</f>
        <v/>
      </c>
      <c r="AL753">
        <f>'T_TTAFStock'!AJ37</f>
        <v/>
      </c>
      <c r="AM753">
        <f>'T_TTAFStock'!AK37</f>
        <v/>
      </c>
      <c r="AN753">
        <f>'T_TTAFStock'!AL37</f>
        <v/>
      </c>
      <c r="AO753">
        <f>'T_TTAFStock'!AM37</f>
        <v/>
      </c>
      <c r="AP753">
        <f>'T_TTAFStock'!AN37</f>
        <v/>
      </c>
      <c r="AQ753">
        <f>'T_TTAFStock'!AO37</f>
        <v/>
      </c>
      <c r="AR753">
        <f>'T_TTAFStock'!AP37</f>
        <v/>
      </c>
      <c r="AS753">
        <f>'T_TTAFStock'!AQ37</f>
        <v/>
      </c>
      <c r="AT753">
        <f>'T_TTAFStock'!AR37</f>
        <v/>
      </c>
      <c r="AU753">
        <f>'T_TTAFStock'!AS37</f>
        <v/>
      </c>
      <c r="AV753">
        <f>'T_TTAFStock'!AT37</f>
        <v/>
      </c>
      <c r="AW753">
        <f>'T_TTAFStock'!AU37</f>
        <v/>
      </c>
      <c r="AX753">
        <f>'T_TTAFStock'!AV37</f>
        <v/>
      </c>
      <c r="AY753">
        <f>'T_TTAFStock'!AW37</f>
        <v/>
      </c>
      <c r="AZ753">
        <f>'T_TTAFStock'!AX37</f>
        <v/>
      </c>
      <c r="BA753">
        <f>'T_TTAFStock'!AY37</f>
        <v/>
      </c>
      <c r="BB753">
        <f>'T_TTAFStock'!AZ37</f>
        <v/>
      </c>
      <c r="BC753">
        <f>'T_TTAFStock'!BA37</f>
        <v/>
      </c>
      <c r="BD753">
        <f>'T_TTAFStock'!BB37</f>
        <v/>
      </c>
      <c r="BE753">
        <f>'T_TTAFStock'!BC37</f>
        <v/>
      </c>
      <c r="BF753">
        <f>'T_TTAFStock'!BD37</f>
        <v/>
      </c>
      <c r="BG753">
        <f>'T_TTAFStock'!BE37</f>
        <v/>
      </c>
      <c r="BH753">
        <f>'T_TTAFStock'!BF37</f>
        <v/>
      </c>
      <c r="BI753">
        <f>'T_TTAFStock'!BG37</f>
        <v/>
      </c>
      <c r="BJ753">
        <f>'T_TTAFStock'!BH37</f>
        <v/>
      </c>
      <c r="BK753">
        <f>'T_TTAFStock'!BI37</f>
        <v/>
      </c>
      <c r="BL753">
        <f>'T_TTAFStock'!BJ37</f>
        <v/>
      </c>
      <c r="BM753">
        <f>'T_TTAFStock'!BK37</f>
        <v/>
      </c>
      <c r="BN753">
        <f>'T_TTAFStock'!BL37</f>
        <v/>
      </c>
      <c r="BO753">
        <f>'T_TTAFStock'!BM37</f>
        <v/>
      </c>
      <c r="BP753">
        <f>'T_TTAFStock'!BN37</f>
        <v/>
      </c>
      <c r="BQ753">
        <f>'T_TTAFStock'!BO37</f>
        <v/>
      </c>
      <c r="BR753">
        <f>'T_TTAFStock'!BP37</f>
        <v/>
      </c>
      <c r="BS753">
        <f>'T_TTAFStock'!BQ37</f>
        <v/>
      </c>
      <c r="BT753">
        <f>'T_TTAFStock'!BR37</f>
        <v/>
      </c>
      <c r="BU753">
        <f>'T_TTAFStock'!BS37</f>
        <v/>
      </c>
      <c r="BV753">
        <f>'T_TTAFStock'!BT37</f>
        <v/>
      </c>
      <c r="BW753">
        <f>'T_TTAFStock'!BU37</f>
        <v/>
      </c>
      <c r="BX753">
        <f>'T_TTAFStock'!BV37</f>
        <v/>
      </c>
      <c r="BY753">
        <f>'T_TTAFStock'!BW37</f>
        <v/>
      </c>
      <c r="BZ753">
        <f>'T_TTAFStock'!BX37</f>
        <v/>
      </c>
      <c r="CA753">
        <f>'T_TTAFStock'!BY37</f>
        <v/>
      </c>
      <c r="CB753">
        <f>'T_TTAFStock'!BZ37</f>
        <v/>
      </c>
      <c r="CC753">
        <f>'T_TTAFStock'!CA37</f>
        <v/>
      </c>
      <c r="CD753">
        <f>'T_TTAFStock'!CB37</f>
        <v/>
      </c>
      <c r="CE753">
        <f>'T_TTAFStock'!CC37</f>
        <v/>
      </c>
      <c r="CF753">
        <f>'T_TTAFStock'!CD37</f>
        <v/>
      </c>
      <c r="CG753">
        <f>'T_TTAFStock'!CE37</f>
        <v/>
      </c>
      <c r="CH753">
        <f>'T_TTAFStock'!CF37</f>
        <v/>
      </c>
      <c r="CI753">
        <f>'T_TTAFStock'!CG37</f>
        <v/>
      </c>
      <c r="CJ753">
        <f>'T_TTAFStock'!CH37</f>
        <v/>
      </c>
      <c r="CK753">
        <f>'T_TTAFStock'!CI37</f>
        <v/>
      </c>
      <c r="CL753">
        <f>'T_TTAFStock'!CJ37</f>
        <v/>
      </c>
      <c r="CM753">
        <f>'T_TTAFStock'!CK37</f>
        <v/>
      </c>
      <c r="CN753">
        <f>'T_TTAFStock'!CL37</f>
        <v/>
      </c>
      <c r="CO753">
        <f>'T_TTAFStock'!CM37</f>
        <v/>
      </c>
      <c r="CP753">
        <f>'T_TTAFStock'!CN37</f>
        <v/>
      </c>
      <c r="CQ753">
        <f>'T_TTAFStock'!CO37</f>
        <v/>
      </c>
      <c r="CR753">
        <f>'T_TTAFStock'!CP37</f>
        <v/>
      </c>
      <c r="CS753">
        <f>'T_TTAFStock'!CQ37</f>
        <v/>
      </c>
      <c r="CT753">
        <f>'T_TTAFStock'!CR37</f>
        <v/>
      </c>
      <c r="CU753">
        <f>'T_TTAFStock'!CS37</f>
        <v/>
      </c>
      <c r="CV753">
        <f>'T_TTAFStock'!CT37</f>
        <v/>
      </c>
      <c r="CW753">
        <f>'T_TTAFStock'!CU37</f>
        <v/>
      </c>
      <c r="CX753">
        <f>'T_TTAFStock'!CV37</f>
        <v/>
      </c>
      <c r="CY753">
        <f>'T_TTAFStock'!CW37</f>
        <v/>
      </c>
      <c r="CZ753">
        <f>'T_TTAFStock'!CX37</f>
        <v/>
      </c>
      <c r="DA753">
        <f>'T_TTAFStock'!CY37</f>
        <v/>
      </c>
      <c r="DB753">
        <f>'T_TTAFStock'!CZ37</f>
        <v/>
      </c>
      <c r="DC753">
        <f>'T_TTAFStock'!DA37</f>
        <v/>
      </c>
    </row>
    <row r="754">
      <c r="B754" t="inlineStr">
        <is>
          <t>自社在庫(実績,kg)</t>
        </is>
      </c>
      <c r="D754">
        <f>'T_SelfStock'!B37</f>
        <v/>
      </c>
      <c r="E754">
        <f>'T_SelfStock'!C37</f>
        <v/>
      </c>
      <c r="F754">
        <f>'T_SelfStock'!D37</f>
        <v/>
      </c>
      <c r="G754">
        <f>'T_SelfStock'!E37</f>
        <v/>
      </c>
      <c r="H754">
        <f>'T_SelfStock'!F37</f>
        <v/>
      </c>
      <c r="I754">
        <f>'T_SelfStock'!G37</f>
        <v/>
      </c>
      <c r="J754">
        <f>'T_SelfStock'!H37</f>
        <v/>
      </c>
      <c r="K754">
        <f>'T_SelfStock'!I37</f>
        <v/>
      </c>
      <c r="L754">
        <f>'T_SelfStock'!J37</f>
        <v/>
      </c>
      <c r="M754">
        <f>'T_SelfStock'!K37</f>
        <v/>
      </c>
      <c r="N754">
        <f>'T_SelfStock'!L37</f>
        <v/>
      </c>
      <c r="O754">
        <f>'T_SelfStock'!M37</f>
        <v/>
      </c>
      <c r="P754">
        <f>'T_SelfStock'!N37</f>
        <v/>
      </c>
      <c r="Q754">
        <f>'T_SelfStock'!O37</f>
        <v/>
      </c>
      <c r="R754">
        <f>'T_SelfStock'!P37</f>
        <v/>
      </c>
      <c r="S754">
        <f>'T_SelfStock'!Q37</f>
        <v/>
      </c>
      <c r="T754">
        <f>'T_SelfStock'!R37</f>
        <v/>
      </c>
      <c r="U754">
        <f>'T_SelfStock'!S37</f>
        <v/>
      </c>
      <c r="V754">
        <f>'T_SelfStock'!T37</f>
        <v/>
      </c>
      <c r="W754">
        <f>'T_SelfStock'!U37</f>
        <v/>
      </c>
      <c r="X754">
        <f>'T_SelfStock'!V37</f>
        <v/>
      </c>
      <c r="Y754">
        <f>'T_SelfStock'!W37</f>
        <v/>
      </c>
      <c r="Z754">
        <f>'T_SelfStock'!X37</f>
        <v/>
      </c>
      <c r="AA754">
        <f>'T_SelfStock'!Y37</f>
        <v/>
      </c>
      <c r="AB754">
        <f>'T_SelfStock'!Z37</f>
        <v/>
      </c>
      <c r="AC754">
        <f>'T_SelfStock'!AA37</f>
        <v/>
      </c>
      <c r="AD754">
        <f>'T_SelfStock'!AB37</f>
        <v/>
      </c>
      <c r="AE754">
        <f>'T_SelfStock'!AC37</f>
        <v/>
      </c>
      <c r="AF754">
        <f>'T_SelfStock'!AD37</f>
        <v/>
      </c>
      <c r="AG754">
        <f>'T_SelfStock'!AE37</f>
        <v/>
      </c>
      <c r="AH754">
        <f>'T_SelfStock'!AF37</f>
        <v/>
      </c>
      <c r="AI754">
        <f>'T_SelfStock'!AG37</f>
        <v/>
      </c>
      <c r="AJ754">
        <f>'T_SelfStock'!AH37</f>
        <v/>
      </c>
      <c r="AK754">
        <f>'T_SelfStock'!AI37</f>
        <v/>
      </c>
      <c r="AL754">
        <f>'T_SelfStock'!AJ37</f>
        <v/>
      </c>
      <c r="AM754">
        <f>'T_SelfStock'!AK37</f>
        <v/>
      </c>
      <c r="AN754">
        <f>'T_SelfStock'!AL37</f>
        <v/>
      </c>
      <c r="AO754">
        <f>'T_SelfStock'!AM37</f>
        <v/>
      </c>
      <c r="AP754">
        <f>'T_SelfStock'!AN37</f>
        <v/>
      </c>
      <c r="AQ754">
        <f>'T_SelfStock'!AO37</f>
        <v/>
      </c>
      <c r="AR754">
        <f>'T_SelfStock'!AP37</f>
        <v/>
      </c>
      <c r="AS754">
        <f>'T_SelfStock'!AQ37</f>
        <v/>
      </c>
      <c r="AT754">
        <f>'T_SelfStock'!AR37</f>
        <v/>
      </c>
      <c r="AU754">
        <f>'T_SelfStock'!AS37</f>
        <v/>
      </c>
      <c r="AV754">
        <f>'T_SelfStock'!AT37</f>
        <v/>
      </c>
      <c r="AW754">
        <f>'T_SelfStock'!AU37</f>
        <v/>
      </c>
      <c r="AX754">
        <f>'T_SelfStock'!AV37</f>
        <v/>
      </c>
      <c r="AY754">
        <f>'T_SelfStock'!AW37</f>
        <v/>
      </c>
      <c r="AZ754">
        <f>'T_SelfStock'!AX37</f>
        <v/>
      </c>
      <c r="BA754">
        <f>'T_SelfStock'!AY37</f>
        <v/>
      </c>
      <c r="BB754">
        <f>'T_SelfStock'!AZ37</f>
        <v/>
      </c>
      <c r="BC754">
        <f>'T_SelfStock'!BA37</f>
        <v/>
      </c>
      <c r="BD754">
        <f>'T_SelfStock'!BB37</f>
        <v/>
      </c>
      <c r="BE754">
        <f>'T_SelfStock'!BC37</f>
        <v/>
      </c>
      <c r="BF754">
        <f>'T_SelfStock'!BD37</f>
        <v/>
      </c>
      <c r="BG754">
        <f>'T_SelfStock'!BE37</f>
        <v/>
      </c>
      <c r="BH754">
        <f>'T_SelfStock'!BF37</f>
        <v/>
      </c>
      <c r="BI754">
        <f>'T_SelfStock'!BG37</f>
        <v/>
      </c>
      <c r="BJ754">
        <f>'T_SelfStock'!BH37</f>
        <v/>
      </c>
      <c r="BK754">
        <f>'T_SelfStock'!BI37</f>
        <v/>
      </c>
      <c r="BL754">
        <f>'T_SelfStock'!BJ37</f>
        <v/>
      </c>
      <c r="BM754">
        <f>'T_SelfStock'!BK37</f>
        <v/>
      </c>
      <c r="BN754">
        <f>'T_SelfStock'!BL37</f>
        <v/>
      </c>
      <c r="BO754">
        <f>'T_SelfStock'!BM37</f>
        <v/>
      </c>
      <c r="BP754">
        <f>'T_SelfStock'!BN37</f>
        <v/>
      </c>
      <c r="BQ754">
        <f>'T_SelfStock'!BO37</f>
        <v/>
      </c>
      <c r="BR754">
        <f>'T_SelfStock'!BP37</f>
        <v/>
      </c>
      <c r="BS754">
        <f>'T_SelfStock'!BQ37</f>
        <v/>
      </c>
      <c r="BT754">
        <f>'T_SelfStock'!BR37</f>
        <v/>
      </c>
      <c r="BU754">
        <f>'T_SelfStock'!BS37</f>
        <v/>
      </c>
      <c r="BV754">
        <f>'T_SelfStock'!BT37</f>
        <v/>
      </c>
      <c r="BW754">
        <f>'T_SelfStock'!BU37</f>
        <v/>
      </c>
      <c r="BX754">
        <f>'T_SelfStock'!BV37</f>
        <v/>
      </c>
      <c r="BY754">
        <f>'T_SelfStock'!BW37</f>
        <v/>
      </c>
      <c r="BZ754">
        <f>'T_SelfStock'!BX37</f>
        <v/>
      </c>
      <c r="CA754">
        <f>'T_SelfStock'!BY37</f>
        <v/>
      </c>
      <c r="CB754">
        <f>'T_SelfStock'!BZ37</f>
        <v/>
      </c>
      <c r="CC754">
        <f>'T_SelfStock'!CA37</f>
        <v/>
      </c>
      <c r="CD754">
        <f>'T_SelfStock'!CB37</f>
        <v/>
      </c>
      <c r="CE754">
        <f>'T_SelfStock'!CC37</f>
        <v/>
      </c>
      <c r="CF754">
        <f>'T_SelfStock'!CD37</f>
        <v/>
      </c>
      <c r="CG754">
        <f>'T_SelfStock'!CE37</f>
        <v/>
      </c>
      <c r="CH754">
        <f>'T_SelfStock'!CF37</f>
        <v/>
      </c>
      <c r="CI754">
        <f>'T_SelfStock'!CG37</f>
        <v/>
      </c>
      <c r="CJ754">
        <f>'T_SelfStock'!CH37</f>
        <v/>
      </c>
      <c r="CK754">
        <f>'T_SelfStock'!CI37</f>
        <v/>
      </c>
      <c r="CL754">
        <f>'T_SelfStock'!CJ37</f>
        <v/>
      </c>
      <c r="CM754">
        <f>'T_SelfStock'!CK37</f>
        <v/>
      </c>
      <c r="CN754">
        <f>'T_SelfStock'!CL37</f>
        <v/>
      </c>
      <c r="CO754">
        <f>'T_SelfStock'!CM37</f>
        <v/>
      </c>
      <c r="CP754">
        <f>'T_SelfStock'!CN37</f>
        <v/>
      </c>
      <c r="CQ754">
        <f>'T_SelfStock'!CO37</f>
        <v/>
      </c>
      <c r="CR754">
        <f>'T_SelfStock'!CP37</f>
        <v/>
      </c>
      <c r="CS754">
        <f>'T_SelfStock'!CQ37</f>
        <v/>
      </c>
      <c r="CT754">
        <f>'T_SelfStock'!CR37</f>
        <v/>
      </c>
      <c r="CU754">
        <f>'T_SelfStock'!CS37</f>
        <v/>
      </c>
      <c r="CV754">
        <f>'T_SelfStock'!CT37</f>
        <v/>
      </c>
      <c r="CW754">
        <f>'T_SelfStock'!CU37</f>
        <v/>
      </c>
      <c r="CX754">
        <f>'T_SelfStock'!CV37</f>
        <v/>
      </c>
      <c r="CY754">
        <f>'T_SelfStock'!CW37</f>
        <v/>
      </c>
      <c r="CZ754">
        <f>'T_SelfStock'!CX37</f>
        <v/>
      </c>
      <c r="DA754">
        <f>'T_SelfStock'!CY37</f>
        <v/>
      </c>
      <c r="DB754">
        <f>'T_SelfStock'!CZ37</f>
        <v/>
      </c>
      <c r="DC754">
        <f>'T_SelfStock'!DA37</f>
        <v/>
      </c>
    </row>
    <row r="755">
      <c r="B755" t="inlineStr">
        <is>
          <t>Order(発注予定,kg)</t>
        </is>
      </c>
      <c r="D755">
        <f>IF(SUMIFS(T_PlannedOrders[EffectiveQty],T_PlannedOrders[Part Name],$A677,T_PlannedOrders[WeekIndex],1)=0,"",SUMIFS(T_PlannedOrders[EffectiveQty],T_PlannedOrders[Part Name],$A677,T_PlannedOrders[WeekIndex],1)&amp;" ("&amp;TEXT(SUMPRODUCT(MAX((T_PlannedOrders[Part Name]=$A677)*(T_PlannedOrders[WeekIndex]=1)*(T_PlannedOrders[EffectiveQty]&gt;0)*T_PlannedOrders[Order_Month])),"m月")&amp;"発注)")</f>
        <v/>
      </c>
      <c r="E755">
        <f>IF(SUMIFS(T_PlannedOrders[EffectiveQty],T_PlannedOrders[Part Name],$A677,T_PlannedOrders[WeekIndex],2)=0,"",SUMIFS(T_PlannedOrders[EffectiveQty],T_PlannedOrders[Part Name],$A677,T_PlannedOrders[WeekIndex],2)&amp;" ("&amp;TEXT(SUMPRODUCT(MAX((T_PlannedOrders[Part Name]=$A677)*(T_PlannedOrders[WeekIndex]=2)*(T_PlannedOrders[EffectiveQty]&gt;0)*T_PlannedOrders[Order_Month])),"m月")&amp;"発注)")</f>
        <v/>
      </c>
      <c r="F755">
        <f>IF(SUMIFS(T_PlannedOrders[EffectiveQty],T_PlannedOrders[Part Name],$A677,T_PlannedOrders[WeekIndex],3)=0,"",SUMIFS(T_PlannedOrders[EffectiveQty],T_PlannedOrders[Part Name],$A677,T_PlannedOrders[WeekIndex],3)&amp;" ("&amp;TEXT(SUMPRODUCT(MAX((T_PlannedOrders[Part Name]=$A677)*(T_PlannedOrders[WeekIndex]=3)*(T_PlannedOrders[EffectiveQty]&gt;0)*T_PlannedOrders[Order_Month])),"m月")&amp;"発注)")</f>
        <v/>
      </c>
      <c r="G755">
        <f>IF(SUMIFS(T_PlannedOrders[EffectiveQty],T_PlannedOrders[Part Name],$A677,T_PlannedOrders[WeekIndex],4)=0,"",SUMIFS(T_PlannedOrders[EffectiveQty],T_PlannedOrders[Part Name],$A677,T_PlannedOrders[WeekIndex],4)&amp;" ("&amp;TEXT(SUMPRODUCT(MAX((T_PlannedOrders[Part Name]=$A677)*(T_PlannedOrders[WeekIndex]=4)*(T_PlannedOrders[EffectiveQty]&gt;0)*T_PlannedOrders[Order_Month])),"m月")&amp;"発注)")</f>
        <v/>
      </c>
      <c r="H755">
        <f>IF(SUMIFS(T_PlannedOrders[EffectiveQty],T_PlannedOrders[Part Name],$A677,T_PlannedOrders[WeekIndex],5)=0,"",SUMIFS(T_PlannedOrders[EffectiveQty],T_PlannedOrders[Part Name],$A677,T_PlannedOrders[WeekIndex],5)&amp;" ("&amp;TEXT(SUMPRODUCT(MAX((T_PlannedOrders[Part Name]=$A677)*(T_PlannedOrders[WeekIndex]=5)*(T_PlannedOrders[EffectiveQty]&gt;0)*T_PlannedOrders[Order_Month])),"m月")&amp;"発注)")</f>
        <v/>
      </c>
      <c r="I755">
        <f>IF(SUMIFS(T_PlannedOrders[EffectiveQty],T_PlannedOrders[Part Name],$A677,T_PlannedOrders[WeekIndex],6)=0,"",SUMIFS(T_PlannedOrders[EffectiveQty],T_PlannedOrders[Part Name],$A677,T_PlannedOrders[WeekIndex],6)&amp;" ("&amp;TEXT(SUMPRODUCT(MAX((T_PlannedOrders[Part Name]=$A677)*(T_PlannedOrders[WeekIndex]=6)*(T_PlannedOrders[EffectiveQty]&gt;0)*T_PlannedOrders[Order_Month])),"m月")&amp;"発注)")</f>
        <v/>
      </c>
      <c r="J755">
        <f>IF(SUMIFS(T_PlannedOrders[EffectiveQty],T_PlannedOrders[Part Name],$A677,T_PlannedOrders[WeekIndex],7)=0,"",SUMIFS(T_PlannedOrders[EffectiveQty],T_PlannedOrders[Part Name],$A677,T_PlannedOrders[WeekIndex],7)&amp;" ("&amp;TEXT(SUMPRODUCT(MAX((T_PlannedOrders[Part Name]=$A677)*(T_PlannedOrders[WeekIndex]=7)*(T_PlannedOrders[EffectiveQty]&gt;0)*T_PlannedOrders[Order_Month])),"m月")&amp;"発注)")</f>
        <v/>
      </c>
      <c r="K755">
        <f>IF(SUMIFS(T_PlannedOrders[EffectiveQty],T_PlannedOrders[Part Name],$A677,T_PlannedOrders[WeekIndex],8)=0,"",SUMIFS(T_PlannedOrders[EffectiveQty],T_PlannedOrders[Part Name],$A677,T_PlannedOrders[WeekIndex],8)&amp;" ("&amp;TEXT(SUMPRODUCT(MAX((T_PlannedOrders[Part Name]=$A677)*(T_PlannedOrders[WeekIndex]=8)*(T_PlannedOrders[EffectiveQty]&gt;0)*T_PlannedOrders[Order_Month])),"m月")&amp;"発注)")</f>
        <v/>
      </c>
      <c r="L755">
        <f>IF(SUMIFS(T_PlannedOrders[EffectiveQty],T_PlannedOrders[Part Name],$A677,T_PlannedOrders[WeekIndex],9)=0,"",SUMIFS(T_PlannedOrders[EffectiveQty],T_PlannedOrders[Part Name],$A677,T_PlannedOrders[WeekIndex],9)&amp;" ("&amp;TEXT(SUMPRODUCT(MAX((T_PlannedOrders[Part Name]=$A677)*(T_PlannedOrders[WeekIndex]=9)*(T_PlannedOrders[EffectiveQty]&gt;0)*T_PlannedOrders[Order_Month])),"m月")&amp;"発注)")</f>
        <v/>
      </c>
      <c r="M755">
        <f>IF(SUMIFS(T_PlannedOrders[EffectiveQty],T_PlannedOrders[Part Name],$A677,T_PlannedOrders[WeekIndex],10)=0,"",SUMIFS(T_PlannedOrders[EffectiveQty],T_PlannedOrders[Part Name],$A677,T_PlannedOrders[WeekIndex],10)&amp;" ("&amp;TEXT(SUMPRODUCT(MAX((T_PlannedOrders[Part Name]=$A677)*(T_PlannedOrders[WeekIndex]=10)*(T_PlannedOrders[EffectiveQty]&gt;0)*T_PlannedOrders[Order_Month])),"m月")&amp;"発注)")</f>
        <v/>
      </c>
      <c r="N755">
        <f>IF(SUMIFS(T_PlannedOrders[EffectiveQty],T_PlannedOrders[Part Name],$A677,T_PlannedOrders[WeekIndex],11)=0,"",SUMIFS(T_PlannedOrders[EffectiveQty],T_PlannedOrders[Part Name],$A677,T_PlannedOrders[WeekIndex],11)&amp;" ("&amp;TEXT(SUMPRODUCT(MAX((T_PlannedOrders[Part Name]=$A677)*(T_PlannedOrders[WeekIndex]=11)*(T_PlannedOrders[EffectiveQty]&gt;0)*T_PlannedOrders[Order_Month])),"m月")&amp;"発注)")</f>
        <v/>
      </c>
      <c r="O755">
        <f>IF(SUMIFS(T_PlannedOrders[EffectiveQty],T_PlannedOrders[Part Name],$A677,T_PlannedOrders[WeekIndex],12)=0,"",SUMIFS(T_PlannedOrders[EffectiveQty],T_PlannedOrders[Part Name],$A677,T_PlannedOrders[WeekIndex],12)&amp;" ("&amp;TEXT(SUMPRODUCT(MAX((T_PlannedOrders[Part Name]=$A677)*(T_PlannedOrders[WeekIndex]=12)*(T_PlannedOrders[EffectiveQty]&gt;0)*T_PlannedOrders[Order_Month])),"m月")&amp;"発注)")</f>
        <v/>
      </c>
      <c r="P755">
        <f>IF(SUMIFS(T_PlannedOrders[EffectiveQty],T_PlannedOrders[Part Name],$A677,T_PlannedOrders[WeekIndex],13)=0,"",SUMIFS(T_PlannedOrders[EffectiveQty],T_PlannedOrders[Part Name],$A677,T_PlannedOrders[WeekIndex],13)&amp;" ("&amp;TEXT(SUMPRODUCT(MAX((T_PlannedOrders[Part Name]=$A677)*(T_PlannedOrders[WeekIndex]=13)*(T_PlannedOrders[EffectiveQty]&gt;0)*T_PlannedOrders[Order_Month])),"m月")&amp;"発注)")</f>
        <v/>
      </c>
      <c r="Q755">
        <f>IF(SUMIFS(T_PlannedOrders[EffectiveQty],T_PlannedOrders[Part Name],$A677,T_PlannedOrders[WeekIndex],14)=0,"",SUMIFS(T_PlannedOrders[EffectiveQty],T_PlannedOrders[Part Name],$A677,T_PlannedOrders[WeekIndex],14)&amp;" ("&amp;TEXT(SUMPRODUCT(MAX((T_PlannedOrders[Part Name]=$A677)*(T_PlannedOrders[WeekIndex]=14)*(T_PlannedOrders[EffectiveQty]&gt;0)*T_PlannedOrders[Order_Month])),"m月")&amp;"発注)")</f>
        <v/>
      </c>
      <c r="R755">
        <f>IF(SUMIFS(T_PlannedOrders[EffectiveQty],T_PlannedOrders[Part Name],$A677,T_PlannedOrders[WeekIndex],15)=0,"",SUMIFS(T_PlannedOrders[EffectiveQty],T_PlannedOrders[Part Name],$A677,T_PlannedOrders[WeekIndex],15)&amp;" ("&amp;TEXT(SUMPRODUCT(MAX((T_PlannedOrders[Part Name]=$A677)*(T_PlannedOrders[WeekIndex]=15)*(T_PlannedOrders[EffectiveQty]&gt;0)*T_PlannedOrders[Order_Month])),"m月")&amp;"発注)")</f>
        <v/>
      </c>
      <c r="S755">
        <f>IF(SUMIFS(T_PlannedOrders[EffectiveQty],T_PlannedOrders[Part Name],$A677,T_PlannedOrders[WeekIndex],16)=0,"",SUMIFS(T_PlannedOrders[EffectiveQty],T_PlannedOrders[Part Name],$A677,T_PlannedOrders[WeekIndex],16)&amp;" ("&amp;TEXT(SUMPRODUCT(MAX((T_PlannedOrders[Part Name]=$A677)*(T_PlannedOrders[WeekIndex]=16)*(T_PlannedOrders[EffectiveQty]&gt;0)*T_PlannedOrders[Order_Month])),"m月")&amp;"発注)")</f>
        <v/>
      </c>
      <c r="T755">
        <f>IF(SUMIFS(T_PlannedOrders[EffectiveQty],T_PlannedOrders[Part Name],$A677,T_PlannedOrders[WeekIndex],17)=0,"",SUMIFS(T_PlannedOrders[EffectiveQty],T_PlannedOrders[Part Name],$A677,T_PlannedOrders[WeekIndex],17)&amp;" ("&amp;TEXT(SUMPRODUCT(MAX((T_PlannedOrders[Part Name]=$A677)*(T_PlannedOrders[WeekIndex]=17)*(T_PlannedOrders[EffectiveQty]&gt;0)*T_PlannedOrders[Order_Month])),"m月")&amp;"発注)")</f>
        <v/>
      </c>
      <c r="U755">
        <f>IF(SUMIFS(T_PlannedOrders[EffectiveQty],T_PlannedOrders[Part Name],$A677,T_PlannedOrders[WeekIndex],18)=0,"",SUMIFS(T_PlannedOrders[EffectiveQty],T_PlannedOrders[Part Name],$A677,T_PlannedOrders[WeekIndex],18)&amp;" ("&amp;TEXT(SUMPRODUCT(MAX((T_PlannedOrders[Part Name]=$A677)*(T_PlannedOrders[WeekIndex]=18)*(T_PlannedOrders[EffectiveQty]&gt;0)*T_PlannedOrders[Order_Month])),"m月")&amp;"発注)")</f>
        <v/>
      </c>
      <c r="V755">
        <f>IF(SUMIFS(T_PlannedOrders[EffectiveQty],T_PlannedOrders[Part Name],$A677,T_PlannedOrders[WeekIndex],19)=0,"",SUMIFS(T_PlannedOrders[EffectiveQty],T_PlannedOrders[Part Name],$A677,T_PlannedOrders[WeekIndex],19)&amp;" ("&amp;TEXT(SUMPRODUCT(MAX((T_PlannedOrders[Part Name]=$A677)*(T_PlannedOrders[WeekIndex]=19)*(T_PlannedOrders[EffectiveQty]&gt;0)*T_PlannedOrders[Order_Month])),"m月")&amp;"発注)")</f>
        <v/>
      </c>
      <c r="W755">
        <f>IF(SUMIFS(T_PlannedOrders[EffectiveQty],T_PlannedOrders[Part Name],$A677,T_PlannedOrders[WeekIndex],20)=0,"",SUMIFS(T_PlannedOrders[EffectiveQty],T_PlannedOrders[Part Name],$A677,T_PlannedOrders[WeekIndex],20)&amp;" ("&amp;TEXT(SUMPRODUCT(MAX((T_PlannedOrders[Part Name]=$A677)*(T_PlannedOrders[WeekIndex]=20)*(T_PlannedOrders[EffectiveQty]&gt;0)*T_PlannedOrders[Order_Month])),"m月")&amp;"発注)")</f>
        <v/>
      </c>
      <c r="X755">
        <f>IF(SUMIFS(T_PlannedOrders[EffectiveQty],T_PlannedOrders[Part Name],$A677,T_PlannedOrders[WeekIndex],21)=0,"",SUMIFS(T_PlannedOrders[EffectiveQty],T_PlannedOrders[Part Name],$A677,T_PlannedOrders[WeekIndex],21)&amp;" ("&amp;TEXT(SUMPRODUCT(MAX((T_PlannedOrders[Part Name]=$A677)*(T_PlannedOrders[WeekIndex]=21)*(T_PlannedOrders[EffectiveQty]&gt;0)*T_PlannedOrders[Order_Month])),"m月")&amp;"発注)")</f>
        <v/>
      </c>
      <c r="Y755">
        <f>IF(SUMIFS(T_PlannedOrders[EffectiveQty],T_PlannedOrders[Part Name],$A677,T_PlannedOrders[WeekIndex],22)=0,"",SUMIFS(T_PlannedOrders[EffectiveQty],T_PlannedOrders[Part Name],$A677,T_PlannedOrders[WeekIndex],22)&amp;" ("&amp;TEXT(SUMPRODUCT(MAX((T_PlannedOrders[Part Name]=$A677)*(T_PlannedOrders[WeekIndex]=22)*(T_PlannedOrders[EffectiveQty]&gt;0)*T_PlannedOrders[Order_Month])),"m月")&amp;"発注)")</f>
        <v/>
      </c>
      <c r="Z755">
        <f>IF(SUMIFS(T_PlannedOrders[EffectiveQty],T_PlannedOrders[Part Name],$A677,T_PlannedOrders[WeekIndex],23)=0,"",SUMIFS(T_PlannedOrders[EffectiveQty],T_PlannedOrders[Part Name],$A677,T_PlannedOrders[WeekIndex],23)&amp;" ("&amp;TEXT(SUMPRODUCT(MAX((T_PlannedOrders[Part Name]=$A677)*(T_PlannedOrders[WeekIndex]=23)*(T_PlannedOrders[EffectiveQty]&gt;0)*T_PlannedOrders[Order_Month])),"m月")&amp;"発注)")</f>
        <v/>
      </c>
      <c r="AA755">
        <f>IF(SUMIFS(T_PlannedOrders[EffectiveQty],T_PlannedOrders[Part Name],$A677,T_PlannedOrders[WeekIndex],24)=0,"",SUMIFS(T_PlannedOrders[EffectiveQty],T_PlannedOrders[Part Name],$A677,T_PlannedOrders[WeekIndex],24)&amp;" ("&amp;TEXT(SUMPRODUCT(MAX((T_PlannedOrders[Part Name]=$A677)*(T_PlannedOrders[WeekIndex]=24)*(T_PlannedOrders[EffectiveQty]&gt;0)*T_PlannedOrders[Order_Month])),"m月")&amp;"発注)")</f>
        <v/>
      </c>
      <c r="AB755">
        <f>IF(SUMIFS(T_PlannedOrders[EffectiveQty],T_PlannedOrders[Part Name],$A677,T_PlannedOrders[WeekIndex],25)=0,"",SUMIFS(T_PlannedOrders[EffectiveQty],T_PlannedOrders[Part Name],$A677,T_PlannedOrders[WeekIndex],25)&amp;" ("&amp;TEXT(SUMPRODUCT(MAX((T_PlannedOrders[Part Name]=$A677)*(T_PlannedOrders[WeekIndex]=25)*(T_PlannedOrders[EffectiveQty]&gt;0)*T_PlannedOrders[Order_Month])),"m月")&amp;"発注)")</f>
        <v/>
      </c>
      <c r="AC755">
        <f>IF(SUMIFS(T_PlannedOrders[EffectiveQty],T_PlannedOrders[Part Name],$A677,T_PlannedOrders[WeekIndex],26)=0,"",SUMIFS(T_PlannedOrders[EffectiveQty],T_PlannedOrders[Part Name],$A677,T_PlannedOrders[WeekIndex],26)&amp;" ("&amp;TEXT(SUMPRODUCT(MAX((T_PlannedOrders[Part Name]=$A677)*(T_PlannedOrders[WeekIndex]=26)*(T_PlannedOrders[EffectiveQty]&gt;0)*T_PlannedOrders[Order_Month])),"m月")&amp;"発注)")</f>
        <v/>
      </c>
      <c r="AD755">
        <f>IF(SUMIFS(T_PlannedOrders[EffectiveQty],T_PlannedOrders[Part Name],$A677,T_PlannedOrders[WeekIndex],27)=0,"",SUMIFS(T_PlannedOrders[EffectiveQty],T_PlannedOrders[Part Name],$A677,T_PlannedOrders[WeekIndex],27)&amp;" ("&amp;TEXT(SUMPRODUCT(MAX((T_PlannedOrders[Part Name]=$A677)*(T_PlannedOrders[WeekIndex]=27)*(T_PlannedOrders[EffectiveQty]&gt;0)*T_PlannedOrders[Order_Month])),"m月")&amp;"発注)")</f>
        <v/>
      </c>
      <c r="AE755">
        <f>IF(SUMIFS(T_PlannedOrders[EffectiveQty],T_PlannedOrders[Part Name],$A677,T_PlannedOrders[WeekIndex],28)=0,"",SUMIFS(T_PlannedOrders[EffectiveQty],T_PlannedOrders[Part Name],$A677,T_PlannedOrders[WeekIndex],28)&amp;" ("&amp;TEXT(SUMPRODUCT(MAX((T_PlannedOrders[Part Name]=$A677)*(T_PlannedOrders[WeekIndex]=28)*(T_PlannedOrders[EffectiveQty]&gt;0)*T_PlannedOrders[Order_Month])),"m月")&amp;"発注)")</f>
        <v/>
      </c>
      <c r="AF755">
        <f>IF(SUMIFS(T_PlannedOrders[EffectiveQty],T_PlannedOrders[Part Name],$A677,T_PlannedOrders[WeekIndex],29)=0,"",SUMIFS(T_PlannedOrders[EffectiveQty],T_PlannedOrders[Part Name],$A677,T_PlannedOrders[WeekIndex],29)&amp;" ("&amp;TEXT(SUMPRODUCT(MAX((T_PlannedOrders[Part Name]=$A677)*(T_PlannedOrders[WeekIndex]=29)*(T_PlannedOrders[EffectiveQty]&gt;0)*T_PlannedOrders[Order_Month])),"m月")&amp;"発注)")</f>
        <v/>
      </c>
      <c r="AG755">
        <f>IF(SUMIFS(T_PlannedOrders[EffectiveQty],T_PlannedOrders[Part Name],$A677,T_PlannedOrders[WeekIndex],30)=0,"",SUMIFS(T_PlannedOrders[EffectiveQty],T_PlannedOrders[Part Name],$A677,T_PlannedOrders[WeekIndex],30)&amp;" ("&amp;TEXT(SUMPRODUCT(MAX((T_PlannedOrders[Part Name]=$A677)*(T_PlannedOrders[WeekIndex]=30)*(T_PlannedOrders[EffectiveQty]&gt;0)*T_PlannedOrders[Order_Month])),"m月")&amp;"発注)")</f>
        <v/>
      </c>
      <c r="AH755">
        <f>IF(SUMIFS(T_PlannedOrders[EffectiveQty],T_PlannedOrders[Part Name],$A677,T_PlannedOrders[WeekIndex],31)=0,"",SUMIFS(T_PlannedOrders[EffectiveQty],T_PlannedOrders[Part Name],$A677,T_PlannedOrders[WeekIndex],31)&amp;" ("&amp;TEXT(SUMPRODUCT(MAX((T_PlannedOrders[Part Name]=$A677)*(T_PlannedOrders[WeekIndex]=31)*(T_PlannedOrders[EffectiveQty]&gt;0)*T_PlannedOrders[Order_Month])),"m月")&amp;"発注)")</f>
        <v/>
      </c>
      <c r="AI755">
        <f>IF(SUMIFS(T_PlannedOrders[EffectiveQty],T_PlannedOrders[Part Name],$A677,T_PlannedOrders[WeekIndex],32)=0,"",SUMIFS(T_PlannedOrders[EffectiveQty],T_PlannedOrders[Part Name],$A677,T_PlannedOrders[WeekIndex],32)&amp;" ("&amp;TEXT(SUMPRODUCT(MAX((T_PlannedOrders[Part Name]=$A677)*(T_PlannedOrders[WeekIndex]=32)*(T_PlannedOrders[EffectiveQty]&gt;0)*T_PlannedOrders[Order_Month])),"m月")&amp;"発注)")</f>
        <v/>
      </c>
      <c r="AJ755">
        <f>IF(SUMIFS(T_PlannedOrders[EffectiveQty],T_PlannedOrders[Part Name],$A677,T_PlannedOrders[WeekIndex],33)=0,"",SUMIFS(T_PlannedOrders[EffectiveQty],T_PlannedOrders[Part Name],$A677,T_PlannedOrders[WeekIndex],33)&amp;" ("&amp;TEXT(SUMPRODUCT(MAX((T_PlannedOrders[Part Name]=$A677)*(T_PlannedOrders[WeekIndex]=33)*(T_PlannedOrders[EffectiveQty]&gt;0)*T_PlannedOrders[Order_Month])),"m月")&amp;"発注)")</f>
        <v/>
      </c>
      <c r="AK755">
        <f>IF(SUMIFS(T_PlannedOrders[EffectiveQty],T_PlannedOrders[Part Name],$A677,T_PlannedOrders[WeekIndex],34)=0,"",SUMIFS(T_PlannedOrders[EffectiveQty],T_PlannedOrders[Part Name],$A677,T_PlannedOrders[WeekIndex],34)&amp;" ("&amp;TEXT(SUMPRODUCT(MAX((T_PlannedOrders[Part Name]=$A677)*(T_PlannedOrders[WeekIndex]=34)*(T_PlannedOrders[EffectiveQty]&gt;0)*T_PlannedOrders[Order_Month])),"m月")&amp;"発注)")</f>
        <v/>
      </c>
      <c r="AL755">
        <f>IF(SUMIFS(T_PlannedOrders[EffectiveQty],T_PlannedOrders[Part Name],$A677,T_PlannedOrders[WeekIndex],35)=0,"",SUMIFS(T_PlannedOrders[EffectiveQty],T_PlannedOrders[Part Name],$A677,T_PlannedOrders[WeekIndex],35)&amp;" ("&amp;TEXT(SUMPRODUCT(MAX((T_PlannedOrders[Part Name]=$A677)*(T_PlannedOrders[WeekIndex]=35)*(T_PlannedOrders[EffectiveQty]&gt;0)*T_PlannedOrders[Order_Month])),"m月")&amp;"発注)")</f>
        <v/>
      </c>
      <c r="AM755">
        <f>IF(SUMIFS(T_PlannedOrders[EffectiveQty],T_PlannedOrders[Part Name],$A677,T_PlannedOrders[WeekIndex],36)=0,"",SUMIFS(T_PlannedOrders[EffectiveQty],T_PlannedOrders[Part Name],$A677,T_PlannedOrders[WeekIndex],36)&amp;" ("&amp;TEXT(SUMPRODUCT(MAX((T_PlannedOrders[Part Name]=$A677)*(T_PlannedOrders[WeekIndex]=36)*(T_PlannedOrders[EffectiveQty]&gt;0)*T_PlannedOrders[Order_Month])),"m月")&amp;"発注)")</f>
        <v/>
      </c>
      <c r="AN755">
        <f>IF(SUMIFS(T_PlannedOrders[EffectiveQty],T_PlannedOrders[Part Name],$A677,T_PlannedOrders[WeekIndex],37)=0,"",SUMIFS(T_PlannedOrders[EffectiveQty],T_PlannedOrders[Part Name],$A677,T_PlannedOrders[WeekIndex],37)&amp;" ("&amp;TEXT(SUMPRODUCT(MAX((T_PlannedOrders[Part Name]=$A677)*(T_PlannedOrders[WeekIndex]=37)*(T_PlannedOrders[EffectiveQty]&gt;0)*T_PlannedOrders[Order_Month])),"m月")&amp;"発注)")</f>
        <v/>
      </c>
      <c r="AO755">
        <f>IF(SUMIFS(T_PlannedOrders[EffectiveQty],T_PlannedOrders[Part Name],$A677,T_PlannedOrders[WeekIndex],38)=0,"",SUMIFS(T_PlannedOrders[EffectiveQty],T_PlannedOrders[Part Name],$A677,T_PlannedOrders[WeekIndex],38)&amp;" ("&amp;TEXT(SUMPRODUCT(MAX((T_PlannedOrders[Part Name]=$A677)*(T_PlannedOrders[WeekIndex]=38)*(T_PlannedOrders[EffectiveQty]&gt;0)*T_PlannedOrders[Order_Month])),"m月")&amp;"発注)")</f>
        <v/>
      </c>
      <c r="AP755">
        <f>IF(SUMIFS(T_PlannedOrders[EffectiveQty],T_PlannedOrders[Part Name],$A677,T_PlannedOrders[WeekIndex],39)=0,"",SUMIFS(T_PlannedOrders[EffectiveQty],T_PlannedOrders[Part Name],$A677,T_PlannedOrders[WeekIndex],39)&amp;" ("&amp;TEXT(SUMPRODUCT(MAX((T_PlannedOrders[Part Name]=$A677)*(T_PlannedOrders[WeekIndex]=39)*(T_PlannedOrders[EffectiveQty]&gt;0)*T_PlannedOrders[Order_Month])),"m月")&amp;"発注)")</f>
        <v/>
      </c>
      <c r="AQ755">
        <f>IF(SUMIFS(T_PlannedOrders[EffectiveQty],T_PlannedOrders[Part Name],$A677,T_PlannedOrders[WeekIndex],40)=0,"",SUMIFS(T_PlannedOrders[EffectiveQty],T_PlannedOrders[Part Name],$A677,T_PlannedOrders[WeekIndex],40)&amp;" ("&amp;TEXT(SUMPRODUCT(MAX((T_PlannedOrders[Part Name]=$A677)*(T_PlannedOrders[WeekIndex]=40)*(T_PlannedOrders[EffectiveQty]&gt;0)*T_PlannedOrders[Order_Month])),"m月")&amp;"発注)")</f>
        <v/>
      </c>
      <c r="AR755">
        <f>IF(SUMIFS(T_PlannedOrders[EffectiveQty],T_PlannedOrders[Part Name],$A677,T_PlannedOrders[WeekIndex],41)=0,"",SUMIFS(T_PlannedOrders[EffectiveQty],T_PlannedOrders[Part Name],$A677,T_PlannedOrders[WeekIndex],41)&amp;" ("&amp;TEXT(SUMPRODUCT(MAX((T_PlannedOrders[Part Name]=$A677)*(T_PlannedOrders[WeekIndex]=41)*(T_PlannedOrders[EffectiveQty]&gt;0)*T_PlannedOrders[Order_Month])),"m月")&amp;"発注)")</f>
        <v/>
      </c>
      <c r="AS755">
        <f>IF(SUMIFS(T_PlannedOrders[EffectiveQty],T_PlannedOrders[Part Name],$A677,T_PlannedOrders[WeekIndex],42)=0,"",SUMIFS(T_PlannedOrders[EffectiveQty],T_PlannedOrders[Part Name],$A677,T_PlannedOrders[WeekIndex],42)&amp;" ("&amp;TEXT(SUMPRODUCT(MAX((T_PlannedOrders[Part Name]=$A677)*(T_PlannedOrders[WeekIndex]=42)*(T_PlannedOrders[EffectiveQty]&gt;0)*T_PlannedOrders[Order_Month])),"m月")&amp;"発注)")</f>
        <v/>
      </c>
      <c r="AT755">
        <f>IF(SUMIFS(T_PlannedOrders[EffectiveQty],T_PlannedOrders[Part Name],$A677,T_PlannedOrders[WeekIndex],43)=0,"",SUMIFS(T_PlannedOrders[EffectiveQty],T_PlannedOrders[Part Name],$A677,T_PlannedOrders[WeekIndex],43)&amp;" ("&amp;TEXT(SUMPRODUCT(MAX((T_PlannedOrders[Part Name]=$A677)*(T_PlannedOrders[WeekIndex]=43)*(T_PlannedOrders[EffectiveQty]&gt;0)*T_PlannedOrders[Order_Month])),"m月")&amp;"発注)")</f>
        <v/>
      </c>
      <c r="AU755">
        <f>IF(SUMIFS(T_PlannedOrders[EffectiveQty],T_PlannedOrders[Part Name],$A677,T_PlannedOrders[WeekIndex],44)=0,"",SUMIFS(T_PlannedOrders[EffectiveQty],T_PlannedOrders[Part Name],$A677,T_PlannedOrders[WeekIndex],44)&amp;" ("&amp;TEXT(SUMPRODUCT(MAX((T_PlannedOrders[Part Name]=$A677)*(T_PlannedOrders[WeekIndex]=44)*(T_PlannedOrders[EffectiveQty]&gt;0)*T_PlannedOrders[Order_Month])),"m月")&amp;"発注)")</f>
        <v/>
      </c>
      <c r="AV755">
        <f>IF(SUMIFS(T_PlannedOrders[EffectiveQty],T_PlannedOrders[Part Name],$A677,T_PlannedOrders[WeekIndex],45)=0,"",SUMIFS(T_PlannedOrders[EffectiveQty],T_PlannedOrders[Part Name],$A677,T_PlannedOrders[WeekIndex],45)&amp;" ("&amp;TEXT(SUMPRODUCT(MAX((T_PlannedOrders[Part Name]=$A677)*(T_PlannedOrders[WeekIndex]=45)*(T_PlannedOrders[EffectiveQty]&gt;0)*T_PlannedOrders[Order_Month])),"m月")&amp;"発注)")</f>
        <v/>
      </c>
      <c r="AW755">
        <f>IF(SUMIFS(T_PlannedOrders[EffectiveQty],T_PlannedOrders[Part Name],$A677,T_PlannedOrders[WeekIndex],46)=0,"",SUMIFS(T_PlannedOrders[EffectiveQty],T_PlannedOrders[Part Name],$A677,T_PlannedOrders[WeekIndex],46)&amp;" ("&amp;TEXT(SUMPRODUCT(MAX((T_PlannedOrders[Part Name]=$A677)*(T_PlannedOrders[WeekIndex]=46)*(T_PlannedOrders[EffectiveQty]&gt;0)*T_PlannedOrders[Order_Month])),"m月")&amp;"発注)")</f>
        <v/>
      </c>
      <c r="AX755">
        <f>IF(SUMIFS(T_PlannedOrders[EffectiveQty],T_PlannedOrders[Part Name],$A677,T_PlannedOrders[WeekIndex],47)=0,"",SUMIFS(T_PlannedOrders[EffectiveQty],T_PlannedOrders[Part Name],$A677,T_PlannedOrders[WeekIndex],47)&amp;" ("&amp;TEXT(SUMPRODUCT(MAX((T_PlannedOrders[Part Name]=$A677)*(T_PlannedOrders[WeekIndex]=47)*(T_PlannedOrders[EffectiveQty]&gt;0)*T_PlannedOrders[Order_Month])),"m月")&amp;"発注)")</f>
        <v/>
      </c>
      <c r="AY755">
        <f>IF(SUMIFS(T_PlannedOrders[EffectiveQty],T_PlannedOrders[Part Name],$A677,T_PlannedOrders[WeekIndex],48)=0,"",SUMIFS(T_PlannedOrders[EffectiveQty],T_PlannedOrders[Part Name],$A677,T_PlannedOrders[WeekIndex],48)&amp;" ("&amp;TEXT(SUMPRODUCT(MAX((T_PlannedOrders[Part Name]=$A677)*(T_PlannedOrders[WeekIndex]=48)*(T_PlannedOrders[EffectiveQty]&gt;0)*T_PlannedOrders[Order_Month])),"m月")&amp;"発注)")</f>
        <v/>
      </c>
      <c r="AZ755">
        <f>IF(SUMIFS(T_PlannedOrders[EffectiveQty],T_PlannedOrders[Part Name],$A677,T_PlannedOrders[WeekIndex],49)=0,"",SUMIFS(T_PlannedOrders[EffectiveQty],T_PlannedOrders[Part Name],$A677,T_PlannedOrders[WeekIndex],49)&amp;" ("&amp;TEXT(SUMPRODUCT(MAX((T_PlannedOrders[Part Name]=$A677)*(T_PlannedOrders[WeekIndex]=49)*(T_PlannedOrders[EffectiveQty]&gt;0)*T_PlannedOrders[Order_Month])),"m月")&amp;"発注)")</f>
        <v/>
      </c>
      <c r="BA755">
        <f>IF(SUMIFS(T_PlannedOrders[EffectiveQty],T_PlannedOrders[Part Name],$A677,T_PlannedOrders[WeekIndex],50)=0,"",SUMIFS(T_PlannedOrders[EffectiveQty],T_PlannedOrders[Part Name],$A677,T_PlannedOrders[WeekIndex],50)&amp;" ("&amp;TEXT(SUMPRODUCT(MAX((T_PlannedOrders[Part Name]=$A677)*(T_PlannedOrders[WeekIndex]=50)*(T_PlannedOrders[EffectiveQty]&gt;0)*T_PlannedOrders[Order_Month])),"m月")&amp;"発注)")</f>
        <v/>
      </c>
      <c r="BB755">
        <f>IF(SUMIFS(T_PlannedOrders[EffectiveQty],T_PlannedOrders[Part Name],$A677,T_PlannedOrders[WeekIndex],51)=0,"",SUMIFS(T_PlannedOrders[EffectiveQty],T_PlannedOrders[Part Name],$A677,T_PlannedOrders[WeekIndex],51)&amp;" ("&amp;TEXT(SUMPRODUCT(MAX((T_PlannedOrders[Part Name]=$A677)*(T_PlannedOrders[WeekIndex]=51)*(T_PlannedOrders[EffectiveQty]&gt;0)*T_PlannedOrders[Order_Month])),"m月")&amp;"発注)")</f>
        <v/>
      </c>
      <c r="BC755">
        <f>IF(SUMIFS(T_PlannedOrders[EffectiveQty],T_PlannedOrders[Part Name],$A677,T_PlannedOrders[WeekIndex],52)=0,"",SUMIFS(T_PlannedOrders[EffectiveQty],T_PlannedOrders[Part Name],$A677,T_PlannedOrders[WeekIndex],52)&amp;" ("&amp;TEXT(SUMPRODUCT(MAX((T_PlannedOrders[Part Name]=$A677)*(T_PlannedOrders[WeekIndex]=52)*(T_PlannedOrders[EffectiveQty]&gt;0)*T_PlannedOrders[Order_Month])),"m月")&amp;"発注)")</f>
        <v/>
      </c>
      <c r="BD755">
        <f>IF(SUMIFS(T_PlannedOrders[EffectiveQty],T_PlannedOrders[Part Name],$A677,T_PlannedOrders[WeekIndex],53)=0,"",SUMIFS(T_PlannedOrders[EffectiveQty],T_PlannedOrders[Part Name],$A677,T_PlannedOrders[WeekIndex],53)&amp;" ("&amp;TEXT(SUMPRODUCT(MAX((T_PlannedOrders[Part Name]=$A677)*(T_PlannedOrders[WeekIndex]=53)*(T_PlannedOrders[EffectiveQty]&gt;0)*T_PlannedOrders[Order_Month])),"m月")&amp;"発注)")</f>
        <v/>
      </c>
      <c r="BE755">
        <f>IF(SUMIFS(T_PlannedOrders[EffectiveQty],T_PlannedOrders[Part Name],$A677,T_PlannedOrders[WeekIndex],54)=0,"",SUMIFS(T_PlannedOrders[EffectiveQty],T_PlannedOrders[Part Name],$A677,T_PlannedOrders[WeekIndex],54)&amp;" ("&amp;TEXT(SUMPRODUCT(MAX((T_PlannedOrders[Part Name]=$A677)*(T_PlannedOrders[WeekIndex]=54)*(T_PlannedOrders[EffectiveQty]&gt;0)*T_PlannedOrders[Order_Month])),"m月")&amp;"発注)")</f>
        <v/>
      </c>
      <c r="BF755">
        <f>IF(SUMIFS(T_PlannedOrders[EffectiveQty],T_PlannedOrders[Part Name],$A677,T_PlannedOrders[WeekIndex],55)=0,"",SUMIFS(T_PlannedOrders[EffectiveQty],T_PlannedOrders[Part Name],$A677,T_PlannedOrders[WeekIndex],55)&amp;" ("&amp;TEXT(SUMPRODUCT(MAX((T_PlannedOrders[Part Name]=$A677)*(T_PlannedOrders[WeekIndex]=55)*(T_PlannedOrders[EffectiveQty]&gt;0)*T_PlannedOrders[Order_Month])),"m月")&amp;"発注)")</f>
        <v/>
      </c>
      <c r="BG755">
        <f>IF(SUMIFS(T_PlannedOrders[EffectiveQty],T_PlannedOrders[Part Name],$A677,T_PlannedOrders[WeekIndex],56)=0,"",SUMIFS(T_PlannedOrders[EffectiveQty],T_PlannedOrders[Part Name],$A677,T_PlannedOrders[WeekIndex],56)&amp;" ("&amp;TEXT(SUMPRODUCT(MAX((T_PlannedOrders[Part Name]=$A677)*(T_PlannedOrders[WeekIndex]=56)*(T_PlannedOrders[EffectiveQty]&gt;0)*T_PlannedOrders[Order_Month])),"m月")&amp;"発注)")</f>
        <v/>
      </c>
      <c r="BH755">
        <f>IF(SUMIFS(T_PlannedOrders[EffectiveQty],T_PlannedOrders[Part Name],$A677,T_PlannedOrders[WeekIndex],57)=0,"",SUMIFS(T_PlannedOrders[EffectiveQty],T_PlannedOrders[Part Name],$A677,T_PlannedOrders[WeekIndex],57)&amp;" ("&amp;TEXT(SUMPRODUCT(MAX((T_PlannedOrders[Part Name]=$A677)*(T_PlannedOrders[WeekIndex]=57)*(T_PlannedOrders[EffectiveQty]&gt;0)*T_PlannedOrders[Order_Month])),"m月")&amp;"発注)")</f>
        <v/>
      </c>
      <c r="BI755">
        <f>IF(SUMIFS(T_PlannedOrders[EffectiveQty],T_PlannedOrders[Part Name],$A677,T_PlannedOrders[WeekIndex],58)=0,"",SUMIFS(T_PlannedOrders[EffectiveQty],T_PlannedOrders[Part Name],$A677,T_PlannedOrders[WeekIndex],58)&amp;" ("&amp;TEXT(SUMPRODUCT(MAX((T_PlannedOrders[Part Name]=$A677)*(T_PlannedOrders[WeekIndex]=58)*(T_PlannedOrders[EffectiveQty]&gt;0)*T_PlannedOrders[Order_Month])),"m月")&amp;"発注)")</f>
        <v/>
      </c>
      <c r="BJ755">
        <f>IF(SUMIFS(T_PlannedOrders[EffectiveQty],T_PlannedOrders[Part Name],$A677,T_PlannedOrders[WeekIndex],59)=0,"",SUMIFS(T_PlannedOrders[EffectiveQty],T_PlannedOrders[Part Name],$A677,T_PlannedOrders[WeekIndex],59)&amp;" ("&amp;TEXT(SUMPRODUCT(MAX((T_PlannedOrders[Part Name]=$A677)*(T_PlannedOrders[WeekIndex]=59)*(T_PlannedOrders[EffectiveQty]&gt;0)*T_PlannedOrders[Order_Month])),"m月")&amp;"発注)")</f>
        <v/>
      </c>
      <c r="BK755">
        <f>IF(SUMIFS(T_PlannedOrders[EffectiveQty],T_PlannedOrders[Part Name],$A677,T_PlannedOrders[WeekIndex],60)=0,"",SUMIFS(T_PlannedOrders[EffectiveQty],T_PlannedOrders[Part Name],$A677,T_PlannedOrders[WeekIndex],60)&amp;" ("&amp;TEXT(SUMPRODUCT(MAX((T_PlannedOrders[Part Name]=$A677)*(T_PlannedOrders[WeekIndex]=60)*(T_PlannedOrders[EffectiveQty]&gt;0)*T_PlannedOrders[Order_Month])),"m月")&amp;"発注)")</f>
        <v/>
      </c>
      <c r="BL755">
        <f>IF(SUMIFS(T_PlannedOrders[EffectiveQty],T_PlannedOrders[Part Name],$A677,T_PlannedOrders[WeekIndex],61)=0,"",SUMIFS(T_PlannedOrders[EffectiveQty],T_PlannedOrders[Part Name],$A677,T_PlannedOrders[WeekIndex],61)&amp;" ("&amp;TEXT(SUMPRODUCT(MAX((T_PlannedOrders[Part Name]=$A677)*(T_PlannedOrders[WeekIndex]=61)*(T_PlannedOrders[EffectiveQty]&gt;0)*T_PlannedOrders[Order_Month])),"m月")&amp;"発注)")</f>
        <v/>
      </c>
      <c r="BM755">
        <f>IF(SUMIFS(T_PlannedOrders[EffectiveQty],T_PlannedOrders[Part Name],$A677,T_PlannedOrders[WeekIndex],62)=0,"",SUMIFS(T_PlannedOrders[EffectiveQty],T_PlannedOrders[Part Name],$A677,T_PlannedOrders[WeekIndex],62)&amp;" ("&amp;TEXT(SUMPRODUCT(MAX((T_PlannedOrders[Part Name]=$A677)*(T_PlannedOrders[WeekIndex]=62)*(T_PlannedOrders[EffectiveQty]&gt;0)*T_PlannedOrders[Order_Month])),"m月")&amp;"発注)")</f>
        <v/>
      </c>
      <c r="BN755">
        <f>IF(SUMIFS(T_PlannedOrders[EffectiveQty],T_PlannedOrders[Part Name],$A677,T_PlannedOrders[WeekIndex],63)=0,"",SUMIFS(T_PlannedOrders[EffectiveQty],T_PlannedOrders[Part Name],$A677,T_PlannedOrders[WeekIndex],63)&amp;" ("&amp;TEXT(SUMPRODUCT(MAX((T_PlannedOrders[Part Name]=$A677)*(T_PlannedOrders[WeekIndex]=63)*(T_PlannedOrders[EffectiveQty]&gt;0)*T_PlannedOrders[Order_Month])),"m月")&amp;"発注)")</f>
        <v/>
      </c>
      <c r="BO755">
        <f>IF(SUMIFS(T_PlannedOrders[EffectiveQty],T_PlannedOrders[Part Name],$A677,T_PlannedOrders[WeekIndex],64)=0,"",SUMIFS(T_PlannedOrders[EffectiveQty],T_PlannedOrders[Part Name],$A677,T_PlannedOrders[WeekIndex],64)&amp;" ("&amp;TEXT(SUMPRODUCT(MAX((T_PlannedOrders[Part Name]=$A677)*(T_PlannedOrders[WeekIndex]=64)*(T_PlannedOrders[EffectiveQty]&gt;0)*T_PlannedOrders[Order_Month])),"m月")&amp;"発注)")</f>
        <v/>
      </c>
      <c r="BP755">
        <f>IF(SUMIFS(T_PlannedOrders[EffectiveQty],T_PlannedOrders[Part Name],$A677,T_PlannedOrders[WeekIndex],65)=0,"",SUMIFS(T_PlannedOrders[EffectiveQty],T_PlannedOrders[Part Name],$A677,T_PlannedOrders[WeekIndex],65)&amp;" ("&amp;TEXT(SUMPRODUCT(MAX((T_PlannedOrders[Part Name]=$A677)*(T_PlannedOrders[WeekIndex]=65)*(T_PlannedOrders[EffectiveQty]&gt;0)*T_PlannedOrders[Order_Month])),"m月")&amp;"発注)")</f>
        <v/>
      </c>
      <c r="BQ755">
        <f>IF(SUMIFS(T_PlannedOrders[EffectiveQty],T_PlannedOrders[Part Name],$A677,T_PlannedOrders[WeekIndex],66)=0,"",SUMIFS(T_PlannedOrders[EffectiveQty],T_PlannedOrders[Part Name],$A677,T_PlannedOrders[WeekIndex],66)&amp;" ("&amp;TEXT(SUMPRODUCT(MAX((T_PlannedOrders[Part Name]=$A677)*(T_PlannedOrders[WeekIndex]=66)*(T_PlannedOrders[EffectiveQty]&gt;0)*T_PlannedOrders[Order_Month])),"m月")&amp;"発注)")</f>
        <v/>
      </c>
      <c r="BR755">
        <f>IF(SUMIFS(T_PlannedOrders[EffectiveQty],T_PlannedOrders[Part Name],$A677,T_PlannedOrders[WeekIndex],67)=0,"",SUMIFS(T_PlannedOrders[EffectiveQty],T_PlannedOrders[Part Name],$A677,T_PlannedOrders[WeekIndex],67)&amp;" ("&amp;TEXT(SUMPRODUCT(MAX((T_PlannedOrders[Part Name]=$A677)*(T_PlannedOrders[WeekIndex]=67)*(T_PlannedOrders[EffectiveQty]&gt;0)*T_PlannedOrders[Order_Month])),"m月")&amp;"発注)")</f>
        <v/>
      </c>
      <c r="BS755">
        <f>IF(SUMIFS(T_PlannedOrders[EffectiveQty],T_PlannedOrders[Part Name],$A677,T_PlannedOrders[WeekIndex],68)=0,"",SUMIFS(T_PlannedOrders[EffectiveQty],T_PlannedOrders[Part Name],$A677,T_PlannedOrders[WeekIndex],68)&amp;" ("&amp;TEXT(SUMPRODUCT(MAX((T_PlannedOrders[Part Name]=$A677)*(T_PlannedOrders[WeekIndex]=68)*(T_PlannedOrders[EffectiveQty]&gt;0)*T_PlannedOrders[Order_Month])),"m月")&amp;"発注)")</f>
        <v/>
      </c>
      <c r="BT755">
        <f>IF(SUMIFS(T_PlannedOrders[EffectiveQty],T_PlannedOrders[Part Name],$A677,T_PlannedOrders[WeekIndex],69)=0,"",SUMIFS(T_PlannedOrders[EffectiveQty],T_PlannedOrders[Part Name],$A677,T_PlannedOrders[WeekIndex],69)&amp;" ("&amp;TEXT(SUMPRODUCT(MAX((T_PlannedOrders[Part Name]=$A677)*(T_PlannedOrders[WeekIndex]=69)*(T_PlannedOrders[EffectiveQty]&gt;0)*T_PlannedOrders[Order_Month])),"m月")&amp;"発注)")</f>
        <v/>
      </c>
      <c r="BU755">
        <f>IF(SUMIFS(T_PlannedOrders[EffectiveQty],T_PlannedOrders[Part Name],$A677,T_PlannedOrders[WeekIndex],70)=0,"",SUMIFS(T_PlannedOrders[EffectiveQty],T_PlannedOrders[Part Name],$A677,T_PlannedOrders[WeekIndex],70)&amp;" ("&amp;TEXT(SUMPRODUCT(MAX((T_PlannedOrders[Part Name]=$A677)*(T_PlannedOrders[WeekIndex]=70)*(T_PlannedOrders[EffectiveQty]&gt;0)*T_PlannedOrders[Order_Month])),"m月")&amp;"発注)")</f>
        <v/>
      </c>
      <c r="BV755">
        <f>IF(SUMIFS(T_PlannedOrders[EffectiveQty],T_PlannedOrders[Part Name],$A677,T_PlannedOrders[WeekIndex],71)=0,"",SUMIFS(T_PlannedOrders[EffectiveQty],T_PlannedOrders[Part Name],$A677,T_PlannedOrders[WeekIndex],71)&amp;" ("&amp;TEXT(SUMPRODUCT(MAX((T_PlannedOrders[Part Name]=$A677)*(T_PlannedOrders[WeekIndex]=71)*(T_PlannedOrders[EffectiveQty]&gt;0)*T_PlannedOrders[Order_Month])),"m月")&amp;"発注)")</f>
        <v/>
      </c>
      <c r="BW755">
        <f>IF(SUMIFS(T_PlannedOrders[EffectiveQty],T_PlannedOrders[Part Name],$A677,T_PlannedOrders[WeekIndex],72)=0,"",SUMIFS(T_PlannedOrders[EffectiveQty],T_PlannedOrders[Part Name],$A677,T_PlannedOrders[WeekIndex],72)&amp;" ("&amp;TEXT(SUMPRODUCT(MAX((T_PlannedOrders[Part Name]=$A677)*(T_PlannedOrders[WeekIndex]=72)*(T_PlannedOrders[EffectiveQty]&gt;0)*T_PlannedOrders[Order_Month])),"m月")&amp;"発注)")</f>
        <v/>
      </c>
      <c r="BX755">
        <f>IF(SUMIFS(T_PlannedOrders[EffectiveQty],T_PlannedOrders[Part Name],$A677,T_PlannedOrders[WeekIndex],73)=0,"",SUMIFS(T_PlannedOrders[EffectiveQty],T_PlannedOrders[Part Name],$A677,T_PlannedOrders[WeekIndex],73)&amp;" ("&amp;TEXT(SUMPRODUCT(MAX((T_PlannedOrders[Part Name]=$A677)*(T_PlannedOrders[WeekIndex]=73)*(T_PlannedOrders[EffectiveQty]&gt;0)*T_PlannedOrders[Order_Month])),"m月")&amp;"発注)")</f>
        <v/>
      </c>
      <c r="BY755">
        <f>IF(SUMIFS(T_PlannedOrders[EffectiveQty],T_PlannedOrders[Part Name],$A677,T_PlannedOrders[WeekIndex],74)=0,"",SUMIFS(T_PlannedOrders[EffectiveQty],T_PlannedOrders[Part Name],$A677,T_PlannedOrders[WeekIndex],74)&amp;" ("&amp;TEXT(SUMPRODUCT(MAX((T_PlannedOrders[Part Name]=$A677)*(T_PlannedOrders[WeekIndex]=74)*(T_PlannedOrders[EffectiveQty]&gt;0)*T_PlannedOrders[Order_Month])),"m月")&amp;"発注)")</f>
        <v/>
      </c>
      <c r="BZ755">
        <f>IF(SUMIFS(T_PlannedOrders[EffectiveQty],T_PlannedOrders[Part Name],$A677,T_PlannedOrders[WeekIndex],75)=0,"",SUMIFS(T_PlannedOrders[EffectiveQty],T_PlannedOrders[Part Name],$A677,T_PlannedOrders[WeekIndex],75)&amp;" ("&amp;TEXT(SUMPRODUCT(MAX((T_PlannedOrders[Part Name]=$A677)*(T_PlannedOrders[WeekIndex]=75)*(T_PlannedOrders[EffectiveQty]&gt;0)*T_PlannedOrders[Order_Month])),"m月")&amp;"発注)")</f>
        <v/>
      </c>
      <c r="CA755">
        <f>IF(SUMIFS(T_PlannedOrders[EffectiveQty],T_PlannedOrders[Part Name],$A677,T_PlannedOrders[WeekIndex],76)=0,"",SUMIFS(T_PlannedOrders[EffectiveQty],T_PlannedOrders[Part Name],$A677,T_PlannedOrders[WeekIndex],76)&amp;" ("&amp;TEXT(SUMPRODUCT(MAX((T_PlannedOrders[Part Name]=$A677)*(T_PlannedOrders[WeekIndex]=76)*(T_PlannedOrders[EffectiveQty]&gt;0)*T_PlannedOrders[Order_Month])),"m月")&amp;"発注)")</f>
        <v/>
      </c>
      <c r="CB755">
        <f>IF(SUMIFS(T_PlannedOrders[EffectiveQty],T_PlannedOrders[Part Name],$A677,T_PlannedOrders[WeekIndex],77)=0,"",SUMIFS(T_PlannedOrders[EffectiveQty],T_PlannedOrders[Part Name],$A677,T_PlannedOrders[WeekIndex],77)&amp;" ("&amp;TEXT(SUMPRODUCT(MAX((T_PlannedOrders[Part Name]=$A677)*(T_PlannedOrders[WeekIndex]=77)*(T_PlannedOrders[EffectiveQty]&gt;0)*T_PlannedOrders[Order_Month])),"m月")&amp;"発注)")</f>
        <v/>
      </c>
      <c r="CC755">
        <f>IF(SUMIFS(T_PlannedOrders[EffectiveQty],T_PlannedOrders[Part Name],$A677,T_PlannedOrders[WeekIndex],78)=0,"",SUMIFS(T_PlannedOrders[EffectiveQty],T_PlannedOrders[Part Name],$A677,T_PlannedOrders[WeekIndex],78)&amp;" ("&amp;TEXT(SUMPRODUCT(MAX((T_PlannedOrders[Part Name]=$A677)*(T_PlannedOrders[WeekIndex]=78)*(T_PlannedOrders[EffectiveQty]&gt;0)*T_PlannedOrders[Order_Month])),"m月")&amp;"発注)")</f>
        <v/>
      </c>
      <c r="CD755">
        <f>IF(SUMIFS(T_PlannedOrders[EffectiveQty],T_PlannedOrders[Part Name],$A677,T_PlannedOrders[WeekIndex],79)=0,"",SUMIFS(T_PlannedOrders[EffectiveQty],T_PlannedOrders[Part Name],$A677,T_PlannedOrders[WeekIndex],79)&amp;" ("&amp;TEXT(SUMPRODUCT(MAX((T_PlannedOrders[Part Name]=$A677)*(T_PlannedOrders[WeekIndex]=79)*(T_PlannedOrders[EffectiveQty]&gt;0)*T_PlannedOrders[Order_Month])),"m月")&amp;"発注)")</f>
        <v/>
      </c>
      <c r="CE755">
        <f>IF(SUMIFS(T_PlannedOrders[EffectiveQty],T_PlannedOrders[Part Name],$A677,T_PlannedOrders[WeekIndex],80)=0,"",SUMIFS(T_PlannedOrders[EffectiveQty],T_PlannedOrders[Part Name],$A677,T_PlannedOrders[WeekIndex],80)&amp;" ("&amp;TEXT(SUMPRODUCT(MAX((T_PlannedOrders[Part Name]=$A677)*(T_PlannedOrders[WeekIndex]=80)*(T_PlannedOrders[EffectiveQty]&gt;0)*T_PlannedOrders[Order_Month])),"m月")&amp;"発注)")</f>
        <v/>
      </c>
      <c r="CF755">
        <f>IF(SUMIFS(T_PlannedOrders[EffectiveQty],T_PlannedOrders[Part Name],$A677,T_PlannedOrders[WeekIndex],81)=0,"",SUMIFS(T_PlannedOrders[EffectiveQty],T_PlannedOrders[Part Name],$A677,T_PlannedOrders[WeekIndex],81)&amp;" ("&amp;TEXT(SUMPRODUCT(MAX((T_PlannedOrders[Part Name]=$A677)*(T_PlannedOrders[WeekIndex]=81)*(T_PlannedOrders[EffectiveQty]&gt;0)*T_PlannedOrders[Order_Month])),"m月")&amp;"発注)")</f>
        <v/>
      </c>
      <c r="CG755">
        <f>IF(SUMIFS(T_PlannedOrders[EffectiveQty],T_PlannedOrders[Part Name],$A677,T_PlannedOrders[WeekIndex],82)=0,"",SUMIFS(T_PlannedOrders[EffectiveQty],T_PlannedOrders[Part Name],$A677,T_PlannedOrders[WeekIndex],82)&amp;" ("&amp;TEXT(SUMPRODUCT(MAX((T_PlannedOrders[Part Name]=$A677)*(T_PlannedOrders[WeekIndex]=82)*(T_PlannedOrders[EffectiveQty]&gt;0)*T_PlannedOrders[Order_Month])),"m月")&amp;"発注)")</f>
        <v/>
      </c>
      <c r="CH755">
        <f>IF(SUMIFS(T_PlannedOrders[EffectiveQty],T_PlannedOrders[Part Name],$A677,T_PlannedOrders[WeekIndex],83)=0,"",SUMIFS(T_PlannedOrders[EffectiveQty],T_PlannedOrders[Part Name],$A677,T_PlannedOrders[WeekIndex],83)&amp;" ("&amp;TEXT(SUMPRODUCT(MAX((T_PlannedOrders[Part Name]=$A677)*(T_PlannedOrders[WeekIndex]=83)*(T_PlannedOrders[EffectiveQty]&gt;0)*T_PlannedOrders[Order_Month])),"m月")&amp;"発注)")</f>
        <v/>
      </c>
      <c r="CI755">
        <f>IF(SUMIFS(T_PlannedOrders[EffectiveQty],T_PlannedOrders[Part Name],$A677,T_PlannedOrders[WeekIndex],84)=0,"",SUMIFS(T_PlannedOrders[EffectiveQty],T_PlannedOrders[Part Name],$A677,T_PlannedOrders[WeekIndex],84)&amp;" ("&amp;TEXT(SUMPRODUCT(MAX((T_PlannedOrders[Part Name]=$A677)*(T_PlannedOrders[WeekIndex]=84)*(T_PlannedOrders[EffectiveQty]&gt;0)*T_PlannedOrders[Order_Month])),"m月")&amp;"発注)")</f>
        <v/>
      </c>
      <c r="CJ755">
        <f>IF(SUMIFS(T_PlannedOrders[EffectiveQty],T_PlannedOrders[Part Name],$A677,T_PlannedOrders[WeekIndex],85)=0,"",SUMIFS(T_PlannedOrders[EffectiveQty],T_PlannedOrders[Part Name],$A677,T_PlannedOrders[WeekIndex],85)&amp;" ("&amp;TEXT(SUMPRODUCT(MAX((T_PlannedOrders[Part Name]=$A677)*(T_PlannedOrders[WeekIndex]=85)*(T_PlannedOrders[EffectiveQty]&gt;0)*T_PlannedOrders[Order_Month])),"m月")&amp;"発注)")</f>
        <v/>
      </c>
      <c r="CK755">
        <f>IF(SUMIFS(T_PlannedOrders[EffectiveQty],T_PlannedOrders[Part Name],$A677,T_PlannedOrders[WeekIndex],86)=0,"",SUMIFS(T_PlannedOrders[EffectiveQty],T_PlannedOrders[Part Name],$A677,T_PlannedOrders[WeekIndex],86)&amp;" ("&amp;TEXT(SUMPRODUCT(MAX((T_PlannedOrders[Part Name]=$A677)*(T_PlannedOrders[WeekIndex]=86)*(T_PlannedOrders[EffectiveQty]&gt;0)*T_PlannedOrders[Order_Month])),"m月")&amp;"発注)")</f>
        <v/>
      </c>
      <c r="CL755">
        <f>IF(SUMIFS(T_PlannedOrders[EffectiveQty],T_PlannedOrders[Part Name],$A677,T_PlannedOrders[WeekIndex],87)=0,"",SUMIFS(T_PlannedOrders[EffectiveQty],T_PlannedOrders[Part Name],$A677,T_PlannedOrders[WeekIndex],87)&amp;" ("&amp;TEXT(SUMPRODUCT(MAX((T_PlannedOrders[Part Name]=$A677)*(T_PlannedOrders[WeekIndex]=87)*(T_PlannedOrders[EffectiveQty]&gt;0)*T_PlannedOrders[Order_Month])),"m月")&amp;"発注)")</f>
        <v/>
      </c>
      <c r="CM755">
        <f>IF(SUMIFS(T_PlannedOrders[EffectiveQty],T_PlannedOrders[Part Name],$A677,T_PlannedOrders[WeekIndex],88)=0,"",SUMIFS(T_PlannedOrders[EffectiveQty],T_PlannedOrders[Part Name],$A677,T_PlannedOrders[WeekIndex],88)&amp;" ("&amp;TEXT(SUMPRODUCT(MAX((T_PlannedOrders[Part Name]=$A677)*(T_PlannedOrders[WeekIndex]=88)*(T_PlannedOrders[EffectiveQty]&gt;0)*T_PlannedOrders[Order_Month])),"m月")&amp;"発注)")</f>
        <v/>
      </c>
      <c r="CN755">
        <f>IF(SUMIFS(T_PlannedOrders[EffectiveQty],T_PlannedOrders[Part Name],$A677,T_PlannedOrders[WeekIndex],89)=0,"",SUMIFS(T_PlannedOrders[EffectiveQty],T_PlannedOrders[Part Name],$A677,T_PlannedOrders[WeekIndex],89)&amp;" ("&amp;TEXT(SUMPRODUCT(MAX((T_PlannedOrders[Part Name]=$A677)*(T_PlannedOrders[WeekIndex]=89)*(T_PlannedOrders[EffectiveQty]&gt;0)*T_PlannedOrders[Order_Month])),"m月")&amp;"発注)")</f>
        <v/>
      </c>
      <c r="CO755">
        <f>IF(SUMIFS(T_PlannedOrders[EffectiveQty],T_PlannedOrders[Part Name],$A677,T_PlannedOrders[WeekIndex],90)=0,"",SUMIFS(T_PlannedOrders[EffectiveQty],T_PlannedOrders[Part Name],$A677,T_PlannedOrders[WeekIndex],90)&amp;" ("&amp;TEXT(SUMPRODUCT(MAX((T_PlannedOrders[Part Name]=$A677)*(T_PlannedOrders[WeekIndex]=90)*(T_PlannedOrders[EffectiveQty]&gt;0)*T_PlannedOrders[Order_Month])),"m月")&amp;"発注)")</f>
        <v/>
      </c>
      <c r="CP755">
        <f>IF(SUMIFS(T_PlannedOrders[EffectiveQty],T_PlannedOrders[Part Name],$A677,T_PlannedOrders[WeekIndex],91)=0,"",SUMIFS(T_PlannedOrders[EffectiveQty],T_PlannedOrders[Part Name],$A677,T_PlannedOrders[WeekIndex],91)&amp;" ("&amp;TEXT(SUMPRODUCT(MAX((T_PlannedOrders[Part Name]=$A677)*(T_PlannedOrders[WeekIndex]=91)*(T_PlannedOrders[EffectiveQty]&gt;0)*T_PlannedOrders[Order_Month])),"m月")&amp;"発注)")</f>
        <v/>
      </c>
      <c r="CQ755">
        <f>IF(SUMIFS(T_PlannedOrders[EffectiveQty],T_PlannedOrders[Part Name],$A677,T_PlannedOrders[WeekIndex],92)=0,"",SUMIFS(T_PlannedOrders[EffectiveQty],T_PlannedOrders[Part Name],$A677,T_PlannedOrders[WeekIndex],92)&amp;" ("&amp;TEXT(SUMPRODUCT(MAX((T_PlannedOrders[Part Name]=$A677)*(T_PlannedOrders[WeekIndex]=92)*(T_PlannedOrders[EffectiveQty]&gt;0)*T_PlannedOrders[Order_Month])),"m月")&amp;"発注)")</f>
        <v/>
      </c>
      <c r="CR755">
        <f>IF(SUMIFS(T_PlannedOrders[EffectiveQty],T_PlannedOrders[Part Name],$A677,T_PlannedOrders[WeekIndex],93)=0,"",SUMIFS(T_PlannedOrders[EffectiveQty],T_PlannedOrders[Part Name],$A677,T_PlannedOrders[WeekIndex],93)&amp;" ("&amp;TEXT(SUMPRODUCT(MAX((T_PlannedOrders[Part Name]=$A677)*(T_PlannedOrders[WeekIndex]=93)*(T_PlannedOrders[EffectiveQty]&gt;0)*T_PlannedOrders[Order_Month])),"m月")&amp;"発注)")</f>
        <v/>
      </c>
      <c r="CS755">
        <f>IF(SUMIFS(T_PlannedOrders[EffectiveQty],T_PlannedOrders[Part Name],$A677,T_PlannedOrders[WeekIndex],94)=0,"",SUMIFS(T_PlannedOrders[EffectiveQty],T_PlannedOrders[Part Name],$A677,T_PlannedOrders[WeekIndex],94)&amp;" ("&amp;TEXT(SUMPRODUCT(MAX((T_PlannedOrders[Part Name]=$A677)*(T_PlannedOrders[WeekIndex]=94)*(T_PlannedOrders[EffectiveQty]&gt;0)*T_PlannedOrders[Order_Month])),"m月")&amp;"発注)")</f>
        <v/>
      </c>
      <c r="CT755">
        <f>IF(SUMIFS(T_PlannedOrders[EffectiveQty],T_PlannedOrders[Part Name],$A677,T_PlannedOrders[WeekIndex],95)=0,"",SUMIFS(T_PlannedOrders[EffectiveQty],T_PlannedOrders[Part Name],$A677,T_PlannedOrders[WeekIndex],95)&amp;" ("&amp;TEXT(SUMPRODUCT(MAX((T_PlannedOrders[Part Name]=$A677)*(T_PlannedOrders[WeekIndex]=95)*(T_PlannedOrders[EffectiveQty]&gt;0)*T_PlannedOrders[Order_Month])),"m月")&amp;"発注)")</f>
        <v/>
      </c>
      <c r="CU755">
        <f>IF(SUMIFS(T_PlannedOrders[EffectiveQty],T_PlannedOrders[Part Name],$A677,T_PlannedOrders[WeekIndex],96)=0,"",SUMIFS(T_PlannedOrders[EffectiveQty],T_PlannedOrders[Part Name],$A677,T_PlannedOrders[WeekIndex],96)&amp;" ("&amp;TEXT(SUMPRODUCT(MAX((T_PlannedOrders[Part Name]=$A677)*(T_PlannedOrders[WeekIndex]=96)*(T_PlannedOrders[EffectiveQty]&gt;0)*T_PlannedOrders[Order_Month])),"m月")&amp;"発注)")</f>
        <v/>
      </c>
      <c r="CV755">
        <f>IF(SUMIFS(T_PlannedOrders[EffectiveQty],T_PlannedOrders[Part Name],$A677,T_PlannedOrders[WeekIndex],97)=0,"",SUMIFS(T_PlannedOrders[EffectiveQty],T_PlannedOrders[Part Name],$A677,T_PlannedOrders[WeekIndex],97)&amp;" ("&amp;TEXT(SUMPRODUCT(MAX((T_PlannedOrders[Part Name]=$A677)*(T_PlannedOrders[WeekIndex]=97)*(T_PlannedOrders[EffectiveQty]&gt;0)*T_PlannedOrders[Order_Month])),"m月")&amp;"発注)")</f>
        <v/>
      </c>
      <c r="CW755">
        <f>IF(SUMIFS(T_PlannedOrders[EffectiveQty],T_PlannedOrders[Part Name],$A677,T_PlannedOrders[WeekIndex],98)=0,"",SUMIFS(T_PlannedOrders[EffectiveQty],T_PlannedOrders[Part Name],$A677,T_PlannedOrders[WeekIndex],98)&amp;" ("&amp;TEXT(SUMPRODUCT(MAX((T_PlannedOrders[Part Name]=$A677)*(T_PlannedOrders[WeekIndex]=98)*(T_PlannedOrders[EffectiveQty]&gt;0)*T_PlannedOrders[Order_Month])),"m月")&amp;"発注)")</f>
        <v/>
      </c>
      <c r="CX755">
        <f>IF(SUMIFS(T_PlannedOrders[EffectiveQty],T_PlannedOrders[Part Name],$A677,T_PlannedOrders[WeekIndex],99)=0,"",SUMIFS(T_PlannedOrders[EffectiveQty],T_PlannedOrders[Part Name],$A677,T_PlannedOrders[WeekIndex],99)&amp;" ("&amp;TEXT(SUMPRODUCT(MAX((T_PlannedOrders[Part Name]=$A677)*(T_PlannedOrders[WeekIndex]=99)*(T_PlannedOrders[EffectiveQty]&gt;0)*T_PlannedOrders[Order_Month])),"m月")&amp;"発注)")</f>
        <v/>
      </c>
      <c r="CY755">
        <f>IF(SUMIFS(T_PlannedOrders[EffectiveQty],T_PlannedOrders[Part Name],$A677,T_PlannedOrders[WeekIndex],100)=0,"",SUMIFS(T_PlannedOrders[EffectiveQty],T_PlannedOrders[Part Name],$A677,T_PlannedOrders[WeekIndex],100)&amp;" ("&amp;TEXT(SUMPRODUCT(MAX((T_PlannedOrders[Part Name]=$A677)*(T_PlannedOrders[WeekIndex]=100)*(T_PlannedOrders[EffectiveQty]&gt;0)*T_PlannedOrders[Order_Month])),"m月")&amp;"発注)")</f>
        <v/>
      </c>
      <c r="CZ755">
        <f>IF(SUMIFS(T_PlannedOrders[EffectiveQty],T_PlannedOrders[Part Name],$A677,T_PlannedOrders[WeekIndex],101)=0,"",SUMIFS(T_PlannedOrders[EffectiveQty],T_PlannedOrders[Part Name],$A677,T_PlannedOrders[WeekIndex],101)&amp;" ("&amp;TEXT(SUMPRODUCT(MAX((T_PlannedOrders[Part Name]=$A677)*(T_PlannedOrders[WeekIndex]=101)*(T_PlannedOrders[EffectiveQty]&gt;0)*T_PlannedOrders[Order_Month])),"m月")&amp;"発注)")</f>
        <v/>
      </c>
      <c r="DA755">
        <f>IF(SUMIFS(T_PlannedOrders[EffectiveQty],T_PlannedOrders[Part Name],$A677,T_PlannedOrders[WeekIndex],102)=0,"",SUMIFS(T_PlannedOrders[EffectiveQty],T_PlannedOrders[Part Name],$A677,T_PlannedOrders[WeekIndex],102)&amp;" ("&amp;TEXT(SUMPRODUCT(MAX((T_PlannedOrders[Part Name]=$A677)*(T_PlannedOrders[WeekIndex]=102)*(T_PlannedOrders[EffectiveQty]&gt;0)*T_PlannedOrders[Order_Month])),"m月")&amp;"発注)")</f>
        <v/>
      </c>
      <c r="DB755">
        <f>IF(SUMIFS(T_PlannedOrders[EffectiveQty],T_PlannedOrders[Part Name],$A677,T_PlannedOrders[WeekIndex],103)=0,"",SUMIFS(T_PlannedOrders[EffectiveQty],T_PlannedOrders[Part Name],$A677,T_PlannedOrders[WeekIndex],103)&amp;" ("&amp;TEXT(SUMPRODUCT(MAX((T_PlannedOrders[Part Name]=$A677)*(T_PlannedOrders[WeekIndex]=103)*(T_PlannedOrders[EffectiveQty]&gt;0)*T_PlannedOrders[Order_Month])),"m月")&amp;"発注)")</f>
        <v/>
      </c>
      <c r="DC755">
        <f>IF(SUMIFS(T_PlannedOrders[EffectiveQty],T_PlannedOrders[Part Name],$A677,T_PlannedOrders[WeekIndex],104)=0,"",SUMIFS(T_PlannedOrders[EffectiveQty],T_PlannedOrders[Part Name],$A677,T_PlannedOrders[WeekIndex],104)&amp;" ("&amp;TEXT(SUMPRODUCT(MAX((T_PlannedOrders[Part Name]=$A677)*(T_PlannedOrders[WeekIndex]=104)*(T_PlannedOrders[EffectiveQty]&gt;0)*T_PlannedOrders[Order_Month])),"m月")&amp;"発注)")</f>
        <v/>
      </c>
    </row>
    <row r="756">
      <c r="B756" s="5" t="inlineStr">
        <is>
          <t>合計在庫(週末時点,kg)</t>
        </is>
      </c>
      <c r="D756">
        <f>'Grid_Stock'!B33</f>
        <v/>
      </c>
      <c r="E756">
        <f>'Grid_Stock'!C33</f>
        <v/>
      </c>
      <c r="F756">
        <f>'Grid_Stock'!D33</f>
        <v/>
      </c>
      <c r="G756">
        <f>'Grid_Stock'!E33</f>
        <v/>
      </c>
      <c r="H756">
        <f>'Grid_Stock'!F33</f>
        <v/>
      </c>
      <c r="I756">
        <f>'Grid_Stock'!G33</f>
        <v/>
      </c>
      <c r="J756">
        <f>'Grid_Stock'!H33</f>
        <v/>
      </c>
      <c r="K756">
        <f>'Grid_Stock'!I33</f>
        <v/>
      </c>
      <c r="L756">
        <f>'Grid_Stock'!J33</f>
        <v/>
      </c>
      <c r="M756">
        <f>'Grid_Stock'!K33</f>
        <v/>
      </c>
      <c r="N756">
        <f>'Grid_Stock'!L33</f>
        <v/>
      </c>
      <c r="O756">
        <f>'Grid_Stock'!M33</f>
        <v/>
      </c>
      <c r="P756">
        <f>'Grid_Stock'!N33</f>
        <v/>
      </c>
      <c r="Q756">
        <f>'Grid_Stock'!O33</f>
        <v/>
      </c>
      <c r="R756">
        <f>'Grid_Stock'!P33</f>
        <v/>
      </c>
      <c r="S756">
        <f>'Grid_Stock'!Q33</f>
        <v/>
      </c>
      <c r="T756">
        <f>'Grid_Stock'!R33</f>
        <v/>
      </c>
      <c r="U756">
        <f>'Grid_Stock'!S33</f>
        <v/>
      </c>
      <c r="V756">
        <f>'Grid_Stock'!T33</f>
        <v/>
      </c>
      <c r="W756">
        <f>'Grid_Stock'!U33</f>
        <v/>
      </c>
      <c r="X756">
        <f>'Grid_Stock'!V33</f>
        <v/>
      </c>
      <c r="Y756">
        <f>'Grid_Stock'!W33</f>
        <v/>
      </c>
      <c r="Z756">
        <f>'Grid_Stock'!X33</f>
        <v/>
      </c>
      <c r="AA756">
        <f>'Grid_Stock'!Y33</f>
        <v/>
      </c>
      <c r="AB756">
        <f>'Grid_Stock'!Z33</f>
        <v/>
      </c>
      <c r="AC756">
        <f>'Grid_Stock'!AA33</f>
        <v/>
      </c>
      <c r="AD756">
        <f>'Grid_Stock'!AB33</f>
        <v/>
      </c>
      <c r="AE756">
        <f>'Grid_Stock'!AC33</f>
        <v/>
      </c>
      <c r="AF756">
        <f>'Grid_Stock'!AD33</f>
        <v/>
      </c>
      <c r="AG756">
        <f>'Grid_Stock'!AE33</f>
        <v/>
      </c>
      <c r="AH756">
        <f>'Grid_Stock'!AF33</f>
        <v/>
      </c>
      <c r="AI756">
        <f>'Grid_Stock'!AG33</f>
        <v/>
      </c>
      <c r="AJ756">
        <f>'Grid_Stock'!AH33</f>
        <v/>
      </c>
      <c r="AK756">
        <f>'Grid_Stock'!AI33</f>
        <v/>
      </c>
      <c r="AL756">
        <f>'Grid_Stock'!AJ33</f>
        <v/>
      </c>
      <c r="AM756">
        <f>'Grid_Stock'!AK33</f>
        <v/>
      </c>
      <c r="AN756">
        <f>'Grid_Stock'!AL33</f>
        <v/>
      </c>
      <c r="AO756">
        <f>'Grid_Stock'!AM33</f>
        <v/>
      </c>
      <c r="AP756">
        <f>'Grid_Stock'!AN33</f>
        <v/>
      </c>
      <c r="AQ756">
        <f>'Grid_Stock'!AO33</f>
        <v/>
      </c>
      <c r="AR756">
        <f>'Grid_Stock'!AP33</f>
        <v/>
      </c>
      <c r="AS756">
        <f>'Grid_Stock'!AQ33</f>
        <v/>
      </c>
      <c r="AT756">
        <f>'Grid_Stock'!AR33</f>
        <v/>
      </c>
      <c r="AU756">
        <f>'Grid_Stock'!AS33</f>
        <v/>
      </c>
      <c r="AV756">
        <f>'Grid_Stock'!AT33</f>
        <v/>
      </c>
      <c r="AW756">
        <f>'Grid_Stock'!AU33</f>
        <v/>
      </c>
      <c r="AX756">
        <f>'Grid_Stock'!AV33</f>
        <v/>
      </c>
      <c r="AY756">
        <f>'Grid_Stock'!AW33</f>
        <v/>
      </c>
      <c r="AZ756">
        <f>'Grid_Stock'!AX33</f>
        <v/>
      </c>
      <c r="BA756">
        <f>'Grid_Stock'!AY33</f>
        <v/>
      </c>
      <c r="BB756">
        <f>'Grid_Stock'!AZ33</f>
        <v/>
      </c>
      <c r="BC756">
        <f>'Grid_Stock'!BA33</f>
        <v/>
      </c>
      <c r="BD756">
        <f>'Grid_Stock'!BB33</f>
        <v/>
      </c>
      <c r="BE756">
        <f>'Grid_Stock'!BC33</f>
        <v/>
      </c>
      <c r="BF756">
        <f>'Grid_Stock'!BD33</f>
        <v/>
      </c>
      <c r="BG756">
        <f>'Grid_Stock'!BE33</f>
        <v/>
      </c>
      <c r="BH756">
        <f>'Grid_Stock'!BF33</f>
        <v/>
      </c>
      <c r="BI756">
        <f>'Grid_Stock'!BG33</f>
        <v/>
      </c>
      <c r="BJ756">
        <f>'Grid_Stock'!BH33</f>
        <v/>
      </c>
      <c r="BK756">
        <f>'Grid_Stock'!BI33</f>
        <v/>
      </c>
      <c r="BL756">
        <f>'Grid_Stock'!BJ33</f>
        <v/>
      </c>
      <c r="BM756">
        <f>'Grid_Stock'!BK33</f>
        <v/>
      </c>
      <c r="BN756">
        <f>'Grid_Stock'!BL33</f>
        <v/>
      </c>
      <c r="BO756">
        <f>'Grid_Stock'!BM33</f>
        <v/>
      </c>
      <c r="BP756">
        <f>'Grid_Stock'!BN33</f>
        <v/>
      </c>
      <c r="BQ756">
        <f>'Grid_Stock'!BO33</f>
        <v/>
      </c>
      <c r="BR756">
        <f>'Grid_Stock'!BP33</f>
        <v/>
      </c>
      <c r="BS756">
        <f>'Grid_Stock'!BQ33</f>
        <v/>
      </c>
      <c r="BT756">
        <f>'Grid_Stock'!BR33</f>
        <v/>
      </c>
      <c r="BU756">
        <f>'Grid_Stock'!BS33</f>
        <v/>
      </c>
      <c r="BV756">
        <f>'Grid_Stock'!BT33</f>
        <v/>
      </c>
      <c r="BW756">
        <f>'Grid_Stock'!BU33</f>
        <v/>
      </c>
      <c r="BX756">
        <f>'Grid_Stock'!BV33</f>
        <v/>
      </c>
      <c r="BY756">
        <f>'Grid_Stock'!BW33</f>
        <v/>
      </c>
      <c r="BZ756">
        <f>'Grid_Stock'!BX33</f>
        <v/>
      </c>
      <c r="CA756">
        <f>'Grid_Stock'!BY33</f>
        <v/>
      </c>
      <c r="CB756">
        <f>'Grid_Stock'!BZ33</f>
        <v/>
      </c>
      <c r="CC756">
        <f>'Grid_Stock'!CA33</f>
        <v/>
      </c>
      <c r="CD756">
        <f>'Grid_Stock'!CB33</f>
        <v/>
      </c>
      <c r="CE756">
        <f>'Grid_Stock'!CC33</f>
        <v/>
      </c>
      <c r="CF756">
        <f>'Grid_Stock'!CD33</f>
        <v/>
      </c>
      <c r="CG756">
        <f>'Grid_Stock'!CE33</f>
        <v/>
      </c>
      <c r="CH756">
        <f>'Grid_Stock'!CF33</f>
        <v/>
      </c>
      <c r="CI756">
        <f>'Grid_Stock'!CG33</f>
        <v/>
      </c>
      <c r="CJ756">
        <f>'Grid_Stock'!CH33</f>
        <v/>
      </c>
      <c r="CK756">
        <f>'Grid_Stock'!CI33</f>
        <v/>
      </c>
      <c r="CL756">
        <f>'Grid_Stock'!CJ33</f>
        <v/>
      </c>
      <c r="CM756">
        <f>'Grid_Stock'!CK33</f>
        <v/>
      </c>
      <c r="CN756">
        <f>'Grid_Stock'!CL33</f>
        <v/>
      </c>
      <c r="CO756">
        <f>'Grid_Stock'!CM33</f>
        <v/>
      </c>
      <c r="CP756">
        <f>'Grid_Stock'!CN33</f>
        <v/>
      </c>
      <c r="CQ756">
        <f>'Grid_Stock'!CO33</f>
        <v/>
      </c>
      <c r="CR756">
        <f>'Grid_Stock'!CP33</f>
        <v/>
      </c>
      <c r="CS756">
        <f>'Grid_Stock'!CQ33</f>
        <v/>
      </c>
      <c r="CT756">
        <f>'Grid_Stock'!CR33</f>
        <v/>
      </c>
      <c r="CU756">
        <f>'Grid_Stock'!CS33</f>
        <v/>
      </c>
      <c r="CV756">
        <f>'Grid_Stock'!CT33</f>
        <v/>
      </c>
      <c r="CW756">
        <f>'Grid_Stock'!CU33</f>
        <v/>
      </c>
      <c r="CX756">
        <f>'Grid_Stock'!CV33</f>
        <v/>
      </c>
      <c r="CY756">
        <f>'Grid_Stock'!CW33</f>
        <v/>
      </c>
      <c r="CZ756">
        <f>'Grid_Stock'!CX33</f>
        <v/>
      </c>
      <c r="DA756">
        <f>'Grid_Stock'!CY33</f>
        <v/>
      </c>
      <c r="DB756">
        <f>'Grid_Stock'!CZ33</f>
        <v/>
      </c>
      <c r="DC756">
        <f>'Grid_Stock'!DA33</f>
        <v/>
      </c>
    </row>
    <row r="757">
      <c r="B757" s="23" t="inlineStr">
        <is>
          <t>（発注の目安はDashboardの基準在庫[下限/上限]と色分けを参照）</t>
        </is>
      </c>
    </row>
    <row r="759">
      <c r="A759" s="21" t="inlineStr">
        <is>
          <t>CHEM-1430</t>
        </is>
      </c>
      <c r="B759" s="21" t="inlineStr">
        <is>
          <t>RCT22</t>
        </is>
      </c>
      <c r="C759" s="22" t="n"/>
      <c r="D759" s="21" t="n"/>
      <c r="E759" s="21" t="n"/>
      <c r="F759" s="21" t="n"/>
      <c r="G759" s="21" t="n"/>
      <c r="H759" s="21" t="n"/>
      <c r="I759" s="21" t="n"/>
      <c r="J759" s="21" t="n"/>
      <c r="K759" s="21" t="n"/>
      <c r="L759" s="21" t="n"/>
      <c r="M759" s="21" t="n"/>
      <c r="N759" s="21" t="n"/>
      <c r="O759" s="21" t="n"/>
      <c r="P759" s="21" t="n"/>
      <c r="Q759" s="21" t="n"/>
      <c r="R759" s="21" t="n"/>
      <c r="S759" s="21" t="n"/>
      <c r="T759" s="21" t="n"/>
      <c r="U759" s="21" t="n"/>
      <c r="V759" s="21" t="n"/>
      <c r="W759" s="21" t="n"/>
      <c r="X759" s="21" t="n"/>
      <c r="Y759" s="21" t="n"/>
      <c r="Z759" s="21" t="n"/>
      <c r="AA759" s="21" t="n"/>
      <c r="AB759" s="21" t="n"/>
      <c r="AC759" s="21" t="n"/>
      <c r="AD759" s="21" t="n"/>
      <c r="AE759" s="21" t="n"/>
      <c r="AF759" s="21" t="n"/>
      <c r="AG759" s="21" t="n"/>
      <c r="AH759" s="21" t="n"/>
      <c r="AI759" s="21" t="n"/>
      <c r="AJ759" s="21" t="n"/>
      <c r="AK759" s="21" t="n"/>
      <c r="AL759" s="21" t="n"/>
      <c r="AM759" s="21" t="n"/>
      <c r="AN759" s="21" t="n"/>
      <c r="AO759" s="21" t="n"/>
      <c r="AP759" s="21" t="n"/>
      <c r="AQ759" s="21" t="n"/>
      <c r="AR759" s="21" t="n"/>
      <c r="AS759" s="21" t="n"/>
      <c r="AT759" s="21" t="n"/>
      <c r="AU759" s="21" t="n"/>
      <c r="AV759" s="21" t="n"/>
      <c r="AW759" s="21" t="n"/>
      <c r="AX759" s="21" t="n"/>
      <c r="AY759" s="21" t="n"/>
      <c r="AZ759" s="21" t="n"/>
      <c r="BA759" s="21" t="n"/>
      <c r="BB759" s="21" t="n"/>
      <c r="BC759" s="21" t="n"/>
      <c r="BD759" s="21" t="n"/>
      <c r="BE759" s="21" t="n"/>
      <c r="BF759" s="21" t="n"/>
      <c r="BG759" s="21" t="n"/>
      <c r="BH759" s="21" t="n"/>
      <c r="BI759" s="21" t="n"/>
      <c r="BJ759" s="21" t="n"/>
      <c r="BK759" s="21" t="n"/>
      <c r="BL759" s="21" t="n"/>
      <c r="BM759" s="21" t="n"/>
      <c r="BN759" s="21" t="n"/>
      <c r="BO759" s="21" t="n"/>
      <c r="BP759" s="21" t="n"/>
      <c r="BQ759" s="21" t="n"/>
      <c r="BR759" s="21" t="n"/>
      <c r="BS759" s="21" t="n"/>
      <c r="BT759" s="21" t="n"/>
      <c r="BU759" s="21" t="n"/>
      <c r="BV759" s="21" t="n"/>
      <c r="BW759" s="21" t="n"/>
      <c r="BX759" s="21" t="n"/>
      <c r="BY759" s="21" t="n"/>
      <c r="BZ759" s="21" t="n"/>
      <c r="CA759" s="21" t="n"/>
      <c r="CB759" s="21" t="n"/>
      <c r="CC759" s="21" t="n"/>
      <c r="CD759" s="21" t="n"/>
      <c r="CE759" s="21" t="n"/>
      <c r="CF759" s="21" t="n"/>
      <c r="CG759" s="21" t="n"/>
      <c r="CH759" s="21" t="n"/>
      <c r="CI759" s="21" t="n"/>
      <c r="CJ759" s="21" t="n"/>
      <c r="CK759" s="21" t="n"/>
      <c r="CL759" s="21" t="n"/>
      <c r="CM759" s="21" t="n"/>
      <c r="CN759" s="21" t="n"/>
      <c r="CO759" s="21" t="n"/>
      <c r="CP759" s="21" t="n"/>
      <c r="CQ759" s="21" t="n"/>
      <c r="CR759" s="21" t="n"/>
      <c r="CS759" s="21" t="n"/>
      <c r="CT759" s="21" t="n"/>
      <c r="CU759" s="21" t="n"/>
      <c r="CV759" s="21" t="n"/>
      <c r="CW759" s="21" t="n"/>
      <c r="CX759" s="21" t="n"/>
      <c r="CY759" s="21" t="n"/>
      <c r="CZ759" s="21" t="n"/>
      <c r="DA759" s="21" t="n"/>
      <c r="DB759" s="21" t="n"/>
      <c r="DC759" s="21" t="n"/>
    </row>
    <row r="760">
      <c r="B760" t="inlineStr">
        <is>
          <t>TSP-050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Name],$A759)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TSP-078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Name],$A759)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TSP-080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Name],$A759)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TSP-105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Name],$A759)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TSP-225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Name],$A759)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s="5" t="inlineStr">
        <is>
          <t>合計使用量(kg)/週</t>
        </is>
      </c>
      <c r="D770">
        <f>'Grid_Requirement'!B46</f>
        <v/>
      </c>
      <c r="E770">
        <f>'Grid_Requirement'!C46</f>
        <v/>
      </c>
      <c r="F770">
        <f>'Grid_Requirement'!D46</f>
        <v/>
      </c>
      <c r="G770">
        <f>'Grid_Requirement'!E46</f>
        <v/>
      </c>
      <c r="H770">
        <f>'Grid_Requirement'!F46</f>
        <v/>
      </c>
      <c r="I770">
        <f>'Grid_Requirement'!G46</f>
        <v/>
      </c>
      <c r="J770">
        <f>'Grid_Requirement'!H46</f>
        <v/>
      </c>
      <c r="K770">
        <f>'Grid_Requirement'!I46</f>
        <v/>
      </c>
      <c r="L770">
        <f>'Grid_Requirement'!J46</f>
        <v/>
      </c>
      <c r="M770">
        <f>'Grid_Requirement'!K46</f>
        <v/>
      </c>
      <c r="N770">
        <f>'Grid_Requirement'!L46</f>
        <v/>
      </c>
      <c r="O770">
        <f>'Grid_Requirement'!M46</f>
        <v/>
      </c>
      <c r="P770">
        <f>'Grid_Requirement'!N46</f>
        <v/>
      </c>
      <c r="Q770">
        <f>'Grid_Requirement'!O46</f>
        <v/>
      </c>
      <c r="R770">
        <f>'Grid_Requirement'!P46</f>
        <v/>
      </c>
      <c r="S770">
        <f>'Grid_Requirement'!Q46</f>
        <v/>
      </c>
      <c r="T770">
        <f>'Grid_Requirement'!R46</f>
        <v/>
      </c>
      <c r="U770">
        <f>'Grid_Requirement'!S46</f>
        <v/>
      </c>
      <c r="V770">
        <f>'Grid_Requirement'!T46</f>
        <v/>
      </c>
      <c r="W770">
        <f>'Grid_Requirement'!U46</f>
        <v/>
      </c>
      <c r="X770">
        <f>'Grid_Requirement'!V46</f>
        <v/>
      </c>
      <c r="Y770">
        <f>'Grid_Requirement'!W46</f>
        <v/>
      </c>
      <c r="Z770">
        <f>'Grid_Requirement'!X46</f>
        <v/>
      </c>
      <c r="AA770">
        <f>'Grid_Requirement'!Y46</f>
        <v/>
      </c>
      <c r="AB770">
        <f>'Grid_Requirement'!Z46</f>
        <v/>
      </c>
      <c r="AC770">
        <f>'Grid_Requirement'!AA46</f>
        <v/>
      </c>
      <c r="AD770">
        <f>'Grid_Requirement'!AB46</f>
        <v/>
      </c>
      <c r="AE770">
        <f>'Grid_Requirement'!AC46</f>
        <v/>
      </c>
      <c r="AF770">
        <f>'Grid_Requirement'!AD46</f>
        <v/>
      </c>
      <c r="AG770">
        <f>'Grid_Requirement'!AE46</f>
        <v/>
      </c>
      <c r="AH770">
        <f>'Grid_Requirement'!AF46</f>
        <v/>
      </c>
      <c r="AI770">
        <f>'Grid_Requirement'!AG46</f>
        <v/>
      </c>
      <c r="AJ770">
        <f>'Grid_Requirement'!AH46</f>
        <v/>
      </c>
      <c r="AK770">
        <f>'Grid_Requirement'!AI46</f>
        <v/>
      </c>
      <c r="AL770">
        <f>'Grid_Requirement'!AJ46</f>
        <v/>
      </c>
      <c r="AM770">
        <f>'Grid_Requirement'!AK46</f>
        <v/>
      </c>
      <c r="AN770">
        <f>'Grid_Requirement'!AL46</f>
        <v/>
      </c>
      <c r="AO770">
        <f>'Grid_Requirement'!AM46</f>
        <v/>
      </c>
      <c r="AP770">
        <f>'Grid_Requirement'!AN46</f>
        <v/>
      </c>
      <c r="AQ770">
        <f>'Grid_Requirement'!AO46</f>
        <v/>
      </c>
      <c r="AR770">
        <f>'Grid_Requirement'!AP46</f>
        <v/>
      </c>
      <c r="AS770">
        <f>'Grid_Requirement'!AQ46</f>
        <v/>
      </c>
      <c r="AT770">
        <f>'Grid_Requirement'!AR46</f>
        <v/>
      </c>
      <c r="AU770">
        <f>'Grid_Requirement'!AS46</f>
        <v/>
      </c>
      <c r="AV770">
        <f>'Grid_Requirement'!AT46</f>
        <v/>
      </c>
      <c r="AW770">
        <f>'Grid_Requirement'!AU46</f>
        <v/>
      </c>
      <c r="AX770">
        <f>'Grid_Requirement'!AV46</f>
        <v/>
      </c>
      <c r="AY770">
        <f>'Grid_Requirement'!AW46</f>
        <v/>
      </c>
      <c r="AZ770">
        <f>'Grid_Requirement'!AX46</f>
        <v/>
      </c>
      <c r="BA770">
        <f>'Grid_Requirement'!AY46</f>
        <v/>
      </c>
      <c r="BB770">
        <f>'Grid_Requirement'!AZ46</f>
        <v/>
      </c>
      <c r="BC770">
        <f>'Grid_Requirement'!BA46</f>
        <v/>
      </c>
      <c r="BD770">
        <f>'Grid_Requirement'!BB46</f>
        <v/>
      </c>
      <c r="BE770">
        <f>'Grid_Requirement'!BC46</f>
        <v/>
      </c>
      <c r="BF770">
        <f>'Grid_Requirement'!BD46</f>
        <v/>
      </c>
      <c r="BG770">
        <f>'Grid_Requirement'!BE46</f>
        <v/>
      </c>
      <c r="BH770">
        <f>'Grid_Requirement'!BF46</f>
        <v/>
      </c>
      <c r="BI770">
        <f>'Grid_Requirement'!BG46</f>
        <v/>
      </c>
      <c r="BJ770">
        <f>'Grid_Requirement'!BH46</f>
        <v/>
      </c>
      <c r="BK770">
        <f>'Grid_Requirement'!BI46</f>
        <v/>
      </c>
      <c r="BL770">
        <f>'Grid_Requirement'!BJ46</f>
        <v/>
      </c>
      <c r="BM770">
        <f>'Grid_Requirement'!BK46</f>
        <v/>
      </c>
      <c r="BN770">
        <f>'Grid_Requirement'!BL46</f>
        <v/>
      </c>
      <c r="BO770">
        <f>'Grid_Requirement'!BM46</f>
        <v/>
      </c>
      <c r="BP770">
        <f>'Grid_Requirement'!BN46</f>
        <v/>
      </c>
      <c r="BQ770">
        <f>'Grid_Requirement'!BO46</f>
        <v/>
      </c>
      <c r="BR770">
        <f>'Grid_Requirement'!BP46</f>
        <v/>
      </c>
      <c r="BS770">
        <f>'Grid_Requirement'!BQ46</f>
        <v/>
      </c>
      <c r="BT770">
        <f>'Grid_Requirement'!BR46</f>
        <v/>
      </c>
      <c r="BU770">
        <f>'Grid_Requirement'!BS46</f>
        <v/>
      </c>
      <c r="BV770">
        <f>'Grid_Requirement'!BT46</f>
        <v/>
      </c>
      <c r="BW770">
        <f>'Grid_Requirement'!BU46</f>
        <v/>
      </c>
      <c r="BX770">
        <f>'Grid_Requirement'!BV46</f>
        <v/>
      </c>
      <c r="BY770">
        <f>'Grid_Requirement'!BW46</f>
        <v/>
      </c>
      <c r="BZ770">
        <f>'Grid_Requirement'!BX46</f>
        <v/>
      </c>
      <c r="CA770">
        <f>'Grid_Requirement'!BY46</f>
        <v/>
      </c>
      <c r="CB770">
        <f>'Grid_Requirement'!BZ46</f>
        <v/>
      </c>
      <c r="CC770">
        <f>'Grid_Requirement'!CA46</f>
        <v/>
      </c>
      <c r="CD770">
        <f>'Grid_Requirement'!CB46</f>
        <v/>
      </c>
      <c r="CE770">
        <f>'Grid_Requirement'!CC46</f>
        <v/>
      </c>
      <c r="CF770">
        <f>'Grid_Requirement'!CD46</f>
        <v/>
      </c>
      <c r="CG770">
        <f>'Grid_Requirement'!CE46</f>
        <v/>
      </c>
      <c r="CH770">
        <f>'Grid_Requirement'!CF46</f>
        <v/>
      </c>
      <c r="CI770">
        <f>'Grid_Requirement'!CG46</f>
        <v/>
      </c>
      <c r="CJ770">
        <f>'Grid_Requirement'!CH46</f>
        <v/>
      </c>
      <c r="CK770">
        <f>'Grid_Requirement'!CI46</f>
        <v/>
      </c>
      <c r="CL770">
        <f>'Grid_Requirement'!CJ46</f>
        <v/>
      </c>
      <c r="CM770">
        <f>'Grid_Requirement'!CK46</f>
        <v/>
      </c>
      <c r="CN770">
        <f>'Grid_Requirement'!CL46</f>
        <v/>
      </c>
      <c r="CO770">
        <f>'Grid_Requirement'!CM46</f>
        <v/>
      </c>
      <c r="CP770">
        <f>'Grid_Requirement'!CN46</f>
        <v/>
      </c>
      <c r="CQ770">
        <f>'Grid_Requirement'!CO46</f>
        <v/>
      </c>
      <c r="CR770">
        <f>'Grid_Requirement'!CP46</f>
        <v/>
      </c>
      <c r="CS770">
        <f>'Grid_Requirement'!CQ46</f>
        <v/>
      </c>
      <c r="CT770">
        <f>'Grid_Requirement'!CR46</f>
        <v/>
      </c>
      <c r="CU770">
        <f>'Grid_Requirement'!CS46</f>
        <v/>
      </c>
      <c r="CV770">
        <f>'Grid_Requirement'!CT46</f>
        <v/>
      </c>
      <c r="CW770">
        <f>'Grid_Requirement'!CU46</f>
        <v/>
      </c>
      <c r="CX770">
        <f>'Grid_Requirement'!CV46</f>
        <v/>
      </c>
      <c r="CY770">
        <f>'Grid_Requirement'!CW46</f>
        <v/>
      </c>
      <c r="CZ770">
        <f>'Grid_Requirement'!CX46</f>
        <v/>
      </c>
      <c r="DA770">
        <f>'Grid_Requirement'!CY46</f>
        <v/>
      </c>
      <c r="DB770">
        <f>'Grid_Requirement'!CZ46</f>
        <v/>
      </c>
      <c r="DC770">
        <f>'Grid_Requirement'!DA46</f>
        <v/>
      </c>
    </row>
    <row r="771">
      <c r="B771" t="inlineStr">
        <is>
          <t>TTAF在庫(実績,kg)</t>
        </is>
      </c>
      <c r="D771">
        <f>'T_TTAFStock'!B50</f>
        <v/>
      </c>
      <c r="E771">
        <f>'T_TTAFStock'!C50</f>
        <v/>
      </c>
      <c r="F771">
        <f>'T_TTAFStock'!D50</f>
        <v/>
      </c>
      <c r="G771">
        <f>'T_TTAFStock'!E50</f>
        <v/>
      </c>
      <c r="H771">
        <f>'T_TTAFStock'!F50</f>
        <v/>
      </c>
      <c r="I771">
        <f>'T_TTAFStock'!G50</f>
        <v/>
      </c>
      <c r="J771">
        <f>'T_TTAFStock'!H50</f>
        <v/>
      </c>
      <c r="K771">
        <f>'T_TTAFStock'!I50</f>
        <v/>
      </c>
      <c r="L771">
        <f>'T_TTAFStock'!J50</f>
        <v/>
      </c>
      <c r="M771">
        <f>'T_TTAFStock'!K50</f>
        <v/>
      </c>
      <c r="N771">
        <f>'T_TTAFStock'!L50</f>
        <v/>
      </c>
      <c r="O771">
        <f>'T_TTAFStock'!M50</f>
        <v/>
      </c>
      <c r="P771">
        <f>'T_TTAFStock'!N50</f>
        <v/>
      </c>
      <c r="Q771">
        <f>'T_TTAFStock'!O50</f>
        <v/>
      </c>
      <c r="R771">
        <f>'T_TTAFStock'!P50</f>
        <v/>
      </c>
      <c r="S771">
        <f>'T_TTAFStock'!Q50</f>
        <v/>
      </c>
      <c r="T771">
        <f>'T_TTAFStock'!R50</f>
        <v/>
      </c>
      <c r="U771">
        <f>'T_TTAFStock'!S50</f>
        <v/>
      </c>
      <c r="V771">
        <f>'T_TTAFStock'!T50</f>
        <v/>
      </c>
      <c r="W771">
        <f>'T_TTAFStock'!U50</f>
        <v/>
      </c>
      <c r="X771">
        <f>'T_TTAFStock'!V50</f>
        <v/>
      </c>
      <c r="Y771">
        <f>'T_TTAFStock'!W50</f>
        <v/>
      </c>
      <c r="Z771">
        <f>'T_TTAFStock'!X50</f>
        <v/>
      </c>
      <c r="AA771">
        <f>'T_TTAFStock'!Y50</f>
        <v/>
      </c>
      <c r="AB771">
        <f>'T_TTAFStock'!Z50</f>
        <v/>
      </c>
      <c r="AC771">
        <f>'T_TTAFStock'!AA50</f>
        <v/>
      </c>
      <c r="AD771">
        <f>'T_TTAFStock'!AB50</f>
        <v/>
      </c>
      <c r="AE771">
        <f>'T_TTAFStock'!AC50</f>
        <v/>
      </c>
      <c r="AF771">
        <f>'T_TTAFStock'!AD50</f>
        <v/>
      </c>
      <c r="AG771">
        <f>'T_TTAFStock'!AE50</f>
        <v/>
      </c>
      <c r="AH771">
        <f>'T_TTAFStock'!AF50</f>
        <v/>
      </c>
      <c r="AI771">
        <f>'T_TTAFStock'!AG50</f>
        <v/>
      </c>
      <c r="AJ771">
        <f>'T_TTAFStock'!AH50</f>
        <v/>
      </c>
      <c r="AK771">
        <f>'T_TTAFStock'!AI50</f>
        <v/>
      </c>
      <c r="AL771">
        <f>'T_TTAFStock'!AJ50</f>
        <v/>
      </c>
      <c r="AM771">
        <f>'T_TTAFStock'!AK50</f>
        <v/>
      </c>
      <c r="AN771">
        <f>'T_TTAFStock'!AL50</f>
        <v/>
      </c>
      <c r="AO771">
        <f>'T_TTAFStock'!AM50</f>
        <v/>
      </c>
      <c r="AP771">
        <f>'T_TTAFStock'!AN50</f>
        <v/>
      </c>
      <c r="AQ771">
        <f>'T_TTAFStock'!AO50</f>
        <v/>
      </c>
      <c r="AR771">
        <f>'T_TTAFStock'!AP50</f>
        <v/>
      </c>
      <c r="AS771">
        <f>'T_TTAFStock'!AQ50</f>
        <v/>
      </c>
      <c r="AT771">
        <f>'T_TTAFStock'!AR50</f>
        <v/>
      </c>
      <c r="AU771">
        <f>'T_TTAFStock'!AS50</f>
        <v/>
      </c>
      <c r="AV771">
        <f>'T_TTAFStock'!AT50</f>
        <v/>
      </c>
      <c r="AW771">
        <f>'T_TTAFStock'!AU50</f>
        <v/>
      </c>
      <c r="AX771">
        <f>'T_TTAFStock'!AV50</f>
        <v/>
      </c>
      <c r="AY771">
        <f>'T_TTAFStock'!AW50</f>
        <v/>
      </c>
      <c r="AZ771">
        <f>'T_TTAFStock'!AX50</f>
        <v/>
      </c>
      <c r="BA771">
        <f>'T_TTAFStock'!AY50</f>
        <v/>
      </c>
      <c r="BB771">
        <f>'T_TTAFStock'!AZ50</f>
        <v/>
      </c>
      <c r="BC771">
        <f>'T_TTAFStock'!BA50</f>
        <v/>
      </c>
      <c r="BD771">
        <f>'T_TTAFStock'!BB50</f>
        <v/>
      </c>
      <c r="BE771">
        <f>'T_TTAFStock'!BC50</f>
        <v/>
      </c>
      <c r="BF771">
        <f>'T_TTAFStock'!BD50</f>
        <v/>
      </c>
      <c r="BG771">
        <f>'T_TTAFStock'!BE50</f>
        <v/>
      </c>
      <c r="BH771">
        <f>'T_TTAFStock'!BF50</f>
        <v/>
      </c>
      <c r="BI771">
        <f>'T_TTAFStock'!BG50</f>
        <v/>
      </c>
      <c r="BJ771">
        <f>'T_TTAFStock'!BH50</f>
        <v/>
      </c>
      <c r="BK771">
        <f>'T_TTAFStock'!BI50</f>
        <v/>
      </c>
      <c r="BL771">
        <f>'T_TTAFStock'!BJ50</f>
        <v/>
      </c>
      <c r="BM771">
        <f>'T_TTAFStock'!BK50</f>
        <v/>
      </c>
      <c r="BN771">
        <f>'T_TTAFStock'!BL50</f>
        <v/>
      </c>
      <c r="BO771">
        <f>'T_TTAFStock'!BM50</f>
        <v/>
      </c>
      <c r="BP771">
        <f>'T_TTAFStock'!BN50</f>
        <v/>
      </c>
      <c r="BQ771">
        <f>'T_TTAFStock'!BO50</f>
        <v/>
      </c>
      <c r="BR771">
        <f>'T_TTAFStock'!BP50</f>
        <v/>
      </c>
      <c r="BS771">
        <f>'T_TTAFStock'!BQ50</f>
        <v/>
      </c>
      <c r="BT771">
        <f>'T_TTAFStock'!BR50</f>
        <v/>
      </c>
      <c r="BU771">
        <f>'T_TTAFStock'!BS50</f>
        <v/>
      </c>
      <c r="BV771">
        <f>'T_TTAFStock'!BT50</f>
        <v/>
      </c>
      <c r="BW771">
        <f>'T_TTAFStock'!BU50</f>
        <v/>
      </c>
      <c r="BX771">
        <f>'T_TTAFStock'!BV50</f>
        <v/>
      </c>
      <c r="BY771">
        <f>'T_TTAFStock'!BW50</f>
        <v/>
      </c>
      <c r="BZ771">
        <f>'T_TTAFStock'!BX50</f>
        <v/>
      </c>
      <c r="CA771">
        <f>'T_TTAFStock'!BY50</f>
        <v/>
      </c>
      <c r="CB771">
        <f>'T_TTAFStock'!BZ50</f>
        <v/>
      </c>
      <c r="CC771">
        <f>'T_TTAFStock'!CA50</f>
        <v/>
      </c>
      <c r="CD771">
        <f>'T_TTAFStock'!CB50</f>
        <v/>
      </c>
      <c r="CE771">
        <f>'T_TTAFStock'!CC50</f>
        <v/>
      </c>
      <c r="CF771">
        <f>'T_TTAFStock'!CD50</f>
        <v/>
      </c>
      <c r="CG771">
        <f>'T_TTAFStock'!CE50</f>
        <v/>
      </c>
      <c r="CH771">
        <f>'T_TTAFStock'!CF50</f>
        <v/>
      </c>
      <c r="CI771">
        <f>'T_TTAFStock'!CG50</f>
        <v/>
      </c>
      <c r="CJ771">
        <f>'T_TTAFStock'!CH50</f>
        <v/>
      </c>
      <c r="CK771">
        <f>'T_TTAFStock'!CI50</f>
        <v/>
      </c>
      <c r="CL771">
        <f>'T_TTAFStock'!CJ50</f>
        <v/>
      </c>
      <c r="CM771">
        <f>'T_TTAFStock'!CK50</f>
        <v/>
      </c>
      <c r="CN771">
        <f>'T_TTAFStock'!CL50</f>
        <v/>
      </c>
      <c r="CO771">
        <f>'T_TTAFStock'!CM50</f>
        <v/>
      </c>
      <c r="CP771">
        <f>'T_TTAFStock'!CN50</f>
        <v/>
      </c>
      <c r="CQ771">
        <f>'T_TTAFStock'!CO50</f>
        <v/>
      </c>
      <c r="CR771">
        <f>'T_TTAFStock'!CP50</f>
        <v/>
      </c>
      <c r="CS771">
        <f>'T_TTAFStock'!CQ50</f>
        <v/>
      </c>
      <c r="CT771">
        <f>'T_TTAFStock'!CR50</f>
        <v/>
      </c>
      <c r="CU771">
        <f>'T_TTAFStock'!CS50</f>
        <v/>
      </c>
      <c r="CV771">
        <f>'T_TTAFStock'!CT50</f>
        <v/>
      </c>
      <c r="CW771">
        <f>'T_TTAFStock'!CU50</f>
        <v/>
      </c>
      <c r="CX771">
        <f>'T_TTAFStock'!CV50</f>
        <v/>
      </c>
      <c r="CY771">
        <f>'T_TTAFStock'!CW50</f>
        <v/>
      </c>
      <c r="CZ771">
        <f>'T_TTAFStock'!CX50</f>
        <v/>
      </c>
      <c r="DA771">
        <f>'T_TTAFStock'!CY50</f>
        <v/>
      </c>
      <c r="DB771">
        <f>'T_TTAFStock'!CZ50</f>
        <v/>
      </c>
      <c r="DC771">
        <f>'T_TTAFStock'!DA50</f>
        <v/>
      </c>
    </row>
    <row r="772">
      <c r="B772" t="inlineStr">
        <is>
          <t>自社在庫(実績,kg)</t>
        </is>
      </c>
      <c r="D772">
        <f>'T_SelfStock'!B50</f>
        <v/>
      </c>
      <c r="E772">
        <f>'T_SelfStock'!C50</f>
        <v/>
      </c>
      <c r="F772">
        <f>'T_SelfStock'!D50</f>
        <v/>
      </c>
      <c r="G772">
        <f>'T_SelfStock'!E50</f>
        <v/>
      </c>
      <c r="H772">
        <f>'T_SelfStock'!F50</f>
        <v/>
      </c>
      <c r="I772">
        <f>'T_SelfStock'!G50</f>
        <v/>
      </c>
      <c r="J772">
        <f>'T_SelfStock'!H50</f>
        <v/>
      </c>
      <c r="K772">
        <f>'T_SelfStock'!I50</f>
        <v/>
      </c>
      <c r="L772">
        <f>'T_SelfStock'!J50</f>
        <v/>
      </c>
      <c r="M772">
        <f>'T_SelfStock'!K50</f>
        <v/>
      </c>
      <c r="N772">
        <f>'T_SelfStock'!L50</f>
        <v/>
      </c>
      <c r="O772">
        <f>'T_SelfStock'!M50</f>
        <v/>
      </c>
      <c r="P772">
        <f>'T_SelfStock'!N50</f>
        <v/>
      </c>
      <c r="Q772">
        <f>'T_SelfStock'!O50</f>
        <v/>
      </c>
      <c r="R772">
        <f>'T_SelfStock'!P50</f>
        <v/>
      </c>
      <c r="S772">
        <f>'T_SelfStock'!Q50</f>
        <v/>
      </c>
      <c r="T772">
        <f>'T_SelfStock'!R50</f>
        <v/>
      </c>
      <c r="U772">
        <f>'T_SelfStock'!S50</f>
        <v/>
      </c>
      <c r="V772">
        <f>'T_SelfStock'!T50</f>
        <v/>
      </c>
      <c r="W772">
        <f>'T_SelfStock'!U50</f>
        <v/>
      </c>
      <c r="X772">
        <f>'T_SelfStock'!V50</f>
        <v/>
      </c>
      <c r="Y772">
        <f>'T_SelfStock'!W50</f>
        <v/>
      </c>
      <c r="Z772">
        <f>'T_SelfStock'!X50</f>
        <v/>
      </c>
      <c r="AA772">
        <f>'T_SelfStock'!Y50</f>
        <v/>
      </c>
      <c r="AB772">
        <f>'T_SelfStock'!Z50</f>
        <v/>
      </c>
      <c r="AC772">
        <f>'T_SelfStock'!AA50</f>
        <v/>
      </c>
      <c r="AD772">
        <f>'T_SelfStock'!AB50</f>
        <v/>
      </c>
      <c r="AE772">
        <f>'T_SelfStock'!AC50</f>
        <v/>
      </c>
      <c r="AF772">
        <f>'T_SelfStock'!AD50</f>
        <v/>
      </c>
      <c r="AG772">
        <f>'T_SelfStock'!AE50</f>
        <v/>
      </c>
      <c r="AH772">
        <f>'T_SelfStock'!AF50</f>
        <v/>
      </c>
      <c r="AI772">
        <f>'T_SelfStock'!AG50</f>
        <v/>
      </c>
      <c r="AJ772">
        <f>'T_SelfStock'!AH50</f>
        <v/>
      </c>
      <c r="AK772">
        <f>'T_SelfStock'!AI50</f>
        <v/>
      </c>
      <c r="AL772">
        <f>'T_SelfStock'!AJ50</f>
        <v/>
      </c>
      <c r="AM772">
        <f>'T_SelfStock'!AK50</f>
        <v/>
      </c>
      <c r="AN772">
        <f>'T_SelfStock'!AL50</f>
        <v/>
      </c>
      <c r="AO772">
        <f>'T_SelfStock'!AM50</f>
        <v/>
      </c>
      <c r="AP772">
        <f>'T_SelfStock'!AN50</f>
        <v/>
      </c>
      <c r="AQ772">
        <f>'T_SelfStock'!AO50</f>
        <v/>
      </c>
      <c r="AR772">
        <f>'T_SelfStock'!AP50</f>
        <v/>
      </c>
      <c r="AS772">
        <f>'T_SelfStock'!AQ50</f>
        <v/>
      </c>
      <c r="AT772">
        <f>'T_SelfStock'!AR50</f>
        <v/>
      </c>
      <c r="AU772">
        <f>'T_SelfStock'!AS50</f>
        <v/>
      </c>
      <c r="AV772">
        <f>'T_SelfStock'!AT50</f>
        <v/>
      </c>
      <c r="AW772">
        <f>'T_SelfStock'!AU50</f>
        <v/>
      </c>
      <c r="AX772">
        <f>'T_SelfStock'!AV50</f>
        <v/>
      </c>
      <c r="AY772">
        <f>'T_SelfStock'!AW50</f>
        <v/>
      </c>
      <c r="AZ772">
        <f>'T_SelfStock'!AX50</f>
        <v/>
      </c>
      <c r="BA772">
        <f>'T_SelfStock'!AY50</f>
        <v/>
      </c>
      <c r="BB772">
        <f>'T_SelfStock'!AZ50</f>
        <v/>
      </c>
      <c r="BC772">
        <f>'T_SelfStock'!BA50</f>
        <v/>
      </c>
      <c r="BD772">
        <f>'T_SelfStock'!BB50</f>
        <v/>
      </c>
      <c r="BE772">
        <f>'T_SelfStock'!BC50</f>
        <v/>
      </c>
      <c r="BF772">
        <f>'T_SelfStock'!BD50</f>
        <v/>
      </c>
      <c r="BG772">
        <f>'T_SelfStock'!BE50</f>
        <v/>
      </c>
      <c r="BH772">
        <f>'T_SelfStock'!BF50</f>
        <v/>
      </c>
      <c r="BI772">
        <f>'T_SelfStock'!BG50</f>
        <v/>
      </c>
      <c r="BJ772">
        <f>'T_SelfStock'!BH50</f>
        <v/>
      </c>
      <c r="BK772">
        <f>'T_SelfStock'!BI50</f>
        <v/>
      </c>
      <c r="BL772">
        <f>'T_SelfStock'!BJ50</f>
        <v/>
      </c>
      <c r="BM772">
        <f>'T_SelfStock'!BK50</f>
        <v/>
      </c>
      <c r="BN772">
        <f>'T_SelfStock'!BL50</f>
        <v/>
      </c>
      <c r="BO772">
        <f>'T_SelfStock'!BM50</f>
        <v/>
      </c>
      <c r="BP772">
        <f>'T_SelfStock'!BN50</f>
        <v/>
      </c>
      <c r="BQ772">
        <f>'T_SelfStock'!BO50</f>
        <v/>
      </c>
      <c r="BR772">
        <f>'T_SelfStock'!BP50</f>
        <v/>
      </c>
      <c r="BS772">
        <f>'T_SelfStock'!BQ50</f>
        <v/>
      </c>
      <c r="BT772">
        <f>'T_SelfStock'!BR50</f>
        <v/>
      </c>
      <c r="BU772">
        <f>'T_SelfStock'!BS50</f>
        <v/>
      </c>
      <c r="BV772">
        <f>'T_SelfStock'!BT50</f>
        <v/>
      </c>
      <c r="BW772">
        <f>'T_SelfStock'!BU50</f>
        <v/>
      </c>
      <c r="BX772">
        <f>'T_SelfStock'!BV50</f>
        <v/>
      </c>
      <c r="BY772">
        <f>'T_SelfStock'!BW50</f>
        <v/>
      </c>
      <c r="BZ772">
        <f>'T_SelfStock'!BX50</f>
        <v/>
      </c>
      <c r="CA772">
        <f>'T_SelfStock'!BY50</f>
        <v/>
      </c>
      <c r="CB772">
        <f>'T_SelfStock'!BZ50</f>
        <v/>
      </c>
      <c r="CC772">
        <f>'T_SelfStock'!CA50</f>
        <v/>
      </c>
      <c r="CD772">
        <f>'T_SelfStock'!CB50</f>
        <v/>
      </c>
      <c r="CE772">
        <f>'T_SelfStock'!CC50</f>
        <v/>
      </c>
      <c r="CF772">
        <f>'T_SelfStock'!CD50</f>
        <v/>
      </c>
      <c r="CG772">
        <f>'T_SelfStock'!CE50</f>
        <v/>
      </c>
      <c r="CH772">
        <f>'T_SelfStock'!CF50</f>
        <v/>
      </c>
      <c r="CI772">
        <f>'T_SelfStock'!CG50</f>
        <v/>
      </c>
      <c r="CJ772">
        <f>'T_SelfStock'!CH50</f>
        <v/>
      </c>
      <c r="CK772">
        <f>'T_SelfStock'!CI50</f>
        <v/>
      </c>
      <c r="CL772">
        <f>'T_SelfStock'!CJ50</f>
        <v/>
      </c>
      <c r="CM772">
        <f>'T_SelfStock'!CK50</f>
        <v/>
      </c>
      <c r="CN772">
        <f>'T_SelfStock'!CL50</f>
        <v/>
      </c>
      <c r="CO772">
        <f>'T_SelfStock'!CM50</f>
        <v/>
      </c>
      <c r="CP772">
        <f>'T_SelfStock'!CN50</f>
        <v/>
      </c>
      <c r="CQ772">
        <f>'T_SelfStock'!CO50</f>
        <v/>
      </c>
      <c r="CR772">
        <f>'T_SelfStock'!CP50</f>
        <v/>
      </c>
      <c r="CS772">
        <f>'T_SelfStock'!CQ50</f>
        <v/>
      </c>
      <c r="CT772">
        <f>'T_SelfStock'!CR50</f>
        <v/>
      </c>
      <c r="CU772">
        <f>'T_SelfStock'!CS50</f>
        <v/>
      </c>
      <c r="CV772">
        <f>'T_SelfStock'!CT50</f>
        <v/>
      </c>
      <c r="CW772">
        <f>'T_SelfStock'!CU50</f>
        <v/>
      </c>
      <c r="CX772">
        <f>'T_SelfStock'!CV50</f>
        <v/>
      </c>
      <c r="CY772">
        <f>'T_SelfStock'!CW50</f>
        <v/>
      </c>
      <c r="CZ772">
        <f>'T_SelfStock'!CX50</f>
        <v/>
      </c>
      <c r="DA772">
        <f>'T_SelfStock'!CY50</f>
        <v/>
      </c>
      <c r="DB772">
        <f>'T_SelfStock'!CZ50</f>
        <v/>
      </c>
      <c r="DC772">
        <f>'T_SelfStock'!DA50</f>
        <v/>
      </c>
    </row>
    <row r="773">
      <c r="B773" t="inlineStr">
        <is>
          <t>Order(発注予定,kg)</t>
        </is>
      </c>
      <c r="D773">
        <f>IF(SUMIFS(T_PlannedOrders[EffectiveQty],T_PlannedOrders[Part Name],$A759,T_PlannedOrders[WeekIndex],1)=0,"",SUMIFS(T_PlannedOrders[EffectiveQty],T_PlannedOrders[Part Name],$A759,T_PlannedOrders[WeekIndex],1)&amp;" ("&amp;TEXT(SUMPRODUCT(MAX((T_PlannedOrders[Part Name]=$A759)*(T_PlannedOrders[WeekIndex]=1)*(T_PlannedOrders[EffectiveQty]&gt;0)*T_PlannedOrders[Order_Month])),"m月")&amp;"発注)")</f>
        <v/>
      </c>
      <c r="E773">
        <f>IF(SUMIFS(T_PlannedOrders[EffectiveQty],T_PlannedOrders[Part Name],$A759,T_PlannedOrders[WeekIndex],2)=0,"",SUMIFS(T_PlannedOrders[EffectiveQty],T_PlannedOrders[Part Name],$A759,T_PlannedOrders[WeekIndex],2)&amp;" ("&amp;TEXT(SUMPRODUCT(MAX((T_PlannedOrders[Part Name]=$A759)*(T_PlannedOrders[WeekIndex]=2)*(T_PlannedOrders[EffectiveQty]&gt;0)*T_PlannedOrders[Order_Month])),"m月")&amp;"発注)")</f>
        <v/>
      </c>
      <c r="F773">
        <f>IF(SUMIFS(T_PlannedOrders[EffectiveQty],T_PlannedOrders[Part Name],$A759,T_PlannedOrders[WeekIndex],3)=0,"",SUMIFS(T_PlannedOrders[EffectiveQty],T_PlannedOrders[Part Name],$A759,T_PlannedOrders[WeekIndex],3)&amp;" ("&amp;TEXT(SUMPRODUCT(MAX((T_PlannedOrders[Part Name]=$A759)*(T_PlannedOrders[WeekIndex]=3)*(T_PlannedOrders[EffectiveQty]&gt;0)*T_PlannedOrders[Order_Month])),"m月")&amp;"発注)")</f>
        <v/>
      </c>
      <c r="G773">
        <f>IF(SUMIFS(T_PlannedOrders[EffectiveQty],T_PlannedOrders[Part Name],$A759,T_PlannedOrders[WeekIndex],4)=0,"",SUMIFS(T_PlannedOrders[EffectiveQty],T_PlannedOrders[Part Name],$A759,T_PlannedOrders[WeekIndex],4)&amp;" ("&amp;TEXT(SUMPRODUCT(MAX((T_PlannedOrders[Part Name]=$A759)*(T_PlannedOrders[WeekIndex]=4)*(T_PlannedOrders[EffectiveQty]&gt;0)*T_PlannedOrders[Order_Month])),"m月")&amp;"発注)")</f>
        <v/>
      </c>
      <c r="H773">
        <f>IF(SUMIFS(T_PlannedOrders[EffectiveQty],T_PlannedOrders[Part Name],$A759,T_PlannedOrders[WeekIndex],5)=0,"",SUMIFS(T_PlannedOrders[EffectiveQty],T_PlannedOrders[Part Name],$A759,T_PlannedOrders[WeekIndex],5)&amp;" ("&amp;TEXT(SUMPRODUCT(MAX((T_PlannedOrders[Part Name]=$A759)*(T_PlannedOrders[WeekIndex]=5)*(T_PlannedOrders[EffectiveQty]&gt;0)*T_PlannedOrders[Order_Month])),"m月")&amp;"発注)")</f>
        <v/>
      </c>
      <c r="I773">
        <f>IF(SUMIFS(T_PlannedOrders[EffectiveQty],T_PlannedOrders[Part Name],$A759,T_PlannedOrders[WeekIndex],6)=0,"",SUMIFS(T_PlannedOrders[EffectiveQty],T_PlannedOrders[Part Name],$A759,T_PlannedOrders[WeekIndex],6)&amp;" ("&amp;TEXT(SUMPRODUCT(MAX((T_PlannedOrders[Part Name]=$A759)*(T_PlannedOrders[WeekIndex]=6)*(T_PlannedOrders[EffectiveQty]&gt;0)*T_PlannedOrders[Order_Month])),"m月")&amp;"発注)")</f>
        <v/>
      </c>
      <c r="J773">
        <f>IF(SUMIFS(T_PlannedOrders[EffectiveQty],T_PlannedOrders[Part Name],$A759,T_PlannedOrders[WeekIndex],7)=0,"",SUMIFS(T_PlannedOrders[EffectiveQty],T_PlannedOrders[Part Name],$A759,T_PlannedOrders[WeekIndex],7)&amp;" ("&amp;TEXT(SUMPRODUCT(MAX((T_PlannedOrders[Part Name]=$A759)*(T_PlannedOrders[WeekIndex]=7)*(T_PlannedOrders[EffectiveQty]&gt;0)*T_PlannedOrders[Order_Month])),"m月")&amp;"発注)")</f>
        <v/>
      </c>
      <c r="K773">
        <f>IF(SUMIFS(T_PlannedOrders[EffectiveQty],T_PlannedOrders[Part Name],$A759,T_PlannedOrders[WeekIndex],8)=0,"",SUMIFS(T_PlannedOrders[EffectiveQty],T_PlannedOrders[Part Name],$A759,T_PlannedOrders[WeekIndex],8)&amp;" ("&amp;TEXT(SUMPRODUCT(MAX((T_PlannedOrders[Part Name]=$A759)*(T_PlannedOrders[WeekIndex]=8)*(T_PlannedOrders[EffectiveQty]&gt;0)*T_PlannedOrders[Order_Month])),"m月")&amp;"発注)")</f>
        <v/>
      </c>
      <c r="L773">
        <f>IF(SUMIFS(T_PlannedOrders[EffectiveQty],T_PlannedOrders[Part Name],$A759,T_PlannedOrders[WeekIndex],9)=0,"",SUMIFS(T_PlannedOrders[EffectiveQty],T_PlannedOrders[Part Name],$A759,T_PlannedOrders[WeekIndex],9)&amp;" ("&amp;TEXT(SUMPRODUCT(MAX((T_PlannedOrders[Part Name]=$A759)*(T_PlannedOrders[WeekIndex]=9)*(T_PlannedOrders[EffectiveQty]&gt;0)*T_PlannedOrders[Order_Month])),"m月")&amp;"発注)")</f>
        <v/>
      </c>
      <c r="M773">
        <f>IF(SUMIFS(T_PlannedOrders[EffectiveQty],T_PlannedOrders[Part Name],$A759,T_PlannedOrders[WeekIndex],10)=0,"",SUMIFS(T_PlannedOrders[EffectiveQty],T_PlannedOrders[Part Name],$A759,T_PlannedOrders[WeekIndex],10)&amp;" ("&amp;TEXT(SUMPRODUCT(MAX((T_PlannedOrders[Part Name]=$A759)*(T_PlannedOrders[WeekIndex]=10)*(T_PlannedOrders[EffectiveQty]&gt;0)*T_PlannedOrders[Order_Month])),"m月")&amp;"発注)")</f>
        <v/>
      </c>
      <c r="N773">
        <f>IF(SUMIFS(T_PlannedOrders[EffectiveQty],T_PlannedOrders[Part Name],$A759,T_PlannedOrders[WeekIndex],11)=0,"",SUMIFS(T_PlannedOrders[EffectiveQty],T_PlannedOrders[Part Name],$A759,T_PlannedOrders[WeekIndex],11)&amp;" ("&amp;TEXT(SUMPRODUCT(MAX((T_PlannedOrders[Part Name]=$A759)*(T_PlannedOrders[WeekIndex]=11)*(T_PlannedOrders[EffectiveQty]&gt;0)*T_PlannedOrders[Order_Month])),"m月")&amp;"発注)")</f>
        <v/>
      </c>
      <c r="O773">
        <f>IF(SUMIFS(T_PlannedOrders[EffectiveQty],T_PlannedOrders[Part Name],$A759,T_PlannedOrders[WeekIndex],12)=0,"",SUMIFS(T_PlannedOrders[EffectiveQty],T_PlannedOrders[Part Name],$A759,T_PlannedOrders[WeekIndex],12)&amp;" ("&amp;TEXT(SUMPRODUCT(MAX((T_PlannedOrders[Part Name]=$A759)*(T_PlannedOrders[WeekIndex]=12)*(T_PlannedOrders[EffectiveQty]&gt;0)*T_PlannedOrders[Order_Month])),"m月")&amp;"発注)")</f>
        <v/>
      </c>
      <c r="P773">
        <f>IF(SUMIFS(T_PlannedOrders[EffectiveQty],T_PlannedOrders[Part Name],$A759,T_PlannedOrders[WeekIndex],13)=0,"",SUMIFS(T_PlannedOrders[EffectiveQty],T_PlannedOrders[Part Name],$A759,T_PlannedOrders[WeekIndex],13)&amp;" ("&amp;TEXT(SUMPRODUCT(MAX((T_PlannedOrders[Part Name]=$A759)*(T_PlannedOrders[WeekIndex]=13)*(T_PlannedOrders[EffectiveQty]&gt;0)*T_PlannedOrders[Order_Month])),"m月")&amp;"発注)")</f>
        <v/>
      </c>
      <c r="Q773">
        <f>IF(SUMIFS(T_PlannedOrders[EffectiveQty],T_PlannedOrders[Part Name],$A759,T_PlannedOrders[WeekIndex],14)=0,"",SUMIFS(T_PlannedOrders[EffectiveQty],T_PlannedOrders[Part Name],$A759,T_PlannedOrders[WeekIndex],14)&amp;" ("&amp;TEXT(SUMPRODUCT(MAX((T_PlannedOrders[Part Name]=$A759)*(T_PlannedOrders[WeekIndex]=14)*(T_PlannedOrders[EffectiveQty]&gt;0)*T_PlannedOrders[Order_Month])),"m月")&amp;"発注)")</f>
        <v/>
      </c>
      <c r="R773">
        <f>IF(SUMIFS(T_PlannedOrders[EffectiveQty],T_PlannedOrders[Part Name],$A759,T_PlannedOrders[WeekIndex],15)=0,"",SUMIFS(T_PlannedOrders[EffectiveQty],T_PlannedOrders[Part Name],$A759,T_PlannedOrders[WeekIndex],15)&amp;" ("&amp;TEXT(SUMPRODUCT(MAX((T_PlannedOrders[Part Name]=$A759)*(T_PlannedOrders[WeekIndex]=15)*(T_PlannedOrders[EffectiveQty]&gt;0)*T_PlannedOrders[Order_Month])),"m月")&amp;"発注)")</f>
        <v/>
      </c>
      <c r="S773">
        <f>IF(SUMIFS(T_PlannedOrders[EffectiveQty],T_PlannedOrders[Part Name],$A759,T_PlannedOrders[WeekIndex],16)=0,"",SUMIFS(T_PlannedOrders[EffectiveQty],T_PlannedOrders[Part Name],$A759,T_PlannedOrders[WeekIndex],16)&amp;" ("&amp;TEXT(SUMPRODUCT(MAX((T_PlannedOrders[Part Name]=$A759)*(T_PlannedOrders[WeekIndex]=16)*(T_PlannedOrders[EffectiveQty]&gt;0)*T_PlannedOrders[Order_Month])),"m月")&amp;"発注)")</f>
        <v/>
      </c>
      <c r="T773">
        <f>IF(SUMIFS(T_PlannedOrders[EffectiveQty],T_PlannedOrders[Part Name],$A759,T_PlannedOrders[WeekIndex],17)=0,"",SUMIFS(T_PlannedOrders[EffectiveQty],T_PlannedOrders[Part Name],$A759,T_PlannedOrders[WeekIndex],17)&amp;" ("&amp;TEXT(SUMPRODUCT(MAX((T_PlannedOrders[Part Name]=$A759)*(T_PlannedOrders[WeekIndex]=17)*(T_PlannedOrders[EffectiveQty]&gt;0)*T_PlannedOrders[Order_Month])),"m月")&amp;"発注)")</f>
        <v/>
      </c>
      <c r="U773">
        <f>IF(SUMIFS(T_PlannedOrders[EffectiveQty],T_PlannedOrders[Part Name],$A759,T_PlannedOrders[WeekIndex],18)=0,"",SUMIFS(T_PlannedOrders[EffectiveQty],T_PlannedOrders[Part Name],$A759,T_PlannedOrders[WeekIndex],18)&amp;" ("&amp;TEXT(SUMPRODUCT(MAX((T_PlannedOrders[Part Name]=$A759)*(T_PlannedOrders[WeekIndex]=18)*(T_PlannedOrders[EffectiveQty]&gt;0)*T_PlannedOrders[Order_Month])),"m月")&amp;"発注)")</f>
        <v/>
      </c>
      <c r="V773">
        <f>IF(SUMIFS(T_PlannedOrders[EffectiveQty],T_PlannedOrders[Part Name],$A759,T_PlannedOrders[WeekIndex],19)=0,"",SUMIFS(T_PlannedOrders[EffectiveQty],T_PlannedOrders[Part Name],$A759,T_PlannedOrders[WeekIndex],19)&amp;" ("&amp;TEXT(SUMPRODUCT(MAX((T_PlannedOrders[Part Name]=$A759)*(T_PlannedOrders[WeekIndex]=19)*(T_PlannedOrders[EffectiveQty]&gt;0)*T_PlannedOrders[Order_Month])),"m月")&amp;"発注)")</f>
        <v/>
      </c>
      <c r="W773">
        <f>IF(SUMIFS(T_PlannedOrders[EffectiveQty],T_PlannedOrders[Part Name],$A759,T_PlannedOrders[WeekIndex],20)=0,"",SUMIFS(T_PlannedOrders[EffectiveQty],T_PlannedOrders[Part Name],$A759,T_PlannedOrders[WeekIndex],20)&amp;" ("&amp;TEXT(SUMPRODUCT(MAX((T_PlannedOrders[Part Name]=$A759)*(T_PlannedOrders[WeekIndex]=20)*(T_PlannedOrders[EffectiveQty]&gt;0)*T_PlannedOrders[Order_Month])),"m月")&amp;"発注)")</f>
        <v/>
      </c>
      <c r="X773">
        <f>IF(SUMIFS(T_PlannedOrders[EffectiveQty],T_PlannedOrders[Part Name],$A759,T_PlannedOrders[WeekIndex],21)=0,"",SUMIFS(T_PlannedOrders[EffectiveQty],T_PlannedOrders[Part Name],$A759,T_PlannedOrders[WeekIndex],21)&amp;" ("&amp;TEXT(SUMPRODUCT(MAX((T_PlannedOrders[Part Name]=$A759)*(T_PlannedOrders[WeekIndex]=21)*(T_PlannedOrders[EffectiveQty]&gt;0)*T_PlannedOrders[Order_Month])),"m月")&amp;"発注)")</f>
        <v/>
      </c>
      <c r="Y773">
        <f>IF(SUMIFS(T_PlannedOrders[EffectiveQty],T_PlannedOrders[Part Name],$A759,T_PlannedOrders[WeekIndex],22)=0,"",SUMIFS(T_PlannedOrders[EffectiveQty],T_PlannedOrders[Part Name],$A759,T_PlannedOrders[WeekIndex],22)&amp;" ("&amp;TEXT(SUMPRODUCT(MAX((T_PlannedOrders[Part Name]=$A759)*(T_PlannedOrders[WeekIndex]=22)*(T_PlannedOrders[EffectiveQty]&gt;0)*T_PlannedOrders[Order_Month])),"m月")&amp;"発注)")</f>
        <v/>
      </c>
      <c r="Z773">
        <f>IF(SUMIFS(T_PlannedOrders[EffectiveQty],T_PlannedOrders[Part Name],$A759,T_PlannedOrders[WeekIndex],23)=0,"",SUMIFS(T_PlannedOrders[EffectiveQty],T_PlannedOrders[Part Name],$A759,T_PlannedOrders[WeekIndex],23)&amp;" ("&amp;TEXT(SUMPRODUCT(MAX((T_PlannedOrders[Part Name]=$A759)*(T_PlannedOrders[WeekIndex]=23)*(T_PlannedOrders[EffectiveQty]&gt;0)*T_PlannedOrders[Order_Month])),"m月")&amp;"発注)")</f>
        <v/>
      </c>
      <c r="AA773">
        <f>IF(SUMIFS(T_PlannedOrders[EffectiveQty],T_PlannedOrders[Part Name],$A759,T_PlannedOrders[WeekIndex],24)=0,"",SUMIFS(T_PlannedOrders[EffectiveQty],T_PlannedOrders[Part Name],$A759,T_PlannedOrders[WeekIndex],24)&amp;" ("&amp;TEXT(SUMPRODUCT(MAX((T_PlannedOrders[Part Name]=$A759)*(T_PlannedOrders[WeekIndex]=24)*(T_PlannedOrders[EffectiveQty]&gt;0)*T_PlannedOrders[Order_Month])),"m月")&amp;"発注)")</f>
        <v/>
      </c>
      <c r="AB773">
        <f>IF(SUMIFS(T_PlannedOrders[EffectiveQty],T_PlannedOrders[Part Name],$A759,T_PlannedOrders[WeekIndex],25)=0,"",SUMIFS(T_PlannedOrders[EffectiveQty],T_PlannedOrders[Part Name],$A759,T_PlannedOrders[WeekIndex],25)&amp;" ("&amp;TEXT(SUMPRODUCT(MAX((T_PlannedOrders[Part Name]=$A759)*(T_PlannedOrders[WeekIndex]=25)*(T_PlannedOrders[EffectiveQty]&gt;0)*T_PlannedOrders[Order_Month])),"m月")&amp;"発注)")</f>
        <v/>
      </c>
      <c r="AC773">
        <f>IF(SUMIFS(T_PlannedOrders[EffectiveQty],T_PlannedOrders[Part Name],$A759,T_PlannedOrders[WeekIndex],26)=0,"",SUMIFS(T_PlannedOrders[EffectiveQty],T_PlannedOrders[Part Name],$A759,T_PlannedOrders[WeekIndex],26)&amp;" ("&amp;TEXT(SUMPRODUCT(MAX((T_PlannedOrders[Part Name]=$A759)*(T_PlannedOrders[WeekIndex]=26)*(T_PlannedOrders[EffectiveQty]&gt;0)*T_PlannedOrders[Order_Month])),"m月")&amp;"発注)")</f>
        <v/>
      </c>
      <c r="AD773">
        <f>IF(SUMIFS(T_PlannedOrders[EffectiveQty],T_PlannedOrders[Part Name],$A759,T_PlannedOrders[WeekIndex],27)=0,"",SUMIFS(T_PlannedOrders[EffectiveQty],T_PlannedOrders[Part Name],$A759,T_PlannedOrders[WeekIndex],27)&amp;" ("&amp;TEXT(SUMPRODUCT(MAX((T_PlannedOrders[Part Name]=$A759)*(T_PlannedOrders[WeekIndex]=27)*(T_PlannedOrders[EffectiveQty]&gt;0)*T_PlannedOrders[Order_Month])),"m月")&amp;"発注)")</f>
        <v/>
      </c>
      <c r="AE773">
        <f>IF(SUMIFS(T_PlannedOrders[EffectiveQty],T_PlannedOrders[Part Name],$A759,T_PlannedOrders[WeekIndex],28)=0,"",SUMIFS(T_PlannedOrders[EffectiveQty],T_PlannedOrders[Part Name],$A759,T_PlannedOrders[WeekIndex],28)&amp;" ("&amp;TEXT(SUMPRODUCT(MAX((T_PlannedOrders[Part Name]=$A759)*(T_PlannedOrders[WeekIndex]=28)*(T_PlannedOrders[EffectiveQty]&gt;0)*T_PlannedOrders[Order_Month])),"m月")&amp;"発注)")</f>
        <v/>
      </c>
      <c r="AF773">
        <f>IF(SUMIFS(T_PlannedOrders[EffectiveQty],T_PlannedOrders[Part Name],$A759,T_PlannedOrders[WeekIndex],29)=0,"",SUMIFS(T_PlannedOrders[EffectiveQty],T_PlannedOrders[Part Name],$A759,T_PlannedOrders[WeekIndex],29)&amp;" ("&amp;TEXT(SUMPRODUCT(MAX((T_PlannedOrders[Part Name]=$A759)*(T_PlannedOrders[WeekIndex]=29)*(T_PlannedOrders[EffectiveQty]&gt;0)*T_PlannedOrders[Order_Month])),"m月")&amp;"発注)")</f>
        <v/>
      </c>
      <c r="AG773">
        <f>IF(SUMIFS(T_PlannedOrders[EffectiveQty],T_PlannedOrders[Part Name],$A759,T_PlannedOrders[WeekIndex],30)=0,"",SUMIFS(T_PlannedOrders[EffectiveQty],T_PlannedOrders[Part Name],$A759,T_PlannedOrders[WeekIndex],30)&amp;" ("&amp;TEXT(SUMPRODUCT(MAX((T_PlannedOrders[Part Name]=$A759)*(T_PlannedOrders[WeekIndex]=30)*(T_PlannedOrders[EffectiveQty]&gt;0)*T_PlannedOrders[Order_Month])),"m月")&amp;"発注)")</f>
        <v/>
      </c>
      <c r="AH773">
        <f>IF(SUMIFS(T_PlannedOrders[EffectiveQty],T_PlannedOrders[Part Name],$A759,T_PlannedOrders[WeekIndex],31)=0,"",SUMIFS(T_PlannedOrders[EffectiveQty],T_PlannedOrders[Part Name],$A759,T_PlannedOrders[WeekIndex],31)&amp;" ("&amp;TEXT(SUMPRODUCT(MAX((T_PlannedOrders[Part Name]=$A759)*(T_PlannedOrders[WeekIndex]=31)*(T_PlannedOrders[EffectiveQty]&gt;0)*T_PlannedOrders[Order_Month])),"m月")&amp;"発注)")</f>
        <v/>
      </c>
      <c r="AI773">
        <f>IF(SUMIFS(T_PlannedOrders[EffectiveQty],T_PlannedOrders[Part Name],$A759,T_PlannedOrders[WeekIndex],32)=0,"",SUMIFS(T_PlannedOrders[EffectiveQty],T_PlannedOrders[Part Name],$A759,T_PlannedOrders[WeekIndex],32)&amp;" ("&amp;TEXT(SUMPRODUCT(MAX((T_PlannedOrders[Part Name]=$A759)*(T_PlannedOrders[WeekIndex]=32)*(T_PlannedOrders[EffectiveQty]&gt;0)*T_PlannedOrders[Order_Month])),"m月")&amp;"発注)")</f>
        <v/>
      </c>
      <c r="AJ773">
        <f>IF(SUMIFS(T_PlannedOrders[EffectiveQty],T_PlannedOrders[Part Name],$A759,T_PlannedOrders[WeekIndex],33)=0,"",SUMIFS(T_PlannedOrders[EffectiveQty],T_PlannedOrders[Part Name],$A759,T_PlannedOrders[WeekIndex],33)&amp;" ("&amp;TEXT(SUMPRODUCT(MAX((T_PlannedOrders[Part Name]=$A759)*(T_PlannedOrders[WeekIndex]=33)*(T_PlannedOrders[EffectiveQty]&gt;0)*T_PlannedOrders[Order_Month])),"m月")&amp;"発注)")</f>
        <v/>
      </c>
      <c r="AK773">
        <f>IF(SUMIFS(T_PlannedOrders[EffectiveQty],T_PlannedOrders[Part Name],$A759,T_PlannedOrders[WeekIndex],34)=0,"",SUMIFS(T_PlannedOrders[EffectiveQty],T_PlannedOrders[Part Name],$A759,T_PlannedOrders[WeekIndex],34)&amp;" ("&amp;TEXT(SUMPRODUCT(MAX((T_PlannedOrders[Part Name]=$A759)*(T_PlannedOrders[WeekIndex]=34)*(T_PlannedOrders[EffectiveQty]&gt;0)*T_PlannedOrders[Order_Month])),"m月")&amp;"発注)")</f>
        <v/>
      </c>
      <c r="AL773">
        <f>IF(SUMIFS(T_PlannedOrders[EffectiveQty],T_PlannedOrders[Part Name],$A759,T_PlannedOrders[WeekIndex],35)=0,"",SUMIFS(T_PlannedOrders[EffectiveQty],T_PlannedOrders[Part Name],$A759,T_PlannedOrders[WeekIndex],35)&amp;" ("&amp;TEXT(SUMPRODUCT(MAX((T_PlannedOrders[Part Name]=$A759)*(T_PlannedOrders[WeekIndex]=35)*(T_PlannedOrders[EffectiveQty]&gt;0)*T_PlannedOrders[Order_Month])),"m月")&amp;"発注)")</f>
        <v/>
      </c>
      <c r="AM773">
        <f>IF(SUMIFS(T_PlannedOrders[EffectiveQty],T_PlannedOrders[Part Name],$A759,T_PlannedOrders[WeekIndex],36)=0,"",SUMIFS(T_PlannedOrders[EffectiveQty],T_PlannedOrders[Part Name],$A759,T_PlannedOrders[WeekIndex],36)&amp;" ("&amp;TEXT(SUMPRODUCT(MAX((T_PlannedOrders[Part Name]=$A759)*(T_PlannedOrders[WeekIndex]=36)*(T_PlannedOrders[EffectiveQty]&gt;0)*T_PlannedOrders[Order_Month])),"m月")&amp;"発注)")</f>
        <v/>
      </c>
      <c r="AN773">
        <f>IF(SUMIFS(T_PlannedOrders[EffectiveQty],T_PlannedOrders[Part Name],$A759,T_PlannedOrders[WeekIndex],37)=0,"",SUMIFS(T_PlannedOrders[EffectiveQty],T_PlannedOrders[Part Name],$A759,T_PlannedOrders[WeekIndex],37)&amp;" ("&amp;TEXT(SUMPRODUCT(MAX((T_PlannedOrders[Part Name]=$A759)*(T_PlannedOrders[WeekIndex]=37)*(T_PlannedOrders[EffectiveQty]&gt;0)*T_PlannedOrders[Order_Month])),"m月")&amp;"発注)")</f>
        <v/>
      </c>
      <c r="AO773">
        <f>IF(SUMIFS(T_PlannedOrders[EffectiveQty],T_PlannedOrders[Part Name],$A759,T_PlannedOrders[WeekIndex],38)=0,"",SUMIFS(T_PlannedOrders[EffectiveQty],T_PlannedOrders[Part Name],$A759,T_PlannedOrders[WeekIndex],38)&amp;" ("&amp;TEXT(SUMPRODUCT(MAX((T_PlannedOrders[Part Name]=$A759)*(T_PlannedOrders[WeekIndex]=38)*(T_PlannedOrders[EffectiveQty]&gt;0)*T_PlannedOrders[Order_Month])),"m月")&amp;"発注)")</f>
        <v/>
      </c>
      <c r="AP773">
        <f>IF(SUMIFS(T_PlannedOrders[EffectiveQty],T_PlannedOrders[Part Name],$A759,T_PlannedOrders[WeekIndex],39)=0,"",SUMIFS(T_PlannedOrders[EffectiveQty],T_PlannedOrders[Part Name],$A759,T_PlannedOrders[WeekIndex],39)&amp;" ("&amp;TEXT(SUMPRODUCT(MAX((T_PlannedOrders[Part Name]=$A759)*(T_PlannedOrders[WeekIndex]=39)*(T_PlannedOrders[EffectiveQty]&gt;0)*T_PlannedOrders[Order_Month])),"m月")&amp;"発注)")</f>
        <v/>
      </c>
      <c r="AQ773">
        <f>IF(SUMIFS(T_PlannedOrders[EffectiveQty],T_PlannedOrders[Part Name],$A759,T_PlannedOrders[WeekIndex],40)=0,"",SUMIFS(T_PlannedOrders[EffectiveQty],T_PlannedOrders[Part Name],$A759,T_PlannedOrders[WeekIndex],40)&amp;" ("&amp;TEXT(SUMPRODUCT(MAX((T_PlannedOrders[Part Name]=$A759)*(T_PlannedOrders[WeekIndex]=40)*(T_PlannedOrders[EffectiveQty]&gt;0)*T_PlannedOrders[Order_Month])),"m月")&amp;"発注)")</f>
        <v/>
      </c>
      <c r="AR773">
        <f>IF(SUMIFS(T_PlannedOrders[EffectiveQty],T_PlannedOrders[Part Name],$A759,T_PlannedOrders[WeekIndex],41)=0,"",SUMIFS(T_PlannedOrders[EffectiveQty],T_PlannedOrders[Part Name],$A759,T_PlannedOrders[WeekIndex],41)&amp;" ("&amp;TEXT(SUMPRODUCT(MAX((T_PlannedOrders[Part Name]=$A759)*(T_PlannedOrders[WeekIndex]=41)*(T_PlannedOrders[EffectiveQty]&gt;0)*T_PlannedOrders[Order_Month])),"m月")&amp;"発注)")</f>
        <v/>
      </c>
      <c r="AS773">
        <f>IF(SUMIFS(T_PlannedOrders[EffectiveQty],T_PlannedOrders[Part Name],$A759,T_PlannedOrders[WeekIndex],42)=0,"",SUMIFS(T_PlannedOrders[EffectiveQty],T_PlannedOrders[Part Name],$A759,T_PlannedOrders[WeekIndex],42)&amp;" ("&amp;TEXT(SUMPRODUCT(MAX((T_PlannedOrders[Part Name]=$A759)*(T_PlannedOrders[WeekIndex]=42)*(T_PlannedOrders[EffectiveQty]&gt;0)*T_PlannedOrders[Order_Month])),"m月")&amp;"発注)")</f>
        <v/>
      </c>
      <c r="AT773">
        <f>IF(SUMIFS(T_PlannedOrders[EffectiveQty],T_PlannedOrders[Part Name],$A759,T_PlannedOrders[WeekIndex],43)=0,"",SUMIFS(T_PlannedOrders[EffectiveQty],T_PlannedOrders[Part Name],$A759,T_PlannedOrders[WeekIndex],43)&amp;" ("&amp;TEXT(SUMPRODUCT(MAX((T_PlannedOrders[Part Name]=$A759)*(T_PlannedOrders[WeekIndex]=43)*(T_PlannedOrders[EffectiveQty]&gt;0)*T_PlannedOrders[Order_Month])),"m月")&amp;"発注)")</f>
        <v/>
      </c>
      <c r="AU773">
        <f>IF(SUMIFS(T_PlannedOrders[EffectiveQty],T_PlannedOrders[Part Name],$A759,T_PlannedOrders[WeekIndex],44)=0,"",SUMIFS(T_PlannedOrders[EffectiveQty],T_PlannedOrders[Part Name],$A759,T_PlannedOrders[WeekIndex],44)&amp;" ("&amp;TEXT(SUMPRODUCT(MAX((T_PlannedOrders[Part Name]=$A759)*(T_PlannedOrders[WeekIndex]=44)*(T_PlannedOrders[EffectiveQty]&gt;0)*T_PlannedOrders[Order_Month])),"m月")&amp;"発注)")</f>
        <v/>
      </c>
      <c r="AV773">
        <f>IF(SUMIFS(T_PlannedOrders[EffectiveQty],T_PlannedOrders[Part Name],$A759,T_PlannedOrders[WeekIndex],45)=0,"",SUMIFS(T_PlannedOrders[EffectiveQty],T_PlannedOrders[Part Name],$A759,T_PlannedOrders[WeekIndex],45)&amp;" ("&amp;TEXT(SUMPRODUCT(MAX((T_PlannedOrders[Part Name]=$A759)*(T_PlannedOrders[WeekIndex]=45)*(T_PlannedOrders[EffectiveQty]&gt;0)*T_PlannedOrders[Order_Month])),"m月")&amp;"発注)")</f>
        <v/>
      </c>
      <c r="AW773">
        <f>IF(SUMIFS(T_PlannedOrders[EffectiveQty],T_PlannedOrders[Part Name],$A759,T_PlannedOrders[WeekIndex],46)=0,"",SUMIFS(T_PlannedOrders[EffectiveQty],T_PlannedOrders[Part Name],$A759,T_PlannedOrders[WeekIndex],46)&amp;" ("&amp;TEXT(SUMPRODUCT(MAX((T_PlannedOrders[Part Name]=$A759)*(T_PlannedOrders[WeekIndex]=46)*(T_PlannedOrders[EffectiveQty]&gt;0)*T_PlannedOrders[Order_Month])),"m月")&amp;"発注)")</f>
        <v/>
      </c>
      <c r="AX773">
        <f>IF(SUMIFS(T_PlannedOrders[EffectiveQty],T_PlannedOrders[Part Name],$A759,T_PlannedOrders[WeekIndex],47)=0,"",SUMIFS(T_PlannedOrders[EffectiveQty],T_PlannedOrders[Part Name],$A759,T_PlannedOrders[WeekIndex],47)&amp;" ("&amp;TEXT(SUMPRODUCT(MAX((T_PlannedOrders[Part Name]=$A759)*(T_PlannedOrders[WeekIndex]=47)*(T_PlannedOrders[EffectiveQty]&gt;0)*T_PlannedOrders[Order_Month])),"m月")&amp;"発注)")</f>
        <v/>
      </c>
      <c r="AY773">
        <f>IF(SUMIFS(T_PlannedOrders[EffectiveQty],T_PlannedOrders[Part Name],$A759,T_PlannedOrders[WeekIndex],48)=0,"",SUMIFS(T_PlannedOrders[EffectiveQty],T_PlannedOrders[Part Name],$A759,T_PlannedOrders[WeekIndex],48)&amp;" ("&amp;TEXT(SUMPRODUCT(MAX((T_PlannedOrders[Part Name]=$A759)*(T_PlannedOrders[WeekIndex]=48)*(T_PlannedOrders[EffectiveQty]&gt;0)*T_PlannedOrders[Order_Month])),"m月")&amp;"発注)")</f>
        <v/>
      </c>
      <c r="AZ773">
        <f>IF(SUMIFS(T_PlannedOrders[EffectiveQty],T_PlannedOrders[Part Name],$A759,T_PlannedOrders[WeekIndex],49)=0,"",SUMIFS(T_PlannedOrders[EffectiveQty],T_PlannedOrders[Part Name],$A759,T_PlannedOrders[WeekIndex],49)&amp;" ("&amp;TEXT(SUMPRODUCT(MAX((T_PlannedOrders[Part Name]=$A759)*(T_PlannedOrders[WeekIndex]=49)*(T_PlannedOrders[EffectiveQty]&gt;0)*T_PlannedOrders[Order_Month])),"m月")&amp;"発注)")</f>
        <v/>
      </c>
      <c r="BA773">
        <f>IF(SUMIFS(T_PlannedOrders[EffectiveQty],T_PlannedOrders[Part Name],$A759,T_PlannedOrders[WeekIndex],50)=0,"",SUMIFS(T_PlannedOrders[EffectiveQty],T_PlannedOrders[Part Name],$A759,T_PlannedOrders[WeekIndex],50)&amp;" ("&amp;TEXT(SUMPRODUCT(MAX((T_PlannedOrders[Part Name]=$A759)*(T_PlannedOrders[WeekIndex]=50)*(T_PlannedOrders[EffectiveQty]&gt;0)*T_PlannedOrders[Order_Month])),"m月")&amp;"発注)")</f>
        <v/>
      </c>
      <c r="BB773">
        <f>IF(SUMIFS(T_PlannedOrders[EffectiveQty],T_PlannedOrders[Part Name],$A759,T_PlannedOrders[WeekIndex],51)=0,"",SUMIFS(T_PlannedOrders[EffectiveQty],T_PlannedOrders[Part Name],$A759,T_PlannedOrders[WeekIndex],51)&amp;" ("&amp;TEXT(SUMPRODUCT(MAX((T_PlannedOrders[Part Name]=$A759)*(T_PlannedOrders[WeekIndex]=51)*(T_PlannedOrders[EffectiveQty]&gt;0)*T_PlannedOrders[Order_Month])),"m月")&amp;"発注)")</f>
        <v/>
      </c>
      <c r="BC773">
        <f>IF(SUMIFS(T_PlannedOrders[EffectiveQty],T_PlannedOrders[Part Name],$A759,T_PlannedOrders[WeekIndex],52)=0,"",SUMIFS(T_PlannedOrders[EffectiveQty],T_PlannedOrders[Part Name],$A759,T_PlannedOrders[WeekIndex],52)&amp;" ("&amp;TEXT(SUMPRODUCT(MAX((T_PlannedOrders[Part Name]=$A759)*(T_PlannedOrders[WeekIndex]=52)*(T_PlannedOrders[EffectiveQty]&gt;0)*T_PlannedOrders[Order_Month])),"m月")&amp;"発注)")</f>
        <v/>
      </c>
      <c r="BD773">
        <f>IF(SUMIFS(T_PlannedOrders[EffectiveQty],T_PlannedOrders[Part Name],$A759,T_PlannedOrders[WeekIndex],53)=0,"",SUMIFS(T_PlannedOrders[EffectiveQty],T_PlannedOrders[Part Name],$A759,T_PlannedOrders[WeekIndex],53)&amp;" ("&amp;TEXT(SUMPRODUCT(MAX((T_PlannedOrders[Part Name]=$A759)*(T_PlannedOrders[WeekIndex]=53)*(T_PlannedOrders[EffectiveQty]&gt;0)*T_PlannedOrders[Order_Month])),"m月")&amp;"発注)")</f>
        <v/>
      </c>
      <c r="BE773">
        <f>IF(SUMIFS(T_PlannedOrders[EffectiveQty],T_PlannedOrders[Part Name],$A759,T_PlannedOrders[WeekIndex],54)=0,"",SUMIFS(T_PlannedOrders[EffectiveQty],T_PlannedOrders[Part Name],$A759,T_PlannedOrders[WeekIndex],54)&amp;" ("&amp;TEXT(SUMPRODUCT(MAX((T_PlannedOrders[Part Name]=$A759)*(T_PlannedOrders[WeekIndex]=54)*(T_PlannedOrders[EffectiveQty]&gt;0)*T_PlannedOrders[Order_Month])),"m月")&amp;"発注)")</f>
        <v/>
      </c>
      <c r="BF773">
        <f>IF(SUMIFS(T_PlannedOrders[EffectiveQty],T_PlannedOrders[Part Name],$A759,T_PlannedOrders[WeekIndex],55)=0,"",SUMIFS(T_PlannedOrders[EffectiveQty],T_PlannedOrders[Part Name],$A759,T_PlannedOrders[WeekIndex],55)&amp;" ("&amp;TEXT(SUMPRODUCT(MAX((T_PlannedOrders[Part Name]=$A759)*(T_PlannedOrders[WeekIndex]=55)*(T_PlannedOrders[EffectiveQty]&gt;0)*T_PlannedOrders[Order_Month])),"m月")&amp;"発注)")</f>
        <v/>
      </c>
      <c r="BG773">
        <f>IF(SUMIFS(T_PlannedOrders[EffectiveQty],T_PlannedOrders[Part Name],$A759,T_PlannedOrders[WeekIndex],56)=0,"",SUMIFS(T_PlannedOrders[EffectiveQty],T_PlannedOrders[Part Name],$A759,T_PlannedOrders[WeekIndex],56)&amp;" ("&amp;TEXT(SUMPRODUCT(MAX((T_PlannedOrders[Part Name]=$A759)*(T_PlannedOrders[WeekIndex]=56)*(T_PlannedOrders[EffectiveQty]&gt;0)*T_PlannedOrders[Order_Month])),"m月")&amp;"発注)")</f>
        <v/>
      </c>
      <c r="BH773">
        <f>IF(SUMIFS(T_PlannedOrders[EffectiveQty],T_PlannedOrders[Part Name],$A759,T_PlannedOrders[WeekIndex],57)=0,"",SUMIFS(T_PlannedOrders[EffectiveQty],T_PlannedOrders[Part Name],$A759,T_PlannedOrders[WeekIndex],57)&amp;" ("&amp;TEXT(SUMPRODUCT(MAX((T_PlannedOrders[Part Name]=$A759)*(T_PlannedOrders[WeekIndex]=57)*(T_PlannedOrders[EffectiveQty]&gt;0)*T_PlannedOrders[Order_Month])),"m月")&amp;"発注)")</f>
        <v/>
      </c>
      <c r="BI773">
        <f>IF(SUMIFS(T_PlannedOrders[EffectiveQty],T_PlannedOrders[Part Name],$A759,T_PlannedOrders[WeekIndex],58)=0,"",SUMIFS(T_PlannedOrders[EffectiveQty],T_PlannedOrders[Part Name],$A759,T_PlannedOrders[WeekIndex],58)&amp;" ("&amp;TEXT(SUMPRODUCT(MAX((T_PlannedOrders[Part Name]=$A759)*(T_PlannedOrders[WeekIndex]=58)*(T_PlannedOrders[EffectiveQty]&gt;0)*T_PlannedOrders[Order_Month])),"m月")&amp;"発注)")</f>
        <v/>
      </c>
      <c r="BJ773">
        <f>IF(SUMIFS(T_PlannedOrders[EffectiveQty],T_PlannedOrders[Part Name],$A759,T_PlannedOrders[WeekIndex],59)=0,"",SUMIFS(T_PlannedOrders[EffectiveQty],T_PlannedOrders[Part Name],$A759,T_PlannedOrders[WeekIndex],59)&amp;" ("&amp;TEXT(SUMPRODUCT(MAX((T_PlannedOrders[Part Name]=$A759)*(T_PlannedOrders[WeekIndex]=59)*(T_PlannedOrders[EffectiveQty]&gt;0)*T_PlannedOrders[Order_Month])),"m月")&amp;"発注)")</f>
        <v/>
      </c>
      <c r="BK773">
        <f>IF(SUMIFS(T_PlannedOrders[EffectiveQty],T_PlannedOrders[Part Name],$A759,T_PlannedOrders[WeekIndex],60)=0,"",SUMIFS(T_PlannedOrders[EffectiveQty],T_PlannedOrders[Part Name],$A759,T_PlannedOrders[WeekIndex],60)&amp;" ("&amp;TEXT(SUMPRODUCT(MAX((T_PlannedOrders[Part Name]=$A759)*(T_PlannedOrders[WeekIndex]=60)*(T_PlannedOrders[EffectiveQty]&gt;0)*T_PlannedOrders[Order_Month])),"m月")&amp;"発注)")</f>
        <v/>
      </c>
      <c r="BL773">
        <f>IF(SUMIFS(T_PlannedOrders[EffectiveQty],T_PlannedOrders[Part Name],$A759,T_PlannedOrders[WeekIndex],61)=0,"",SUMIFS(T_PlannedOrders[EffectiveQty],T_PlannedOrders[Part Name],$A759,T_PlannedOrders[WeekIndex],61)&amp;" ("&amp;TEXT(SUMPRODUCT(MAX((T_PlannedOrders[Part Name]=$A759)*(T_PlannedOrders[WeekIndex]=61)*(T_PlannedOrders[EffectiveQty]&gt;0)*T_PlannedOrders[Order_Month])),"m月")&amp;"発注)")</f>
        <v/>
      </c>
      <c r="BM773">
        <f>IF(SUMIFS(T_PlannedOrders[EffectiveQty],T_PlannedOrders[Part Name],$A759,T_PlannedOrders[WeekIndex],62)=0,"",SUMIFS(T_PlannedOrders[EffectiveQty],T_PlannedOrders[Part Name],$A759,T_PlannedOrders[WeekIndex],62)&amp;" ("&amp;TEXT(SUMPRODUCT(MAX((T_PlannedOrders[Part Name]=$A759)*(T_PlannedOrders[WeekIndex]=62)*(T_PlannedOrders[EffectiveQty]&gt;0)*T_PlannedOrders[Order_Month])),"m月")&amp;"発注)")</f>
        <v/>
      </c>
      <c r="BN773">
        <f>IF(SUMIFS(T_PlannedOrders[EffectiveQty],T_PlannedOrders[Part Name],$A759,T_PlannedOrders[WeekIndex],63)=0,"",SUMIFS(T_PlannedOrders[EffectiveQty],T_PlannedOrders[Part Name],$A759,T_PlannedOrders[WeekIndex],63)&amp;" ("&amp;TEXT(SUMPRODUCT(MAX((T_PlannedOrders[Part Name]=$A759)*(T_PlannedOrders[WeekIndex]=63)*(T_PlannedOrders[EffectiveQty]&gt;0)*T_PlannedOrders[Order_Month])),"m月")&amp;"発注)")</f>
        <v/>
      </c>
      <c r="BO773">
        <f>IF(SUMIFS(T_PlannedOrders[EffectiveQty],T_PlannedOrders[Part Name],$A759,T_PlannedOrders[WeekIndex],64)=0,"",SUMIFS(T_PlannedOrders[EffectiveQty],T_PlannedOrders[Part Name],$A759,T_PlannedOrders[WeekIndex],64)&amp;" ("&amp;TEXT(SUMPRODUCT(MAX((T_PlannedOrders[Part Name]=$A759)*(T_PlannedOrders[WeekIndex]=64)*(T_PlannedOrders[EffectiveQty]&gt;0)*T_PlannedOrders[Order_Month])),"m月")&amp;"発注)")</f>
        <v/>
      </c>
      <c r="BP773">
        <f>IF(SUMIFS(T_PlannedOrders[EffectiveQty],T_PlannedOrders[Part Name],$A759,T_PlannedOrders[WeekIndex],65)=0,"",SUMIFS(T_PlannedOrders[EffectiveQty],T_PlannedOrders[Part Name],$A759,T_PlannedOrders[WeekIndex],65)&amp;" ("&amp;TEXT(SUMPRODUCT(MAX((T_PlannedOrders[Part Name]=$A759)*(T_PlannedOrders[WeekIndex]=65)*(T_PlannedOrders[EffectiveQty]&gt;0)*T_PlannedOrders[Order_Month])),"m月")&amp;"発注)")</f>
        <v/>
      </c>
      <c r="BQ773">
        <f>IF(SUMIFS(T_PlannedOrders[EffectiveQty],T_PlannedOrders[Part Name],$A759,T_PlannedOrders[WeekIndex],66)=0,"",SUMIFS(T_PlannedOrders[EffectiveQty],T_PlannedOrders[Part Name],$A759,T_PlannedOrders[WeekIndex],66)&amp;" ("&amp;TEXT(SUMPRODUCT(MAX((T_PlannedOrders[Part Name]=$A759)*(T_PlannedOrders[WeekIndex]=66)*(T_PlannedOrders[EffectiveQty]&gt;0)*T_PlannedOrders[Order_Month])),"m月")&amp;"発注)")</f>
        <v/>
      </c>
      <c r="BR773">
        <f>IF(SUMIFS(T_PlannedOrders[EffectiveQty],T_PlannedOrders[Part Name],$A759,T_PlannedOrders[WeekIndex],67)=0,"",SUMIFS(T_PlannedOrders[EffectiveQty],T_PlannedOrders[Part Name],$A759,T_PlannedOrders[WeekIndex],67)&amp;" ("&amp;TEXT(SUMPRODUCT(MAX((T_PlannedOrders[Part Name]=$A759)*(T_PlannedOrders[WeekIndex]=67)*(T_PlannedOrders[EffectiveQty]&gt;0)*T_PlannedOrders[Order_Month])),"m月")&amp;"発注)")</f>
        <v/>
      </c>
      <c r="BS773">
        <f>IF(SUMIFS(T_PlannedOrders[EffectiveQty],T_PlannedOrders[Part Name],$A759,T_PlannedOrders[WeekIndex],68)=0,"",SUMIFS(T_PlannedOrders[EffectiveQty],T_PlannedOrders[Part Name],$A759,T_PlannedOrders[WeekIndex],68)&amp;" ("&amp;TEXT(SUMPRODUCT(MAX((T_PlannedOrders[Part Name]=$A759)*(T_PlannedOrders[WeekIndex]=68)*(T_PlannedOrders[EffectiveQty]&gt;0)*T_PlannedOrders[Order_Month])),"m月")&amp;"発注)")</f>
        <v/>
      </c>
      <c r="BT773">
        <f>IF(SUMIFS(T_PlannedOrders[EffectiveQty],T_PlannedOrders[Part Name],$A759,T_PlannedOrders[WeekIndex],69)=0,"",SUMIFS(T_PlannedOrders[EffectiveQty],T_PlannedOrders[Part Name],$A759,T_PlannedOrders[WeekIndex],69)&amp;" ("&amp;TEXT(SUMPRODUCT(MAX((T_PlannedOrders[Part Name]=$A759)*(T_PlannedOrders[WeekIndex]=69)*(T_PlannedOrders[EffectiveQty]&gt;0)*T_PlannedOrders[Order_Month])),"m月")&amp;"発注)")</f>
        <v/>
      </c>
      <c r="BU773">
        <f>IF(SUMIFS(T_PlannedOrders[EffectiveQty],T_PlannedOrders[Part Name],$A759,T_PlannedOrders[WeekIndex],70)=0,"",SUMIFS(T_PlannedOrders[EffectiveQty],T_PlannedOrders[Part Name],$A759,T_PlannedOrders[WeekIndex],70)&amp;" ("&amp;TEXT(SUMPRODUCT(MAX((T_PlannedOrders[Part Name]=$A759)*(T_PlannedOrders[WeekIndex]=70)*(T_PlannedOrders[EffectiveQty]&gt;0)*T_PlannedOrders[Order_Month])),"m月")&amp;"発注)")</f>
        <v/>
      </c>
      <c r="BV773">
        <f>IF(SUMIFS(T_PlannedOrders[EffectiveQty],T_PlannedOrders[Part Name],$A759,T_PlannedOrders[WeekIndex],71)=0,"",SUMIFS(T_PlannedOrders[EffectiveQty],T_PlannedOrders[Part Name],$A759,T_PlannedOrders[WeekIndex],71)&amp;" ("&amp;TEXT(SUMPRODUCT(MAX((T_PlannedOrders[Part Name]=$A759)*(T_PlannedOrders[WeekIndex]=71)*(T_PlannedOrders[EffectiveQty]&gt;0)*T_PlannedOrders[Order_Month])),"m月")&amp;"発注)")</f>
        <v/>
      </c>
      <c r="BW773">
        <f>IF(SUMIFS(T_PlannedOrders[EffectiveQty],T_PlannedOrders[Part Name],$A759,T_PlannedOrders[WeekIndex],72)=0,"",SUMIFS(T_PlannedOrders[EffectiveQty],T_PlannedOrders[Part Name],$A759,T_PlannedOrders[WeekIndex],72)&amp;" ("&amp;TEXT(SUMPRODUCT(MAX((T_PlannedOrders[Part Name]=$A759)*(T_PlannedOrders[WeekIndex]=72)*(T_PlannedOrders[EffectiveQty]&gt;0)*T_PlannedOrders[Order_Month])),"m月")&amp;"発注)")</f>
        <v/>
      </c>
      <c r="BX773">
        <f>IF(SUMIFS(T_PlannedOrders[EffectiveQty],T_PlannedOrders[Part Name],$A759,T_PlannedOrders[WeekIndex],73)=0,"",SUMIFS(T_PlannedOrders[EffectiveQty],T_PlannedOrders[Part Name],$A759,T_PlannedOrders[WeekIndex],73)&amp;" ("&amp;TEXT(SUMPRODUCT(MAX((T_PlannedOrders[Part Name]=$A759)*(T_PlannedOrders[WeekIndex]=73)*(T_PlannedOrders[EffectiveQty]&gt;0)*T_PlannedOrders[Order_Month])),"m月")&amp;"発注)")</f>
        <v/>
      </c>
      <c r="BY773">
        <f>IF(SUMIFS(T_PlannedOrders[EffectiveQty],T_PlannedOrders[Part Name],$A759,T_PlannedOrders[WeekIndex],74)=0,"",SUMIFS(T_PlannedOrders[EffectiveQty],T_PlannedOrders[Part Name],$A759,T_PlannedOrders[WeekIndex],74)&amp;" ("&amp;TEXT(SUMPRODUCT(MAX((T_PlannedOrders[Part Name]=$A759)*(T_PlannedOrders[WeekIndex]=74)*(T_PlannedOrders[EffectiveQty]&gt;0)*T_PlannedOrders[Order_Month])),"m月")&amp;"発注)")</f>
        <v/>
      </c>
      <c r="BZ773">
        <f>IF(SUMIFS(T_PlannedOrders[EffectiveQty],T_PlannedOrders[Part Name],$A759,T_PlannedOrders[WeekIndex],75)=0,"",SUMIFS(T_PlannedOrders[EffectiveQty],T_PlannedOrders[Part Name],$A759,T_PlannedOrders[WeekIndex],75)&amp;" ("&amp;TEXT(SUMPRODUCT(MAX((T_PlannedOrders[Part Name]=$A759)*(T_PlannedOrders[WeekIndex]=75)*(T_PlannedOrders[EffectiveQty]&gt;0)*T_PlannedOrders[Order_Month])),"m月")&amp;"発注)")</f>
        <v/>
      </c>
      <c r="CA773">
        <f>IF(SUMIFS(T_PlannedOrders[EffectiveQty],T_PlannedOrders[Part Name],$A759,T_PlannedOrders[WeekIndex],76)=0,"",SUMIFS(T_PlannedOrders[EffectiveQty],T_PlannedOrders[Part Name],$A759,T_PlannedOrders[WeekIndex],76)&amp;" ("&amp;TEXT(SUMPRODUCT(MAX((T_PlannedOrders[Part Name]=$A759)*(T_PlannedOrders[WeekIndex]=76)*(T_PlannedOrders[EffectiveQty]&gt;0)*T_PlannedOrders[Order_Month])),"m月")&amp;"発注)")</f>
        <v/>
      </c>
      <c r="CB773">
        <f>IF(SUMIFS(T_PlannedOrders[EffectiveQty],T_PlannedOrders[Part Name],$A759,T_PlannedOrders[WeekIndex],77)=0,"",SUMIFS(T_PlannedOrders[EffectiveQty],T_PlannedOrders[Part Name],$A759,T_PlannedOrders[WeekIndex],77)&amp;" ("&amp;TEXT(SUMPRODUCT(MAX((T_PlannedOrders[Part Name]=$A759)*(T_PlannedOrders[WeekIndex]=77)*(T_PlannedOrders[EffectiveQty]&gt;0)*T_PlannedOrders[Order_Month])),"m月")&amp;"発注)")</f>
        <v/>
      </c>
      <c r="CC773">
        <f>IF(SUMIFS(T_PlannedOrders[EffectiveQty],T_PlannedOrders[Part Name],$A759,T_PlannedOrders[WeekIndex],78)=0,"",SUMIFS(T_PlannedOrders[EffectiveQty],T_PlannedOrders[Part Name],$A759,T_PlannedOrders[WeekIndex],78)&amp;" ("&amp;TEXT(SUMPRODUCT(MAX((T_PlannedOrders[Part Name]=$A759)*(T_PlannedOrders[WeekIndex]=78)*(T_PlannedOrders[EffectiveQty]&gt;0)*T_PlannedOrders[Order_Month])),"m月")&amp;"発注)")</f>
        <v/>
      </c>
      <c r="CD773">
        <f>IF(SUMIFS(T_PlannedOrders[EffectiveQty],T_PlannedOrders[Part Name],$A759,T_PlannedOrders[WeekIndex],79)=0,"",SUMIFS(T_PlannedOrders[EffectiveQty],T_PlannedOrders[Part Name],$A759,T_PlannedOrders[WeekIndex],79)&amp;" ("&amp;TEXT(SUMPRODUCT(MAX((T_PlannedOrders[Part Name]=$A759)*(T_PlannedOrders[WeekIndex]=79)*(T_PlannedOrders[EffectiveQty]&gt;0)*T_PlannedOrders[Order_Month])),"m月")&amp;"発注)")</f>
        <v/>
      </c>
      <c r="CE773">
        <f>IF(SUMIFS(T_PlannedOrders[EffectiveQty],T_PlannedOrders[Part Name],$A759,T_PlannedOrders[WeekIndex],80)=0,"",SUMIFS(T_PlannedOrders[EffectiveQty],T_PlannedOrders[Part Name],$A759,T_PlannedOrders[WeekIndex],80)&amp;" ("&amp;TEXT(SUMPRODUCT(MAX((T_PlannedOrders[Part Name]=$A759)*(T_PlannedOrders[WeekIndex]=80)*(T_PlannedOrders[EffectiveQty]&gt;0)*T_PlannedOrders[Order_Month])),"m月")&amp;"発注)")</f>
        <v/>
      </c>
      <c r="CF773">
        <f>IF(SUMIFS(T_PlannedOrders[EffectiveQty],T_PlannedOrders[Part Name],$A759,T_PlannedOrders[WeekIndex],81)=0,"",SUMIFS(T_PlannedOrders[EffectiveQty],T_PlannedOrders[Part Name],$A759,T_PlannedOrders[WeekIndex],81)&amp;" ("&amp;TEXT(SUMPRODUCT(MAX((T_PlannedOrders[Part Name]=$A759)*(T_PlannedOrders[WeekIndex]=81)*(T_PlannedOrders[EffectiveQty]&gt;0)*T_PlannedOrders[Order_Month])),"m月")&amp;"発注)")</f>
        <v/>
      </c>
      <c r="CG773">
        <f>IF(SUMIFS(T_PlannedOrders[EffectiveQty],T_PlannedOrders[Part Name],$A759,T_PlannedOrders[WeekIndex],82)=0,"",SUMIFS(T_PlannedOrders[EffectiveQty],T_PlannedOrders[Part Name],$A759,T_PlannedOrders[WeekIndex],82)&amp;" ("&amp;TEXT(SUMPRODUCT(MAX((T_PlannedOrders[Part Name]=$A759)*(T_PlannedOrders[WeekIndex]=82)*(T_PlannedOrders[EffectiveQty]&gt;0)*T_PlannedOrders[Order_Month])),"m月")&amp;"発注)")</f>
        <v/>
      </c>
      <c r="CH773">
        <f>IF(SUMIFS(T_PlannedOrders[EffectiveQty],T_PlannedOrders[Part Name],$A759,T_PlannedOrders[WeekIndex],83)=0,"",SUMIFS(T_PlannedOrders[EffectiveQty],T_PlannedOrders[Part Name],$A759,T_PlannedOrders[WeekIndex],83)&amp;" ("&amp;TEXT(SUMPRODUCT(MAX((T_PlannedOrders[Part Name]=$A759)*(T_PlannedOrders[WeekIndex]=83)*(T_PlannedOrders[EffectiveQty]&gt;0)*T_PlannedOrders[Order_Month])),"m月")&amp;"発注)")</f>
        <v/>
      </c>
      <c r="CI773">
        <f>IF(SUMIFS(T_PlannedOrders[EffectiveQty],T_PlannedOrders[Part Name],$A759,T_PlannedOrders[WeekIndex],84)=0,"",SUMIFS(T_PlannedOrders[EffectiveQty],T_PlannedOrders[Part Name],$A759,T_PlannedOrders[WeekIndex],84)&amp;" ("&amp;TEXT(SUMPRODUCT(MAX((T_PlannedOrders[Part Name]=$A759)*(T_PlannedOrders[WeekIndex]=84)*(T_PlannedOrders[EffectiveQty]&gt;0)*T_PlannedOrders[Order_Month])),"m月")&amp;"発注)")</f>
        <v/>
      </c>
      <c r="CJ773">
        <f>IF(SUMIFS(T_PlannedOrders[EffectiveQty],T_PlannedOrders[Part Name],$A759,T_PlannedOrders[WeekIndex],85)=0,"",SUMIFS(T_PlannedOrders[EffectiveQty],T_PlannedOrders[Part Name],$A759,T_PlannedOrders[WeekIndex],85)&amp;" ("&amp;TEXT(SUMPRODUCT(MAX((T_PlannedOrders[Part Name]=$A759)*(T_PlannedOrders[WeekIndex]=85)*(T_PlannedOrders[EffectiveQty]&gt;0)*T_PlannedOrders[Order_Month])),"m月")&amp;"発注)")</f>
        <v/>
      </c>
      <c r="CK773">
        <f>IF(SUMIFS(T_PlannedOrders[EffectiveQty],T_PlannedOrders[Part Name],$A759,T_PlannedOrders[WeekIndex],86)=0,"",SUMIFS(T_PlannedOrders[EffectiveQty],T_PlannedOrders[Part Name],$A759,T_PlannedOrders[WeekIndex],86)&amp;" ("&amp;TEXT(SUMPRODUCT(MAX((T_PlannedOrders[Part Name]=$A759)*(T_PlannedOrders[WeekIndex]=86)*(T_PlannedOrders[EffectiveQty]&gt;0)*T_PlannedOrders[Order_Month])),"m月")&amp;"発注)")</f>
        <v/>
      </c>
      <c r="CL773">
        <f>IF(SUMIFS(T_PlannedOrders[EffectiveQty],T_PlannedOrders[Part Name],$A759,T_PlannedOrders[WeekIndex],87)=0,"",SUMIFS(T_PlannedOrders[EffectiveQty],T_PlannedOrders[Part Name],$A759,T_PlannedOrders[WeekIndex],87)&amp;" ("&amp;TEXT(SUMPRODUCT(MAX((T_PlannedOrders[Part Name]=$A759)*(T_PlannedOrders[WeekIndex]=87)*(T_PlannedOrders[EffectiveQty]&gt;0)*T_PlannedOrders[Order_Month])),"m月")&amp;"発注)")</f>
        <v/>
      </c>
      <c r="CM773">
        <f>IF(SUMIFS(T_PlannedOrders[EffectiveQty],T_PlannedOrders[Part Name],$A759,T_PlannedOrders[WeekIndex],88)=0,"",SUMIFS(T_PlannedOrders[EffectiveQty],T_PlannedOrders[Part Name],$A759,T_PlannedOrders[WeekIndex],88)&amp;" ("&amp;TEXT(SUMPRODUCT(MAX((T_PlannedOrders[Part Name]=$A759)*(T_PlannedOrders[WeekIndex]=88)*(T_PlannedOrders[EffectiveQty]&gt;0)*T_PlannedOrders[Order_Month])),"m月")&amp;"発注)")</f>
        <v/>
      </c>
      <c r="CN773">
        <f>IF(SUMIFS(T_PlannedOrders[EffectiveQty],T_PlannedOrders[Part Name],$A759,T_PlannedOrders[WeekIndex],89)=0,"",SUMIFS(T_PlannedOrders[EffectiveQty],T_PlannedOrders[Part Name],$A759,T_PlannedOrders[WeekIndex],89)&amp;" ("&amp;TEXT(SUMPRODUCT(MAX((T_PlannedOrders[Part Name]=$A759)*(T_PlannedOrders[WeekIndex]=89)*(T_PlannedOrders[EffectiveQty]&gt;0)*T_PlannedOrders[Order_Month])),"m月")&amp;"発注)")</f>
        <v/>
      </c>
      <c r="CO773">
        <f>IF(SUMIFS(T_PlannedOrders[EffectiveQty],T_PlannedOrders[Part Name],$A759,T_PlannedOrders[WeekIndex],90)=0,"",SUMIFS(T_PlannedOrders[EffectiveQty],T_PlannedOrders[Part Name],$A759,T_PlannedOrders[WeekIndex],90)&amp;" ("&amp;TEXT(SUMPRODUCT(MAX((T_PlannedOrders[Part Name]=$A759)*(T_PlannedOrders[WeekIndex]=90)*(T_PlannedOrders[EffectiveQty]&gt;0)*T_PlannedOrders[Order_Month])),"m月")&amp;"発注)")</f>
        <v/>
      </c>
      <c r="CP773">
        <f>IF(SUMIFS(T_PlannedOrders[EffectiveQty],T_PlannedOrders[Part Name],$A759,T_PlannedOrders[WeekIndex],91)=0,"",SUMIFS(T_PlannedOrders[EffectiveQty],T_PlannedOrders[Part Name],$A759,T_PlannedOrders[WeekIndex],91)&amp;" ("&amp;TEXT(SUMPRODUCT(MAX((T_PlannedOrders[Part Name]=$A759)*(T_PlannedOrders[WeekIndex]=91)*(T_PlannedOrders[EffectiveQty]&gt;0)*T_PlannedOrders[Order_Month])),"m月")&amp;"発注)")</f>
        <v/>
      </c>
      <c r="CQ773">
        <f>IF(SUMIFS(T_PlannedOrders[EffectiveQty],T_PlannedOrders[Part Name],$A759,T_PlannedOrders[WeekIndex],92)=0,"",SUMIFS(T_PlannedOrders[EffectiveQty],T_PlannedOrders[Part Name],$A759,T_PlannedOrders[WeekIndex],92)&amp;" ("&amp;TEXT(SUMPRODUCT(MAX((T_PlannedOrders[Part Name]=$A759)*(T_PlannedOrders[WeekIndex]=92)*(T_PlannedOrders[EffectiveQty]&gt;0)*T_PlannedOrders[Order_Month])),"m月")&amp;"発注)")</f>
        <v/>
      </c>
      <c r="CR773">
        <f>IF(SUMIFS(T_PlannedOrders[EffectiveQty],T_PlannedOrders[Part Name],$A759,T_PlannedOrders[WeekIndex],93)=0,"",SUMIFS(T_PlannedOrders[EffectiveQty],T_PlannedOrders[Part Name],$A759,T_PlannedOrders[WeekIndex],93)&amp;" ("&amp;TEXT(SUMPRODUCT(MAX((T_PlannedOrders[Part Name]=$A759)*(T_PlannedOrders[WeekIndex]=93)*(T_PlannedOrders[EffectiveQty]&gt;0)*T_PlannedOrders[Order_Month])),"m月")&amp;"発注)")</f>
        <v/>
      </c>
      <c r="CS773">
        <f>IF(SUMIFS(T_PlannedOrders[EffectiveQty],T_PlannedOrders[Part Name],$A759,T_PlannedOrders[WeekIndex],94)=0,"",SUMIFS(T_PlannedOrders[EffectiveQty],T_PlannedOrders[Part Name],$A759,T_PlannedOrders[WeekIndex],94)&amp;" ("&amp;TEXT(SUMPRODUCT(MAX((T_PlannedOrders[Part Name]=$A759)*(T_PlannedOrders[WeekIndex]=94)*(T_PlannedOrders[EffectiveQty]&gt;0)*T_PlannedOrders[Order_Month])),"m月")&amp;"発注)")</f>
        <v/>
      </c>
      <c r="CT773">
        <f>IF(SUMIFS(T_PlannedOrders[EffectiveQty],T_PlannedOrders[Part Name],$A759,T_PlannedOrders[WeekIndex],95)=0,"",SUMIFS(T_PlannedOrders[EffectiveQty],T_PlannedOrders[Part Name],$A759,T_PlannedOrders[WeekIndex],95)&amp;" ("&amp;TEXT(SUMPRODUCT(MAX((T_PlannedOrders[Part Name]=$A759)*(T_PlannedOrders[WeekIndex]=95)*(T_PlannedOrders[EffectiveQty]&gt;0)*T_PlannedOrders[Order_Month])),"m月")&amp;"発注)")</f>
        <v/>
      </c>
      <c r="CU773">
        <f>IF(SUMIFS(T_PlannedOrders[EffectiveQty],T_PlannedOrders[Part Name],$A759,T_PlannedOrders[WeekIndex],96)=0,"",SUMIFS(T_PlannedOrders[EffectiveQty],T_PlannedOrders[Part Name],$A759,T_PlannedOrders[WeekIndex],96)&amp;" ("&amp;TEXT(SUMPRODUCT(MAX((T_PlannedOrders[Part Name]=$A759)*(T_PlannedOrders[WeekIndex]=96)*(T_PlannedOrders[EffectiveQty]&gt;0)*T_PlannedOrders[Order_Month])),"m月")&amp;"発注)")</f>
        <v/>
      </c>
      <c r="CV773">
        <f>IF(SUMIFS(T_PlannedOrders[EffectiveQty],T_PlannedOrders[Part Name],$A759,T_PlannedOrders[WeekIndex],97)=0,"",SUMIFS(T_PlannedOrders[EffectiveQty],T_PlannedOrders[Part Name],$A759,T_PlannedOrders[WeekIndex],97)&amp;" ("&amp;TEXT(SUMPRODUCT(MAX((T_PlannedOrders[Part Name]=$A759)*(T_PlannedOrders[WeekIndex]=97)*(T_PlannedOrders[EffectiveQty]&gt;0)*T_PlannedOrders[Order_Month])),"m月")&amp;"発注)")</f>
        <v/>
      </c>
      <c r="CW773">
        <f>IF(SUMIFS(T_PlannedOrders[EffectiveQty],T_PlannedOrders[Part Name],$A759,T_PlannedOrders[WeekIndex],98)=0,"",SUMIFS(T_PlannedOrders[EffectiveQty],T_PlannedOrders[Part Name],$A759,T_PlannedOrders[WeekIndex],98)&amp;" ("&amp;TEXT(SUMPRODUCT(MAX((T_PlannedOrders[Part Name]=$A759)*(T_PlannedOrders[WeekIndex]=98)*(T_PlannedOrders[EffectiveQty]&gt;0)*T_PlannedOrders[Order_Month])),"m月")&amp;"発注)")</f>
        <v/>
      </c>
      <c r="CX773">
        <f>IF(SUMIFS(T_PlannedOrders[EffectiveQty],T_PlannedOrders[Part Name],$A759,T_PlannedOrders[WeekIndex],99)=0,"",SUMIFS(T_PlannedOrders[EffectiveQty],T_PlannedOrders[Part Name],$A759,T_PlannedOrders[WeekIndex],99)&amp;" ("&amp;TEXT(SUMPRODUCT(MAX((T_PlannedOrders[Part Name]=$A759)*(T_PlannedOrders[WeekIndex]=99)*(T_PlannedOrders[EffectiveQty]&gt;0)*T_PlannedOrders[Order_Month])),"m月")&amp;"発注)")</f>
        <v/>
      </c>
      <c r="CY773">
        <f>IF(SUMIFS(T_PlannedOrders[EffectiveQty],T_PlannedOrders[Part Name],$A759,T_PlannedOrders[WeekIndex],100)=0,"",SUMIFS(T_PlannedOrders[EffectiveQty],T_PlannedOrders[Part Name],$A759,T_PlannedOrders[WeekIndex],100)&amp;" ("&amp;TEXT(SUMPRODUCT(MAX((T_PlannedOrders[Part Name]=$A759)*(T_PlannedOrders[WeekIndex]=100)*(T_PlannedOrders[EffectiveQty]&gt;0)*T_PlannedOrders[Order_Month])),"m月")&amp;"発注)")</f>
        <v/>
      </c>
      <c r="CZ773">
        <f>IF(SUMIFS(T_PlannedOrders[EffectiveQty],T_PlannedOrders[Part Name],$A759,T_PlannedOrders[WeekIndex],101)=0,"",SUMIFS(T_PlannedOrders[EffectiveQty],T_PlannedOrders[Part Name],$A759,T_PlannedOrders[WeekIndex],101)&amp;" ("&amp;TEXT(SUMPRODUCT(MAX((T_PlannedOrders[Part Name]=$A759)*(T_PlannedOrders[WeekIndex]=101)*(T_PlannedOrders[EffectiveQty]&gt;0)*T_PlannedOrders[Order_Month])),"m月")&amp;"発注)")</f>
        <v/>
      </c>
      <c r="DA773">
        <f>IF(SUMIFS(T_PlannedOrders[EffectiveQty],T_PlannedOrders[Part Name],$A759,T_PlannedOrders[WeekIndex],102)=0,"",SUMIFS(T_PlannedOrders[EffectiveQty],T_PlannedOrders[Part Name],$A759,T_PlannedOrders[WeekIndex],102)&amp;" ("&amp;TEXT(SUMPRODUCT(MAX((T_PlannedOrders[Part Name]=$A759)*(T_PlannedOrders[WeekIndex]=102)*(T_PlannedOrders[EffectiveQty]&gt;0)*T_PlannedOrders[Order_Month])),"m月")&amp;"発注)")</f>
        <v/>
      </c>
      <c r="DB773">
        <f>IF(SUMIFS(T_PlannedOrders[EffectiveQty],T_PlannedOrders[Part Name],$A759,T_PlannedOrders[WeekIndex],103)=0,"",SUMIFS(T_PlannedOrders[EffectiveQty],T_PlannedOrders[Part Name],$A759,T_PlannedOrders[WeekIndex],103)&amp;" ("&amp;TEXT(SUMPRODUCT(MAX((T_PlannedOrders[Part Name]=$A759)*(T_PlannedOrders[WeekIndex]=103)*(T_PlannedOrders[EffectiveQty]&gt;0)*T_PlannedOrders[Order_Month])),"m月")&amp;"発注)")</f>
        <v/>
      </c>
      <c r="DC773">
        <f>IF(SUMIFS(T_PlannedOrders[EffectiveQty],T_PlannedOrders[Part Name],$A759,T_PlannedOrders[WeekIndex],104)=0,"",SUMIFS(T_PlannedOrders[EffectiveQty],T_PlannedOrders[Part Name],$A759,T_PlannedOrders[WeekIndex],104)&amp;" ("&amp;TEXT(SUMPRODUCT(MAX((T_PlannedOrders[Part Name]=$A759)*(T_PlannedOrders[WeekIndex]=104)*(T_PlannedOrders[EffectiveQty]&gt;0)*T_PlannedOrders[Order_Month])),"m月")&amp;"発注)")</f>
        <v/>
      </c>
    </row>
    <row r="774">
      <c r="B774" s="5" t="inlineStr">
        <is>
          <t>合計在庫(週末時点,kg)</t>
        </is>
      </c>
      <c r="D774">
        <f>'Grid_Stock'!B46</f>
        <v/>
      </c>
      <c r="E774">
        <f>'Grid_Stock'!C46</f>
        <v/>
      </c>
      <c r="F774">
        <f>'Grid_Stock'!D46</f>
        <v/>
      </c>
      <c r="G774">
        <f>'Grid_Stock'!E46</f>
        <v/>
      </c>
      <c r="H774">
        <f>'Grid_Stock'!F46</f>
        <v/>
      </c>
      <c r="I774">
        <f>'Grid_Stock'!G46</f>
        <v/>
      </c>
      <c r="J774">
        <f>'Grid_Stock'!H46</f>
        <v/>
      </c>
      <c r="K774">
        <f>'Grid_Stock'!I46</f>
        <v/>
      </c>
      <c r="L774">
        <f>'Grid_Stock'!J46</f>
        <v/>
      </c>
      <c r="M774">
        <f>'Grid_Stock'!K46</f>
        <v/>
      </c>
      <c r="N774">
        <f>'Grid_Stock'!L46</f>
        <v/>
      </c>
      <c r="O774">
        <f>'Grid_Stock'!M46</f>
        <v/>
      </c>
      <c r="P774">
        <f>'Grid_Stock'!N46</f>
        <v/>
      </c>
      <c r="Q774">
        <f>'Grid_Stock'!O46</f>
        <v/>
      </c>
      <c r="R774">
        <f>'Grid_Stock'!P46</f>
        <v/>
      </c>
      <c r="S774">
        <f>'Grid_Stock'!Q46</f>
        <v/>
      </c>
      <c r="T774">
        <f>'Grid_Stock'!R46</f>
        <v/>
      </c>
      <c r="U774">
        <f>'Grid_Stock'!S46</f>
        <v/>
      </c>
      <c r="V774">
        <f>'Grid_Stock'!T46</f>
        <v/>
      </c>
      <c r="W774">
        <f>'Grid_Stock'!U46</f>
        <v/>
      </c>
      <c r="X774">
        <f>'Grid_Stock'!V46</f>
        <v/>
      </c>
      <c r="Y774">
        <f>'Grid_Stock'!W46</f>
        <v/>
      </c>
      <c r="Z774">
        <f>'Grid_Stock'!X46</f>
        <v/>
      </c>
      <c r="AA774">
        <f>'Grid_Stock'!Y46</f>
        <v/>
      </c>
      <c r="AB774">
        <f>'Grid_Stock'!Z46</f>
        <v/>
      </c>
      <c r="AC774">
        <f>'Grid_Stock'!AA46</f>
        <v/>
      </c>
      <c r="AD774">
        <f>'Grid_Stock'!AB46</f>
        <v/>
      </c>
      <c r="AE774">
        <f>'Grid_Stock'!AC46</f>
        <v/>
      </c>
      <c r="AF774">
        <f>'Grid_Stock'!AD46</f>
        <v/>
      </c>
      <c r="AG774">
        <f>'Grid_Stock'!AE46</f>
        <v/>
      </c>
      <c r="AH774">
        <f>'Grid_Stock'!AF46</f>
        <v/>
      </c>
      <c r="AI774">
        <f>'Grid_Stock'!AG46</f>
        <v/>
      </c>
      <c r="AJ774">
        <f>'Grid_Stock'!AH46</f>
        <v/>
      </c>
      <c r="AK774">
        <f>'Grid_Stock'!AI46</f>
        <v/>
      </c>
      <c r="AL774">
        <f>'Grid_Stock'!AJ46</f>
        <v/>
      </c>
      <c r="AM774">
        <f>'Grid_Stock'!AK46</f>
        <v/>
      </c>
      <c r="AN774">
        <f>'Grid_Stock'!AL46</f>
        <v/>
      </c>
      <c r="AO774">
        <f>'Grid_Stock'!AM46</f>
        <v/>
      </c>
      <c r="AP774">
        <f>'Grid_Stock'!AN46</f>
        <v/>
      </c>
      <c r="AQ774">
        <f>'Grid_Stock'!AO46</f>
        <v/>
      </c>
      <c r="AR774">
        <f>'Grid_Stock'!AP46</f>
        <v/>
      </c>
      <c r="AS774">
        <f>'Grid_Stock'!AQ46</f>
        <v/>
      </c>
      <c r="AT774">
        <f>'Grid_Stock'!AR46</f>
        <v/>
      </c>
      <c r="AU774">
        <f>'Grid_Stock'!AS46</f>
        <v/>
      </c>
      <c r="AV774">
        <f>'Grid_Stock'!AT46</f>
        <v/>
      </c>
      <c r="AW774">
        <f>'Grid_Stock'!AU46</f>
        <v/>
      </c>
      <c r="AX774">
        <f>'Grid_Stock'!AV46</f>
        <v/>
      </c>
      <c r="AY774">
        <f>'Grid_Stock'!AW46</f>
        <v/>
      </c>
      <c r="AZ774">
        <f>'Grid_Stock'!AX46</f>
        <v/>
      </c>
      <c r="BA774">
        <f>'Grid_Stock'!AY46</f>
        <v/>
      </c>
      <c r="BB774">
        <f>'Grid_Stock'!AZ46</f>
        <v/>
      </c>
      <c r="BC774">
        <f>'Grid_Stock'!BA46</f>
        <v/>
      </c>
      <c r="BD774">
        <f>'Grid_Stock'!BB46</f>
        <v/>
      </c>
      <c r="BE774">
        <f>'Grid_Stock'!BC46</f>
        <v/>
      </c>
      <c r="BF774">
        <f>'Grid_Stock'!BD46</f>
        <v/>
      </c>
      <c r="BG774">
        <f>'Grid_Stock'!BE46</f>
        <v/>
      </c>
      <c r="BH774">
        <f>'Grid_Stock'!BF46</f>
        <v/>
      </c>
      <c r="BI774">
        <f>'Grid_Stock'!BG46</f>
        <v/>
      </c>
      <c r="BJ774">
        <f>'Grid_Stock'!BH46</f>
        <v/>
      </c>
      <c r="BK774">
        <f>'Grid_Stock'!BI46</f>
        <v/>
      </c>
      <c r="BL774">
        <f>'Grid_Stock'!BJ46</f>
        <v/>
      </c>
      <c r="BM774">
        <f>'Grid_Stock'!BK46</f>
        <v/>
      </c>
      <c r="BN774">
        <f>'Grid_Stock'!BL46</f>
        <v/>
      </c>
      <c r="BO774">
        <f>'Grid_Stock'!BM46</f>
        <v/>
      </c>
      <c r="BP774">
        <f>'Grid_Stock'!BN46</f>
        <v/>
      </c>
      <c r="BQ774">
        <f>'Grid_Stock'!BO46</f>
        <v/>
      </c>
      <c r="BR774">
        <f>'Grid_Stock'!BP46</f>
        <v/>
      </c>
      <c r="BS774">
        <f>'Grid_Stock'!BQ46</f>
        <v/>
      </c>
      <c r="BT774">
        <f>'Grid_Stock'!BR46</f>
        <v/>
      </c>
      <c r="BU774">
        <f>'Grid_Stock'!BS46</f>
        <v/>
      </c>
      <c r="BV774">
        <f>'Grid_Stock'!BT46</f>
        <v/>
      </c>
      <c r="BW774">
        <f>'Grid_Stock'!BU46</f>
        <v/>
      </c>
      <c r="BX774">
        <f>'Grid_Stock'!BV46</f>
        <v/>
      </c>
      <c r="BY774">
        <f>'Grid_Stock'!BW46</f>
        <v/>
      </c>
      <c r="BZ774">
        <f>'Grid_Stock'!BX46</f>
        <v/>
      </c>
      <c r="CA774">
        <f>'Grid_Stock'!BY46</f>
        <v/>
      </c>
      <c r="CB774">
        <f>'Grid_Stock'!BZ46</f>
        <v/>
      </c>
      <c r="CC774">
        <f>'Grid_Stock'!CA46</f>
        <v/>
      </c>
      <c r="CD774">
        <f>'Grid_Stock'!CB46</f>
        <v/>
      </c>
      <c r="CE774">
        <f>'Grid_Stock'!CC46</f>
        <v/>
      </c>
      <c r="CF774">
        <f>'Grid_Stock'!CD46</f>
        <v/>
      </c>
      <c r="CG774">
        <f>'Grid_Stock'!CE46</f>
        <v/>
      </c>
      <c r="CH774">
        <f>'Grid_Stock'!CF46</f>
        <v/>
      </c>
      <c r="CI774">
        <f>'Grid_Stock'!CG46</f>
        <v/>
      </c>
      <c r="CJ774">
        <f>'Grid_Stock'!CH46</f>
        <v/>
      </c>
      <c r="CK774">
        <f>'Grid_Stock'!CI46</f>
        <v/>
      </c>
      <c r="CL774">
        <f>'Grid_Stock'!CJ46</f>
        <v/>
      </c>
      <c r="CM774">
        <f>'Grid_Stock'!CK46</f>
        <v/>
      </c>
      <c r="CN774">
        <f>'Grid_Stock'!CL46</f>
        <v/>
      </c>
      <c r="CO774">
        <f>'Grid_Stock'!CM46</f>
        <v/>
      </c>
      <c r="CP774">
        <f>'Grid_Stock'!CN46</f>
        <v/>
      </c>
      <c r="CQ774">
        <f>'Grid_Stock'!CO46</f>
        <v/>
      </c>
      <c r="CR774">
        <f>'Grid_Stock'!CP46</f>
        <v/>
      </c>
      <c r="CS774">
        <f>'Grid_Stock'!CQ46</f>
        <v/>
      </c>
      <c r="CT774">
        <f>'Grid_Stock'!CR46</f>
        <v/>
      </c>
      <c r="CU774">
        <f>'Grid_Stock'!CS46</f>
        <v/>
      </c>
      <c r="CV774">
        <f>'Grid_Stock'!CT46</f>
        <v/>
      </c>
      <c r="CW774">
        <f>'Grid_Stock'!CU46</f>
        <v/>
      </c>
      <c r="CX774">
        <f>'Grid_Stock'!CV46</f>
        <v/>
      </c>
      <c r="CY774">
        <f>'Grid_Stock'!CW46</f>
        <v/>
      </c>
      <c r="CZ774">
        <f>'Grid_Stock'!CX46</f>
        <v/>
      </c>
      <c r="DA774">
        <f>'Grid_Stock'!CY46</f>
        <v/>
      </c>
      <c r="DB774">
        <f>'Grid_Stock'!CZ46</f>
        <v/>
      </c>
      <c r="DC774">
        <f>'Grid_Stock'!DA46</f>
        <v/>
      </c>
    </row>
    <row r="775">
      <c r="B775" s="23" t="inlineStr">
        <is>
          <t>（発注の目安はDashboardの基準在庫[下限/上限]と色分けを参照）</t>
        </is>
      </c>
    </row>
    <row r="777">
      <c r="A777" s="21" t="inlineStr">
        <is>
          <t>CHEM-1510</t>
        </is>
      </c>
      <c r="B777" s="21" t="inlineStr">
        <is>
          <t>BA-070</t>
        </is>
      </c>
      <c r="C777" s="22" t="n"/>
      <c r="D777" s="21" t="n"/>
      <c r="E777" s="21" t="n"/>
      <c r="F777" s="21" t="n"/>
      <c r="G777" s="21" t="n"/>
      <c r="H777" s="21" t="n"/>
      <c r="I777" s="21" t="n"/>
      <c r="J777" s="21" t="n"/>
      <c r="K777" s="21" t="n"/>
      <c r="L777" s="21" t="n"/>
      <c r="M777" s="21" t="n"/>
      <c r="N777" s="21" t="n"/>
      <c r="O777" s="21" t="n"/>
      <c r="P777" s="21" t="n"/>
      <c r="Q777" s="21" t="n"/>
      <c r="R777" s="21" t="n"/>
      <c r="S777" s="21" t="n"/>
      <c r="T777" s="21" t="n"/>
      <c r="U777" s="21" t="n"/>
      <c r="V777" s="21" t="n"/>
      <c r="W777" s="21" t="n"/>
      <c r="X777" s="21" t="n"/>
      <c r="Y777" s="21" t="n"/>
      <c r="Z777" s="21" t="n"/>
      <c r="AA777" s="21" t="n"/>
      <c r="AB777" s="21" t="n"/>
      <c r="AC777" s="21" t="n"/>
      <c r="AD777" s="21" t="n"/>
      <c r="AE777" s="21" t="n"/>
      <c r="AF777" s="21" t="n"/>
      <c r="AG777" s="21" t="n"/>
      <c r="AH777" s="21" t="n"/>
      <c r="AI777" s="21" t="n"/>
      <c r="AJ777" s="21" t="n"/>
      <c r="AK777" s="21" t="n"/>
      <c r="AL777" s="21" t="n"/>
      <c r="AM777" s="21" t="n"/>
      <c r="AN777" s="21" t="n"/>
      <c r="AO777" s="21" t="n"/>
      <c r="AP777" s="21" t="n"/>
      <c r="AQ777" s="21" t="n"/>
      <c r="AR777" s="21" t="n"/>
      <c r="AS777" s="21" t="n"/>
      <c r="AT777" s="21" t="n"/>
      <c r="AU777" s="21" t="n"/>
      <c r="AV777" s="21" t="n"/>
      <c r="AW777" s="21" t="n"/>
      <c r="AX777" s="21" t="n"/>
      <c r="AY777" s="21" t="n"/>
      <c r="AZ777" s="21" t="n"/>
      <c r="BA777" s="21" t="n"/>
      <c r="BB777" s="21" t="n"/>
      <c r="BC777" s="21" t="n"/>
      <c r="BD777" s="21" t="n"/>
      <c r="BE777" s="21" t="n"/>
      <c r="BF777" s="21" t="n"/>
      <c r="BG777" s="21" t="n"/>
      <c r="BH777" s="21" t="n"/>
      <c r="BI777" s="21" t="n"/>
      <c r="BJ777" s="21" t="n"/>
      <c r="BK777" s="21" t="n"/>
      <c r="BL777" s="21" t="n"/>
      <c r="BM777" s="21" t="n"/>
      <c r="BN777" s="21" t="n"/>
      <c r="BO777" s="21" t="n"/>
      <c r="BP777" s="21" t="n"/>
      <c r="BQ777" s="21" t="n"/>
      <c r="BR777" s="21" t="n"/>
      <c r="BS777" s="21" t="n"/>
      <c r="BT777" s="21" t="n"/>
      <c r="BU777" s="21" t="n"/>
      <c r="BV777" s="21" t="n"/>
      <c r="BW777" s="21" t="n"/>
      <c r="BX777" s="21" t="n"/>
      <c r="BY777" s="21" t="n"/>
      <c r="BZ777" s="21" t="n"/>
      <c r="CA777" s="21" t="n"/>
      <c r="CB777" s="21" t="n"/>
      <c r="CC777" s="21" t="n"/>
      <c r="CD777" s="21" t="n"/>
      <c r="CE777" s="21" t="n"/>
      <c r="CF777" s="21" t="n"/>
      <c r="CG777" s="21" t="n"/>
      <c r="CH777" s="21" t="n"/>
      <c r="CI777" s="21" t="n"/>
      <c r="CJ777" s="21" t="n"/>
      <c r="CK777" s="21" t="n"/>
      <c r="CL777" s="21" t="n"/>
      <c r="CM777" s="21" t="n"/>
      <c r="CN777" s="21" t="n"/>
      <c r="CO777" s="21" t="n"/>
      <c r="CP777" s="21" t="n"/>
      <c r="CQ777" s="21" t="n"/>
      <c r="CR777" s="21" t="n"/>
      <c r="CS777" s="21" t="n"/>
      <c r="CT777" s="21" t="n"/>
      <c r="CU777" s="21" t="n"/>
      <c r="CV777" s="21" t="n"/>
      <c r="CW777" s="21" t="n"/>
      <c r="CX777" s="21" t="n"/>
      <c r="CY777" s="21" t="n"/>
      <c r="CZ777" s="21" t="n"/>
      <c r="DA777" s="21" t="n"/>
      <c r="DB777" s="21" t="n"/>
      <c r="DC777" s="21" t="n"/>
    </row>
    <row r="778">
      <c r="B778" t="inlineStr">
        <is>
          <t>TSP-1388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12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Name],$A777)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TSP-360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12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Name],$A777)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TSP-367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12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Name],$A777)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TSP-544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Name],$A777)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TSP-618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Name],$A777)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TSP-710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Name],$A777)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TSP-924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Name],$A777)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TSP-925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Name],$A777)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TSZ-616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Name],$A777)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VSP-820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Name],$A777)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VSP-989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Name],$A777)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s="5" t="inlineStr">
        <is>
          <t>合計使用量(kg)/週</t>
        </is>
      </c>
      <c r="D800">
        <f>'Grid_Requirement'!B25</f>
        <v/>
      </c>
      <c r="E800">
        <f>'Grid_Requirement'!C25</f>
        <v/>
      </c>
      <c r="F800">
        <f>'Grid_Requirement'!D25</f>
        <v/>
      </c>
      <c r="G800">
        <f>'Grid_Requirement'!E25</f>
        <v/>
      </c>
      <c r="H800">
        <f>'Grid_Requirement'!F25</f>
        <v/>
      </c>
      <c r="I800">
        <f>'Grid_Requirement'!G25</f>
        <v/>
      </c>
      <c r="J800">
        <f>'Grid_Requirement'!H25</f>
        <v/>
      </c>
      <c r="K800">
        <f>'Grid_Requirement'!I25</f>
        <v/>
      </c>
      <c r="L800">
        <f>'Grid_Requirement'!J25</f>
        <v/>
      </c>
      <c r="M800">
        <f>'Grid_Requirement'!K25</f>
        <v/>
      </c>
      <c r="N800">
        <f>'Grid_Requirement'!L25</f>
        <v/>
      </c>
      <c r="O800">
        <f>'Grid_Requirement'!M25</f>
        <v/>
      </c>
      <c r="P800">
        <f>'Grid_Requirement'!N25</f>
        <v/>
      </c>
      <c r="Q800">
        <f>'Grid_Requirement'!O25</f>
        <v/>
      </c>
      <c r="R800">
        <f>'Grid_Requirement'!P25</f>
        <v/>
      </c>
      <c r="S800">
        <f>'Grid_Requirement'!Q25</f>
        <v/>
      </c>
      <c r="T800">
        <f>'Grid_Requirement'!R25</f>
        <v/>
      </c>
      <c r="U800">
        <f>'Grid_Requirement'!S25</f>
        <v/>
      </c>
      <c r="V800">
        <f>'Grid_Requirement'!T25</f>
        <v/>
      </c>
      <c r="W800">
        <f>'Grid_Requirement'!U25</f>
        <v/>
      </c>
      <c r="X800">
        <f>'Grid_Requirement'!V25</f>
        <v/>
      </c>
      <c r="Y800">
        <f>'Grid_Requirement'!W25</f>
        <v/>
      </c>
      <c r="Z800">
        <f>'Grid_Requirement'!X25</f>
        <v/>
      </c>
      <c r="AA800">
        <f>'Grid_Requirement'!Y25</f>
        <v/>
      </c>
      <c r="AB800">
        <f>'Grid_Requirement'!Z25</f>
        <v/>
      </c>
      <c r="AC800">
        <f>'Grid_Requirement'!AA25</f>
        <v/>
      </c>
      <c r="AD800">
        <f>'Grid_Requirement'!AB25</f>
        <v/>
      </c>
      <c r="AE800">
        <f>'Grid_Requirement'!AC25</f>
        <v/>
      </c>
      <c r="AF800">
        <f>'Grid_Requirement'!AD25</f>
        <v/>
      </c>
      <c r="AG800">
        <f>'Grid_Requirement'!AE25</f>
        <v/>
      </c>
      <c r="AH800">
        <f>'Grid_Requirement'!AF25</f>
        <v/>
      </c>
      <c r="AI800">
        <f>'Grid_Requirement'!AG25</f>
        <v/>
      </c>
      <c r="AJ800">
        <f>'Grid_Requirement'!AH25</f>
        <v/>
      </c>
      <c r="AK800">
        <f>'Grid_Requirement'!AI25</f>
        <v/>
      </c>
      <c r="AL800">
        <f>'Grid_Requirement'!AJ25</f>
        <v/>
      </c>
      <c r="AM800">
        <f>'Grid_Requirement'!AK25</f>
        <v/>
      </c>
      <c r="AN800">
        <f>'Grid_Requirement'!AL25</f>
        <v/>
      </c>
      <c r="AO800">
        <f>'Grid_Requirement'!AM25</f>
        <v/>
      </c>
      <c r="AP800">
        <f>'Grid_Requirement'!AN25</f>
        <v/>
      </c>
      <c r="AQ800">
        <f>'Grid_Requirement'!AO25</f>
        <v/>
      </c>
      <c r="AR800">
        <f>'Grid_Requirement'!AP25</f>
        <v/>
      </c>
      <c r="AS800">
        <f>'Grid_Requirement'!AQ25</f>
        <v/>
      </c>
      <c r="AT800">
        <f>'Grid_Requirement'!AR25</f>
        <v/>
      </c>
      <c r="AU800">
        <f>'Grid_Requirement'!AS25</f>
        <v/>
      </c>
      <c r="AV800">
        <f>'Grid_Requirement'!AT25</f>
        <v/>
      </c>
      <c r="AW800">
        <f>'Grid_Requirement'!AU25</f>
        <v/>
      </c>
      <c r="AX800">
        <f>'Grid_Requirement'!AV25</f>
        <v/>
      </c>
      <c r="AY800">
        <f>'Grid_Requirement'!AW25</f>
        <v/>
      </c>
      <c r="AZ800">
        <f>'Grid_Requirement'!AX25</f>
        <v/>
      </c>
      <c r="BA800">
        <f>'Grid_Requirement'!AY25</f>
        <v/>
      </c>
      <c r="BB800">
        <f>'Grid_Requirement'!AZ25</f>
        <v/>
      </c>
      <c r="BC800">
        <f>'Grid_Requirement'!BA25</f>
        <v/>
      </c>
      <c r="BD800">
        <f>'Grid_Requirement'!BB25</f>
        <v/>
      </c>
      <c r="BE800">
        <f>'Grid_Requirement'!BC25</f>
        <v/>
      </c>
      <c r="BF800">
        <f>'Grid_Requirement'!BD25</f>
        <v/>
      </c>
      <c r="BG800">
        <f>'Grid_Requirement'!BE25</f>
        <v/>
      </c>
      <c r="BH800">
        <f>'Grid_Requirement'!BF25</f>
        <v/>
      </c>
      <c r="BI800">
        <f>'Grid_Requirement'!BG25</f>
        <v/>
      </c>
      <c r="BJ800">
        <f>'Grid_Requirement'!BH25</f>
        <v/>
      </c>
      <c r="BK800">
        <f>'Grid_Requirement'!BI25</f>
        <v/>
      </c>
      <c r="BL800">
        <f>'Grid_Requirement'!BJ25</f>
        <v/>
      </c>
      <c r="BM800">
        <f>'Grid_Requirement'!BK25</f>
        <v/>
      </c>
      <c r="BN800">
        <f>'Grid_Requirement'!BL25</f>
        <v/>
      </c>
      <c r="BO800">
        <f>'Grid_Requirement'!BM25</f>
        <v/>
      </c>
      <c r="BP800">
        <f>'Grid_Requirement'!BN25</f>
        <v/>
      </c>
      <c r="BQ800">
        <f>'Grid_Requirement'!BO25</f>
        <v/>
      </c>
      <c r="BR800">
        <f>'Grid_Requirement'!BP25</f>
        <v/>
      </c>
      <c r="BS800">
        <f>'Grid_Requirement'!BQ25</f>
        <v/>
      </c>
      <c r="BT800">
        <f>'Grid_Requirement'!BR25</f>
        <v/>
      </c>
      <c r="BU800">
        <f>'Grid_Requirement'!BS25</f>
        <v/>
      </c>
      <c r="BV800">
        <f>'Grid_Requirement'!BT25</f>
        <v/>
      </c>
      <c r="BW800">
        <f>'Grid_Requirement'!BU25</f>
        <v/>
      </c>
      <c r="BX800">
        <f>'Grid_Requirement'!BV25</f>
        <v/>
      </c>
      <c r="BY800">
        <f>'Grid_Requirement'!BW25</f>
        <v/>
      </c>
      <c r="BZ800">
        <f>'Grid_Requirement'!BX25</f>
        <v/>
      </c>
      <c r="CA800">
        <f>'Grid_Requirement'!BY25</f>
        <v/>
      </c>
      <c r="CB800">
        <f>'Grid_Requirement'!BZ25</f>
        <v/>
      </c>
      <c r="CC800">
        <f>'Grid_Requirement'!CA25</f>
        <v/>
      </c>
      <c r="CD800">
        <f>'Grid_Requirement'!CB25</f>
        <v/>
      </c>
      <c r="CE800">
        <f>'Grid_Requirement'!CC25</f>
        <v/>
      </c>
      <c r="CF800">
        <f>'Grid_Requirement'!CD25</f>
        <v/>
      </c>
      <c r="CG800">
        <f>'Grid_Requirement'!CE25</f>
        <v/>
      </c>
      <c r="CH800">
        <f>'Grid_Requirement'!CF25</f>
        <v/>
      </c>
      <c r="CI800">
        <f>'Grid_Requirement'!CG25</f>
        <v/>
      </c>
      <c r="CJ800">
        <f>'Grid_Requirement'!CH25</f>
        <v/>
      </c>
      <c r="CK800">
        <f>'Grid_Requirement'!CI25</f>
        <v/>
      </c>
      <c r="CL800">
        <f>'Grid_Requirement'!CJ25</f>
        <v/>
      </c>
      <c r="CM800">
        <f>'Grid_Requirement'!CK25</f>
        <v/>
      </c>
      <c r="CN800">
        <f>'Grid_Requirement'!CL25</f>
        <v/>
      </c>
      <c r="CO800">
        <f>'Grid_Requirement'!CM25</f>
        <v/>
      </c>
      <c r="CP800">
        <f>'Grid_Requirement'!CN25</f>
        <v/>
      </c>
      <c r="CQ800">
        <f>'Grid_Requirement'!CO25</f>
        <v/>
      </c>
      <c r="CR800">
        <f>'Grid_Requirement'!CP25</f>
        <v/>
      </c>
      <c r="CS800">
        <f>'Grid_Requirement'!CQ25</f>
        <v/>
      </c>
      <c r="CT800">
        <f>'Grid_Requirement'!CR25</f>
        <v/>
      </c>
      <c r="CU800">
        <f>'Grid_Requirement'!CS25</f>
        <v/>
      </c>
      <c r="CV800">
        <f>'Grid_Requirement'!CT25</f>
        <v/>
      </c>
      <c r="CW800">
        <f>'Grid_Requirement'!CU25</f>
        <v/>
      </c>
      <c r="CX800">
        <f>'Grid_Requirement'!CV25</f>
        <v/>
      </c>
      <c r="CY800">
        <f>'Grid_Requirement'!CW25</f>
        <v/>
      </c>
      <c r="CZ800">
        <f>'Grid_Requirement'!CX25</f>
        <v/>
      </c>
      <c r="DA800">
        <f>'Grid_Requirement'!CY25</f>
        <v/>
      </c>
      <c r="DB800">
        <f>'Grid_Requirement'!CZ25</f>
        <v/>
      </c>
      <c r="DC800">
        <f>'Grid_Requirement'!DA25</f>
        <v/>
      </c>
    </row>
    <row r="801">
      <c r="B801" t="inlineStr">
        <is>
          <t>TTAF在庫(実績,kg)</t>
        </is>
      </c>
      <c r="D801">
        <f>'T_TTAFStock'!B29</f>
        <v/>
      </c>
      <c r="E801">
        <f>'T_TTAFStock'!C29</f>
        <v/>
      </c>
      <c r="F801">
        <f>'T_TTAFStock'!D29</f>
        <v/>
      </c>
      <c r="G801">
        <f>'T_TTAFStock'!E29</f>
        <v/>
      </c>
      <c r="H801">
        <f>'T_TTAFStock'!F29</f>
        <v/>
      </c>
      <c r="I801">
        <f>'T_TTAFStock'!G29</f>
        <v/>
      </c>
      <c r="J801">
        <f>'T_TTAFStock'!H29</f>
        <v/>
      </c>
      <c r="K801">
        <f>'T_TTAFStock'!I29</f>
        <v/>
      </c>
      <c r="L801">
        <f>'T_TTAFStock'!J29</f>
        <v/>
      </c>
      <c r="M801">
        <f>'T_TTAFStock'!K29</f>
        <v/>
      </c>
      <c r="N801">
        <f>'T_TTAFStock'!L29</f>
        <v/>
      </c>
      <c r="O801">
        <f>'T_TTAFStock'!M29</f>
        <v/>
      </c>
      <c r="P801">
        <f>'T_TTAFStock'!N29</f>
        <v/>
      </c>
      <c r="Q801">
        <f>'T_TTAFStock'!O29</f>
        <v/>
      </c>
      <c r="R801">
        <f>'T_TTAFStock'!P29</f>
        <v/>
      </c>
      <c r="S801">
        <f>'T_TTAFStock'!Q29</f>
        <v/>
      </c>
      <c r="T801">
        <f>'T_TTAFStock'!R29</f>
        <v/>
      </c>
      <c r="U801">
        <f>'T_TTAFStock'!S29</f>
        <v/>
      </c>
      <c r="V801">
        <f>'T_TTAFStock'!T29</f>
        <v/>
      </c>
      <c r="W801">
        <f>'T_TTAFStock'!U29</f>
        <v/>
      </c>
      <c r="X801">
        <f>'T_TTAFStock'!V29</f>
        <v/>
      </c>
      <c r="Y801">
        <f>'T_TTAFStock'!W29</f>
        <v/>
      </c>
      <c r="Z801">
        <f>'T_TTAFStock'!X29</f>
        <v/>
      </c>
      <c r="AA801">
        <f>'T_TTAFStock'!Y29</f>
        <v/>
      </c>
      <c r="AB801">
        <f>'T_TTAFStock'!Z29</f>
        <v/>
      </c>
      <c r="AC801">
        <f>'T_TTAFStock'!AA29</f>
        <v/>
      </c>
      <c r="AD801">
        <f>'T_TTAFStock'!AB29</f>
        <v/>
      </c>
      <c r="AE801">
        <f>'T_TTAFStock'!AC29</f>
        <v/>
      </c>
      <c r="AF801">
        <f>'T_TTAFStock'!AD29</f>
        <v/>
      </c>
      <c r="AG801">
        <f>'T_TTAFStock'!AE29</f>
        <v/>
      </c>
      <c r="AH801">
        <f>'T_TTAFStock'!AF29</f>
        <v/>
      </c>
      <c r="AI801">
        <f>'T_TTAFStock'!AG29</f>
        <v/>
      </c>
      <c r="AJ801">
        <f>'T_TTAFStock'!AH29</f>
        <v/>
      </c>
      <c r="AK801">
        <f>'T_TTAFStock'!AI29</f>
        <v/>
      </c>
      <c r="AL801">
        <f>'T_TTAFStock'!AJ29</f>
        <v/>
      </c>
      <c r="AM801">
        <f>'T_TTAFStock'!AK29</f>
        <v/>
      </c>
      <c r="AN801">
        <f>'T_TTAFStock'!AL29</f>
        <v/>
      </c>
      <c r="AO801">
        <f>'T_TTAFStock'!AM29</f>
        <v/>
      </c>
      <c r="AP801">
        <f>'T_TTAFStock'!AN29</f>
        <v/>
      </c>
      <c r="AQ801">
        <f>'T_TTAFStock'!AO29</f>
        <v/>
      </c>
      <c r="AR801">
        <f>'T_TTAFStock'!AP29</f>
        <v/>
      </c>
      <c r="AS801">
        <f>'T_TTAFStock'!AQ29</f>
        <v/>
      </c>
      <c r="AT801">
        <f>'T_TTAFStock'!AR29</f>
        <v/>
      </c>
      <c r="AU801">
        <f>'T_TTAFStock'!AS29</f>
        <v/>
      </c>
      <c r="AV801">
        <f>'T_TTAFStock'!AT29</f>
        <v/>
      </c>
      <c r="AW801">
        <f>'T_TTAFStock'!AU29</f>
        <v/>
      </c>
      <c r="AX801">
        <f>'T_TTAFStock'!AV29</f>
        <v/>
      </c>
      <c r="AY801">
        <f>'T_TTAFStock'!AW29</f>
        <v/>
      </c>
      <c r="AZ801">
        <f>'T_TTAFStock'!AX29</f>
        <v/>
      </c>
      <c r="BA801">
        <f>'T_TTAFStock'!AY29</f>
        <v/>
      </c>
      <c r="BB801">
        <f>'T_TTAFStock'!AZ29</f>
        <v/>
      </c>
      <c r="BC801">
        <f>'T_TTAFStock'!BA29</f>
        <v/>
      </c>
      <c r="BD801">
        <f>'T_TTAFStock'!BB29</f>
        <v/>
      </c>
      <c r="BE801">
        <f>'T_TTAFStock'!BC29</f>
        <v/>
      </c>
      <c r="BF801">
        <f>'T_TTAFStock'!BD29</f>
        <v/>
      </c>
      <c r="BG801">
        <f>'T_TTAFStock'!BE29</f>
        <v/>
      </c>
      <c r="BH801">
        <f>'T_TTAFStock'!BF29</f>
        <v/>
      </c>
      <c r="BI801">
        <f>'T_TTAFStock'!BG29</f>
        <v/>
      </c>
      <c r="BJ801">
        <f>'T_TTAFStock'!BH29</f>
        <v/>
      </c>
      <c r="BK801">
        <f>'T_TTAFStock'!BI29</f>
        <v/>
      </c>
      <c r="BL801">
        <f>'T_TTAFStock'!BJ29</f>
        <v/>
      </c>
      <c r="BM801">
        <f>'T_TTAFStock'!BK29</f>
        <v/>
      </c>
      <c r="BN801">
        <f>'T_TTAFStock'!BL29</f>
        <v/>
      </c>
      <c r="BO801">
        <f>'T_TTAFStock'!BM29</f>
        <v/>
      </c>
      <c r="BP801">
        <f>'T_TTAFStock'!BN29</f>
        <v/>
      </c>
      <c r="BQ801">
        <f>'T_TTAFStock'!BO29</f>
        <v/>
      </c>
      <c r="BR801">
        <f>'T_TTAFStock'!BP29</f>
        <v/>
      </c>
      <c r="BS801">
        <f>'T_TTAFStock'!BQ29</f>
        <v/>
      </c>
      <c r="BT801">
        <f>'T_TTAFStock'!BR29</f>
        <v/>
      </c>
      <c r="BU801">
        <f>'T_TTAFStock'!BS29</f>
        <v/>
      </c>
      <c r="BV801">
        <f>'T_TTAFStock'!BT29</f>
        <v/>
      </c>
      <c r="BW801">
        <f>'T_TTAFStock'!BU29</f>
        <v/>
      </c>
      <c r="BX801">
        <f>'T_TTAFStock'!BV29</f>
        <v/>
      </c>
      <c r="BY801">
        <f>'T_TTAFStock'!BW29</f>
        <v/>
      </c>
      <c r="BZ801">
        <f>'T_TTAFStock'!BX29</f>
        <v/>
      </c>
      <c r="CA801">
        <f>'T_TTAFStock'!BY29</f>
        <v/>
      </c>
      <c r="CB801">
        <f>'T_TTAFStock'!BZ29</f>
        <v/>
      </c>
      <c r="CC801">
        <f>'T_TTAFStock'!CA29</f>
        <v/>
      </c>
      <c r="CD801">
        <f>'T_TTAFStock'!CB29</f>
        <v/>
      </c>
      <c r="CE801">
        <f>'T_TTAFStock'!CC29</f>
        <v/>
      </c>
      <c r="CF801">
        <f>'T_TTAFStock'!CD29</f>
        <v/>
      </c>
      <c r="CG801">
        <f>'T_TTAFStock'!CE29</f>
        <v/>
      </c>
      <c r="CH801">
        <f>'T_TTAFStock'!CF29</f>
        <v/>
      </c>
      <c r="CI801">
        <f>'T_TTAFStock'!CG29</f>
        <v/>
      </c>
      <c r="CJ801">
        <f>'T_TTAFStock'!CH29</f>
        <v/>
      </c>
      <c r="CK801">
        <f>'T_TTAFStock'!CI29</f>
        <v/>
      </c>
      <c r="CL801">
        <f>'T_TTAFStock'!CJ29</f>
        <v/>
      </c>
      <c r="CM801">
        <f>'T_TTAFStock'!CK29</f>
        <v/>
      </c>
      <c r="CN801">
        <f>'T_TTAFStock'!CL29</f>
        <v/>
      </c>
      <c r="CO801">
        <f>'T_TTAFStock'!CM29</f>
        <v/>
      </c>
      <c r="CP801">
        <f>'T_TTAFStock'!CN29</f>
        <v/>
      </c>
      <c r="CQ801">
        <f>'T_TTAFStock'!CO29</f>
        <v/>
      </c>
      <c r="CR801">
        <f>'T_TTAFStock'!CP29</f>
        <v/>
      </c>
      <c r="CS801">
        <f>'T_TTAFStock'!CQ29</f>
        <v/>
      </c>
      <c r="CT801">
        <f>'T_TTAFStock'!CR29</f>
        <v/>
      </c>
      <c r="CU801">
        <f>'T_TTAFStock'!CS29</f>
        <v/>
      </c>
      <c r="CV801">
        <f>'T_TTAFStock'!CT29</f>
        <v/>
      </c>
      <c r="CW801">
        <f>'T_TTAFStock'!CU29</f>
        <v/>
      </c>
      <c r="CX801">
        <f>'T_TTAFStock'!CV29</f>
        <v/>
      </c>
      <c r="CY801">
        <f>'T_TTAFStock'!CW29</f>
        <v/>
      </c>
      <c r="CZ801">
        <f>'T_TTAFStock'!CX29</f>
        <v/>
      </c>
      <c r="DA801">
        <f>'T_TTAFStock'!CY29</f>
        <v/>
      </c>
      <c r="DB801">
        <f>'T_TTAFStock'!CZ29</f>
        <v/>
      </c>
      <c r="DC801">
        <f>'T_TTAFStock'!DA29</f>
        <v/>
      </c>
    </row>
    <row r="802">
      <c r="B802" t="inlineStr">
        <is>
          <t>自社在庫(実績,kg)</t>
        </is>
      </c>
      <c r="D802">
        <f>'T_SelfStock'!B29</f>
        <v/>
      </c>
      <c r="E802">
        <f>'T_SelfStock'!C29</f>
        <v/>
      </c>
      <c r="F802">
        <f>'T_SelfStock'!D29</f>
        <v/>
      </c>
      <c r="G802">
        <f>'T_SelfStock'!E29</f>
        <v/>
      </c>
      <c r="H802">
        <f>'T_SelfStock'!F29</f>
        <v/>
      </c>
      <c r="I802">
        <f>'T_SelfStock'!G29</f>
        <v/>
      </c>
      <c r="J802">
        <f>'T_SelfStock'!H29</f>
        <v/>
      </c>
      <c r="K802">
        <f>'T_SelfStock'!I29</f>
        <v/>
      </c>
      <c r="L802">
        <f>'T_SelfStock'!J29</f>
        <v/>
      </c>
      <c r="M802">
        <f>'T_SelfStock'!K29</f>
        <v/>
      </c>
      <c r="N802">
        <f>'T_SelfStock'!L29</f>
        <v/>
      </c>
      <c r="O802">
        <f>'T_SelfStock'!M29</f>
        <v/>
      </c>
      <c r="P802">
        <f>'T_SelfStock'!N29</f>
        <v/>
      </c>
      <c r="Q802">
        <f>'T_SelfStock'!O29</f>
        <v/>
      </c>
      <c r="R802">
        <f>'T_SelfStock'!P29</f>
        <v/>
      </c>
      <c r="S802">
        <f>'T_SelfStock'!Q29</f>
        <v/>
      </c>
      <c r="T802">
        <f>'T_SelfStock'!R29</f>
        <v/>
      </c>
      <c r="U802">
        <f>'T_SelfStock'!S29</f>
        <v/>
      </c>
      <c r="V802">
        <f>'T_SelfStock'!T29</f>
        <v/>
      </c>
      <c r="W802">
        <f>'T_SelfStock'!U29</f>
        <v/>
      </c>
      <c r="X802">
        <f>'T_SelfStock'!V29</f>
        <v/>
      </c>
      <c r="Y802">
        <f>'T_SelfStock'!W29</f>
        <v/>
      </c>
      <c r="Z802">
        <f>'T_SelfStock'!X29</f>
        <v/>
      </c>
      <c r="AA802">
        <f>'T_SelfStock'!Y29</f>
        <v/>
      </c>
      <c r="AB802">
        <f>'T_SelfStock'!Z29</f>
        <v/>
      </c>
      <c r="AC802">
        <f>'T_SelfStock'!AA29</f>
        <v/>
      </c>
      <c r="AD802">
        <f>'T_SelfStock'!AB29</f>
        <v/>
      </c>
      <c r="AE802">
        <f>'T_SelfStock'!AC29</f>
        <v/>
      </c>
      <c r="AF802">
        <f>'T_SelfStock'!AD29</f>
        <v/>
      </c>
      <c r="AG802">
        <f>'T_SelfStock'!AE29</f>
        <v/>
      </c>
      <c r="AH802">
        <f>'T_SelfStock'!AF29</f>
        <v/>
      </c>
      <c r="AI802">
        <f>'T_SelfStock'!AG29</f>
        <v/>
      </c>
      <c r="AJ802">
        <f>'T_SelfStock'!AH29</f>
        <v/>
      </c>
      <c r="AK802">
        <f>'T_SelfStock'!AI29</f>
        <v/>
      </c>
      <c r="AL802">
        <f>'T_SelfStock'!AJ29</f>
        <v/>
      </c>
      <c r="AM802">
        <f>'T_SelfStock'!AK29</f>
        <v/>
      </c>
      <c r="AN802">
        <f>'T_SelfStock'!AL29</f>
        <v/>
      </c>
      <c r="AO802">
        <f>'T_SelfStock'!AM29</f>
        <v/>
      </c>
      <c r="AP802">
        <f>'T_SelfStock'!AN29</f>
        <v/>
      </c>
      <c r="AQ802">
        <f>'T_SelfStock'!AO29</f>
        <v/>
      </c>
      <c r="AR802">
        <f>'T_SelfStock'!AP29</f>
        <v/>
      </c>
      <c r="AS802">
        <f>'T_SelfStock'!AQ29</f>
        <v/>
      </c>
      <c r="AT802">
        <f>'T_SelfStock'!AR29</f>
        <v/>
      </c>
      <c r="AU802">
        <f>'T_SelfStock'!AS29</f>
        <v/>
      </c>
      <c r="AV802">
        <f>'T_SelfStock'!AT29</f>
        <v/>
      </c>
      <c r="AW802">
        <f>'T_SelfStock'!AU29</f>
        <v/>
      </c>
      <c r="AX802">
        <f>'T_SelfStock'!AV29</f>
        <v/>
      </c>
      <c r="AY802">
        <f>'T_SelfStock'!AW29</f>
        <v/>
      </c>
      <c r="AZ802">
        <f>'T_SelfStock'!AX29</f>
        <v/>
      </c>
      <c r="BA802">
        <f>'T_SelfStock'!AY29</f>
        <v/>
      </c>
      <c r="BB802">
        <f>'T_SelfStock'!AZ29</f>
        <v/>
      </c>
      <c r="BC802">
        <f>'T_SelfStock'!BA29</f>
        <v/>
      </c>
      <c r="BD802">
        <f>'T_SelfStock'!BB29</f>
        <v/>
      </c>
      <c r="BE802">
        <f>'T_SelfStock'!BC29</f>
        <v/>
      </c>
      <c r="BF802">
        <f>'T_SelfStock'!BD29</f>
        <v/>
      </c>
      <c r="BG802">
        <f>'T_SelfStock'!BE29</f>
        <v/>
      </c>
      <c r="BH802">
        <f>'T_SelfStock'!BF29</f>
        <v/>
      </c>
      <c r="BI802">
        <f>'T_SelfStock'!BG29</f>
        <v/>
      </c>
      <c r="BJ802">
        <f>'T_SelfStock'!BH29</f>
        <v/>
      </c>
      <c r="BK802">
        <f>'T_SelfStock'!BI29</f>
        <v/>
      </c>
      <c r="BL802">
        <f>'T_SelfStock'!BJ29</f>
        <v/>
      </c>
      <c r="BM802">
        <f>'T_SelfStock'!BK29</f>
        <v/>
      </c>
      <c r="BN802">
        <f>'T_SelfStock'!BL29</f>
        <v/>
      </c>
      <c r="BO802">
        <f>'T_SelfStock'!BM29</f>
        <v/>
      </c>
      <c r="BP802">
        <f>'T_SelfStock'!BN29</f>
        <v/>
      </c>
      <c r="BQ802">
        <f>'T_SelfStock'!BO29</f>
        <v/>
      </c>
      <c r="BR802">
        <f>'T_SelfStock'!BP29</f>
        <v/>
      </c>
      <c r="BS802">
        <f>'T_SelfStock'!BQ29</f>
        <v/>
      </c>
      <c r="BT802">
        <f>'T_SelfStock'!BR29</f>
        <v/>
      </c>
      <c r="BU802">
        <f>'T_SelfStock'!BS29</f>
        <v/>
      </c>
      <c r="BV802">
        <f>'T_SelfStock'!BT29</f>
        <v/>
      </c>
      <c r="BW802">
        <f>'T_SelfStock'!BU29</f>
        <v/>
      </c>
      <c r="BX802">
        <f>'T_SelfStock'!BV29</f>
        <v/>
      </c>
      <c r="BY802">
        <f>'T_SelfStock'!BW29</f>
        <v/>
      </c>
      <c r="BZ802">
        <f>'T_SelfStock'!BX29</f>
        <v/>
      </c>
      <c r="CA802">
        <f>'T_SelfStock'!BY29</f>
        <v/>
      </c>
      <c r="CB802">
        <f>'T_SelfStock'!BZ29</f>
        <v/>
      </c>
      <c r="CC802">
        <f>'T_SelfStock'!CA29</f>
        <v/>
      </c>
      <c r="CD802">
        <f>'T_SelfStock'!CB29</f>
        <v/>
      </c>
      <c r="CE802">
        <f>'T_SelfStock'!CC29</f>
        <v/>
      </c>
      <c r="CF802">
        <f>'T_SelfStock'!CD29</f>
        <v/>
      </c>
      <c r="CG802">
        <f>'T_SelfStock'!CE29</f>
        <v/>
      </c>
      <c r="CH802">
        <f>'T_SelfStock'!CF29</f>
        <v/>
      </c>
      <c r="CI802">
        <f>'T_SelfStock'!CG29</f>
        <v/>
      </c>
      <c r="CJ802">
        <f>'T_SelfStock'!CH29</f>
        <v/>
      </c>
      <c r="CK802">
        <f>'T_SelfStock'!CI29</f>
        <v/>
      </c>
      <c r="CL802">
        <f>'T_SelfStock'!CJ29</f>
        <v/>
      </c>
      <c r="CM802">
        <f>'T_SelfStock'!CK29</f>
        <v/>
      </c>
      <c r="CN802">
        <f>'T_SelfStock'!CL29</f>
        <v/>
      </c>
      <c r="CO802">
        <f>'T_SelfStock'!CM29</f>
        <v/>
      </c>
      <c r="CP802">
        <f>'T_SelfStock'!CN29</f>
        <v/>
      </c>
      <c r="CQ802">
        <f>'T_SelfStock'!CO29</f>
        <v/>
      </c>
      <c r="CR802">
        <f>'T_SelfStock'!CP29</f>
        <v/>
      </c>
      <c r="CS802">
        <f>'T_SelfStock'!CQ29</f>
        <v/>
      </c>
      <c r="CT802">
        <f>'T_SelfStock'!CR29</f>
        <v/>
      </c>
      <c r="CU802">
        <f>'T_SelfStock'!CS29</f>
        <v/>
      </c>
      <c r="CV802">
        <f>'T_SelfStock'!CT29</f>
        <v/>
      </c>
      <c r="CW802">
        <f>'T_SelfStock'!CU29</f>
        <v/>
      </c>
      <c r="CX802">
        <f>'T_SelfStock'!CV29</f>
        <v/>
      </c>
      <c r="CY802">
        <f>'T_SelfStock'!CW29</f>
        <v/>
      </c>
      <c r="CZ802">
        <f>'T_SelfStock'!CX29</f>
        <v/>
      </c>
      <c r="DA802">
        <f>'T_SelfStock'!CY29</f>
        <v/>
      </c>
      <c r="DB802">
        <f>'T_SelfStock'!CZ29</f>
        <v/>
      </c>
      <c r="DC802">
        <f>'T_SelfStock'!DA29</f>
        <v/>
      </c>
    </row>
    <row r="803">
      <c r="B803" t="inlineStr">
        <is>
          <t>Order(発注予定,kg)</t>
        </is>
      </c>
      <c r="D803">
        <f>IF(SUMIFS(T_PlannedOrders[EffectiveQty],T_PlannedOrders[Part Name],$A777,T_PlannedOrders[WeekIndex],1)=0,"",SUMIFS(T_PlannedOrders[EffectiveQty],T_PlannedOrders[Part Name],$A777,T_PlannedOrders[WeekIndex],1)&amp;" ("&amp;TEXT(SUMPRODUCT(MAX((T_PlannedOrders[Part Name]=$A777)*(T_PlannedOrders[WeekIndex]=1)*(T_PlannedOrders[EffectiveQty]&gt;0)*T_PlannedOrders[Order_Month])),"m月")&amp;"発注)")</f>
        <v/>
      </c>
      <c r="E803">
        <f>IF(SUMIFS(T_PlannedOrders[EffectiveQty],T_PlannedOrders[Part Name],$A777,T_PlannedOrders[WeekIndex],2)=0,"",SUMIFS(T_PlannedOrders[EffectiveQty],T_PlannedOrders[Part Name],$A777,T_PlannedOrders[WeekIndex],2)&amp;" ("&amp;TEXT(SUMPRODUCT(MAX((T_PlannedOrders[Part Name]=$A777)*(T_PlannedOrders[WeekIndex]=2)*(T_PlannedOrders[EffectiveQty]&gt;0)*T_PlannedOrders[Order_Month])),"m月")&amp;"発注)")</f>
        <v/>
      </c>
      <c r="F803">
        <f>IF(SUMIFS(T_PlannedOrders[EffectiveQty],T_PlannedOrders[Part Name],$A777,T_PlannedOrders[WeekIndex],3)=0,"",SUMIFS(T_PlannedOrders[EffectiveQty],T_PlannedOrders[Part Name],$A777,T_PlannedOrders[WeekIndex],3)&amp;" ("&amp;TEXT(SUMPRODUCT(MAX((T_PlannedOrders[Part Name]=$A777)*(T_PlannedOrders[WeekIndex]=3)*(T_PlannedOrders[EffectiveQty]&gt;0)*T_PlannedOrders[Order_Month])),"m月")&amp;"発注)")</f>
        <v/>
      </c>
      <c r="G803">
        <f>IF(SUMIFS(T_PlannedOrders[EffectiveQty],T_PlannedOrders[Part Name],$A777,T_PlannedOrders[WeekIndex],4)=0,"",SUMIFS(T_PlannedOrders[EffectiveQty],T_PlannedOrders[Part Name],$A777,T_PlannedOrders[WeekIndex],4)&amp;" ("&amp;TEXT(SUMPRODUCT(MAX((T_PlannedOrders[Part Name]=$A777)*(T_PlannedOrders[WeekIndex]=4)*(T_PlannedOrders[EffectiveQty]&gt;0)*T_PlannedOrders[Order_Month])),"m月")&amp;"発注)")</f>
        <v/>
      </c>
      <c r="H803">
        <f>IF(SUMIFS(T_PlannedOrders[EffectiveQty],T_PlannedOrders[Part Name],$A777,T_PlannedOrders[WeekIndex],5)=0,"",SUMIFS(T_PlannedOrders[EffectiveQty],T_PlannedOrders[Part Name],$A777,T_PlannedOrders[WeekIndex],5)&amp;" ("&amp;TEXT(SUMPRODUCT(MAX((T_PlannedOrders[Part Name]=$A777)*(T_PlannedOrders[WeekIndex]=5)*(T_PlannedOrders[EffectiveQty]&gt;0)*T_PlannedOrders[Order_Month])),"m月")&amp;"発注)")</f>
        <v/>
      </c>
      <c r="I803">
        <f>IF(SUMIFS(T_PlannedOrders[EffectiveQty],T_PlannedOrders[Part Name],$A777,T_PlannedOrders[WeekIndex],6)=0,"",SUMIFS(T_PlannedOrders[EffectiveQty],T_PlannedOrders[Part Name],$A777,T_PlannedOrders[WeekIndex],6)&amp;" ("&amp;TEXT(SUMPRODUCT(MAX((T_PlannedOrders[Part Name]=$A777)*(T_PlannedOrders[WeekIndex]=6)*(T_PlannedOrders[EffectiveQty]&gt;0)*T_PlannedOrders[Order_Month])),"m月")&amp;"発注)")</f>
        <v/>
      </c>
      <c r="J803">
        <f>IF(SUMIFS(T_PlannedOrders[EffectiveQty],T_PlannedOrders[Part Name],$A777,T_PlannedOrders[WeekIndex],7)=0,"",SUMIFS(T_PlannedOrders[EffectiveQty],T_PlannedOrders[Part Name],$A777,T_PlannedOrders[WeekIndex],7)&amp;" ("&amp;TEXT(SUMPRODUCT(MAX((T_PlannedOrders[Part Name]=$A777)*(T_PlannedOrders[WeekIndex]=7)*(T_PlannedOrders[EffectiveQty]&gt;0)*T_PlannedOrders[Order_Month])),"m月")&amp;"発注)")</f>
        <v/>
      </c>
      <c r="K803">
        <f>IF(SUMIFS(T_PlannedOrders[EffectiveQty],T_PlannedOrders[Part Name],$A777,T_PlannedOrders[WeekIndex],8)=0,"",SUMIFS(T_PlannedOrders[EffectiveQty],T_PlannedOrders[Part Name],$A777,T_PlannedOrders[WeekIndex],8)&amp;" ("&amp;TEXT(SUMPRODUCT(MAX((T_PlannedOrders[Part Name]=$A777)*(T_PlannedOrders[WeekIndex]=8)*(T_PlannedOrders[EffectiveQty]&gt;0)*T_PlannedOrders[Order_Month])),"m月")&amp;"発注)")</f>
        <v/>
      </c>
      <c r="L803">
        <f>IF(SUMIFS(T_PlannedOrders[EffectiveQty],T_PlannedOrders[Part Name],$A777,T_PlannedOrders[WeekIndex],9)=0,"",SUMIFS(T_PlannedOrders[EffectiveQty],T_PlannedOrders[Part Name],$A777,T_PlannedOrders[WeekIndex],9)&amp;" ("&amp;TEXT(SUMPRODUCT(MAX((T_PlannedOrders[Part Name]=$A777)*(T_PlannedOrders[WeekIndex]=9)*(T_PlannedOrders[EffectiveQty]&gt;0)*T_PlannedOrders[Order_Month])),"m月")&amp;"発注)")</f>
        <v/>
      </c>
      <c r="M803">
        <f>IF(SUMIFS(T_PlannedOrders[EffectiveQty],T_PlannedOrders[Part Name],$A777,T_PlannedOrders[WeekIndex],10)=0,"",SUMIFS(T_PlannedOrders[EffectiveQty],T_PlannedOrders[Part Name],$A777,T_PlannedOrders[WeekIndex],10)&amp;" ("&amp;TEXT(SUMPRODUCT(MAX((T_PlannedOrders[Part Name]=$A777)*(T_PlannedOrders[WeekIndex]=10)*(T_PlannedOrders[EffectiveQty]&gt;0)*T_PlannedOrders[Order_Month])),"m月")&amp;"発注)")</f>
        <v/>
      </c>
      <c r="N803">
        <f>IF(SUMIFS(T_PlannedOrders[EffectiveQty],T_PlannedOrders[Part Name],$A777,T_PlannedOrders[WeekIndex],11)=0,"",SUMIFS(T_PlannedOrders[EffectiveQty],T_PlannedOrders[Part Name],$A777,T_PlannedOrders[WeekIndex],11)&amp;" ("&amp;TEXT(SUMPRODUCT(MAX((T_PlannedOrders[Part Name]=$A777)*(T_PlannedOrders[WeekIndex]=11)*(T_PlannedOrders[EffectiveQty]&gt;0)*T_PlannedOrders[Order_Month])),"m月")&amp;"発注)")</f>
        <v/>
      </c>
      <c r="O803">
        <f>IF(SUMIFS(T_PlannedOrders[EffectiveQty],T_PlannedOrders[Part Name],$A777,T_PlannedOrders[WeekIndex],12)=0,"",SUMIFS(T_PlannedOrders[EffectiveQty],T_PlannedOrders[Part Name],$A777,T_PlannedOrders[WeekIndex],12)&amp;" ("&amp;TEXT(SUMPRODUCT(MAX((T_PlannedOrders[Part Name]=$A777)*(T_PlannedOrders[WeekIndex]=12)*(T_PlannedOrders[EffectiveQty]&gt;0)*T_PlannedOrders[Order_Month])),"m月")&amp;"発注)")</f>
        <v/>
      </c>
      <c r="P803">
        <f>IF(SUMIFS(T_PlannedOrders[EffectiveQty],T_PlannedOrders[Part Name],$A777,T_PlannedOrders[WeekIndex],13)=0,"",SUMIFS(T_PlannedOrders[EffectiveQty],T_PlannedOrders[Part Name],$A777,T_PlannedOrders[WeekIndex],13)&amp;" ("&amp;TEXT(SUMPRODUCT(MAX((T_PlannedOrders[Part Name]=$A777)*(T_PlannedOrders[WeekIndex]=13)*(T_PlannedOrders[EffectiveQty]&gt;0)*T_PlannedOrders[Order_Month])),"m月")&amp;"発注)")</f>
        <v/>
      </c>
      <c r="Q803">
        <f>IF(SUMIFS(T_PlannedOrders[EffectiveQty],T_PlannedOrders[Part Name],$A777,T_PlannedOrders[WeekIndex],14)=0,"",SUMIFS(T_PlannedOrders[EffectiveQty],T_PlannedOrders[Part Name],$A777,T_PlannedOrders[WeekIndex],14)&amp;" ("&amp;TEXT(SUMPRODUCT(MAX((T_PlannedOrders[Part Name]=$A777)*(T_PlannedOrders[WeekIndex]=14)*(T_PlannedOrders[EffectiveQty]&gt;0)*T_PlannedOrders[Order_Month])),"m月")&amp;"発注)")</f>
        <v/>
      </c>
      <c r="R803">
        <f>IF(SUMIFS(T_PlannedOrders[EffectiveQty],T_PlannedOrders[Part Name],$A777,T_PlannedOrders[WeekIndex],15)=0,"",SUMIFS(T_PlannedOrders[EffectiveQty],T_PlannedOrders[Part Name],$A777,T_PlannedOrders[WeekIndex],15)&amp;" ("&amp;TEXT(SUMPRODUCT(MAX((T_PlannedOrders[Part Name]=$A777)*(T_PlannedOrders[WeekIndex]=15)*(T_PlannedOrders[EffectiveQty]&gt;0)*T_PlannedOrders[Order_Month])),"m月")&amp;"発注)")</f>
        <v/>
      </c>
      <c r="S803">
        <f>IF(SUMIFS(T_PlannedOrders[EffectiveQty],T_PlannedOrders[Part Name],$A777,T_PlannedOrders[WeekIndex],16)=0,"",SUMIFS(T_PlannedOrders[EffectiveQty],T_PlannedOrders[Part Name],$A777,T_PlannedOrders[WeekIndex],16)&amp;" ("&amp;TEXT(SUMPRODUCT(MAX((T_PlannedOrders[Part Name]=$A777)*(T_PlannedOrders[WeekIndex]=16)*(T_PlannedOrders[EffectiveQty]&gt;0)*T_PlannedOrders[Order_Month])),"m月")&amp;"発注)")</f>
        <v/>
      </c>
      <c r="T803">
        <f>IF(SUMIFS(T_PlannedOrders[EffectiveQty],T_PlannedOrders[Part Name],$A777,T_PlannedOrders[WeekIndex],17)=0,"",SUMIFS(T_PlannedOrders[EffectiveQty],T_PlannedOrders[Part Name],$A777,T_PlannedOrders[WeekIndex],17)&amp;" ("&amp;TEXT(SUMPRODUCT(MAX((T_PlannedOrders[Part Name]=$A777)*(T_PlannedOrders[WeekIndex]=17)*(T_PlannedOrders[EffectiveQty]&gt;0)*T_PlannedOrders[Order_Month])),"m月")&amp;"発注)")</f>
        <v/>
      </c>
      <c r="U803">
        <f>IF(SUMIFS(T_PlannedOrders[EffectiveQty],T_PlannedOrders[Part Name],$A777,T_PlannedOrders[WeekIndex],18)=0,"",SUMIFS(T_PlannedOrders[EffectiveQty],T_PlannedOrders[Part Name],$A777,T_PlannedOrders[WeekIndex],18)&amp;" ("&amp;TEXT(SUMPRODUCT(MAX((T_PlannedOrders[Part Name]=$A777)*(T_PlannedOrders[WeekIndex]=18)*(T_PlannedOrders[EffectiveQty]&gt;0)*T_PlannedOrders[Order_Month])),"m月")&amp;"発注)")</f>
        <v/>
      </c>
      <c r="V803">
        <f>IF(SUMIFS(T_PlannedOrders[EffectiveQty],T_PlannedOrders[Part Name],$A777,T_PlannedOrders[WeekIndex],19)=0,"",SUMIFS(T_PlannedOrders[EffectiveQty],T_PlannedOrders[Part Name],$A777,T_PlannedOrders[WeekIndex],19)&amp;" ("&amp;TEXT(SUMPRODUCT(MAX((T_PlannedOrders[Part Name]=$A777)*(T_PlannedOrders[WeekIndex]=19)*(T_PlannedOrders[EffectiveQty]&gt;0)*T_PlannedOrders[Order_Month])),"m月")&amp;"発注)")</f>
        <v/>
      </c>
      <c r="W803">
        <f>IF(SUMIFS(T_PlannedOrders[EffectiveQty],T_PlannedOrders[Part Name],$A777,T_PlannedOrders[WeekIndex],20)=0,"",SUMIFS(T_PlannedOrders[EffectiveQty],T_PlannedOrders[Part Name],$A777,T_PlannedOrders[WeekIndex],20)&amp;" ("&amp;TEXT(SUMPRODUCT(MAX((T_PlannedOrders[Part Name]=$A777)*(T_PlannedOrders[WeekIndex]=20)*(T_PlannedOrders[EffectiveQty]&gt;0)*T_PlannedOrders[Order_Month])),"m月")&amp;"発注)")</f>
        <v/>
      </c>
      <c r="X803">
        <f>IF(SUMIFS(T_PlannedOrders[EffectiveQty],T_PlannedOrders[Part Name],$A777,T_PlannedOrders[WeekIndex],21)=0,"",SUMIFS(T_PlannedOrders[EffectiveQty],T_PlannedOrders[Part Name],$A777,T_PlannedOrders[WeekIndex],21)&amp;" ("&amp;TEXT(SUMPRODUCT(MAX((T_PlannedOrders[Part Name]=$A777)*(T_PlannedOrders[WeekIndex]=21)*(T_PlannedOrders[EffectiveQty]&gt;0)*T_PlannedOrders[Order_Month])),"m月")&amp;"発注)")</f>
        <v/>
      </c>
      <c r="Y803">
        <f>IF(SUMIFS(T_PlannedOrders[EffectiveQty],T_PlannedOrders[Part Name],$A777,T_PlannedOrders[WeekIndex],22)=0,"",SUMIFS(T_PlannedOrders[EffectiveQty],T_PlannedOrders[Part Name],$A777,T_PlannedOrders[WeekIndex],22)&amp;" ("&amp;TEXT(SUMPRODUCT(MAX((T_PlannedOrders[Part Name]=$A777)*(T_PlannedOrders[WeekIndex]=22)*(T_PlannedOrders[EffectiveQty]&gt;0)*T_PlannedOrders[Order_Month])),"m月")&amp;"発注)")</f>
        <v/>
      </c>
      <c r="Z803">
        <f>IF(SUMIFS(T_PlannedOrders[EffectiveQty],T_PlannedOrders[Part Name],$A777,T_PlannedOrders[WeekIndex],23)=0,"",SUMIFS(T_PlannedOrders[EffectiveQty],T_PlannedOrders[Part Name],$A777,T_PlannedOrders[WeekIndex],23)&amp;" ("&amp;TEXT(SUMPRODUCT(MAX((T_PlannedOrders[Part Name]=$A777)*(T_PlannedOrders[WeekIndex]=23)*(T_PlannedOrders[EffectiveQty]&gt;0)*T_PlannedOrders[Order_Month])),"m月")&amp;"発注)")</f>
        <v/>
      </c>
      <c r="AA803">
        <f>IF(SUMIFS(T_PlannedOrders[EffectiveQty],T_PlannedOrders[Part Name],$A777,T_PlannedOrders[WeekIndex],24)=0,"",SUMIFS(T_PlannedOrders[EffectiveQty],T_PlannedOrders[Part Name],$A777,T_PlannedOrders[WeekIndex],24)&amp;" ("&amp;TEXT(SUMPRODUCT(MAX((T_PlannedOrders[Part Name]=$A777)*(T_PlannedOrders[WeekIndex]=24)*(T_PlannedOrders[EffectiveQty]&gt;0)*T_PlannedOrders[Order_Month])),"m月")&amp;"発注)")</f>
        <v/>
      </c>
      <c r="AB803">
        <f>IF(SUMIFS(T_PlannedOrders[EffectiveQty],T_PlannedOrders[Part Name],$A777,T_PlannedOrders[WeekIndex],25)=0,"",SUMIFS(T_PlannedOrders[EffectiveQty],T_PlannedOrders[Part Name],$A777,T_PlannedOrders[WeekIndex],25)&amp;" ("&amp;TEXT(SUMPRODUCT(MAX((T_PlannedOrders[Part Name]=$A777)*(T_PlannedOrders[WeekIndex]=25)*(T_PlannedOrders[EffectiveQty]&gt;0)*T_PlannedOrders[Order_Month])),"m月")&amp;"発注)")</f>
        <v/>
      </c>
      <c r="AC803">
        <f>IF(SUMIFS(T_PlannedOrders[EffectiveQty],T_PlannedOrders[Part Name],$A777,T_PlannedOrders[WeekIndex],26)=0,"",SUMIFS(T_PlannedOrders[EffectiveQty],T_PlannedOrders[Part Name],$A777,T_PlannedOrders[WeekIndex],26)&amp;" ("&amp;TEXT(SUMPRODUCT(MAX((T_PlannedOrders[Part Name]=$A777)*(T_PlannedOrders[WeekIndex]=26)*(T_PlannedOrders[EffectiveQty]&gt;0)*T_PlannedOrders[Order_Month])),"m月")&amp;"発注)")</f>
        <v/>
      </c>
      <c r="AD803">
        <f>IF(SUMIFS(T_PlannedOrders[EffectiveQty],T_PlannedOrders[Part Name],$A777,T_PlannedOrders[WeekIndex],27)=0,"",SUMIFS(T_PlannedOrders[EffectiveQty],T_PlannedOrders[Part Name],$A777,T_PlannedOrders[WeekIndex],27)&amp;" ("&amp;TEXT(SUMPRODUCT(MAX((T_PlannedOrders[Part Name]=$A777)*(T_PlannedOrders[WeekIndex]=27)*(T_PlannedOrders[EffectiveQty]&gt;0)*T_PlannedOrders[Order_Month])),"m月")&amp;"発注)")</f>
        <v/>
      </c>
      <c r="AE803">
        <f>IF(SUMIFS(T_PlannedOrders[EffectiveQty],T_PlannedOrders[Part Name],$A777,T_PlannedOrders[WeekIndex],28)=0,"",SUMIFS(T_PlannedOrders[EffectiveQty],T_PlannedOrders[Part Name],$A777,T_PlannedOrders[WeekIndex],28)&amp;" ("&amp;TEXT(SUMPRODUCT(MAX((T_PlannedOrders[Part Name]=$A777)*(T_PlannedOrders[WeekIndex]=28)*(T_PlannedOrders[EffectiveQty]&gt;0)*T_PlannedOrders[Order_Month])),"m月")&amp;"発注)")</f>
        <v/>
      </c>
      <c r="AF803">
        <f>IF(SUMIFS(T_PlannedOrders[EffectiveQty],T_PlannedOrders[Part Name],$A777,T_PlannedOrders[WeekIndex],29)=0,"",SUMIFS(T_PlannedOrders[EffectiveQty],T_PlannedOrders[Part Name],$A777,T_PlannedOrders[WeekIndex],29)&amp;" ("&amp;TEXT(SUMPRODUCT(MAX((T_PlannedOrders[Part Name]=$A777)*(T_PlannedOrders[WeekIndex]=29)*(T_PlannedOrders[EffectiveQty]&gt;0)*T_PlannedOrders[Order_Month])),"m月")&amp;"発注)")</f>
        <v/>
      </c>
      <c r="AG803">
        <f>IF(SUMIFS(T_PlannedOrders[EffectiveQty],T_PlannedOrders[Part Name],$A777,T_PlannedOrders[WeekIndex],30)=0,"",SUMIFS(T_PlannedOrders[EffectiveQty],T_PlannedOrders[Part Name],$A777,T_PlannedOrders[WeekIndex],30)&amp;" ("&amp;TEXT(SUMPRODUCT(MAX((T_PlannedOrders[Part Name]=$A777)*(T_PlannedOrders[WeekIndex]=30)*(T_PlannedOrders[EffectiveQty]&gt;0)*T_PlannedOrders[Order_Month])),"m月")&amp;"発注)")</f>
        <v/>
      </c>
      <c r="AH803">
        <f>IF(SUMIFS(T_PlannedOrders[EffectiveQty],T_PlannedOrders[Part Name],$A777,T_PlannedOrders[WeekIndex],31)=0,"",SUMIFS(T_PlannedOrders[EffectiveQty],T_PlannedOrders[Part Name],$A777,T_PlannedOrders[WeekIndex],31)&amp;" ("&amp;TEXT(SUMPRODUCT(MAX((T_PlannedOrders[Part Name]=$A777)*(T_PlannedOrders[WeekIndex]=31)*(T_PlannedOrders[EffectiveQty]&gt;0)*T_PlannedOrders[Order_Month])),"m月")&amp;"発注)")</f>
        <v/>
      </c>
      <c r="AI803">
        <f>IF(SUMIFS(T_PlannedOrders[EffectiveQty],T_PlannedOrders[Part Name],$A777,T_PlannedOrders[WeekIndex],32)=0,"",SUMIFS(T_PlannedOrders[EffectiveQty],T_PlannedOrders[Part Name],$A777,T_PlannedOrders[WeekIndex],32)&amp;" ("&amp;TEXT(SUMPRODUCT(MAX((T_PlannedOrders[Part Name]=$A777)*(T_PlannedOrders[WeekIndex]=32)*(T_PlannedOrders[EffectiveQty]&gt;0)*T_PlannedOrders[Order_Month])),"m月")&amp;"発注)")</f>
        <v/>
      </c>
      <c r="AJ803">
        <f>IF(SUMIFS(T_PlannedOrders[EffectiveQty],T_PlannedOrders[Part Name],$A777,T_PlannedOrders[WeekIndex],33)=0,"",SUMIFS(T_PlannedOrders[EffectiveQty],T_PlannedOrders[Part Name],$A777,T_PlannedOrders[WeekIndex],33)&amp;" ("&amp;TEXT(SUMPRODUCT(MAX((T_PlannedOrders[Part Name]=$A777)*(T_PlannedOrders[WeekIndex]=33)*(T_PlannedOrders[EffectiveQty]&gt;0)*T_PlannedOrders[Order_Month])),"m月")&amp;"発注)")</f>
        <v/>
      </c>
      <c r="AK803">
        <f>IF(SUMIFS(T_PlannedOrders[EffectiveQty],T_PlannedOrders[Part Name],$A777,T_PlannedOrders[WeekIndex],34)=0,"",SUMIFS(T_PlannedOrders[EffectiveQty],T_PlannedOrders[Part Name],$A777,T_PlannedOrders[WeekIndex],34)&amp;" ("&amp;TEXT(SUMPRODUCT(MAX((T_PlannedOrders[Part Name]=$A777)*(T_PlannedOrders[WeekIndex]=34)*(T_PlannedOrders[EffectiveQty]&gt;0)*T_PlannedOrders[Order_Month])),"m月")&amp;"発注)")</f>
        <v/>
      </c>
      <c r="AL803">
        <f>IF(SUMIFS(T_PlannedOrders[EffectiveQty],T_PlannedOrders[Part Name],$A777,T_PlannedOrders[WeekIndex],35)=0,"",SUMIFS(T_PlannedOrders[EffectiveQty],T_PlannedOrders[Part Name],$A777,T_PlannedOrders[WeekIndex],35)&amp;" ("&amp;TEXT(SUMPRODUCT(MAX((T_PlannedOrders[Part Name]=$A777)*(T_PlannedOrders[WeekIndex]=35)*(T_PlannedOrders[EffectiveQty]&gt;0)*T_PlannedOrders[Order_Month])),"m月")&amp;"発注)")</f>
        <v/>
      </c>
      <c r="AM803">
        <f>IF(SUMIFS(T_PlannedOrders[EffectiveQty],T_PlannedOrders[Part Name],$A777,T_PlannedOrders[WeekIndex],36)=0,"",SUMIFS(T_PlannedOrders[EffectiveQty],T_PlannedOrders[Part Name],$A777,T_PlannedOrders[WeekIndex],36)&amp;" ("&amp;TEXT(SUMPRODUCT(MAX((T_PlannedOrders[Part Name]=$A777)*(T_PlannedOrders[WeekIndex]=36)*(T_PlannedOrders[EffectiveQty]&gt;0)*T_PlannedOrders[Order_Month])),"m月")&amp;"発注)")</f>
        <v/>
      </c>
      <c r="AN803">
        <f>IF(SUMIFS(T_PlannedOrders[EffectiveQty],T_PlannedOrders[Part Name],$A777,T_PlannedOrders[WeekIndex],37)=0,"",SUMIFS(T_PlannedOrders[EffectiveQty],T_PlannedOrders[Part Name],$A777,T_PlannedOrders[WeekIndex],37)&amp;" ("&amp;TEXT(SUMPRODUCT(MAX((T_PlannedOrders[Part Name]=$A777)*(T_PlannedOrders[WeekIndex]=37)*(T_PlannedOrders[EffectiveQty]&gt;0)*T_PlannedOrders[Order_Month])),"m月")&amp;"発注)")</f>
        <v/>
      </c>
      <c r="AO803">
        <f>IF(SUMIFS(T_PlannedOrders[EffectiveQty],T_PlannedOrders[Part Name],$A777,T_PlannedOrders[WeekIndex],38)=0,"",SUMIFS(T_PlannedOrders[EffectiveQty],T_PlannedOrders[Part Name],$A777,T_PlannedOrders[WeekIndex],38)&amp;" ("&amp;TEXT(SUMPRODUCT(MAX((T_PlannedOrders[Part Name]=$A777)*(T_PlannedOrders[WeekIndex]=38)*(T_PlannedOrders[EffectiveQty]&gt;0)*T_PlannedOrders[Order_Month])),"m月")&amp;"発注)")</f>
        <v/>
      </c>
      <c r="AP803">
        <f>IF(SUMIFS(T_PlannedOrders[EffectiveQty],T_PlannedOrders[Part Name],$A777,T_PlannedOrders[WeekIndex],39)=0,"",SUMIFS(T_PlannedOrders[EffectiveQty],T_PlannedOrders[Part Name],$A777,T_PlannedOrders[WeekIndex],39)&amp;" ("&amp;TEXT(SUMPRODUCT(MAX((T_PlannedOrders[Part Name]=$A777)*(T_PlannedOrders[WeekIndex]=39)*(T_PlannedOrders[EffectiveQty]&gt;0)*T_PlannedOrders[Order_Month])),"m月")&amp;"発注)")</f>
        <v/>
      </c>
      <c r="AQ803">
        <f>IF(SUMIFS(T_PlannedOrders[EffectiveQty],T_PlannedOrders[Part Name],$A777,T_PlannedOrders[WeekIndex],40)=0,"",SUMIFS(T_PlannedOrders[EffectiveQty],T_PlannedOrders[Part Name],$A777,T_PlannedOrders[WeekIndex],40)&amp;" ("&amp;TEXT(SUMPRODUCT(MAX((T_PlannedOrders[Part Name]=$A777)*(T_PlannedOrders[WeekIndex]=40)*(T_PlannedOrders[EffectiveQty]&gt;0)*T_PlannedOrders[Order_Month])),"m月")&amp;"発注)")</f>
        <v/>
      </c>
      <c r="AR803">
        <f>IF(SUMIFS(T_PlannedOrders[EffectiveQty],T_PlannedOrders[Part Name],$A777,T_PlannedOrders[WeekIndex],41)=0,"",SUMIFS(T_PlannedOrders[EffectiveQty],T_PlannedOrders[Part Name],$A777,T_PlannedOrders[WeekIndex],41)&amp;" ("&amp;TEXT(SUMPRODUCT(MAX((T_PlannedOrders[Part Name]=$A777)*(T_PlannedOrders[WeekIndex]=41)*(T_PlannedOrders[EffectiveQty]&gt;0)*T_PlannedOrders[Order_Month])),"m月")&amp;"発注)")</f>
        <v/>
      </c>
      <c r="AS803">
        <f>IF(SUMIFS(T_PlannedOrders[EffectiveQty],T_PlannedOrders[Part Name],$A777,T_PlannedOrders[WeekIndex],42)=0,"",SUMIFS(T_PlannedOrders[EffectiveQty],T_PlannedOrders[Part Name],$A777,T_PlannedOrders[WeekIndex],42)&amp;" ("&amp;TEXT(SUMPRODUCT(MAX((T_PlannedOrders[Part Name]=$A777)*(T_PlannedOrders[WeekIndex]=42)*(T_PlannedOrders[EffectiveQty]&gt;0)*T_PlannedOrders[Order_Month])),"m月")&amp;"発注)")</f>
        <v/>
      </c>
      <c r="AT803">
        <f>IF(SUMIFS(T_PlannedOrders[EffectiveQty],T_PlannedOrders[Part Name],$A777,T_PlannedOrders[WeekIndex],43)=0,"",SUMIFS(T_PlannedOrders[EffectiveQty],T_PlannedOrders[Part Name],$A777,T_PlannedOrders[WeekIndex],43)&amp;" ("&amp;TEXT(SUMPRODUCT(MAX((T_PlannedOrders[Part Name]=$A777)*(T_PlannedOrders[WeekIndex]=43)*(T_PlannedOrders[EffectiveQty]&gt;0)*T_PlannedOrders[Order_Month])),"m月")&amp;"発注)")</f>
        <v/>
      </c>
      <c r="AU803">
        <f>IF(SUMIFS(T_PlannedOrders[EffectiveQty],T_PlannedOrders[Part Name],$A777,T_PlannedOrders[WeekIndex],44)=0,"",SUMIFS(T_PlannedOrders[EffectiveQty],T_PlannedOrders[Part Name],$A777,T_PlannedOrders[WeekIndex],44)&amp;" ("&amp;TEXT(SUMPRODUCT(MAX((T_PlannedOrders[Part Name]=$A777)*(T_PlannedOrders[WeekIndex]=44)*(T_PlannedOrders[EffectiveQty]&gt;0)*T_PlannedOrders[Order_Month])),"m月")&amp;"発注)")</f>
        <v/>
      </c>
      <c r="AV803">
        <f>IF(SUMIFS(T_PlannedOrders[EffectiveQty],T_PlannedOrders[Part Name],$A777,T_PlannedOrders[WeekIndex],45)=0,"",SUMIFS(T_PlannedOrders[EffectiveQty],T_PlannedOrders[Part Name],$A777,T_PlannedOrders[WeekIndex],45)&amp;" ("&amp;TEXT(SUMPRODUCT(MAX((T_PlannedOrders[Part Name]=$A777)*(T_PlannedOrders[WeekIndex]=45)*(T_PlannedOrders[EffectiveQty]&gt;0)*T_PlannedOrders[Order_Month])),"m月")&amp;"発注)")</f>
        <v/>
      </c>
      <c r="AW803">
        <f>IF(SUMIFS(T_PlannedOrders[EffectiveQty],T_PlannedOrders[Part Name],$A777,T_PlannedOrders[WeekIndex],46)=0,"",SUMIFS(T_PlannedOrders[EffectiveQty],T_PlannedOrders[Part Name],$A777,T_PlannedOrders[WeekIndex],46)&amp;" ("&amp;TEXT(SUMPRODUCT(MAX((T_PlannedOrders[Part Name]=$A777)*(T_PlannedOrders[WeekIndex]=46)*(T_PlannedOrders[EffectiveQty]&gt;0)*T_PlannedOrders[Order_Month])),"m月")&amp;"発注)")</f>
        <v/>
      </c>
      <c r="AX803">
        <f>IF(SUMIFS(T_PlannedOrders[EffectiveQty],T_PlannedOrders[Part Name],$A777,T_PlannedOrders[WeekIndex],47)=0,"",SUMIFS(T_PlannedOrders[EffectiveQty],T_PlannedOrders[Part Name],$A777,T_PlannedOrders[WeekIndex],47)&amp;" ("&amp;TEXT(SUMPRODUCT(MAX((T_PlannedOrders[Part Name]=$A777)*(T_PlannedOrders[WeekIndex]=47)*(T_PlannedOrders[EffectiveQty]&gt;0)*T_PlannedOrders[Order_Month])),"m月")&amp;"発注)")</f>
        <v/>
      </c>
      <c r="AY803">
        <f>IF(SUMIFS(T_PlannedOrders[EffectiveQty],T_PlannedOrders[Part Name],$A777,T_PlannedOrders[WeekIndex],48)=0,"",SUMIFS(T_PlannedOrders[EffectiveQty],T_PlannedOrders[Part Name],$A777,T_PlannedOrders[WeekIndex],48)&amp;" ("&amp;TEXT(SUMPRODUCT(MAX((T_PlannedOrders[Part Name]=$A777)*(T_PlannedOrders[WeekIndex]=48)*(T_PlannedOrders[EffectiveQty]&gt;0)*T_PlannedOrders[Order_Month])),"m月")&amp;"発注)")</f>
        <v/>
      </c>
      <c r="AZ803">
        <f>IF(SUMIFS(T_PlannedOrders[EffectiveQty],T_PlannedOrders[Part Name],$A777,T_PlannedOrders[WeekIndex],49)=0,"",SUMIFS(T_PlannedOrders[EffectiveQty],T_PlannedOrders[Part Name],$A777,T_PlannedOrders[WeekIndex],49)&amp;" ("&amp;TEXT(SUMPRODUCT(MAX((T_PlannedOrders[Part Name]=$A777)*(T_PlannedOrders[WeekIndex]=49)*(T_PlannedOrders[EffectiveQty]&gt;0)*T_PlannedOrders[Order_Month])),"m月")&amp;"発注)")</f>
        <v/>
      </c>
      <c r="BA803">
        <f>IF(SUMIFS(T_PlannedOrders[EffectiveQty],T_PlannedOrders[Part Name],$A777,T_PlannedOrders[WeekIndex],50)=0,"",SUMIFS(T_PlannedOrders[EffectiveQty],T_PlannedOrders[Part Name],$A777,T_PlannedOrders[WeekIndex],50)&amp;" ("&amp;TEXT(SUMPRODUCT(MAX((T_PlannedOrders[Part Name]=$A777)*(T_PlannedOrders[WeekIndex]=50)*(T_PlannedOrders[EffectiveQty]&gt;0)*T_PlannedOrders[Order_Month])),"m月")&amp;"発注)")</f>
        <v/>
      </c>
      <c r="BB803">
        <f>IF(SUMIFS(T_PlannedOrders[EffectiveQty],T_PlannedOrders[Part Name],$A777,T_PlannedOrders[WeekIndex],51)=0,"",SUMIFS(T_PlannedOrders[EffectiveQty],T_PlannedOrders[Part Name],$A777,T_PlannedOrders[WeekIndex],51)&amp;" ("&amp;TEXT(SUMPRODUCT(MAX((T_PlannedOrders[Part Name]=$A777)*(T_PlannedOrders[WeekIndex]=51)*(T_PlannedOrders[EffectiveQty]&gt;0)*T_PlannedOrders[Order_Month])),"m月")&amp;"発注)")</f>
        <v/>
      </c>
      <c r="BC803">
        <f>IF(SUMIFS(T_PlannedOrders[EffectiveQty],T_PlannedOrders[Part Name],$A777,T_PlannedOrders[WeekIndex],52)=0,"",SUMIFS(T_PlannedOrders[EffectiveQty],T_PlannedOrders[Part Name],$A777,T_PlannedOrders[WeekIndex],52)&amp;" ("&amp;TEXT(SUMPRODUCT(MAX((T_PlannedOrders[Part Name]=$A777)*(T_PlannedOrders[WeekIndex]=52)*(T_PlannedOrders[EffectiveQty]&gt;0)*T_PlannedOrders[Order_Month])),"m月")&amp;"発注)")</f>
        <v/>
      </c>
      <c r="BD803">
        <f>IF(SUMIFS(T_PlannedOrders[EffectiveQty],T_PlannedOrders[Part Name],$A777,T_PlannedOrders[WeekIndex],53)=0,"",SUMIFS(T_PlannedOrders[EffectiveQty],T_PlannedOrders[Part Name],$A777,T_PlannedOrders[WeekIndex],53)&amp;" ("&amp;TEXT(SUMPRODUCT(MAX((T_PlannedOrders[Part Name]=$A777)*(T_PlannedOrders[WeekIndex]=53)*(T_PlannedOrders[EffectiveQty]&gt;0)*T_PlannedOrders[Order_Month])),"m月")&amp;"発注)")</f>
        <v/>
      </c>
      <c r="BE803">
        <f>IF(SUMIFS(T_PlannedOrders[EffectiveQty],T_PlannedOrders[Part Name],$A777,T_PlannedOrders[WeekIndex],54)=0,"",SUMIFS(T_PlannedOrders[EffectiveQty],T_PlannedOrders[Part Name],$A777,T_PlannedOrders[WeekIndex],54)&amp;" ("&amp;TEXT(SUMPRODUCT(MAX((T_PlannedOrders[Part Name]=$A777)*(T_PlannedOrders[WeekIndex]=54)*(T_PlannedOrders[EffectiveQty]&gt;0)*T_PlannedOrders[Order_Month])),"m月")&amp;"発注)")</f>
        <v/>
      </c>
      <c r="BF803">
        <f>IF(SUMIFS(T_PlannedOrders[EffectiveQty],T_PlannedOrders[Part Name],$A777,T_PlannedOrders[WeekIndex],55)=0,"",SUMIFS(T_PlannedOrders[EffectiveQty],T_PlannedOrders[Part Name],$A777,T_PlannedOrders[WeekIndex],55)&amp;" ("&amp;TEXT(SUMPRODUCT(MAX((T_PlannedOrders[Part Name]=$A777)*(T_PlannedOrders[WeekIndex]=55)*(T_PlannedOrders[EffectiveQty]&gt;0)*T_PlannedOrders[Order_Month])),"m月")&amp;"発注)")</f>
        <v/>
      </c>
      <c r="BG803">
        <f>IF(SUMIFS(T_PlannedOrders[EffectiveQty],T_PlannedOrders[Part Name],$A777,T_PlannedOrders[WeekIndex],56)=0,"",SUMIFS(T_PlannedOrders[EffectiveQty],T_PlannedOrders[Part Name],$A777,T_PlannedOrders[WeekIndex],56)&amp;" ("&amp;TEXT(SUMPRODUCT(MAX((T_PlannedOrders[Part Name]=$A777)*(T_PlannedOrders[WeekIndex]=56)*(T_PlannedOrders[EffectiveQty]&gt;0)*T_PlannedOrders[Order_Month])),"m月")&amp;"発注)")</f>
        <v/>
      </c>
      <c r="BH803">
        <f>IF(SUMIFS(T_PlannedOrders[EffectiveQty],T_PlannedOrders[Part Name],$A777,T_PlannedOrders[WeekIndex],57)=0,"",SUMIFS(T_PlannedOrders[EffectiveQty],T_PlannedOrders[Part Name],$A777,T_PlannedOrders[WeekIndex],57)&amp;" ("&amp;TEXT(SUMPRODUCT(MAX((T_PlannedOrders[Part Name]=$A777)*(T_PlannedOrders[WeekIndex]=57)*(T_PlannedOrders[EffectiveQty]&gt;0)*T_PlannedOrders[Order_Month])),"m月")&amp;"発注)")</f>
        <v/>
      </c>
      <c r="BI803">
        <f>IF(SUMIFS(T_PlannedOrders[EffectiveQty],T_PlannedOrders[Part Name],$A777,T_PlannedOrders[WeekIndex],58)=0,"",SUMIFS(T_PlannedOrders[EffectiveQty],T_PlannedOrders[Part Name],$A777,T_PlannedOrders[WeekIndex],58)&amp;" ("&amp;TEXT(SUMPRODUCT(MAX((T_PlannedOrders[Part Name]=$A777)*(T_PlannedOrders[WeekIndex]=58)*(T_PlannedOrders[EffectiveQty]&gt;0)*T_PlannedOrders[Order_Month])),"m月")&amp;"発注)")</f>
        <v/>
      </c>
      <c r="BJ803">
        <f>IF(SUMIFS(T_PlannedOrders[EffectiveQty],T_PlannedOrders[Part Name],$A777,T_PlannedOrders[WeekIndex],59)=0,"",SUMIFS(T_PlannedOrders[EffectiveQty],T_PlannedOrders[Part Name],$A777,T_PlannedOrders[WeekIndex],59)&amp;" ("&amp;TEXT(SUMPRODUCT(MAX((T_PlannedOrders[Part Name]=$A777)*(T_PlannedOrders[WeekIndex]=59)*(T_PlannedOrders[EffectiveQty]&gt;0)*T_PlannedOrders[Order_Month])),"m月")&amp;"発注)")</f>
        <v/>
      </c>
      <c r="BK803">
        <f>IF(SUMIFS(T_PlannedOrders[EffectiveQty],T_PlannedOrders[Part Name],$A777,T_PlannedOrders[WeekIndex],60)=0,"",SUMIFS(T_PlannedOrders[EffectiveQty],T_PlannedOrders[Part Name],$A777,T_PlannedOrders[WeekIndex],60)&amp;" ("&amp;TEXT(SUMPRODUCT(MAX((T_PlannedOrders[Part Name]=$A777)*(T_PlannedOrders[WeekIndex]=60)*(T_PlannedOrders[EffectiveQty]&gt;0)*T_PlannedOrders[Order_Month])),"m月")&amp;"発注)")</f>
        <v/>
      </c>
      <c r="BL803">
        <f>IF(SUMIFS(T_PlannedOrders[EffectiveQty],T_PlannedOrders[Part Name],$A777,T_PlannedOrders[WeekIndex],61)=0,"",SUMIFS(T_PlannedOrders[EffectiveQty],T_PlannedOrders[Part Name],$A777,T_PlannedOrders[WeekIndex],61)&amp;" ("&amp;TEXT(SUMPRODUCT(MAX((T_PlannedOrders[Part Name]=$A777)*(T_PlannedOrders[WeekIndex]=61)*(T_PlannedOrders[EffectiveQty]&gt;0)*T_PlannedOrders[Order_Month])),"m月")&amp;"発注)")</f>
        <v/>
      </c>
      <c r="BM803">
        <f>IF(SUMIFS(T_PlannedOrders[EffectiveQty],T_PlannedOrders[Part Name],$A777,T_PlannedOrders[WeekIndex],62)=0,"",SUMIFS(T_PlannedOrders[EffectiveQty],T_PlannedOrders[Part Name],$A777,T_PlannedOrders[WeekIndex],62)&amp;" ("&amp;TEXT(SUMPRODUCT(MAX((T_PlannedOrders[Part Name]=$A777)*(T_PlannedOrders[WeekIndex]=62)*(T_PlannedOrders[EffectiveQty]&gt;0)*T_PlannedOrders[Order_Month])),"m月")&amp;"発注)")</f>
        <v/>
      </c>
      <c r="BN803">
        <f>IF(SUMIFS(T_PlannedOrders[EffectiveQty],T_PlannedOrders[Part Name],$A777,T_PlannedOrders[WeekIndex],63)=0,"",SUMIFS(T_PlannedOrders[EffectiveQty],T_PlannedOrders[Part Name],$A777,T_PlannedOrders[WeekIndex],63)&amp;" ("&amp;TEXT(SUMPRODUCT(MAX((T_PlannedOrders[Part Name]=$A777)*(T_PlannedOrders[WeekIndex]=63)*(T_PlannedOrders[EffectiveQty]&gt;0)*T_PlannedOrders[Order_Month])),"m月")&amp;"発注)")</f>
        <v/>
      </c>
      <c r="BO803">
        <f>IF(SUMIFS(T_PlannedOrders[EffectiveQty],T_PlannedOrders[Part Name],$A777,T_PlannedOrders[WeekIndex],64)=0,"",SUMIFS(T_PlannedOrders[EffectiveQty],T_PlannedOrders[Part Name],$A777,T_PlannedOrders[WeekIndex],64)&amp;" ("&amp;TEXT(SUMPRODUCT(MAX((T_PlannedOrders[Part Name]=$A777)*(T_PlannedOrders[WeekIndex]=64)*(T_PlannedOrders[EffectiveQty]&gt;0)*T_PlannedOrders[Order_Month])),"m月")&amp;"発注)")</f>
        <v/>
      </c>
      <c r="BP803">
        <f>IF(SUMIFS(T_PlannedOrders[EffectiveQty],T_PlannedOrders[Part Name],$A777,T_PlannedOrders[WeekIndex],65)=0,"",SUMIFS(T_PlannedOrders[EffectiveQty],T_PlannedOrders[Part Name],$A777,T_PlannedOrders[WeekIndex],65)&amp;" ("&amp;TEXT(SUMPRODUCT(MAX((T_PlannedOrders[Part Name]=$A777)*(T_PlannedOrders[WeekIndex]=65)*(T_PlannedOrders[EffectiveQty]&gt;0)*T_PlannedOrders[Order_Month])),"m月")&amp;"発注)")</f>
        <v/>
      </c>
      <c r="BQ803">
        <f>IF(SUMIFS(T_PlannedOrders[EffectiveQty],T_PlannedOrders[Part Name],$A777,T_PlannedOrders[WeekIndex],66)=0,"",SUMIFS(T_PlannedOrders[EffectiveQty],T_PlannedOrders[Part Name],$A777,T_PlannedOrders[WeekIndex],66)&amp;" ("&amp;TEXT(SUMPRODUCT(MAX((T_PlannedOrders[Part Name]=$A777)*(T_PlannedOrders[WeekIndex]=66)*(T_PlannedOrders[EffectiveQty]&gt;0)*T_PlannedOrders[Order_Month])),"m月")&amp;"発注)")</f>
        <v/>
      </c>
      <c r="BR803">
        <f>IF(SUMIFS(T_PlannedOrders[EffectiveQty],T_PlannedOrders[Part Name],$A777,T_PlannedOrders[WeekIndex],67)=0,"",SUMIFS(T_PlannedOrders[EffectiveQty],T_PlannedOrders[Part Name],$A777,T_PlannedOrders[WeekIndex],67)&amp;" ("&amp;TEXT(SUMPRODUCT(MAX((T_PlannedOrders[Part Name]=$A777)*(T_PlannedOrders[WeekIndex]=67)*(T_PlannedOrders[EffectiveQty]&gt;0)*T_PlannedOrders[Order_Month])),"m月")&amp;"発注)")</f>
        <v/>
      </c>
      <c r="BS803">
        <f>IF(SUMIFS(T_PlannedOrders[EffectiveQty],T_PlannedOrders[Part Name],$A777,T_PlannedOrders[WeekIndex],68)=0,"",SUMIFS(T_PlannedOrders[EffectiveQty],T_PlannedOrders[Part Name],$A777,T_PlannedOrders[WeekIndex],68)&amp;" ("&amp;TEXT(SUMPRODUCT(MAX((T_PlannedOrders[Part Name]=$A777)*(T_PlannedOrders[WeekIndex]=68)*(T_PlannedOrders[EffectiveQty]&gt;0)*T_PlannedOrders[Order_Month])),"m月")&amp;"発注)")</f>
        <v/>
      </c>
      <c r="BT803">
        <f>IF(SUMIFS(T_PlannedOrders[EffectiveQty],T_PlannedOrders[Part Name],$A777,T_PlannedOrders[WeekIndex],69)=0,"",SUMIFS(T_PlannedOrders[EffectiveQty],T_PlannedOrders[Part Name],$A777,T_PlannedOrders[WeekIndex],69)&amp;" ("&amp;TEXT(SUMPRODUCT(MAX((T_PlannedOrders[Part Name]=$A777)*(T_PlannedOrders[WeekIndex]=69)*(T_PlannedOrders[EffectiveQty]&gt;0)*T_PlannedOrders[Order_Month])),"m月")&amp;"発注)")</f>
        <v/>
      </c>
      <c r="BU803">
        <f>IF(SUMIFS(T_PlannedOrders[EffectiveQty],T_PlannedOrders[Part Name],$A777,T_PlannedOrders[WeekIndex],70)=0,"",SUMIFS(T_PlannedOrders[EffectiveQty],T_PlannedOrders[Part Name],$A777,T_PlannedOrders[WeekIndex],70)&amp;" ("&amp;TEXT(SUMPRODUCT(MAX((T_PlannedOrders[Part Name]=$A777)*(T_PlannedOrders[WeekIndex]=70)*(T_PlannedOrders[EffectiveQty]&gt;0)*T_PlannedOrders[Order_Month])),"m月")&amp;"発注)")</f>
        <v/>
      </c>
      <c r="BV803">
        <f>IF(SUMIFS(T_PlannedOrders[EffectiveQty],T_PlannedOrders[Part Name],$A777,T_PlannedOrders[WeekIndex],71)=0,"",SUMIFS(T_PlannedOrders[EffectiveQty],T_PlannedOrders[Part Name],$A777,T_PlannedOrders[WeekIndex],71)&amp;" ("&amp;TEXT(SUMPRODUCT(MAX((T_PlannedOrders[Part Name]=$A777)*(T_PlannedOrders[WeekIndex]=71)*(T_PlannedOrders[EffectiveQty]&gt;0)*T_PlannedOrders[Order_Month])),"m月")&amp;"発注)")</f>
        <v/>
      </c>
      <c r="BW803">
        <f>IF(SUMIFS(T_PlannedOrders[EffectiveQty],T_PlannedOrders[Part Name],$A777,T_PlannedOrders[WeekIndex],72)=0,"",SUMIFS(T_PlannedOrders[EffectiveQty],T_PlannedOrders[Part Name],$A777,T_PlannedOrders[WeekIndex],72)&amp;" ("&amp;TEXT(SUMPRODUCT(MAX((T_PlannedOrders[Part Name]=$A777)*(T_PlannedOrders[WeekIndex]=72)*(T_PlannedOrders[EffectiveQty]&gt;0)*T_PlannedOrders[Order_Month])),"m月")&amp;"発注)")</f>
        <v/>
      </c>
      <c r="BX803">
        <f>IF(SUMIFS(T_PlannedOrders[EffectiveQty],T_PlannedOrders[Part Name],$A777,T_PlannedOrders[WeekIndex],73)=0,"",SUMIFS(T_PlannedOrders[EffectiveQty],T_PlannedOrders[Part Name],$A777,T_PlannedOrders[WeekIndex],73)&amp;" ("&amp;TEXT(SUMPRODUCT(MAX((T_PlannedOrders[Part Name]=$A777)*(T_PlannedOrders[WeekIndex]=73)*(T_PlannedOrders[EffectiveQty]&gt;0)*T_PlannedOrders[Order_Month])),"m月")&amp;"発注)")</f>
        <v/>
      </c>
      <c r="BY803">
        <f>IF(SUMIFS(T_PlannedOrders[EffectiveQty],T_PlannedOrders[Part Name],$A777,T_PlannedOrders[WeekIndex],74)=0,"",SUMIFS(T_PlannedOrders[EffectiveQty],T_PlannedOrders[Part Name],$A777,T_PlannedOrders[WeekIndex],74)&amp;" ("&amp;TEXT(SUMPRODUCT(MAX((T_PlannedOrders[Part Name]=$A777)*(T_PlannedOrders[WeekIndex]=74)*(T_PlannedOrders[EffectiveQty]&gt;0)*T_PlannedOrders[Order_Month])),"m月")&amp;"発注)")</f>
        <v/>
      </c>
      <c r="BZ803">
        <f>IF(SUMIFS(T_PlannedOrders[EffectiveQty],T_PlannedOrders[Part Name],$A777,T_PlannedOrders[WeekIndex],75)=0,"",SUMIFS(T_PlannedOrders[EffectiveQty],T_PlannedOrders[Part Name],$A777,T_PlannedOrders[WeekIndex],75)&amp;" ("&amp;TEXT(SUMPRODUCT(MAX((T_PlannedOrders[Part Name]=$A777)*(T_PlannedOrders[WeekIndex]=75)*(T_PlannedOrders[EffectiveQty]&gt;0)*T_PlannedOrders[Order_Month])),"m月")&amp;"発注)")</f>
        <v/>
      </c>
      <c r="CA803">
        <f>IF(SUMIFS(T_PlannedOrders[EffectiveQty],T_PlannedOrders[Part Name],$A777,T_PlannedOrders[WeekIndex],76)=0,"",SUMIFS(T_PlannedOrders[EffectiveQty],T_PlannedOrders[Part Name],$A777,T_PlannedOrders[WeekIndex],76)&amp;" ("&amp;TEXT(SUMPRODUCT(MAX((T_PlannedOrders[Part Name]=$A777)*(T_PlannedOrders[WeekIndex]=76)*(T_PlannedOrders[EffectiveQty]&gt;0)*T_PlannedOrders[Order_Month])),"m月")&amp;"発注)")</f>
        <v/>
      </c>
      <c r="CB803">
        <f>IF(SUMIFS(T_PlannedOrders[EffectiveQty],T_PlannedOrders[Part Name],$A777,T_PlannedOrders[WeekIndex],77)=0,"",SUMIFS(T_PlannedOrders[EffectiveQty],T_PlannedOrders[Part Name],$A777,T_PlannedOrders[WeekIndex],77)&amp;" ("&amp;TEXT(SUMPRODUCT(MAX((T_PlannedOrders[Part Name]=$A777)*(T_PlannedOrders[WeekIndex]=77)*(T_PlannedOrders[EffectiveQty]&gt;0)*T_PlannedOrders[Order_Month])),"m月")&amp;"発注)")</f>
        <v/>
      </c>
      <c r="CC803">
        <f>IF(SUMIFS(T_PlannedOrders[EffectiveQty],T_PlannedOrders[Part Name],$A777,T_PlannedOrders[WeekIndex],78)=0,"",SUMIFS(T_PlannedOrders[EffectiveQty],T_PlannedOrders[Part Name],$A777,T_PlannedOrders[WeekIndex],78)&amp;" ("&amp;TEXT(SUMPRODUCT(MAX((T_PlannedOrders[Part Name]=$A777)*(T_PlannedOrders[WeekIndex]=78)*(T_PlannedOrders[EffectiveQty]&gt;0)*T_PlannedOrders[Order_Month])),"m月")&amp;"発注)")</f>
        <v/>
      </c>
      <c r="CD803">
        <f>IF(SUMIFS(T_PlannedOrders[EffectiveQty],T_PlannedOrders[Part Name],$A777,T_PlannedOrders[WeekIndex],79)=0,"",SUMIFS(T_PlannedOrders[EffectiveQty],T_PlannedOrders[Part Name],$A777,T_PlannedOrders[WeekIndex],79)&amp;" ("&amp;TEXT(SUMPRODUCT(MAX((T_PlannedOrders[Part Name]=$A777)*(T_PlannedOrders[WeekIndex]=79)*(T_PlannedOrders[EffectiveQty]&gt;0)*T_PlannedOrders[Order_Month])),"m月")&amp;"発注)")</f>
        <v/>
      </c>
      <c r="CE803">
        <f>IF(SUMIFS(T_PlannedOrders[EffectiveQty],T_PlannedOrders[Part Name],$A777,T_PlannedOrders[WeekIndex],80)=0,"",SUMIFS(T_PlannedOrders[EffectiveQty],T_PlannedOrders[Part Name],$A777,T_PlannedOrders[WeekIndex],80)&amp;" ("&amp;TEXT(SUMPRODUCT(MAX((T_PlannedOrders[Part Name]=$A777)*(T_PlannedOrders[WeekIndex]=80)*(T_PlannedOrders[EffectiveQty]&gt;0)*T_PlannedOrders[Order_Month])),"m月")&amp;"発注)")</f>
        <v/>
      </c>
      <c r="CF803">
        <f>IF(SUMIFS(T_PlannedOrders[EffectiveQty],T_PlannedOrders[Part Name],$A777,T_PlannedOrders[WeekIndex],81)=0,"",SUMIFS(T_PlannedOrders[EffectiveQty],T_PlannedOrders[Part Name],$A777,T_PlannedOrders[WeekIndex],81)&amp;" ("&amp;TEXT(SUMPRODUCT(MAX((T_PlannedOrders[Part Name]=$A777)*(T_PlannedOrders[WeekIndex]=81)*(T_PlannedOrders[EffectiveQty]&gt;0)*T_PlannedOrders[Order_Month])),"m月")&amp;"発注)")</f>
        <v/>
      </c>
      <c r="CG803">
        <f>IF(SUMIFS(T_PlannedOrders[EffectiveQty],T_PlannedOrders[Part Name],$A777,T_PlannedOrders[WeekIndex],82)=0,"",SUMIFS(T_PlannedOrders[EffectiveQty],T_PlannedOrders[Part Name],$A777,T_PlannedOrders[WeekIndex],82)&amp;" ("&amp;TEXT(SUMPRODUCT(MAX((T_PlannedOrders[Part Name]=$A777)*(T_PlannedOrders[WeekIndex]=82)*(T_PlannedOrders[EffectiveQty]&gt;0)*T_PlannedOrders[Order_Month])),"m月")&amp;"発注)")</f>
        <v/>
      </c>
      <c r="CH803">
        <f>IF(SUMIFS(T_PlannedOrders[EffectiveQty],T_PlannedOrders[Part Name],$A777,T_PlannedOrders[WeekIndex],83)=0,"",SUMIFS(T_PlannedOrders[EffectiveQty],T_PlannedOrders[Part Name],$A777,T_PlannedOrders[WeekIndex],83)&amp;" ("&amp;TEXT(SUMPRODUCT(MAX((T_PlannedOrders[Part Name]=$A777)*(T_PlannedOrders[WeekIndex]=83)*(T_PlannedOrders[EffectiveQty]&gt;0)*T_PlannedOrders[Order_Month])),"m月")&amp;"発注)")</f>
        <v/>
      </c>
      <c r="CI803">
        <f>IF(SUMIFS(T_PlannedOrders[EffectiveQty],T_PlannedOrders[Part Name],$A777,T_PlannedOrders[WeekIndex],84)=0,"",SUMIFS(T_PlannedOrders[EffectiveQty],T_PlannedOrders[Part Name],$A777,T_PlannedOrders[WeekIndex],84)&amp;" ("&amp;TEXT(SUMPRODUCT(MAX((T_PlannedOrders[Part Name]=$A777)*(T_PlannedOrders[WeekIndex]=84)*(T_PlannedOrders[EffectiveQty]&gt;0)*T_PlannedOrders[Order_Month])),"m月")&amp;"発注)")</f>
        <v/>
      </c>
      <c r="CJ803">
        <f>IF(SUMIFS(T_PlannedOrders[EffectiveQty],T_PlannedOrders[Part Name],$A777,T_PlannedOrders[WeekIndex],85)=0,"",SUMIFS(T_PlannedOrders[EffectiveQty],T_PlannedOrders[Part Name],$A777,T_PlannedOrders[WeekIndex],85)&amp;" ("&amp;TEXT(SUMPRODUCT(MAX((T_PlannedOrders[Part Name]=$A777)*(T_PlannedOrders[WeekIndex]=85)*(T_PlannedOrders[EffectiveQty]&gt;0)*T_PlannedOrders[Order_Month])),"m月")&amp;"発注)")</f>
        <v/>
      </c>
      <c r="CK803">
        <f>IF(SUMIFS(T_PlannedOrders[EffectiveQty],T_PlannedOrders[Part Name],$A777,T_PlannedOrders[WeekIndex],86)=0,"",SUMIFS(T_PlannedOrders[EffectiveQty],T_PlannedOrders[Part Name],$A777,T_PlannedOrders[WeekIndex],86)&amp;" ("&amp;TEXT(SUMPRODUCT(MAX((T_PlannedOrders[Part Name]=$A777)*(T_PlannedOrders[WeekIndex]=86)*(T_PlannedOrders[EffectiveQty]&gt;0)*T_PlannedOrders[Order_Month])),"m月")&amp;"発注)")</f>
        <v/>
      </c>
      <c r="CL803">
        <f>IF(SUMIFS(T_PlannedOrders[EffectiveQty],T_PlannedOrders[Part Name],$A777,T_PlannedOrders[WeekIndex],87)=0,"",SUMIFS(T_PlannedOrders[EffectiveQty],T_PlannedOrders[Part Name],$A777,T_PlannedOrders[WeekIndex],87)&amp;" ("&amp;TEXT(SUMPRODUCT(MAX((T_PlannedOrders[Part Name]=$A777)*(T_PlannedOrders[WeekIndex]=87)*(T_PlannedOrders[EffectiveQty]&gt;0)*T_PlannedOrders[Order_Month])),"m月")&amp;"発注)")</f>
        <v/>
      </c>
      <c r="CM803">
        <f>IF(SUMIFS(T_PlannedOrders[EffectiveQty],T_PlannedOrders[Part Name],$A777,T_PlannedOrders[WeekIndex],88)=0,"",SUMIFS(T_PlannedOrders[EffectiveQty],T_PlannedOrders[Part Name],$A777,T_PlannedOrders[WeekIndex],88)&amp;" ("&amp;TEXT(SUMPRODUCT(MAX((T_PlannedOrders[Part Name]=$A777)*(T_PlannedOrders[WeekIndex]=88)*(T_PlannedOrders[EffectiveQty]&gt;0)*T_PlannedOrders[Order_Month])),"m月")&amp;"発注)")</f>
        <v/>
      </c>
      <c r="CN803">
        <f>IF(SUMIFS(T_PlannedOrders[EffectiveQty],T_PlannedOrders[Part Name],$A777,T_PlannedOrders[WeekIndex],89)=0,"",SUMIFS(T_PlannedOrders[EffectiveQty],T_PlannedOrders[Part Name],$A777,T_PlannedOrders[WeekIndex],89)&amp;" ("&amp;TEXT(SUMPRODUCT(MAX((T_PlannedOrders[Part Name]=$A777)*(T_PlannedOrders[WeekIndex]=89)*(T_PlannedOrders[EffectiveQty]&gt;0)*T_PlannedOrders[Order_Month])),"m月")&amp;"発注)")</f>
        <v/>
      </c>
      <c r="CO803">
        <f>IF(SUMIFS(T_PlannedOrders[EffectiveQty],T_PlannedOrders[Part Name],$A777,T_PlannedOrders[WeekIndex],90)=0,"",SUMIFS(T_PlannedOrders[EffectiveQty],T_PlannedOrders[Part Name],$A777,T_PlannedOrders[WeekIndex],90)&amp;" ("&amp;TEXT(SUMPRODUCT(MAX((T_PlannedOrders[Part Name]=$A777)*(T_PlannedOrders[WeekIndex]=90)*(T_PlannedOrders[EffectiveQty]&gt;0)*T_PlannedOrders[Order_Month])),"m月")&amp;"発注)")</f>
        <v/>
      </c>
      <c r="CP803">
        <f>IF(SUMIFS(T_PlannedOrders[EffectiveQty],T_PlannedOrders[Part Name],$A777,T_PlannedOrders[WeekIndex],91)=0,"",SUMIFS(T_PlannedOrders[EffectiveQty],T_PlannedOrders[Part Name],$A777,T_PlannedOrders[WeekIndex],91)&amp;" ("&amp;TEXT(SUMPRODUCT(MAX((T_PlannedOrders[Part Name]=$A777)*(T_PlannedOrders[WeekIndex]=91)*(T_PlannedOrders[EffectiveQty]&gt;0)*T_PlannedOrders[Order_Month])),"m月")&amp;"発注)")</f>
        <v/>
      </c>
      <c r="CQ803">
        <f>IF(SUMIFS(T_PlannedOrders[EffectiveQty],T_PlannedOrders[Part Name],$A777,T_PlannedOrders[WeekIndex],92)=0,"",SUMIFS(T_PlannedOrders[EffectiveQty],T_PlannedOrders[Part Name],$A777,T_PlannedOrders[WeekIndex],92)&amp;" ("&amp;TEXT(SUMPRODUCT(MAX((T_PlannedOrders[Part Name]=$A777)*(T_PlannedOrders[WeekIndex]=92)*(T_PlannedOrders[EffectiveQty]&gt;0)*T_PlannedOrders[Order_Month])),"m月")&amp;"発注)")</f>
        <v/>
      </c>
      <c r="CR803">
        <f>IF(SUMIFS(T_PlannedOrders[EffectiveQty],T_PlannedOrders[Part Name],$A777,T_PlannedOrders[WeekIndex],93)=0,"",SUMIFS(T_PlannedOrders[EffectiveQty],T_PlannedOrders[Part Name],$A777,T_PlannedOrders[WeekIndex],93)&amp;" ("&amp;TEXT(SUMPRODUCT(MAX((T_PlannedOrders[Part Name]=$A777)*(T_PlannedOrders[WeekIndex]=93)*(T_PlannedOrders[EffectiveQty]&gt;0)*T_PlannedOrders[Order_Month])),"m月")&amp;"発注)")</f>
        <v/>
      </c>
      <c r="CS803">
        <f>IF(SUMIFS(T_PlannedOrders[EffectiveQty],T_PlannedOrders[Part Name],$A777,T_PlannedOrders[WeekIndex],94)=0,"",SUMIFS(T_PlannedOrders[EffectiveQty],T_PlannedOrders[Part Name],$A777,T_PlannedOrders[WeekIndex],94)&amp;" ("&amp;TEXT(SUMPRODUCT(MAX((T_PlannedOrders[Part Name]=$A777)*(T_PlannedOrders[WeekIndex]=94)*(T_PlannedOrders[EffectiveQty]&gt;0)*T_PlannedOrders[Order_Month])),"m月")&amp;"発注)")</f>
        <v/>
      </c>
      <c r="CT803">
        <f>IF(SUMIFS(T_PlannedOrders[EffectiveQty],T_PlannedOrders[Part Name],$A777,T_PlannedOrders[WeekIndex],95)=0,"",SUMIFS(T_PlannedOrders[EffectiveQty],T_PlannedOrders[Part Name],$A777,T_PlannedOrders[WeekIndex],95)&amp;" ("&amp;TEXT(SUMPRODUCT(MAX((T_PlannedOrders[Part Name]=$A777)*(T_PlannedOrders[WeekIndex]=95)*(T_PlannedOrders[EffectiveQty]&gt;0)*T_PlannedOrders[Order_Month])),"m月")&amp;"発注)")</f>
        <v/>
      </c>
      <c r="CU803">
        <f>IF(SUMIFS(T_PlannedOrders[EffectiveQty],T_PlannedOrders[Part Name],$A777,T_PlannedOrders[WeekIndex],96)=0,"",SUMIFS(T_PlannedOrders[EffectiveQty],T_PlannedOrders[Part Name],$A777,T_PlannedOrders[WeekIndex],96)&amp;" ("&amp;TEXT(SUMPRODUCT(MAX((T_PlannedOrders[Part Name]=$A777)*(T_PlannedOrders[WeekIndex]=96)*(T_PlannedOrders[EffectiveQty]&gt;0)*T_PlannedOrders[Order_Month])),"m月")&amp;"発注)")</f>
        <v/>
      </c>
      <c r="CV803">
        <f>IF(SUMIFS(T_PlannedOrders[EffectiveQty],T_PlannedOrders[Part Name],$A777,T_PlannedOrders[WeekIndex],97)=0,"",SUMIFS(T_PlannedOrders[EffectiveQty],T_PlannedOrders[Part Name],$A777,T_PlannedOrders[WeekIndex],97)&amp;" ("&amp;TEXT(SUMPRODUCT(MAX((T_PlannedOrders[Part Name]=$A777)*(T_PlannedOrders[WeekIndex]=97)*(T_PlannedOrders[EffectiveQty]&gt;0)*T_PlannedOrders[Order_Month])),"m月")&amp;"発注)")</f>
        <v/>
      </c>
      <c r="CW803">
        <f>IF(SUMIFS(T_PlannedOrders[EffectiveQty],T_PlannedOrders[Part Name],$A777,T_PlannedOrders[WeekIndex],98)=0,"",SUMIFS(T_PlannedOrders[EffectiveQty],T_PlannedOrders[Part Name],$A777,T_PlannedOrders[WeekIndex],98)&amp;" ("&amp;TEXT(SUMPRODUCT(MAX((T_PlannedOrders[Part Name]=$A777)*(T_PlannedOrders[WeekIndex]=98)*(T_PlannedOrders[EffectiveQty]&gt;0)*T_PlannedOrders[Order_Month])),"m月")&amp;"発注)")</f>
        <v/>
      </c>
      <c r="CX803">
        <f>IF(SUMIFS(T_PlannedOrders[EffectiveQty],T_PlannedOrders[Part Name],$A777,T_PlannedOrders[WeekIndex],99)=0,"",SUMIFS(T_PlannedOrders[EffectiveQty],T_PlannedOrders[Part Name],$A777,T_PlannedOrders[WeekIndex],99)&amp;" ("&amp;TEXT(SUMPRODUCT(MAX((T_PlannedOrders[Part Name]=$A777)*(T_PlannedOrders[WeekIndex]=99)*(T_PlannedOrders[EffectiveQty]&gt;0)*T_PlannedOrders[Order_Month])),"m月")&amp;"発注)")</f>
        <v/>
      </c>
      <c r="CY803">
        <f>IF(SUMIFS(T_PlannedOrders[EffectiveQty],T_PlannedOrders[Part Name],$A777,T_PlannedOrders[WeekIndex],100)=0,"",SUMIFS(T_PlannedOrders[EffectiveQty],T_PlannedOrders[Part Name],$A777,T_PlannedOrders[WeekIndex],100)&amp;" ("&amp;TEXT(SUMPRODUCT(MAX((T_PlannedOrders[Part Name]=$A777)*(T_PlannedOrders[WeekIndex]=100)*(T_PlannedOrders[EffectiveQty]&gt;0)*T_PlannedOrders[Order_Month])),"m月")&amp;"発注)")</f>
        <v/>
      </c>
      <c r="CZ803">
        <f>IF(SUMIFS(T_PlannedOrders[EffectiveQty],T_PlannedOrders[Part Name],$A777,T_PlannedOrders[WeekIndex],101)=0,"",SUMIFS(T_PlannedOrders[EffectiveQty],T_PlannedOrders[Part Name],$A777,T_PlannedOrders[WeekIndex],101)&amp;" ("&amp;TEXT(SUMPRODUCT(MAX((T_PlannedOrders[Part Name]=$A777)*(T_PlannedOrders[WeekIndex]=101)*(T_PlannedOrders[EffectiveQty]&gt;0)*T_PlannedOrders[Order_Month])),"m月")&amp;"発注)")</f>
        <v/>
      </c>
      <c r="DA803">
        <f>IF(SUMIFS(T_PlannedOrders[EffectiveQty],T_PlannedOrders[Part Name],$A777,T_PlannedOrders[WeekIndex],102)=0,"",SUMIFS(T_PlannedOrders[EffectiveQty],T_PlannedOrders[Part Name],$A777,T_PlannedOrders[WeekIndex],102)&amp;" ("&amp;TEXT(SUMPRODUCT(MAX((T_PlannedOrders[Part Name]=$A777)*(T_PlannedOrders[WeekIndex]=102)*(T_PlannedOrders[EffectiveQty]&gt;0)*T_PlannedOrders[Order_Month])),"m月")&amp;"発注)")</f>
        <v/>
      </c>
      <c r="DB803">
        <f>IF(SUMIFS(T_PlannedOrders[EffectiveQty],T_PlannedOrders[Part Name],$A777,T_PlannedOrders[WeekIndex],103)=0,"",SUMIFS(T_PlannedOrders[EffectiveQty],T_PlannedOrders[Part Name],$A777,T_PlannedOrders[WeekIndex],103)&amp;" ("&amp;TEXT(SUMPRODUCT(MAX((T_PlannedOrders[Part Name]=$A777)*(T_PlannedOrders[WeekIndex]=103)*(T_PlannedOrders[EffectiveQty]&gt;0)*T_PlannedOrders[Order_Month])),"m月")&amp;"発注)")</f>
        <v/>
      </c>
      <c r="DC803">
        <f>IF(SUMIFS(T_PlannedOrders[EffectiveQty],T_PlannedOrders[Part Name],$A777,T_PlannedOrders[WeekIndex],104)=0,"",SUMIFS(T_PlannedOrders[EffectiveQty],T_PlannedOrders[Part Name],$A777,T_PlannedOrders[WeekIndex],104)&amp;" ("&amp;TEXT(SUMPRODUCT(MAX((T_PlannedOrders[Part Name]=$A777)*(T_PlannedOrders[WeekIndex]=104)*(T_PlannedOrders[EffectiveQty]&gt;0)*T_PlannedOrders[Order_Month])),"m月")&amp;"発注)")</f>
        <v/>
      </c>
    </row>
    <row r="804">
      <c r="B804" s="5" t="inlineStr">
        <is>
          <t>合計在庫(週末時点,kg)</t>
        </is>
      </c>
      <c r="D804">
        <f>'Grid_Stock'!B25</f>
        <v/>
      </c>
      <c r="E804">
        <f>'Grid_Stock'!C25</f>
        <v/>
      </c>
      <c r="F804">
        <f>'Grid_Stock'!D25</f>
        <v/>
      </c>
      <c r="G804">
        <f>'Grid_Stock'!E25</f>
        <v/>
      </c>
      <c r="H804">
        <f>'Grid_Stock'!F25</f>
        <v/>
      </c>
      <c r="I804">
        <f>'Grid_Stock'!G25</f>
        <v/>
      </c>
      <c r="J804">
        <f>'Grid_Stock'!H25</f>
        <v/>
      </c>
      <c r="K804">
        <f>'Grid_Stock'!I25</f>
        <v/>
      </c>
      <c r="L804">
        <f>'Grid_Stock'!J25</f>
        <v/>
      </c>
      <c r="M804">
        <f>'Grid_Stock'!K25</f>
        <v/>
      </c>
      <c r="N804">
        <f>'Grid_Stock'!L25</f>
        <v/>
      </c>
      <c r="O804">
        <f>'Grid_Stock'!M25</f>
        <v/>
      </c>
      <c r="P804">
        <f>'Grid_Stock'!N25</f>
        <v/>
      </c>
      <c r="Q804">
        <f>'Grid_Stock'!O25</f>
        <v/>
      </c>
      <c r="R804">
        <f>'Grid_Stock'!P25</f>
        <v/>
      </c>
      <c r="S804">
        <f>'Grid_Stock'!Q25</f>
        <v/>
      </c>
      <c r="T804">
        <f>'Grid_Stock'!R25</f>
        <v/>
      </c>
      <c r="U804">
        <f>'Grid_Stock'!S25</f>
        <v/>
      </c>
      <c r="V804">
        <f>'Grid_Stock'!T25</f>
        <v/>
      </c>
      <c r="W804">
        <f>'Grid_Stock'!U25</f>
        <v/>
      </c>
      <c r="X804">
        <f>'Grid_Stock'!V25</f>
        <v/>
      </c>
      <c r="Y804">
        <f>'Grid_Stock'!W25</f>
        <v/>
      </c>
      <c r="Z804">
        <f>'Grid_Stock'!X25</f>
        <v/>
      </c>
      <c r="AA804">
        <f>'Grid_Stock'!Y25</f>
        <v/>
      </c>
      <c r="AB804">
        <f>'Grid_Stock'!Z25</f>
        <v/>
      </c>
      <c r="AC804">
        <f>'Grid_Stock'!AA25</f>
        <v/>
      </c>
      <c r="AD804">
        <f>'Grid_Stock'!AB25</f>
        <v/>
      </c>
      <c r="AE804">
        <f>'Grid_Stock'!AC25</f>
        <v/>
      </c>
      <c r="AF804">
        <f>'Grid_Stock'!AD25</f>
        <v/>
      </c>
      <c r="AG804">
        <f>'Grid_Stock'!AE25</f>
        <v/>
      </c>
      <c r="AH804">
        <f>'Grid_Stock'!AF25</f>
        <v/>
      </c>
      <c r="AI804">
        <f>'Grid_Stock'!AG25</f>
        <v/>
      </c>
      <c r="AJ804">
        <f>'Grid_Stock'!AH25</f>
        <v/>
      </c>
      <c r="AK804">
        <f>'Grid_Stock'!AI25</f>
        <v/>
      </c>
      <c r="AL804">
        <f>'Grid_Stock'!AJ25</f>
        <v/>
      </c>
      <c r="AM804">
        <f>'Grid_Stock'!AK25</f>
        <v/>
      </c>
      <c r="AN804">
        <f>'Grid_Stock'!AL25</f>
        <v/>
      </c>
      <c r="AO804">
        <f>'Grid_Stock'!AM25</f>
        <v/>
      </c>
      <c r="AP804">
        <f>'Grid_Stock'!AN25</f>
        <v/>
      </c>
      <c r="AQ804">
        <f>'Grid_Stock'!AO25</f>
        <v/>
      </c>
      <c r="AR804">
        <f>'Grid_Stock'!AP25</f>
        <v/>
      </c>
      <c r="AS804">
        <f>'Grid_Stock'!AQ25</f>
        <v/>
      </c>
      <c r="AT804">
        <f>'Grid_Stock'!AR25</f>
        <v/>
      </c>
      <c r="AU804">
        <f>'Grid_Stock'!AS25</f>
        <v/>
      </c>
      <c r="AV804">
        <f>'Grid_Stock'!AT25</f>
        <v/>
      </c>
      <c r="AW804">
        <f>'Grid_Stock'!AU25</f>
        <v/>
      </c>
      <c r="AX804">
        <f>'Grid_Stock'!AV25</f>
        <v/>
      </c>
      <c r="AY804">
        <f>'Grid_Stock'!AW25</f>
        <v/>
      </c>
      <c r="AZ804">
        <f>'Grid_Stock'!AX25</f>
        <v/>
      </c>
      <c r="BA804">
        <f>'Grid_Stock'!AY25</f>
        <v/>
      </c>
      <c r="BB804">
        <f>'Grid_Stock'!AZ25</f>
        <v/>
      </c>
      <c r="BC804">
        <f>'Grid_Stock'!BA25</f>
        <v/>
      </c>
      <c r="BD804">
        <f>'Grid_Stock'!BB25</f>
        <v/>
      </c>
      <c r="BE804">
        <f>'Grid_Stock'!BC25</f>
        <v/>
      </c>
      <c r="BF804">
        <f>'Grid_Stock'!BD25</f>
        <v/>
      </c>
      <c r="BG804">
        <f>'Grid_Stock'!BE25</f>
        <v/>
      </c>
      <c r="BH804">
        <f>'Grid_Stock'!BF25</f>
        <v/>
      </c>
      <c r="BI804">
        <f>'Grid_Stock'!BG25</f>
        <v/>
      </c>
      <c r="BJ804">
        <f>'Grid_Stock'!BH25</f>
        <v/>
      </c>
      <c r="BK804">
        <f>'Grid_Stock'!BI25</f>
        <v/>
      </c>
      <c r="BL804">
        <f>'Grid_Stock'!BJ25</f>
        <v/>
      </c>
      <c r="BM804">
        <f>'Grid_Stock'!BK25</f>
        <v/>
      </c>
      <c r="BN804">
        <f>'Grid_Stock'!BL25</f>
        <v/>
      </c>
      <c r="BO804">
        <f>'Grid_Stock'!BM25</f>
        <v/>
      </c>
      <c r="BP804">
        <f>'Grid_Stock'!BN25</f>
        <v/>
      </c>
      <c r="BQ804">
        <f>'Grid_Stock'!BO25</f>
        <v/>
      </c>
      <c r="BR804">
        <f>'Grid_Stock'!BP25</f>
        <v/>
      </c>
      <c r="BS804">
        <f>'Grid_Stock'!BQ25</f>
        <v/>
      </c>
      <c r="BT804">
        <f>'Grid_Stock'!BR25</f>
        <v/>
      </c>
      <c r="BU804">
        <f>'Grid_Stock'!BS25</f>
        <v/>
      </c>
      <c r="BV804">
        <f>'Grid_Stock'!BT25</f>
        <v/>
      </c>
      <c r="BW804">
        <f>'Grid_Stock'!BU25</f>
        <v/>
      </c>
      <c r="BX804">
        <f>'Grid_Stock'!BV25</f>
        <v/>
      </c>
      <c r="BY804">
        <f>'Grid_Stock'!BW25</f>
        <v/>
      </c>
      <c r="BZ804">
        <f>'Grid_Stock'!BX25</f>
        <v/>
      </c>
      <c r="CA804">
        <f>'Grid_Stock'!BY25</f>
        <v/>
      </c>
      <c r="CB804">
        <f>'Grid_Stock'!BZ25</f>
        <v/>
      </c>
      <c r="CC804">
        <f>'Grid_Stock'!CA25</f>
        <v/>
      </c>
      <c r="CD804">
        <f>'Grid_Stock'!CB25</f>
        <v/>
      </c>
      <c r="CE804">
        <f>'Grid_Stock'!CC25</f>
        <v/>
      </c>
      <c r="CF804">
        <f>'Grid_Stock'!CD25</f>
        <v/>
      </c>
      <c r="CG804">
        <f>'Grid_Stock'!CE25</f>
        <v/>
      </c>
      <c r="CH804">
        <f>'Grid_Stock'!CF25</f>
        <v/>
      </c>
      <c r="CI804">
        <f>'Grid_Stock'!CG25</f>
        <v/>
      </c>
      <c r="CJ804">
        <f>'Grid_Stock'!CH25</f>
        <v/>
      </c>
      <c r="CK804">
        <f>'Grid_Stock'!CI25</f>
        <v/>
      </c>
      <c r="CL804">
        <f>'Grid_Stock'!CJ25</f>
        <v/>
      </c>
      <c r="CM804">
        <f>'Grid_Stock'!CK25</f>
        <v/>
      </c>
      <c r="CN804">
        <f>'Grid_Stock'!CL25</f>
        <v/>
      </c>
      <c r="CO804">
        <f>'Grid_Stock'!CM25</f>
        <v/>
      </c>
      <c r="CP804">
        <f>'Grid_Stock'!CN25</f>
        <v/>
      </c>
      <c r="CQ804">
        <f>'Grid_Stock'!CO25</f>
        <v/>
      </c>
      <c r="CR804">
        <f>'Grid_Stock'!CP25</f>
        <v/>
      </c>
      <c r="CS804">
        <f>'Grid_Stock'!CQ25</f>
        <v/>
      </c>
      <c r="CT804">
        <f>'Grid_Stock'!CR25</f>
        <v/>
      </c>
      <c r="CU804">
        <f>'Grid_Stock'!CS25</f>
        <v/>
      </c>
      <c r="CV804">
        <f>'Grid_Stock'!CT25</f>
        <v/>
      </c>
      <c r="CW804">
        <f>'Grid_Stock'!CU25</f>
        <v/>
      </c>
      <c r="CX804">
        <f>'Grid_Stock'!CV25</f>
        <v/>
      </c>
      <c r="CY804">
        <f>'Grid_Stock'!CW25</f>
        <v/>
      </c>
      <c r="CZ804">
        <f>'Grid_Stock'!CX25</f>
        <v/>
      </c>
      <c r="DA804">
        <f>'Grid_Stock'!CY25</f>
        <v/>
      </c>
      <c r="DB804">
        <f>'Grid_Stock'!CZ25</f>
        <v/>
      </c>
      <c r="DC804">
        <f>'Grid_Stock'!DA25</f>
        <v/>
      </c>
    </row>
    <row r="805">
      <c r="B805" s="23" t="inlineStr">
        <is>
          <t>（発注の目安はDashboardの基準在庫[下限/上限]と色分けを参照）</t>
        </is>
      </c>
    </row>
    <row r="807">
      <c r="A807" s="21" t="inlineStr">
        <is>
          <t>CHEM-1570</t>
        </is>
      </c>
      <c r="B807" s="21" t="inlineStr">
        <is>
          <t>NOPAGOAL A</t>
        </is>
      </c>
      <c r="C807" s="22" t="n"/>
      <c r="D807" s="21" t="n"/>
      <c r="E807" s="21" t="n"/>
      <c r="F807" s="21" t="n"/>
      <c r="G807" s="21" t="n"/>
      <c r="H807" s="21" t="n"/>
      <c r="I807" s="21" t="n"/>
      <c r="J807" s="21" t="n"/>
      <c r="K807" s="21" t="n"/>
      <c r="L807" s="21" t="n"/>
      <c r="M807" s="21" t="n"/>
      <c r="N807" s="21" t="n"/>
      <c r="O807" s="21" t="n"/>
      <c r="P807" s="21" t="n"/>
      <c r="Q807" s="21" t="n"/>
      <c r="R807" s="21" t="n"/>
      <c r="S807" s="21" t="n"/>
      <c r="T807" s="21" t="n"/>
      <c r="U807" s="21" t="n"/>
      <c r="V807" s="21" t="n"/>
      <c r="W807" s="21" t="n"/>
      <c r="X807" s="21" t="n"/>
      <c r="Y807" s="21" t="n"/>
      <c r="Z807" s="21" t="n"/>
      <c r="AA807" s="21" t="n"/>
      <c r="AB807" s="21" t="n"/>
      <c r="AC807" s="21" t="n"/>
      <c r="AD807" s="21" t="n"/>
      <c r="AE807" s="21" t="n"/>
      <c r="AF807" s="21" t="n"/>
      <c r="AG807" s="21" t="n"/>
      <c r="AH807" s="21" t="n"/>
      <c r="AI807" s="21" t="n"/>
      <c r="AJ807" s="21" t="n"/>
      <c r="AK807" s="21" t="n"/>
      <c r="AL807" s="21" t="n"/>
      <c r="AM807" s="21" t="n"/>
      <c r="AN807" s="21" t="n"/>
      <c r="AO807" s="21" t="n"/>
      <c r="AP807" s="21" t="n"/>
      <c r="AQ807" s="21" t="n"/>
      <c r="AR807" s="21" t="n"/>
      <c r="AS807" s="21" t="n"/>
      <c r="AT807" s="21" t="n"/>
      <c r="AU807" s="21" t="n"/>
      <c r="AV807" s="21" t="n"/>
      <c r="AW807" s="21" t="n"/>
      <c r="AX807" s="21" t="n"/>
      <c r="AY807" s="21" t="n"/>
      <c r="AZ807" s="21" t="n"/>
      <c r="BA807" s="21" t="n"/>
      <c r="BB807" s="21" t="n"/>
      <c r="BC807" s="21" t="n"/>
      <c r="BD807" s="21" t="n"/>
      <c r="BE807" s="21" t="n"/>
      <c r="BF807" s="21" t="n"/>
      <c r="BG807" s="21" t="n"/>
      <c r="BH807" s="21" t="n"/>
      <c r="BI807" s="21" t="n"/>
      <c r="BJ807" s="21" t="n"/>
      <c r="BK807" s="21" t="n"/>
      <c r="BL807" s="21" t="n"/>
      <c r="BM807" s="21" t="n"/>
      <c r="BN807" s="21" t="n"/>
      <c r="BO807" s="21" t="n"/>
      <c r="BP807" s="21" t="n"/>
      <c r="BQ807" s="21" t="n"/>
      <c r="BR807" s="21" t="n"/>
      <c r="BS807" s="21" t="n"/>
      <c r="BT807" s="21" t="n"/>
      <c r="BU807" s="21" t="n"/>
      <c r="BV807" s="21" t="n"/>
      <c r="BW807" s="21" t="n"/>
      <c r="BX807" s="21" t="n"/>
      <c r="BY807" s="21" t="n"/>
      <c r="BZ807" s="21" t="n"/>
      <c r="CA807" s="21" t="n"/>
      <c r="CB807" s="21" t="n"/>
      <c r="CC807" s="21" t="n"/>
      <c r="CD807" s="21" t="n"/>
      <c r="CE807" s="21" t="n"/>
      <c r="CF807" s="21" t="n"/>
      <c r="CG807" s="21" t="n"/>
      <c r="CH807" s="21" t="n"/>
      <c r="CI807" s="21" t="n"/>
      <c r="CJ807" s="21" t="n"/>
      <c r="CK807" s="21" t="n"/>
      <c r="CL807" s="21" t="n"/>
      <c r="CM807" s="21" t="n"/>
      <c r="CN807" s="21" t="n"/>
      <c r="CO807" s="21" t="n"/>
      <c r="CP807" s="21" t="n"/>
      <c r="CQ807" s="21" t="n"/>
      <c r="CR807" s="21" t="n"/>
      <c r="CS807" s="21" t="n"/>
      <c r="CT807" s="21" t="n"/>
      <c r="CU807" s="21" t="n"/>
      <c r="CV807" s="21" t="n"/>
      <c r="CW807" s="21" t="n"/>
      <c r="CX807" s="21" t="n"/>
      <c r="CY807" s="21" t="n"/>
      <c r="CZ807" s="21" t="n"/>
      <c r="DA807" s="21" t="n"/>
      <c r="DB807" s="21" t="n"/>
      <c r="DC807" s="21" t="n"/>
    </row>
    <row r="808">
      <c r="B808" t="inlineStr">
        <is>
          <t>TSP-1388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12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Name],$A807)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TSP-1448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12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Name],$A807)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TSP-1449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12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Name],$A807)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t="inlineStr">
        <is>
          <t>TSP-558</t>
        </is>
      </c>
      <c r="C814" t="inlineStr">
        <is>
          <t>No. of batches</t>
        </is>
      </c>
      <c r="D814">
        <f>IFERROR(INDEX(PP_Grid[#Data],$DD814,2),0)</f>
        <v/>
      </c>
      <c r="E814">
        <f>IFERROR(INDEX(PP_Grid[#Data],$DD814,3),0)</f>
        <v/>
      </c>
      <c r="F814">
        <f>IFERROR(INDEX(PP_Grid[#Data],$DD814,4),0)</f>
        <v/>
      </c>
      <c r="G814">
        <f>IFERROR(INDEX(PP_Grid[#Data],$DD814,5),0)</f>
        <v/>
      </c>
      <c r="H814">
        <f>IFERROR(INDEX(PP_Grid[#Data],$DD814,6),0)</f>
        <v/>
      </c>
      <c r="I814">
        <f>IFERROR(INDEX(PP_Grid[#Data],$DD814,7),0)</f>
        <v/>
      </c>
      <c r="J814">
        <f>IFERROR(INDEX(PP_Grid[#Data],$DD814,8),0)</f>
        <v/>
      </c>
      <c r="K814">
        <f>IFERROR(INDEX(PP_Grid[#Data],$DD814,9),0)</f>
        <v/>
      </c>
      <c r="L814">
        <f>IFERROR(INDEX(PP_Grid[#Data],$DD814,10),0)</f>
        <v/>
      </c>
      <c r="M814">
        <f>IFERROR(INDEX(PP_Grid[#Data],$DD814,11),0)</f>
        <v/>
      </c>
      <c r="N814">
        <f>IFERROR(INDEX(PP_Grid[#Data],$DD814,12),0)</f>
        <v/>
      </c>
      <c r="O814">
        <f>IFERROR(INDEX(PP_Grid[#Data],$DD814,13),0)</f>
        <v/>
      </c>
      <c r="P814">
        <f>IFERROR(INDEX(PP_Grid[#Data],$DD814,14),0)</f>
        <v/>
      </c>
      <c r="Q814">
        <f>IFERROR(INDEX(PP_Grid[#Data],$DD814,15),0)</f>
        <v/>
      </c>
      <c r="R814">
        <f>IFERROR(INDEX(PP_Grid[#Data],$DD814,16),0)</f>
        <v/>
      </c>
      <c r="S814">
        <f>IFERROR(INDEX(PP_Grid[#Data],$DD814,17),0)</f>
        <v/>
      </c>
      <c r="T814">
        <f>IFERROR(INDEX(PP_Grid[#Data],$DD814,18),0)</f>
        <v/>
      </c>
      <c r="U814">
        <f>IFERROR(INDEX(PP_Grid[#Data],$DD814,19),0)</f>
        <v/>
      </c>
      <c r="V814">
        <f>IFERROR(INDEX(PP_Grid[#Data],$DD814,20),0)</f>
        <v/>
      </c>
      <c r="W814">
        <f>IFERROR(INDEX(PP_Grid[#Data],$DD814,21),0)</f>
        <v/>
      </c>
      <c r="X814">
        <f>IFERROR(INDEX(PP_Grid[#Data],$DD814,22),0)</f>
        <v/>
      </c>
      <c r="Y814">
        <f>IFERROR(INDEX(PP_Grid[#Data],$DD814,23),0)</f>
        <v/>
      </c>
      <c r="Z814">
        <f>IFERROR(INDEX(PP_Grid[#Data],$DD814,24),0)</f>
        <v/>
      </c>
      <c r="AA814">
        <f>IFERROR(INDEX(PP_Grid[#Data],$DD814,25),0)</f>
        <v/>
      </c>
      <c r="AB814">
        <f>IFERROR(INDEX(PP_Grid[#Data],$DD814,26),0)</f>
        <v/>
      </c>
      <c r="AC814">
        <f>IFERROR(INDEX(PP_Grid[#Data],$DD814,27),0)</f>
        <v/>
      </c>
      <c r="AD814">
        <f>IFERROR(INDEX(PP_Grid[#Data],$DD814,28),0)</f>
        <v/>
      </c>
      <c r="AE814">
        <f>IFERROR(INDEX(PP_Grid[#Data],$DD814,29),0)</f>
        <v/>
      </c>
      <c r="AF814">
        <f>IFERROR(INDEX(PP_Grid[#Data],$DD814,30),0)</f>
        <v/>
      </c>
      <c r="AG814">
        <f>IFERROR(INDEX(PP_Grid[#Data],$DD814,31),0)</f>
        <v/>
      </c>
      <c r="AH814">
        <f>IFERROR(INDEX(PP_Grid[#Data],$DD814,32),0)</f>
        <v/>
      </c>
      <c r="AI814">
        <f>IFERROR(INDEX(PP_Grid[#Data],$DD814,33),0)</f>
        <v/>
      </c>
      <c r="AJ814">
        <f>IFERROR(INDEX(PP_Grid[#Data],$DD814,34),0)</f>
        <v/>
      </c>
      <c r="AK814">
        <f>IFERROR(INDEX(PP_Grid[#Data],$DD814,35),0)</f>
        <v/>
      </c>
      <c r="AL814">
        <f>IFERROR(INDEX(PP_Grid[#Data],$DD814,36),0)</f>
        <v/>
      </c>
      <c r="AM814">
        <f>IFERROR(INDEX(PP_Grid[#Data],$DD814,37),0)</f>
        <v/>
      </c>
      <c r="AN814">
        <f>IFERROR(INDEX(PP_Grid[#Data],$DD814,38),0)</f>
        <v/>
      </c>
      <c r="AO814">
        <f>IFERROR(INDEX(PP_Grid[#Data],$DD814,39),0)</f>
        <v/>
      </c>
      <c r="AP814">
        <f>IFERROR(INDEX(PP_Grid[#Data],$DD814,40),0)</f>
        <v/>
      </c>
      <c r="AQ814">
        <f>IFERROR(INDEX(PP_Grid[#Data],$DD814,41),0)</f>
        <v/>
      </c>
      <c r="AR814">
        <f>IFERROR(INDEX(PP_Grid[#Data],$DD814,42),0)</f>
        <v/>
      </c>
      <c r="AS814">
        <f>IFERROR(INDEX(PP_Grid[#Data],$DD814,43),0)</f>
        <v/>
      </c>
      <c r="AT814">
        <f>IFERROR(INDEX(PP_Grid[#Data],$DD814,44),0)</f>
        <v/>
      </c>
      <c r="AU814">
        <f>IFERROR(INDEX(PP_Grid[#Data],$DD814,45),0)</f>
        <v/>
      </c>
      <c r="AV814">
        <f>IFERROR(INDEX(PP_Grid[#Data],$DD814,46),0)</f>
        <v/>
      </c>
      <c r="AW814">
        <f>IFERROR(INDEX(PP_Grid[#Data],$DD814,47),0)</f>
        <v/>
      </c>
      <c r="AX814">
        <f>IFERROR(INDEX(PP_Grid[#Data],$DD814,48),0)</f>
        <v/>
      </c>
      <c r="AY814">
        <f>IFERROR(INDEX(PP_Grid[#Data],$DD814,49),0)</f>
        <v/>
      </c>
      <c r="AZ814">
        <f>IFERROR(INDEX(PP_Grid[#Data],$DD814,50),0)</f>
        <v/>
      </c>
      <c r="BA814">
        <f>IFERROR(INDEX(PP_Grid[#Data],$DD814,51),0)</f>
        <v/>
      </c>
      <c r="BB814">
        <f>IFERROR(INDEX(PP_Grid[#Data],$DD814,52),0)</f>
        <v/>
      </c>
      <c r="BC814">
        <f>IFERROR(INDEX(PP_Grid[#Data],$DD814,53),0)</f>
        <v/>
      </c>
      <c r="BD814">
        <f>IFERROR(INDEX(PP_Grid[#Data],$DD814,54),0)</f>
        <v/>
      </c>
      <c r="BE814">
        <f>IFERROR(INDEX(PP_Grid[#Data],$DD814,55),0)</f>
        <v/>
      </c>
      <c r="BF814">
        <f>IFERROR(INDEX(PP_Grid[#Data],$DD814,56),0)</f>
        <v/>
      </c>
      <c r="BG814">
        <f>IFERROR(INDEX(PP_Grid[#Data],$DD814,57),0)</f>
        <v/>
      </c>
      <c r="BH814">
        <f>IFERROR(INDEX(PP_Grid[#Data],$DD814,58),0)</f>
        <v/>
      </c>
      <c r="BI814">
        <f>IFERROR(INDEX(PP_Grid[#Data],$DD814,59),0)</f>
        <v/>
      </c>
      <c r="BJ814">
        <f>IFERROR(INDEX(PP_Grid[#Data],$DD814,60),0)</f>
        <v/>
      </c>
      <c r="BK814">
        <f>IFERROR(INDEX(PP_Grid[#Data],$DD814,61),0)</f>
        <v/>
      </c>
      <c r="BL814">
        <f>IFERROR(INDEX(PP_Grid[#Data],$DD814,62),0)</f>
        <v/>
      </c>
      <c r="BM814">
        <f>IFERROR(INDEX(PP_Grid[#Data],$DD814,63),0)</f>
        <v/>
      </c>
      <c r="BN814">
        <f>IFERROR(INDEX(PP_Grid[#Data],$DD814,64),0)</f>
        <v/>
      </c>
      <c r="BO814">
        <f>IFERROR(INDEX(PP_Grid[#Data],$DD814,65),0)</f>
        <v/>
      </c>
      <c r="BP814">
        <f>IFERROR(INDEX(PP_Grid[#Data],$DD814,66),0)</f>
        <v/>
      </c>
      <c r="BQ814">
        <f>IFERROR(INDEX(PP_Grid[#Data],$DD814,67),0)</f>
        <v/>
      </c>
      <c r="BR814">
        <f>IFERROR(INDEX(PP_Grid[#Data],$DD814,68),0)</f>
        <v/>
      </c>
      <c r="BS814">
        <f>IFERROR(INDEX(PP_Grid[#Data],$DD814,69),0)</f>
        <v/>
      </c>
      <c r="BT814">
        <f>IFERROR(INDEX(PP_Grid[#Data],$DD814,70),0)</f>
        <v/>
      </c>
      <c r="BU814">
        <f>IFERROR(INDEX(PP_Grid[#Data],$DD814,71),0)</f>
        <v/>
      </c>
      <c r="BV814">
        <f>IFERROR(INDEX(PP_Grid[#Data],$DD814,72),0)</f>
        <v/>
      </c>
      <c r="BW814">
        <f>IFERROR(INDEX(PP_Grid[#Data],$DD814,73),0)</f>
        <v/>
      </c>
      <c r="BX814">
        <f>IFERROR(INDEX(PP_Grid[#Data],$DD814,74),0)</f>
        <v/>
      </c>
      <c r="BY814">
        <f>IFERROR(INDEX(PP_Grid[#Data],$DD814,75),0)</f>
        <v/>
      </c>
      <c r="BZ814">
        <f>IFERROR(INDEX(PP_Grid[#Data],$DD814,76),0)</f>
        <v/>
      </c>
      <c r="CA814">
        <f>IFERROR(INDEX(PP_Grid[#Data],$DD814,77),0)</f>
        <v/>
      </c>
      <c r="CB814">
        <f>IFERROR(INDEX(PP_Grid[#Data],$DD814,78),0)</f>
        <v/>
      </c>
      <c r="CC814">
        <f>IFERROR(INDEX(PP_Grid[#Data],$DD814,79),0)</f>
        <v/>
      </c>
      <c r="CD814">
        <f>IFERROR(INDEX(PP_Grid[#Data],$DD814,80),0)</f>
        <v/>
      </c>
      <c r="CE814">
        <f>IFERROR(INDEX(PP_Grid[#Data],$DD814,81),0)</f>
        <v/>
      </c>
      <c r="CF814">
        <f>IFERROR(INDEX(PP_Grid[#Data],$DD814,82),0)</f>
        <v/>
      </c>
      <c r="CG814">
        <f>IFERROR(INDEX(PP_Grid[#Data],$DD814,83),0)</f>
        <v/>
      </c>
      <c r="CH814">
        <f>IFERROR(INDEX(PP_Grid[#Data],$DD814,84),0)</f>
        <v/>
      </c>
      <c r="CI814">
        <f>IFERROR(INDEX(PP_Grid[#Data],$DD814,85),0)</f>
        <v/>
      </c>
      <c r="CJ814">
        <f>IFERROR(INDEX(PP_Grid[#Data],$DD814,86),0)</f>
        <v/>
      </c>
      <c r="CK814">
        <f>IFERROR(INDEX(PP_Grid[#Data],$DD814,87),0)</f>
        <v/>
      </c>
      <c r="CL814">
        <f>IFERROR(INDEX(PP_Grid[#Data],$DD814,88),0)</f>
        <v/>
      </c>
      <c r="CM814">
        <f>IFERROR(INDEX(PP_Grid[#Data],$DD814,89),0)</f>
        <v/>
      </c>
      <c r="CN814">
        <f>IFERROR(INDEX(PP_Grid[#Data],$DD814,90),0)</f>
        <v/>
      </c>
      <c r="CO814">
        <f>IFERROR(INDEX(PP_Grid[#Data],$DD814,91),0)</f>
        <v/>
      </c>
      <c r="CP814">
        <f>IFERROR(INDEX(PP_Grid[#Data],$DD814,92),0)</f>
        <v/>
      </c>
      <c r="CQ814">
        <f>IFERROR(INDEX(PP_Grid[#Data],$DD814,93),0)</f>
        <v/>
      </c>
      <c r="CR814">
        <f>IFERROR(INDEX(PP_Grid[#Data],$DD814,94),0)</f>
        <v/>
      </c>
      <c r="CS814">
        <f>IFERROR(INDEX(PP_Grid[#Data],$DD814,95),0)</f>
        <v/>
      </c>
      <c r="CT814">
        <f>IFERROR(INDEX(PP_Grid[#Data],$DD814,96),0)</f>
        <v/>
      </c>
      <c r="CU814">
        <f>IFERROR(INDEX(PP_Grid[#Data],$DD814,97),0)</f>
        <v/>
      </c>
      <c r="CV814">
        <f>IFERROR(INDEX(PP_Grid[#Data],$DD814,98),0)</f>
        <v/>
      </c>
      <c r="CW814">
        <f>IFERROR(INDEX(PP_Grid[#Data],$DD814,99),0)</f>
        <v/>
      </c>
      <c r="CX814">
        <f>IFERROR(INDEX(PP_Grid[#Data],$DD814,100),0)</f>
        <v/>
      </c>
      <c r="CY814">
        <f>IFERROR(INDEX(PP_Grid[#Data],$DD814,101),0)</f>
        <v/>
      </c>
      <c r="CZ814">
        <f>IFERROR(INDEX(PP_Grid[#Data],$DD814,102),0)</f>
        <v/>
      </c>
      <c r="DA814">
        <f>IFERROR(INDEX(PP_Grid[#Data],$DD814,103),0)</f>
        <v/>
      </c>
      <c r="DB814">
        <f>IFERROR(INDEX(PP_Grid[#Data],$DD814,104),0)</f>
        <v/>
      </c>
      <c r="DC814">
        <f>IFERROR(INDEX(PP_Grid[#Data],$DD814,105),0)</f>
        <v/>
      </c>
      <c r="DD814" s="12">
        <f>IFERROR(MATCH($B814,PP_Grid[Intermediate],0),99999)</f>
        <v/>
      </c>
    </row>
    <row r="815">
      <c r="B815" t="inlineStr">
        <is>
          <t>使用量(kg)</t>
        </is>
      </c>
      <c r="C815">
        <f>SUMIFS(M_BOM[RM_Qty_Per_Batch],M_BOM[Intermediate],$B814,M_BOM[Part Name],$A807)</f>
        <v/>
      </c>
      <c r="D815">
        <f>$C815*D814</f>
        <v/>
      </c>
      <c r="E815">
        <f>$C815*E814</f>
        <v/>
      </c>
      <c r="F815">
        <f>$C815*F814</f>
        <v/>
      </c>
      <c r="G815">
        <f>$C815*G814</f>
        <v/>
      </c>
      <c r="H815">
        <f>$C815*H814</f>
        <v/>
      </c>
      <c r="I815">
        <f>$C815*I814</f>
        <v/>
      </c>
      <c r="J815">
        <f>$C815*J814</f>
        <v/>
      </c>
      <c r="K815">
        <f>$C815*K814</f>
        <v/>
      </c>
      <c r="L815">
        <f>$C815*L814</f>
        <v/>
      </c>
      <c r="M815">
        <f>$C815*M814</f>
        <v/>
      </c>
      <c r="N815">
        <f>$C815*N814</f>
        <v/>
      </c>
      <c r="O815">
        <f>$C815*O814</f>
        <v/>
      </c>
      <c r="P815">
        <f>$C815*P814</f>
        <v/>
      </c>
      <c r="Q815">
        <f>$C815*Q814</f>
        <v/>
      </c>
      <c r="R815">
        <f>$C815*R814</f>
        <v/>
      </c>
      <c r="S815">
        <f>$C815*S814</f>
        <v/>
      </c>
      <c r="T815">
        <f>$C815*T814</f>
        <v/>
      </c>
      <c r="U815">
        <f>$C815*U814</f>
        <v/>
      </c>
      <c r="V815">
        <f>$C815*V814</f>
        <v/>
      </c>
      <c r="W815">
        <f>$C815*W814</f>
        <v/>
      </c>
      <c r="X815">
        <f>$C815*X814</f>
        <v/>
      </c>
      <c r="Y815">
        <f>$C815*Y814</f>
        <v/>
      </c>
      <c r="Z815">
        <f>$C815*Z814</f>
        <v/>
      </c>
      <c r="AA815">
        <f>$C815*AA814</f>
        <v/>
      </c>
      <c r="AB815">
        <f>$C815*AB814</f>
        <v/>
      </c>
      <c r="AC815">
        <f>$C815*AC814</f>
        <v/>
      </c>
      <c r="AD815">
        <f>$C815*AD814</f>
        <v/>
      </c>
      <c r="AE815">
        <f>$C815*AE814</f>
        <v/>
      </c>
      <c r="AF815">
        <f>$C815*AF814</f>
        <v/>
      </c>
      <c r="AG815">
        <f>$C815*AG814</f>
        <v/>
      </c>
      <c r="AH815">
        <f>$C815*AH814</f>
        <v/>
      </c>
      <c r="AI815">
        <f>$C815*AI814</f>
        <v/>
      </c>
      <c r="AJ815">
        <f>$C815*AJ814</f>
        <v/>
      </c>
      <c r="AK815">
        <f>$C815*AK814</f>
        <v/>
      </c>
      <c r="AL815">
        <f>$C815*AL814</f>
        <v/>
      </c>
      <c r="AM815">
        <f>$C815*AM814</f>
        <v/>
      </c>
      <c r="AN815">
        <f>$C815*AN814</f>
        <v/>
      </c>
      <c r="AO815">
        <f>$C815*AO814</f>
        <v/>
      </c>
      <c r="AP815">
        <f>$C815*AP814</f>
        <v/>
      </c>
      <c r="AQ815">
        <f>$C815*AQ814</f>
        <v/>
      </c>
      <c r="AR815">
        <f>$C815*AR814</f>
        <v/>
      </c>
      <c r="AS815">
        <f>$C815*AS814</f>
        <v/>
      </c>
      <c r="AT815">
        <f>$C815*AT814</f>
        <v/>
      </c>
      <c r="AU815">
        <f>$C815*AU814</f>
        <v/>
      </c>
      <c r="AV815">
        <f>$C815*AV814</f>
        <v/>
      </c>
      <c r="AW815">
        <f>$C815*AW814</f>
        <v/>
      </c>
      <c r="AX815">
        <f>$C815*AX814</f>
        <v/>
      </c>
      <c r="AY815">
        <f>$C815*AY814</f>
        <v/>
      </c>
      <c r="AZ815">
        <f>$C815*AZ814</f>
        <v/>
      </c>
      <c r="BA815">
        <f>$C815*BA814</f>
        <v/>
      </c>
      <c r="BB815">
        <f>$C815*BB814</f>
        <v/>
      </c>
      <c r="BC815">
        <f>$C815*BC814</f>
        <v/>
      </c>
      <c r="BD815">
        <f>$C815*BD814</f>
        <v/>
      </c>
      <c r="BE815">
        <f>$C815*BE814</f>
        <v/>
      </c>
      <c r="BF815">
        <f>$C815*BF814</f>
        <v/>
      </c>
      <c r="BG815">
        <f>$C815*BG814</f>
        <v/>
      </c>
      <c r="BH815">
        <f>$C815*BH814</f>
        <v/>
      </c>
      <c r="BI815">
        <f>$C815*BI814</f>
        <v/>
      </c>
      <c r="BJ815">
        <f>$C815*BJ814</f>
        <v/>
      </c>
      <c r="BK815">
        <f>$C815*BK814</f>
        <v/>
      </c>
      <c r="BL815">
        <f>$C815*BL814</f>
        <v/>
      </c>
      <c r="BM815">
        <f>$C815*BM814</f>
        <v/>
      </c>
      <c r="BN815">
        <f>$C815*BN814</f>
        <v/>
      </c>
      <c r="BO815">
        <f>$C815*BO814</f>
        <v/>
      </c>
      <c r="BP815">
        <f>$C815*BP814</f>
        <v/>
      </c>
      <c r="BQ815">
        <f>$C815*BQ814</f>
        <v/>
      </c>
      <c r="BR815">
        <f>$C815*BR814</f>
        <v/>
      </c>
      <c r="BS815">
        <f>$C815*BS814</f>
        <v/>
      </c>
      <c r="BT815">
        <f>$C815*BT814</f>
        <v/>
      </c>
      <c r="BU815">
        <f>$C815*BU814</f>
        <v/>
      </c>
      <c r="BV815">
        <f>$C815*BV814</f>
        <v/>
      </c>
      <c r="BW815">
        <f>$C815*BW814</f>
        <v/>
      </c>
      <c r="BX815">
        <f>$C815*BX814</f>
        <v/>
      </c>
      <c r="BY815">
        <f>$C815*BY814</f>
        <v/>
      </c>
      <c r="BZ815">
        <f>$C815*BZ814</f>
        <v/>
      </c>
      <c r="CA815">
        <f>$C815*CA814</f>
        <v/>
      </c>
      <c r="CB815">
        <f>$C815*CB814</f>
        <v/>
      </c>
      <c r="CC815">
        <f>$C815*CC814</f>
        <v/>
      </c>
      <c r="CD815">
        <f>$C815*CD814</f>
        <v/>
      </c>
      <c r="CE815">
        <f>$C815*CE814</f>
        <v/>
      </c>
      <c r="CF815">
        <f>$C815*CF814</f>
        <v/>
      </c>
      <c r="CG815">
        <f>$C815*CG814</f>
        <v/>
      </c>
      <c r="CH815">
        <f>$C815*CH814</f>
        <v/>
      </c>
      <c r="CI815">
        <f>$C815*CI814</f>
        <v/>
      </c>
      <c r="CJ815">
        <f>$C815*CJ814</f>
        <v/>
      </c>
      <c r="CK815">
        <f>$C815*CK814</f>
        <v/>
      </c>
      <c r="CL815">
        <f>$C815*CL814</f>
        <v/>
      </c>
      <c r="CM815">
        <f>$C815*CM814</f>
        <v/>
      </c>
      <c r="CN815">
        <f>$C815*CN814</f>
        <v/>
      </c>
      <c r="CO815">
        <f>$C815*CO814</f>
        <v/>
      </c>
      <c r="CP815">
        <f>$C815*CP814</f>
        <v/>
      </c>
      <c r="CQ815">
        <f>$C815*CQ814</f>
        <v/>
      </c>
      <c r="CR815">
        <f>$C815*CR814</f>
        <v/>
      </c>
      <c r="CS815">
        <f>$C815*CS814</f>
        <v/>
      </c>
      <c r="CT815">
        <f>$C815*CT814</f>
        <v/>
      </c>
      <c r="CU815">
        <f>$C815*CU814</f>
        <v/>
      </c>
      <c r="CV815">
        <f>$C815*CV814</f>
        <v/>
      </c>
      <c r="CW815">
        <f>$C815*CW814</f>
        <v/>
      </c>
      <c r="CX815">
        <f>$C815*CX814</f>
        <v/>
      </c>
      <c r="CY815">
        <f>$C815*CY814</f>
        <v/>
      </c>
      <c r="CZ815">
        <f>$C815*CZ814</f>
        <v/>
      </c>
      <c r="DA815">
        <f>$C815*DA814</f>
        <v/>
      </c>
      <c r="DB815">
        <f>$C815*DB814</f>
        <v/>
      </c>
      <c r="DC815">
        <f>$C815*DC814</f>
        <v/>
      </c>
    </row>
    <row r="816">
      <c r="B816" t="inlineStr">
        <is>
          <t>TSP-618</t>
        </is>
      </c>
      <c r="C816" t="inlineStr">
        <is>
          <t>No. of batches</t>
        </is>
      </c>
      <c r="D816">
        <f>IFERROR(INDEX(PP_Grid[#Data],$DD816,2),0)</f>
        <v/>
      </c>
      <c r="E816">
        <f>IFERROR(INDEX(PP_Grid[#Data],$DD816,3),0)</f>
        <v/>
      </c>
      <c r="F816">
        <f>IFERROR(INDEX(PP_Grid[#Data],$DD816,4),0)</f>
        <v/>
      </c>
      <c r="G816">
        <f>IFERROR(INDEX(PP_Grid[#Data],$DD816,5),0)</f>
        <v/>
      </c>
      <c r="H816">
        <f>IFERROR(INDEX(PP_Grid[#Data],$DD816,6),0)</f>
        <v/>
      </c>
      <c r="I816">
        <f>IFERROR(INDEX(PP_Grid[#Data],$DD816,7),0)</f>
        <v/>
      </c>
      <c r="J816">
        <f>IFERROR(INDEX(PP_Grid[#Data],$DD816,8),0)</f>
        <v/>
      </c>
      <c r="K816">
        <f>IFERROR(INDEX(PP_Grid[#Data],$DD816,9),0)</f>
        <v/>
      </c>
      <c r="L816">
        <f>IFERROR(INDEX(PP_Grid[#Data],$DD816,10),0)</f>
        <v/>
      </c>
      <c r="M816">
        <f>IFERROR(INDEX(PP_Grid[#Data],$DD816,11),0)</f>
        <v/>
      </c>
      <c r="N816">
        <f>IFERROR(INDEX(PP_Grid[#Data],$DD816,12),0)</f>
        <v/>
      </c>
      <c r="O816">
        <f>IFERROR(INDEX(PP_Grid[#Data],$DD816,13),0)</f>
        <v/>
      </c>
      <c r="P816">
        <f>IFERROR(INDEX(PP_Grid[#Data],$DD816,14),0)</f>
        <v/>
      </c>
      <c r="Q816">
        <f>IFERROR(INDEX(PP_Grid[#Data],$DD816,15),0)</f>
        <v/>
      </c>
      <c r="R816">
        <f>IFERROR(INDEX(PP_Grid[#Data],$DD816,16),0)</f>
        <v/>
      </c>
      <c r="S816">
        <f>IFERROR(INDEX(PP_Grid[#Data],$DD816,17),0)</f>
        <v/>
      </c>
      <c r="T816">
        <f>IFERROR(INDEX(PP_Grid[#Data],$DD816,18),0)</f>
        <v/>
      </c>
      <c r="U816">
        <f>IFERROR(INDEX(PP_Grid[#Data],$DD816,19),0)</f>
        <v/>
      </c>
      <c r="V816">
        <f>IFERROR(INDEX(PP_Grid[#Data],$DD816,20),0)</f>
        <v/>
      </c>
      <c r="W816">
        <f>IFERROR(INDEX(PP_Grid[#Data],$DD816,21),0)</f>
        <v/>
      </c>
      <c r="X816">
        <f>IFERROR(INDEX(PP_Grid[#Data],$DD816,22),0)</f>
        <v/>
      </c>
      <c r="Y816">
        <f>IFERROR(INDEX(PP_Grid[#Data],$DD816,23),0)</f>
        <v/>
      </c>
      <c r="Z816">
        <f>IFERROR(INDEX(PP_Grid[#Data],$DD816,24),0)</f>
        <v/>
      </c>
      <c r="AA816">
        <f>IFERROR(INDEX(PP_Grid[#Data],$DD816,25),0)</f>
        <v/>
      </c>
      <c r="AB816">
        <f>IFERROR(INDEX(PP_Grid[#Data],$DD816,26),0)</f>
        <v/>
      </c>
      <c r="AC816">
        <f>IFERROR(INDEX(PP_Grid[#Data],$DD816,27),0)</f>
        <v/>
      </c>
      <c r="AD816">
        <f>IFERROR(INDEX(PP_Grid[#Data],$DD816,28),0)</f>
        <v/>
      </c>
      <c r="AE816">
        <f>IFERROR(INDEX(PP_Grid[#Data],$DD816,29),0)</f>
        <v/>
      </c>
      <c r="AF816">
        <f>IFERROR(INDEX(PP_Grid[#Data],$DD816,30),0)</f>
        <v/>
      </c>
      <c r="AG816">
        <f>IFERROR(INDEX(PP_Grid[#Data],$DD816,31),0)</f>
        <v/>
      </c>
      <c r="AH816">
        <f>IFERROR(INDEX(PP_Grid[#Data],$DD816,32),0)</f>
        <v/>
      </c>
      <c r="AI816">
        <f>IFERROR(INDEX(PP_Grid[#Data],$DD816,33),0)</f>
        <v/>
      </c>
      <c r="AJ816">
        <f>IFERROR(INDEX(PP_Grid[#Data],$DD816,34),0)</f>
        <v/>
      </c>
      <c r="AK816">
        <f>IFERROR(INDEX(PP_Grid[#Data],$DD816,35),0)</f>
        <v/>
      </c>
      <c r="AL816">
        <f>IFERROR(INDEX(PP_Grid[#Data],$DD816,36),0)</f>
        <v/>
      </c>
      <c r="AM816">
        <f>IFERROR(INDEX(PP_Grid[#Data],$DD816,37),0)</f>
        <v/>
      </c>
      <c r="AN816">
        <f>IFERROR(INDEX(PP_Grid[#Data],$DD816,38),0)</f>
        <v/>
      </c>
      <c r="AO816">
        <f>IFERROR(INDEX(PP_Grid[#Data],$DD816,39),0)</f>
        <v/>
      </c>
      <c r="AP816">
        <f>IFERROR(INDEX(PP_Grid[#Data],$DD816,40),0)</f>
        <v/>
      </c>
      <c r="AQ816">
        <f>IFERROR(INDEX(PP_Grid[#Data],$DD816,41),0)</f>
        <v/>
      </c>
      <c r="AR816">
        <f>IFERROR(INDEX(PP_Grid[#Data],$DD816,42),0)</f>
        <v/>
      </c>
      <c r="AS816">
        <f>IFERROR(INDEX(PP_Grid[#Data],$DD816,43),0)</f>
        <v/>
      </c>
      <c r="AT816">
        <f>IFERROR(INDEX(PP_Grid[#Data],$DD816,44),0)</f>
        <v/>
      </c>
      <c r="AU816">
        <f>IFERROR(INDEX(PP_Grid[#Data],$DD816,45),0)</f>
        <v/>
      </c>
      <c r="AV816">
        <f>IFERROR(INDEX(PP_Grid[#Data],$DD816,46),0)</f>
        <v/>
      </c>
      <c r="AW816">
        <f>IFERROR(INDEX(PP_Grid[#Data],$DD816,47),0)</f>
        <v/>
      </c>
      <c r="AX816">
        <f>IFERROR(INDEX(PP_Grid[#Data],$DD816,48),0)</f>
        <v/>
      </c>
      <c r="AY816">
        <f>IFERROR(INDEX(PP_Grid[#Data],$DD816,49),0)</f>
        <v/>
      </c>
      <c r="AZ816">
        <f>IFERROR(INDEX(PP_Grid[#Data],$DD816,50),0)</f>
        <v/>
      </c>
      <c r="BA816">
        <f>IFERROR(INDEX(PP_Grid[#Data],$DD816,51),0)</f>
        <v/>
      </c>
      <c r="BB816">
        <f>IFERROR(INDEX(PP_Grid[#Data],$DD816,52),0)</f>
        <v/>
      </c>
      <c r="BC816">
        <f>IFERROR(INDEX(PP_Grid[#Data],$DD816,53),0)</f>
        <v/>
      </c>
      <c r="BD816">
        <f>IFERROR(INDEX(PP_Grid[#Data],$DD816,54),0)</f>
        <v/>
      </c>
      <c r="BE816">
        <f>IFERROR(INDEX(PP_Grid[#Data],$DD816,55),0)</f>
        <v/>
      </c>
      <c r="BF816">
        <f>IFERROR(INDEX(PP_Grid[#Data],$DD816,56),0)</f>
        <v/>
      </c>
      <c r="BG816">
        <f>IFERROR(INDEX(PP_Grid[#Data],$DD816,57),0)</f>
        <v/>
      </c>
      <c r="BH816">
        <f>IFERROR(INDEX(PP_Grid[#Data],$DD816,58),0)</f>
        <v/>
      </c>
      <c r="BI816">
        <f>IFERROR(INDEX(PP_Grid[#Data],$DD816,59),0)</f>
        <v/>
      </c>
      <c r="BJ816">
        <f>IFERROR(INDEX(PP_Grid[#Data],$DD816,60),0)</f>
        <v/>
      </c>
      <c r="BK816">
        <f>IFERROR(INDEX(PP_Grid[#Data],$DD816,61),0)</f>
        <v/>
      </c>
      <c r="BL816">
        <f>IFERROR(INDEX(PP_Grid[#Data],$DD816,62),0)</f>
        <v/>
      </c>
      <c r="BM816">
        <f>IFERROR(INDEX(PP_Grid[#Data],$DD816,63),0)</f>
        <v/>
      </c>
      <c r="BN816">
        <f>IFERROR(INDEX(PP_Grid[#Data],$DD816,64),0)</f>
        <v/>
      </c>
      <c r="BO816">
        <f>IFERROR(INDEX(PP_Grid[#Data],$DD816,65),0)</f>
        <v/>
      </c>
      <c r="BP816">
        <f>IFERROR(INDEX(PP_Grid[#Data],$DD816,66),0)</f>
        <v/>
      </c>
      <c r="BQ816">
        <f>IFERROR(INDEX(PP_Grid[#Data],$DD816,67),0)</f>
        <v/>
      </c>
      <c r="BR816">
        <f>IFERROR(INDEX(PP_Grid[#Data],$DD816,68),0)</f>
        <v/>
      </c>
      <c r="BS816">
        <f>IFERROR(INDEX(PP_Grid[#Data],$DD816,69),0)</f>
        <v/>
      </c>
      <c r="BT816">
        <f>IFERROR(INDEX(PP_Grid[#Data],$DD816,70),0)</f>
        <v/>
      </c>
      <c r="BU816">
        <f>IFERROR(INDEX(PP_Grid[#Data],$DD816,71),0)</f>
        <v/>
      </c>
      <c r="BV816">
        <f>IFERROR(INDEX(PP_Grid[#Data],$DD816,72),0)</f>
        <v/>
      </c>
      <c r="BW816">
        <f>IFERROR(INDEX(PP_Grid[#Data],$DD816,73),0)</f>
        <v/>
      </c>
      <c r="BX816">
        <f>IFERROR(INDEX(PP_Grid[#Data],$DD816,74),0)</f>
        <v/>
      </c>
      <c r="BY816">
        <f>IFERROR(INDEX(PP_Grid[#Data],$DD816,75),0)</f>
        <v/>
      </c>
      <c r="BZ816">
        <f>IFERROR(INDEX(PP_Grid[#Data],$DD816,76),0)</f>
        <v/>
      </c>
      <c r="CA816">
        <f>IFERROR(INDEX(PP_Grid[#Data],$DD816,77),0)</f>
        <v/>
      </c>
      <c r="CB816">
        <f>IFERROR(INDEX(PP_Grid[#Data],$DD816,78),0)</f>
        <v/>
      </c>
      <c r="CC816">
        <f>IFERROR(INDEX(PP_Grid[#Data],$DD816,79),0)</f>
        <v/>
      </c>
      <c r="CD816">
        <f>IFERROR(INDEX(PP_Grid[#Data],$DD816,80),0)</f>
        <v/>
      </c>
      <c r="CE816">
        <f>IFERROR(INDEX(PP_Grid[#Data],$DD816,81),0)</f>
        <v/>
      </c>
      <c r="CF816">
        <f>IFERROR(INDEX(PP_Grid[#Data],$DD816,82),0)</f>
        <v/>
      </c>
      <c r="CG816">
        <f>IFERROR(INDEX(PP_Grid[#Data],$DD816,83),0)</f>
        <v/>
      </c>
      <c r="CH816">
        <f>IFERROR(INDEX(PP_Grid[#Data],$DD816,84),0)</f>
        <v/>
      </c>
      <c r="CI816">
        <f>IFERROR(INDEX(PP_Grid[#Data],$DD816,85),0)</f>
        <v/>
      </c>
      <c r="CJ816">
        <f>IFERROR(INDEX(PP_Grid[#Data],$DD816,86),0)</f>
        <v/>
      </c>
      <c r="CK816">
        <f>IFERROR(INDEX(PP_Grid[#Data],$DD816,87),0)</f>
        <v/>
      </c>
      <c r="CL816">
        <f>IFERROR(INDEX(PP_Grid[#Data],$DD816,88),0)</f>
        <v/>
      </c>
      <c r="CM816">
        <f>IFERROR(INDEX(PP_Grid[#Data],$DD816,89),0)</f>
        <v/>
      </c>
      <c r="CN816">
        <f>IFERROR(INDEX(PP_Grid[#Data],$DD816,90),0)</f>
        <v/>
      </c>
      <c r="CO816">
        <f>IFERROR(INDEX(PP_Grid[#Data],$DD816,91),0)</f>
        <v/>
      </c>
      <c r="CP816">
        <f>IFERROR(INDEX(PP_Grid[#Data],$DD816,92),0)</f>
        <v/>
      </c>
      <c r="CQ816">
        <f>IFERROR(INDEX(PP_Grid[#Data],$DD816,93),0)</f>
        <v/>
      </c>
      <c r="CR816">
        <f>IFERROR(INDEX(PP_Grid[#Data],$DD816,94),0)</f>
        <v/>
      </c>
      <c r="CS816">
        <f>IFERROR(INDEX(PP_Grid[#Data],$DD816,95),0)</f>
        <v/>
      </c>
      <c r="CT816">
        <f>IFERROR(INDEX(PP_Grid[#Data],$DD816,96),0)</f>
        <v/>
      </c>
      <c r="CU816">
        <f>IFERROR(INDEX(PP_Grid[#Data],$DD816,97),0)</f>
        <v/>
      </c>
      <c r="CV816">
        <f>IFERROR(INDEX(PP_Grid[#Data],$DD816,98),0)</f>
        <v/>
      </c>
      <c r="CW816">
        <f>IFERROR(INDEX(PP_Grid[#Data],$DD816,99),0)</f>
        <v/>
      </c>
      <c r="CX816">
        <f>IFERROR(INDEX(PP_Grid[#Data],$DD816,100),0)</f>
        <v/>
      </c>
      <c r="CY816">
        <f>IFERROR(INDEX(PP_Grid[#Data],$DD816,101),0)</f>
        <v/>
      </c>
      <c r="CZ816">
        <f>IFERROR(INDEX(PP_Grid[#Data],$DD816,102),0)</f>
        <v/>
      </c>
      <c r="DA816">
        <f>IFERROR(INDEX(PP_Grid[#Data],$DD816,103),0)</f>
        <v/>
      </c>
      <c r="DB816">
        <f>IFERROR(INDEX(PP_Grid[#Data],$DD816,104),0)</f>
        <v/>
      </c>
      <c r="DC816">
        <f>IFERROR(INDEX(PP_Grid[#Data],$DD816,105),0)</f>
        <v/>
      </c>
      <c r="DD816" s="12">
        <f>IFERROR(MATCH($B816,PP_Grid[Intermediate],0),99999)</f>
        <v/>
      </c>
    </row>
    <row r="817">
      <c r="B817" t="inlineStr">
        <is>
          <t>使用量(kg)</t>
        </is>
      </c>
      <c r="C817">
        <f>SUMIFS(M_BOM[RM_Qty_Per_Batch],M_BOM[Intermediate],$B816,M_BOM[Part Name],$A807)</f>
        <v/>
      </c>
      <c r="D817">
        <f>$C817*D816</f>
        <v/>
      </c>
      <c r="E817">
        <f>$C817*E816</f>
        <v/>
      </c>
      <c r="F817">
        <f>$C817*F816</f>
        <v/>
      </c>
      <c r="G817">
        <f>$C817*G816</f>
        <v/>
      </c>
      <c r="H817">
        <f>$C817*H816</f>
        <v/>
      </c>
      <c r="I817">
        <f>$C817*I816</f>
        <v/>
      </c>
      <c r="J817">
        <f>$C817*J816</f>
        <v/>
      </c>
      <c r="K817">
        <f>$C817*K816</f>
        <v/>
      </c>
      <c r="L817">
        <f>$C817*L816</f>
        <v/>
      </c>
      <c r="M817">
        <f>$C817*M816</f>
        <v/>
      </c>
      <c r="N817">
        <f>$C817*N816</f>
        <v/>
      </c>
      <c r="O817">
        <f>$C817*O816</f>
        <v/>
      </c>
      <c r="P817">
        <f>$C817*P816</f>
        <v/>
      </c>
      <c r="Q817">
        <f>$C817*Q816</f>
        <v/>
      </c>
      <c r="R817">
        <f>$C817*R816</f>
        <v/>
      </c>
      <c r="S817">
        <f>$C817*S816</f>
        <v/>
      </c>
      <c r="T817">
        <f>$C817*T816</f>
        <v/>
      </c>
      <c r="U817">
        <f>$C817*U816</f>
        <v/>
      </c>
      <c r="V817">
        <f>$C817*V816</f>
        <v/>
      </c>
      <c r="W817">
        <f>$C817*W816</f>
        <v/>
      </c>
      <c r="X817">
        <f>$C817*X816</f>
        <v/>
      </c>
      <c r="Y817">
        <f>$C817*Y816</f>
        <v/>
      </c>
      <c r="Z817">
        <f>$C817*Z816</f>
        <v/>
      </c>
      <c r="AA817">
        <f>$C817*AA816</f>
        <v/>
      </c>
      <c r="AB817">
        <f>$C817*AB816</f>
        <v/>
      </c>
      <c r="AC817">
        <f>$C817*AC816</f>
        <v/>
      </c>
      <c r="AD817">
        <f>$C817*AD816</f>
        <v/>
      </c>
      <c r="AE817">
        <f>$C817*AE816</f>
        <v/>
      </c>
      <c r="AF817">
        <f>$C817*AF816</f>
        <v/>
      </c>
      <c r="AG817">
        <f>$C817*AG816</f>
        <v/>
      </c>
      <c r="AH817">
        <f>$C817*AH816</f>
        <v/>
      </c>
      <c r="AI817">
        <f>$C817*AI816</f>
        <v/>
      </c>
      <c r="AJ817">
        <f>$C817*AJ816</f>
        <v/>
      </c>
      <c r="AK817">
        <f>$C817*AK816</f>
        <v/>
      </c>
      <c r="AL817">
        <f>$C817*AL816</f>
        <v/>
      </c>
      <c r="AM817">
        <f>$C817*AM816</f>
        <v/>
      </c>
      <c r="AN817">
        <f>$C817*AN816</f>
        <v/>
      </c>
      <c r="AO817">
        <f>$C817*AO816</f>
        <v/>
      </c>
      <c r="AP817">
        <f>$C817*AP816</f>
        <v/>
      </c>
      <c r="AQ817">
        <f>$C817*AQ816</f>
        <v/>
      </c>
      <c r="AR817">
        <f>$C817*AR816</f>
        <v/>
      </c>
      <c r="AS817">
        <f>$C817*AS816</f>
        <v/>
      </c>
      <c r="AT817">
        <f>$C817*AT816</f>
        <v/>
      </c>
      <c r="AU817">
        <f>$C817*AU816</f>
        <v/>
      </c>
      <c r="AV817">
        <f>$C817*AV816</f>
        <v/>
      </c>
      <c r="AW817">
        <f>$C817*AW816</f>
        <v/>
      </c>
      <c r="AX817">
        <f>$C817*AX816</f>
        <v/>
      </c>
      <c r="AY817">
        <f>$C817*AY816</f>
        <v/>
      </c>
      <c r="AZ817">
        <f>$C817*AZ816</f>
        <v/>
      </c>
      <c r="BA817">
        <f>$C817*BA816</f>
        <v/>
      </c>
      <c r="BB817">
        <f>$C817*BB816</f>
        <v/>
      </c>
      <c r="BC817">
        <f>$C817*BC816</f>
        <v/>
      </c>
      <c r="BD817">
        <f>$C817*BD816</f>
        <v/>
      </c>
      <c r="BE817">
        <f>$C817*BE816</f>
        <v/>
      </c>
      <c r="BF817">
        <f>$C817*BF816</f>
        <v/>
      </c>
      <c r="BG817">
        <f>$C817*BG816</f>
        <v/>
      </c>
      <c r="BH817">
        <f>$C817*BH816</f>
        <v/>
      </c>
      <c r="BI817">
        <f>$C817*BI816</f>
        <v/>
      </c>
      <c r="BJ817">
        <f>$C817*BJ816</f>
        <v/>
      </c>
      <c r="BK817">
        <f>$C817*BK816</f>
        <v/>
      </c>
      <c r="BL817">
        <f>$C817*BL816</f>
        <v/>
      </c>
      <c r="BM817">
        <f>$C817*BM816</f>
        <v/>
      </c>
      <c r="BN817">
        <f>$C817*BN816</f>
        <v/>
      </c>
      <c r="BO817">
        <f>$C817*BO816</f>
        <v/>
      </c>
      <c r="BP817">
        <f>$C817*BP816</f>
        <v/>
      </c>
      <c r="BQ817">
        <f>$C817*BQ816</f>
        <v/>
      </c>
      <c r="BR817">
        <f>$C817*BR816</f>
        <v/>
      </c>
      <c r="BS817">
        <f>$C817*BS816</f>
        <v/>
      </c>
      <c r="BT817">
        <f>$C817*BT816</f>
        <v/>
      </c>
      <c r="BU817">
        <f>$C817*BU816</f>
        <v/>
      </c>
      <c r="BV817">
        <f>$C817*BV816</f>
        <v/>
      </c>
      <c r="BW817">
        <f>$C817*BW816</f>
        <v/>
      </c>
      <c r="BX817">
        <f>$C817*BX816</f>
        <v/>
      </c>
      <c r="BY817">
        <f>$C817*BY816</f>
        <v/>
      </c>
      <c r="BZ817">
        <f>$C817*BZ816</f>
        <v/>
      </c>
      <c r="CA817">
        <f>$C817*CA816</f>
        <v/>
      </c>
      <c r="CB817">
        <f>$C817*CB816</f>
        <v/>
      </c>
      <c r="CC817">
        <f>$C817*CC816</f>
        <v/>
      </c>
      <c r="CD817">
        <f>$C817*CD816</f>
        <v/>
      </c>
      <c r="CE817">
        <f>$C817*CE816</f>
        <v/>
      </c>
      <c r="CF817">
        <f>$C817*CF816</f>
        <v/>
      </c>
      <c r="CG817">
        <f>$C817*CG816</f>
        <v/>
      </c>
      <c r="CH817">
        <f>$C817*CH816</f>
        <v/>
      </c>
      <c r="CI817">
        <f>$C817*CI816</f>
        <v/>
      </c>
      <c r="CJ817">
        <f>$C817*CJ816</f>
        <v/>
      </c>
      <c r="CK817">
        <f>$C817*CK816</f>
        <v/>
      </c>
      <c r="CL817">
        <f>$C817*CL816</f>
        <v/>
      </c>
      <c r="CM817">
        <f>$C817*CM816</f>
        <v/>
      </c>
      <c r="CN817">
        <f>$C817*CN816</f>
        <v/>
      </c>
      <c r="CO817">
        <f>$C817*CO816</f>
        <v/>
      </c>
      <c r="CP817">
        <f>$C817*CP816</f>
        <v/>
      </c>
      <c r="CQ817">
        <f>$C817*CQ816</f>
        <v/>
      </c>
      <c r="CR817">
        <f>$C817*CR816</f>
        <v/>
      </c>
      <c r="CS817">
        <f>$C817*CS816</f>
        <v/>
      </c>
      <c r="CT817">
        <f>$C817*CT816</f>
        <v/>
      </c>
      <c r="CU817">
        <f>$C817*CU816</f>
        <v/>
      </c>
      <c r="CV817">
        <f>$C817*CV816</f>
        <v/>
      </c>
      <c r="CW817">
        <f>$C817*CW816</f>
        <v/>
      </c>
      <c r="CX817">
        <f>$C817*CX816</f>
        <v/>
      </c>
      <c r="CY817">
        <f>$C817*CY816</f>
        <v/>
      </c>
      <c r="CZ817">
        <f>$C817*CZ816</f>
        <v/>
      </c>
      <c r="DA817">
        <f>$C817*DA816</f>
        <v/>
      </c>
      <c r="DB817">
        <f>$C817*DB816</f>
        <v/>
      </c>
      <c r="DC817">
        <f>$C817*DC816</f>
        <v/>
      </c>
    </row>
    <row r="818">
      <c r="B818" t="inlineStr">
        <is>
          <t>TSP-620</t>
        </is>
      </c>
      <c r="C818" t="inlineStr">
        <is>
          <t>No. of batches</t>
        </is>
      </c>
      <c r="D818">
        <f>IFERROR(INDEX(PP_Grid[#Data],$DD818,2),0)</f>
        <v/>
      </c>
      <c r="E818">
        <f>IFERROR(INDEX(PP_Grid[#Data],$DD818,3),0)</f>
        <v/>
      </c>
      <c r="F818">
        <f>IFERROR(INDEX(PP_Grid[#Data],$DD818,4),0)</f>
        <v/>
      </c>
      <c r="G818">
        <f>IFERROR(INDEX(PP_Grid[#Data],$DD818,5),0)</f>
        <v/>
      </c>
      <c r="H818">
        <f>IFERROR(INDEX(PP_Grid[#Data],$DD818,6),0)</f>
        <v/>
      </c>
      <c r="I818">
        <f>IFERROR(INDEX(PP_Grid[#Data],$DD818,7),0)</f>
        <v/>
      </c>
      <c r="J818">
        <f>IFERROR(INDEX(PP_Grid[#Data],$DD818,8),0)</f>
        <v/>
      </c>
      <c r="K818">
        <f>IFERROR(INDEX(PP_Grid[#Data],$DD818,9),0)</f>
        <v/>
      </c>
      <c r="L818">
        <f>IFERROR(INDEX(PP_Grid[#Data],$DD818,10),0)</f>
        <v/>
      </c>
      <c r="M818">
        <f>IFERROR(INDEX(PP_Grid[#Data],$DD818,11),0)</f>
        <v/>
      </c>
      <c r="N818">
        <f>IFERROR(INDEX(PP_Grid[#Data],$DD818,12),0)</f>
        <v/>
      </c>
      <c r="O818">
        <f>IFERROR(INDEX(PP_Grid[#Data],$DD818,13),0)</f>
        <v/>
      </c>
      <c r="P818">
        <f>IFERROR(INDEX(PP_Grid[#Data],$DD818,14),0)</f>
        <v/>
      </c>
      <c r="Q818">
        <f>IFERROR(INDEX(PP_Grid[#Data],$DD818,15),0)</f>
        <v/>
      </c>
      <c r="R818">
        <f>IFERROR(INDEX(PP_Grid[#Data],$DD818,16),0)</f>
        <v/>
      </c>
      <c r="S818">
        <f>IFERROR(INDEX(PP_Grid[#Data],$DD818,17),0)</f>
        <v/>
      </c>
      <c r="T818">
        <f>IFERROR(INDEX(PP_Grid[#Data],$DD818,18),0)</f>
        <v/>
      </c>
      <c r="U818">
        <f>IFERROR(INDEX(PP_Grid[#Data],$DD818,19),0)</f>
        <v/>
      </c>
      <c r="V818">
        <f>IFERROR(INDEX(PP_Grid[#Data],$DD818,20),0)</f>
        <v/>
      </c>
      <c r="W818">
        <f>IFERROR(INDEX(PP_Grid[#Data],$DD818,21),0)</f>
        <v/>
      </c>
      <c r="X818">
        <f>IFERROR(INDEX(PP_Grid[#Data],$DD818,22),0)</f>
        <v/>
      </c>
      <c r="Y818">
        <f>IFERROR(INDEX(PP_Grid[#Data],$DD818,23),0)</f>
        <v/>
      </c>
      <c r="Z818">
        <f>IFERROR(INDEX(PP_Grid[#Data],$DD818,24),0)</f>
        <v/>
      </c>
      <c r="AA818">
        <f>IFERROR(INDEX(PP_Grid[#Data],$DD818,25),0)</f>
        <v/>
      </c>
      <c r="AB818">
        <f>IFERROR(INDEX(PP_Grid[#Data],$DD818,26),0)</f>
        <v/>
      </c>
      <c r="AC818">
        <f>IFERROR(INDEX(PP_Grid[#Data],$DD818,27),0)</f>
        <v/>
      </c>
      <c r="AD818">
        <f>IFERROR(INDEX(PP_Grid[#Data],$DD818,28),0)</f>
        <v/>
      </c>
      <c r="AE818">
        <f>IFERROR(INDEX(PP_Grid[#Data],$DD818,29),0)</f>
        <v/>
      </c>
      <c r="AF818">
        <f>IFERROR(INDEX(PP_Grid[#Data],$DD818,30),0)</f>
        <v/>
      </c>
      <c r="AG818">
        <f>IFERROR(INDEX(PP_Grid[#Data],$DD818,31),0)</f>
        <v/>
      </c>
      <c r="AH818">
        <f>IFERROR(INDEX(PP_Grid[#Data],$DD818,32),0)</f>
        <v/>
      </c>
      <c r="AI818">
        <f>IFERROR(INDEX(PP_Grid[#Data],$DD818,33),0)</f>
        <v/>
      </c>
      <c r="AJ818">
        <f>IFERROR(INDEX(PP_Grid[#Data],$DD818,34),0)</f>
        <v/>
      </c>
      <c r="AK818">
        <f>IFERROR(INDEX(PP_Grid[#Data],$DD818,35),0)</f>
        <v/>
      </c>
      <c r="AL818">
        <f>IFERROR(INDEX(PP_Grid[#Data],$DD818,36),0)</f>
        <v/>
      </c>
      <c r="AM818">
        <f>IFERROR(INDEX(PP_Grid[#Data],$DD818,37),0)</f>
        <v/>
      </c>
      <c r="AN818">
        <f>IFERROR(INDEX(PP_Grid[#Data],$DD818,38),0)</f>
        <v/>
      </c>
      <c r="AO818">
        <f>IFERROR(INDEX(PP_Grid[#Data],$DD818,39),0)</f>
        <v/>
      </c>
      <c r="AP818">
        <f>IFERROR(INDEX(PP_Grid[#Data],$DD818,40),0)</f>
        <v/>
      </c>
      <c r="AQ818">
        <f>IFERROR(INDEX(PP_Grid[#Data],$DD818,41),0)</f>
        <v/>
      </c>
      <c r="AR818">
        <f>IFERROR(INDEX(PP_Grid[#Data],$DD818,42),0)</f>
        <v/>
      </c>
      <c r="AS818">
        <f>IFERROR(INDEX(PP_Grid[#Data],$DD818,43),0)</f>
        <v/>
      </c>
      <c r="AT818">
        <f>IFERROR(INDEX(PP_Grid[#Data],$DD818,44),0)</f>
        <v/>
      </c>
      <c r="AU818">
        <f>IFERROR(INDEX(PP_Grid[#Data],$DD818,45),0)</f>
        <v/>
      </c>
      <c r="AV818">
        <f>IFERROR(INDEX(PP_Grid[#Data],$DD818,46),0)</f>
        <v/>
      </c>
      <c r="AW818">
        <f>IFERROR(INDEX(PP_Grid[#Data],$DD818,47),0)</f>
        <v/>
      </c>
      <c r="AX818">
        <f>IFERROR(INDEX(PP_Grid[#Data],$DD818,48),0)</f>
        <v/>
      </c>
      <c r="AY818">
        <f>IFERROR(INDEX(PP_Grid[#Data],$DD818,49),0)</f>
        <v/>
      </c>
      <c r="AZ818">
        <f>IFERROR(INDEX(PP_Grid[#Data],$DD818,50),0)</f>
        <v/>
      </c>
      <c r="BA818">
        <f>IFERROR(INDEX(PP_Grid[#Data],$DD818,51),0)</f>
        <v/>
      </c>
      <c r="BB818">
        <f>IFERROR(INDEX(PP_Grid[#Data],$DD818,52),0)</f>
        <v/>
      </c>
      <c r="BC818">
        <f>IFERROR(INDEX(PP_Grid[#Data],$DD818,53),0)</f>
        <v/>
      </c>
      <c r="BD818">
        <f>IFERROR(INDEX(PP_Grid[#Data],$DD818,54),0)</f>
        <v/>
      </c>
      <c r="BE818">
        <f>IFERROR(INDEX(PP_Grid[#Data],$DD818,55),0)</f>
        <v/>
      </c>
      <c r="BF818">
        <f>IFERROR(INDEX(PP_Grid[#Data],$DD818,56),0)</f>
        <v/>
      </c>
      <c r="BG818">
        <f>IFERROR(INDEX(PP_Grid[#Data],$DD818,57),0)</f>
        <v/>
      </c>
      <c r="BH818">
        <f>IFERROR(INDEX(PP_Grid[#Data],$DD818,58),0)</f>
        <v/>
      </c>
      <c r="BI818">
        <f>IFERROR(INDEX(PP_Grid[#Data],$DD818,59),0)</f>
        <v/>
      </c>
      <c r="BJ818">
        <f>IFERROR(INDEX(PP_Grid[#Data],$DD818,60),0)</f>
        <v/>
      </c>
      <c r="BK818">
        <f>IFERROR(INDEX(PP_Grid[#Data],$DD818,61),0)</f>
        <v/>
      </c>
      <c r="BL818">
        <f>IFERROR(INDEX(PP_Grid[#Data],$DD818,62),0)</f>
        <v/>
      </c>
      <c r="BM818">
        <f>IFERROR(INDEX(PP_Grid[#Data],$DD818,63),0)</f>
        <v/>
      </c>
      <c r="BN818">
        <f>IFERROR(INDEX(PP_Grid[#Data],$DD818,64),0)</f>
        <v/>
      </c>
      <c r="BO818">
        <f>IFERROR(INDEX(PP_Grid[#Data],$DD818,65),0)</f>
        <v/>
      </c>
      <c r="BP818">
        <f>IFERROR(INDEX(PP_Grid[#Data],$DD818,66),0)</f>
        <v/>
      </c>
      <c r="BQ818">
        <f>IFERROR(INDEX(PP_Grid[#Data],$DD818,67),0)</f>
        <v/>
      </c>
      <c r="BR818">
        <f>IFERROR(INDEX(PP_Grid[#Data],$DD818,68),0)</f>
        <v/>
      </c>
      <c r="BS818">
        <f>IFERROR(INDEX(PP_Grid[#Data],$DD818,69),0)</f>
        <v/>
      </c>
      <c r="BT818">
        <f>IFERROR(INDEX(PP_Grid[#Data],$DD818,70),0)</f>
        <v/>
      </c>
      <c r="BU818">
        <f>IFERROR(INDEX(PP_Grid[#Data],$DD818,71),0)</f>
        <v/>
      </c>
      <c r="BV818">
        <f>IFERROR(INDEX(PP_Grid[#Data],$DD818,72),0)</f>
        <v/>
      </c>
      <c r="BW818">
        <f>IFERROR(INDEX(PP_Grid[#Data],$DD818,73),0)</f>
        <v/>
      </c>
      <c r="BX818">
        <f>IFERROR(INDEX(PP_Grid[#Data],$DD818,74),0)</f>
        <v/>
      </c>
      <c r="BY818">
        <f>IFERROR(INDEX(PP_Grid[#Data],$DD818,75),0)</f>
        <v/>
      </c>
      <c r="BZ818">
        <f>IFERROR(INDEX(PP_Grid[#Data],$DD818,76),0)</f>
        <v/>
      </c>
      <c r="CA818">
        <f>IFERROR(INDEX(PP_Grid[#Data],$DD818,77),0)</f>
        <v/>
      </c>
      <c r="CB818">
        <f>IFERROR(INDEX(PP_Grid[#Data],$DD818,78),0)</f>
        <v/>
      </c>
      <c r="CC818">
        <f>IFERROR(INDEX(PP_Grid[#Data],$DD818,79),0)</f>
        <v/>
      </c>
      <c r="CD818">
        <f>IFERROR(INDEX(PP_Grid[#Data],$DD818,80),0)</f>
        <v/>
      </c>
      <c r="CE818">
        <f>IFERROR(INDEX(PP_Grid[#Data],$DD818,81),0)</f>
        <v/>
      </c>
      <c r="CF818">
        <f>IFERROR(INDEX(PP_Grid[#Data],$DD818,82),0)</f>
        <v/>
      </c>
      <c r="CG818">
        <f>IFERROR(INDEX(PP_Grid[#Data],$DD818,83),0)</f>
        <v/>
      </c>
      <c r="CH818">
        <f>IFERROR(INDEX(PP_Grid[#Data],$DD818,84),0)</f>
        <v/>
      </c>
      <c r="CI818">
        <f>IFERROR(INDEX(PP_Grid[#Data],$DD818,85),0)</f>
        <v/>
      </c>
      <c r="CJ818">
        <f>IFERROR(INDEX(PP_Grid[#Data],$DD818,86),0)</f>
        <v/>
      </c>
      <c r="CK818">
        <f>IFERROR(INDEX(PP_Grid[#Data],$DD818,87),0)</f>
        <v/>
      </c>
      <c r="CL818">
        <f>IFERROR(INDEX(PP_Grid[#Data],$DD818,88),0)</f>
        <v/>
      </c>
      <c r="CM818">
        <f>IFERROR(INDEX(PP_Grid[#Data],$DD818,89),0)</f>
        <v/>
      </c>
      <c r="CN818">
        <f>IFERROR(INDEX(PP_Grid[#Data],$DD818,90),0)</f>
        <v/>
      </c>
      <c r="CO818">
        <f>IFERROR(INDEX(PP_Grid[#Data],$DD818,91),0)</f>
        <v/>
      </c>
      <c r="CP818">
        <f>IFERROR(INDEX(PP_Grid[#Data],$DD818,92),0)</f>
        <v/>
      </c>
      <c r="CQ818">
        <f>IFERROR(INDEX(PP_Grid[#Data],$DD818,93),0)</f>
        <v/>
      </c>
      <c r="CR818">
        <f>IFERROR(INDEX(PP_Grid[#Data],$DD818,94),0)</f>
        <v/>
      </c>
      <c r="CS818">
        <f>IFERROR(INDEX(PP_Grid[#Data],$DD818,95),0)</f>
        <v/>
      </c>
      <c r="CT818">
        <f>IFERROR(INDEX(PP_Grid[#Data],$DD818,96),0)</f>
        <v/>
      </c>
      <c r="CU818">
        <f>IFERROR(INDEX(PP_Grid[#Data],$DD818,97),0)</f>
        <v/>
      </c>
      <c r="CV818">
        <f>IFERROR(INDEX(PP_Grid[#Data],$DD818,98),0)</f>
        <v/>
      </c>
      <c r="CW818">
        <f>IFERROR(INDEX(PP_Grid[#Data],$DD818,99),0)</f>
        <v/>
      </c>
      <c r="CX818">
        <f>IFERROR(INDEX(PP_Grid[#Data],$DD818,100),0)</f>
        <v/>
      </c>
      <c r="CY818">
        <f>IFERROR(INDEX(PP_Grid[#Data],$DD818,101),0)</f>
        <v/>
      </c>
      <c r="CZ818">
        <f>IFERROR(INDEX(PP_Grid[#Data],$DD818,102),0)</f>
        <v/>
      </c>
      <c r="DA818">
        <f>IFERROR(INDEX(PP_Grid[#Data],$DD818,103),0)</f>
        <v/>
      </c>
      <c r="DB818">
        <f>IFERROR(INDEX(PP_Grid[#Data],$DD818,104),0)</f>
        <v/>
      </c>
      <c r="DC818">
        <f>IFERROR(INDEX(PP_Grid[#Data],$DD818,105),0)</f>
        <v/>
      </c>
      <c r="DD818" s="12">
        <f>IFERROR(MATCH($B818,PP_Grid[Intermediate],0),99999)</f>
        <v/>
      </c>
    </row>
    <row r="819">
      <c r="B819" t="inlineStr">
        <is>
          <t>使用量(kg)</t>
        </is>
      </c>
      <c r="C819">
        <f>SUMIFS(M_BOM[RM_Qty_Per_Batch],M_BOM[Intermediate],$B818,M_BOM[Part Name],$A807)</f>
        <v/>
      </c>
      <c r="D819">
        <f>$C819*D818</f>
        <v/>
      </c>
      <c r="E819">
        <f>$C819*E818</f>
        <v/>
      </c>
      <c r="F819">
        <f>$C819*F818</f>
        <v/>
      </c>
      <c r="G819">
        <f>$C819*G818</f>
        <v/>
      </c>
      <c r="H819">
        <f>$C819*H818</f>
        <v/>
      </c>
      <c r="I819">
        <f>$C819*I818</f>
        <v/>
      </c>
      <c r="J819">
        <f>$C819*J818</f>
        <v/>
      </c>
      <c r="K819">
        <f>$C819*K818</f>
        <v/>
      </c>
      <c r="L819">
        <f>$C819*L818</f>
        <v/>
      </c>
      <c r="M819">
        <f>$C819*M818</f>
        <v/>
      </c>
      <c r="N819">
        <f>$C819*N818</f>
        <v/>
      </c>
      <c r="O819">
        <f>$C819*O818</f>
        <v/>
      </c>
      <c r="P819">
        <f>$C819*P818</f>
        <v/>
      </c>
      <c r="Q819">
        <f>$C819*Q818</f>
        <v/>
      </c>
      <c r="R819">
        <f>$C819*R818</f>
        <v/>
      </c>
      <c r="S819">
        <f>$C819*S818</f>
        <v/>
      </c>
      <c r="T819">
        <f>$C819*T818</f>
        <v/>
      </c>
      <c r="U819">
        <f>$C819*U818</f>
        <v/>
      </c>
      <c r="V819">
        <f>$C819*V818</f>
        <v/>
      </c>
      <c r="W819">
        <f>$C819*W818</f>
        <v/>
      </c>
      <c r="X819">
        <f>$C819*X818</f>
        <v/>
      </c>
      <c r="Y819">
        <f>$C819*Y818</f>
        <v/>
      </c>
      <c r="Z819">
        <f>$C819*Z818</f>
        <v/>
      </c>
      <c r="AA819">
        <f>$C819*AA818</f>
        <v/>
      </c>
      <c r="AB819">
        <f>$C819*AB818</f>
        <v/>
      </c>
      <c r="AC819">
        <f>$C819*AC818</f>
        <v/>
      </c>
      <c r="AD819">
        <f>$C819*AD818</f>
        <v/>
      </c>
      <c r="AE819">
        <f>$C819*AE818</f>
        <v/>
      </c>
      <c r="AF819">
        <f>$C819*AF818</f>
        <v/>
      </c>
      <c r="AG819">
        <f>$C819*AG818</f>
        <v/>
      </c>
      <c r="AH819">
        <f>$C819*AH818</f>
        <v/>
      </c>
      <c r="AI819">
        <f>$C819*AI818</f>
        <v/>
      </c>
      <c r="AJ819">
        <f>$C819*AJ818</f>
        <v/>
      </c>
      <c r="AK819">
        <f>$C819*AK818</f>
        <v/>
      </c>
      <c r="AL819">
        <f>$C819*AL818</f>
        <v/>
      </c>
      <c r="AM819">
        <f>$C819*AM818</f>
        <v/>
      </c>
      <c r="AN819">
        <f>$C819*AN818</f>
        <v/>
      </c>
      <c r="AO819">
        <f>$C819*AO818</f>
        <v/>
      </c>
      <c r="AP819">
        <f>$C819*AP818</f>
        <v/>
      </c>
      <c r="AQ819">
        <f>$C819*AQ818</f>
        <v/>
      </c>
      <c r="AR819">
        <f>$C819*AR818</f>
        <v/>
      </c>
      <c r="AS819">
        <f>$C819*AS818</f>
        <v/>
      </c>
      <c r="AT819">
        <f>$C819*AT818</f>
        <v/>
      </c>
      <c r="AU819">
        <f>$C819*AU818</f>
        <v/>
      </c>
      <c r="AV819">
        <f>$C819*AV818</f>
        <v/>
      </c>
      <c r="AW819">
        <f>$C819*AW818</f>
        <v/>
      </c>
      <c r="AX819">
        <f>$C819*AX818</f>
        <v/>
      </c>
      <c r="AY819">
        <f>$C819*AY818</f>
        <v/>
      </c>
      <c r="AZ819">
        <f>$C819*AZ818</f>
        <v/>
      </c>
      <c r="BA819">
        <f>$C819*BA818</f>
        <v/>
      </c>
      <c r="BB819">
        <f>$C819*BB818</f>
        <v/>
      </c>
      <c r="BC819">
        <f>$C819*BC818</f>
        <v/>
      </c>
      <c r="BD819">
        <f>$C819*BD818</f>
        <v/>
      </c>
      <c r="BE819">
        <f>$C819*BE818</f>
        <v/>
      </c>
      <c r="BF819">
        <f>$C819*BF818</f>
        <v/>
      </c>
      <c r="BG819">
        <f>$C819*BG818</f>
        <v/>
      </c>
      <c r="BH819">
        <f>$C819*BH818</f>
        <v/>
      </c>
      <c r="BI819">
        <f>$C819*BI818</f>
        <v/>
      </c>
      <c r="BJ819">
        <f>$C819*BJ818</f>
        <v/>
      </c>
      <c r="BK819">
        <f>$C819*BK818</f>
        <v/>
      </c>
      <c r="BL819">
        <f>$C819*BL818</f>
        <v/>
      </c>
      <c r="BM819">
        <f>$C819*BM818</f>
        <v/>
      </c>
      <c r="BN819">
        <f>$C819*BN818</f>
        <v/>
      </c>
      <c r="BO819">
        <f>$C819*BO818</f>
        <v/>
      </c>
      <c r="BP819">
        <f>$C819*BP818</f>
        <v/>
      </c>
      <c r="BQ819">
        <f>$C819*BQ818</f>
        <v/>
      </c>
      <c r="BR819">
        <f>$C819*BR818</f>
        <v/>
      </c>
      <c r="BS819">
        <f>$C819*BS818</f>
        <v/>
      </c>
      <c r="BT819">
        <f>$C819*BT818</f>
        <v/>
      </c>
      <c r="BU819">
        <f>$C819*BU818</f>
        <v/>
      </c>
      <c r="BV819">
        <f>$C819*BV818</f>
        <v/>
      </c>
      <c r="BW819">
        <f>$C819*BW818</f>
        <v/>
      </c>
      <c r="BX819">
        <f>$C819*BX818</f>
        <v/>
      </c>
      <c r="BY819">
        <f>$C819*BY818</f>
        <v/>
      </c>
      <c r="BZ819">
        <f>$C819*BZ818</f>
        <v/>
      </c>
      <c r="CA819">
        <f>$C819*CA818</f>
        <v/>
      </c>
      <c r="CB819">
        <f>$C819*CB818</f>
        <v/>
      </c>
      <c r="CC819">
        <f>$C819*CC818</f>
        <v/>
      </c>
      <c r="CD819">
        <f>$C819*CD818</f>
        <v/>
      </c>
      <c r="CE819">
        <f>$C819*CE818</f>
        <v/>
      </c>
      <c r="CF819">
        <f>$C819*CF818</f>
        <v/>
      </c>
      <c r="CG819">
        <f>$C819*CG818</f>
        <v/>
      </c>
      <c r="CH819">
        <f>$C819*CH818</f>
        <v/>
      </c>
      <c r="CI819">
        <f>$C819*CI818</f>
        <v/>
      </c>
      <c r="CJ819">
        <f>$C819*CJ818</f>
        <v/>
      </c>
      <c r="CK819">
        <f>$C819*CK818</f>
        <v/>
      </c>
      <c r="CL819">
        <f>$C819*CL818</f>
        <v/>
      </c>
      <c r="CM819">
        <f>$C819*CM818</f>
        <v/>
      </c>
      <c r="CN819">
        <f>$C819*CN818</f>
        <v/>
      </c>
      <c r="CO819">
        <f>$C819*CO818</f>
        <v/>
      </c>
      <c r="CP819">
        <f>$C819*CP818</f>
        <v/>
      </c>
      <c r="CQ819">
        <f>$C819*CQ818</f>
        <v/>
      </c>
      <c r="CR819">
        <f>$C819*CR818</f>
        <v/>
      </c>
      <c r="CS819">
        <f>$C819*CS818</f>
        <v/>
      </c>
      <c r="CT819">
        <f>$C819*CT818</f>
        <v/>
      </c>
      <c r="CU819">
        <f>$C819*CU818</f>
        <v/>
      </c>
      <c r="CV819">
        <f>$C819*CV818</f>
        <v/>
      </c>
      <c r="CW819">
        <f>$C819*CW818</f>
        <v/>
      </c>
      <c r="CX819">
        <f>$C819*CX818</f>
        <v/>
      </c>
      <c r="CY819">
        <f>$C819*CY818</f>
        <v/>
      </c>
      <c r="CZ819">
        <f>$C819*CZ818</f>
        <v/>
      </c>
      <c r="DA819">
        <f>$C819*DA818</f>
        <v/>
      </c>
      <c r="DB819">
        <f>$C819*DB818</f>
        <v/>
      </c>
      <c r="DC819">
        <f>$C819*DC818</f>
        <v/>
      </c>
    </row>
    <row r="820">
      <c r="B820" t="inlineStr">
        <is>
          <t>TSP-623</t>
        </is>
      </c>
      <c r="C820" t="inlineStr">
        <is>
          <t>No. of batches</t>
        </is>
      </c>
      <c r="D820">
        <f>IFERROR(INDEX(PP_Grid[#Data],$DD820,2),0)</f>
        <v/>
      </c>
      <c r="E820">
        <f>IFERROR(INDEX(PP_Grid[#Data],$DD820,3),0)</f>
        <v/>
      </c>
      <c r="F820">
        <f>IFERROR(INDEX(PP_Grid[#Data],$DD820,4),0)</f>
        <v/>
      </c>
      <c r="G820">
        <f>IFERROR(INDEX(PP_Grid[#Data],$DD820,5),0)</f>
        <v/>
      </c>
      <c r="H820">
        <f>IFERROR(INDEX(PP_Grid[#Data],$DD820,6),0)</f>
        <v/>
      </c>
      <c r="I820">
        <f>IFERROR(INDEX(PP_Grid[#Data],$DD820,7),0)</f>
        <v/>
      </c>
      <c r="J820">
        <f>IFERROR(INDEX(PP_Grid[#Data],$DD820,8),0)</f>
        <v/>
      </c>
      <c r="K820">
        <f>IFERROR(INDEX(PP_Grid[#Data],$DD820,9),0)</f>
        <v/>
      </c>
      <c r="L820">
        <f>IFERROR(INDEX(PP_Grid[#Data],$DD820,10),0)</f>
        <v/>
      </c>
      <c r="M820">
        <f>IFERROR(INDEX(PP_Grid[#Data],$DD820,11),0)</f>
        <v/>
      </c>
      <c r="N820">
        <f>IFERROR(INDEX(PP_Grid[#Data],$DD820,12),0)</f>
        <v/>
      </c>
      <c r="O820">
        <f>IFERROR(INDEX(PP_Grid[#Data],$DD820,13),0)</f>
        <v/>
      </c>
      <c r="P820">
        <f>IFERROR(INDEX(PP_Grid[#Data],$DD820,14),0)</f>
        <v/>
      </c>
      <c r="Q820">
        <f>IFERROR(INDEX(PP_Grid[#Data],$DD820,15),0)</f>
        <v/>
      </c>
      <c r="R820">
        <f>IFERROR(INDEX(PP_Grid[#Data],$DD820,16),0)</f>
        <v/>
      </c>
      <c r="S820">
        <f>IFERROR(INDEX(PP_Grid[#Data],$DD820,17),0)</f>
        <v/>
      </c>
      <c r="T820">
        <f>IFERROR(INDEX(PP_Grid[#Data],$DD820,18),0)</f>
        <v/>
      </c>
      <c r="U820">
        <f>IFERROR(INDEX(PP_Grid[#Data],$DD820,19),0)</f>
        <v/>
      </c>
      <c r="V820">
        <f>IFERROR(INDEX(PP_Grid[#Data],$DD820,20),0)</f>
        <v/>
      </c>
      <c r="W820">
        <f>IFERROR(INDEX(PP_Grid[#Data],$DD820,21),0)</f>
        <v/>
      </c>
      <c r="X820">
        <f>IFERROR(INDEX(PP_Grid[#Data],$DD820,22),0)</f>
        <v/>
      </c>
      <c r="Y820">
        <f>IFERROR(INDEX(PP_Grid[#Data],$DD820,23),0)</f>
        <v/>
      </c>
      <c r="Z820">
        <f>IFERROR(INDEX(PP_Grid[#Data],$DD820,24),0)</f>
        <v/>
      </c>
      <c r="AA820">
        <f>IFERROR(INDEX(PP_Grid[#Data],$DD820,25),0)</f>
        <v/>
      </c>
      <c r="AB820">
        <f>IFERROR(INDEX(PP_Grid[#Data],$DD820,26),0)</f>
        <v/>
      </c>
      <c r="AC820">
        <f>IFERROR(INDEX(PP_Grid[#Data],$DD820,27),0)</f>
        <v/>
      </c>
      <c r="AD820">
        <f>IFERROR(INDEX(PP_Grid[#Data],$DD820,28),0)</f>
        <v/>
      </c>
      <c r="AE820">
        <f>IFERROR(INDEX(PP_Grid[#Data],$DD820,29),0)</f>
        <v/>
      </c>
      <c r="AF820">
        <f>IFERROR(INDEX(PP_Grid[#Data],$DD820,30),0)</f>
        <v/>
      </c>
      <c r="AG820">
        <f>IFERROR(INDEX(PP_Grid[#Data],$DD820,31),0)</f>
        <v/>
      </c>
      <c r="AH820">
        <f>IFERROR(INDEX(PP_Grid[#Data],$DD820,32),0)</f>
        <v/>
      </c>
      <c r="AI820">
        <f>IFERROR(INDEX(PP_Grid[#Data],$DD820,33),0)</f>
        <v/>
      </c>
      <c r="AJ820">
        <f>IFERROR(INDEX(PP_Grid[#Data],$DD820,34),0)</f>
        <v/>
      </c>
      <c r="AK820">
        <f>IFERROR(INDEX(PP_Grid[#Data],$DD820,35),0)</f>
        <v/>
      </c>
      <c r="AL820">
        <f>IFERROR(INDEX(PP_Grid[#Data],$DD820,36),0)</f>
        <v/>
      </c>
      <c r="AM820">
        <f>IFERROR(INDEX(PP_Grid[#Data],$DD820,37),0)</f>
        <v/>
      </c>
      <c r="AN820">
        <f>IFERROR(INDEX(PP_Grid[#Data],$DD820,38),0)</f>
        <v/>
      </c>
      <c r="AO820">
        <f>IFERROR(INDEX(PP_Grid[#Data],$DD820,39),0)</f>
        <v/>
      </c>
      <c r="AP820">
        <f>IFERROR(INDEX(PP_Grid[#Data],$DD820,40),0)</f>
        <v/>
      </c>
      <c r="AQ820">
        <f>IFERROR(INDEX(PP_Grid[#Data],$DD820,41),0)</f>
        <v/>
      </c>
      <c r="AR820">
        <f>IFERROR(INDEX(PP_Grid[#Data],$DD820,42),0)</f>
        <v/>
      </c>
      <c r="AS820">
        <f>IFERROR(INDEX(PP_Grid[#Data],$DD820,43),0)</f>
        <v/>
      </c>
      <c r="AT820">
        <f>IFERROR(INDEX(PP_Grid[#Data],$DD820,44),0)</f>
        <v/>
      </c>
      <c r="AU820">
        <f>IFERROR(INDEX(PP_Grid[#Data],$DD820,45),0)</f>
        <v/>
      </c>
      <c r="AV820">
        <f>IFERROR(INDEX(PP_Grid[#Data],$DD820,46),0)</f>
        <v/>
      </c>
      <c r="AW820">
        <f>IFERROR(INDEX(PP_Grid[#Data],$DD820,47),0)</f>
        <v/>
      </c>
      <c r="AX820">
        <f>IFERROR(INDEX(PP_Grid[#Data],$DD820,48),0)</f>
        <v/>
      </c>
      <c r="AY820">
        <f>IFERROR(INDEX(PP_Grid[#Data],$DD820,49),0)</f>
        <v/>
      </c>
      <c r="AZ820">
        <f>IFERROR(INDEX(PP_Grid[#Data],$DD820,50),0)</f>
        <v/>
      </c>
      <c r="BA820">
        <f>IFERROR(INDEX(PP_Grid[#Data],$DD820,51),0)</f>
        <v/>
      </c>
      <c r="BB820">
        <f>IFERROR(INDEX(PP_Grid[#Data],$DD820,52),0)</f>
        <v/>
      </c>
      <c r="BC820">
        <f>IFERROR(INDEX(PP_Grid[#Data],$DD820,53),0)</f>
        <v/>
      </c>
      <c r="BD820">
        <f>IFERROR(INDEX(PP_Grid[#Data],$DD820,54),0)</f>
        <v/>
      </c>
      <c r="BE820">
        <f>IFERROR(INDEX(PP_Grid[#Data],$DD820,55),0)</f>
        <v/>
      </c>
      <c r="BF820">
        <f>IFERROR(INDEX(PP_Grid[#Data],$DD820,56),0)</f>
        <v/>
      </c>
      <c r="BG820">
        <f>IFERROR(INDEX(PP_Grid[#Data],$DD820,57),0)</f>
        <v/>
      </c>
      <c r="BH820">
        <f>IFERROR(INDEX(PP_Grid[#Data],$DD820,58),0)</f>
        <v/>
      </c>
      <c r="BI820">
        <f>IFERROR(INDEX(PP_Grid[#Data],$DD820,59),0)</f>
        <v/>
      </c>
      <c r="BJ820">
        <f>IFERROR(INDEX(PP_Grid[#Data],$DD820,60),0)</f>
        <v/>
      </c>
      <c r="BK820">
        <f>IFERROR(INDEX(PP_Grid[#Data],$DD820,61),0)</f>
        <v/>
      </c>
      <c r="BL820">
        <f>IFERROR(INDEX(PP_Grid[#Data],$DD820,62),0)</f>
        <v/>
      </c>
      <c r="BM820">
        <f>IFERROR(INDEX(PP_Grid[#Data],$DD820,63),0)</f>
        <v/>
      </c>
      <c r="BN820">
        <f>IFERROR(INDEX(PP_Grid[#Data],$DD820,64),0)</f>
        <v/>
      </c>
      <c r="BO820">
        <f>IFERROR(INDEX(PP_Grid[#Data],$DD820,65),0)</f>
        <v/>
      </c>
      <c r="BP820">
        <f>IFERROR(INDEX(PP_Grid[#Data],$DD820,66),0)</f>
        <v/>
      </c>
      <c r="BQ820">
        <f>IFERROR(INDEX(PP_Grid[#Data],$DD820,67),0)</f>
        <v/>
      </c>
      <c r="BR820">
        <f>IFERROR(INDEX(PP_Grid[#Data],$DD820,68),0)</f>
        <v/>
      </c>
      <c r="BS820">
        <f>IFERROR(INDEX(PP_Grid[#Data],$DD820,69),0)</f>
        <v/>
      </c>
      <c r="BT820">
        <f>IFERROR(INDEX(PP_Grid[#Data],$DD820,70),0)</f>
        <v/>
      </c>
      <c r="BU820">
        <f>IFERROR(INDEX(PP_Grid[#Data],$DD820,71),0)</f>
        <v/>
      </c>
      <c r="BV820">
        <f>IFERROR(INDEX(PP_Grid[#Data],$DD820,72),0)</f>
        <v/>
      </c>
      <c r="BW820">
        <f>IFERROR(INDEX(PP_Grid[#Data],$DD820,73),0)</f>
        <v/>
      </c>
      <c r="BX820">
        <f>IFERROR(INDEX(PP_Grid[#Data],$DD820,74),0)</f>
        <v/>
      </c>
      <c r="BY820">
        <f>IFERROR(INDEX(PP_Grid[#Data],$DD820,75),0)</f>
        <v/>
      </c>
      <c r="BZ820">
        <f>IFERROR(INDEX(PP_Grid[#Data],$DD820,76),0)</f>
        <v/>
      </c>
      <c r="CA820">
        <f>IFERROR(INDEX(PP_Grid[#Data],$DD820,77),0)</f>
        <v/>
      </c>
      <c r="CB820">
        <f>IFERROR(INDEX(PP_Grid[#Data],$DD820,78),0)</f>
        <v/>
      </c>
      <c r="CC820">
        <f>IFERROR(INDEX(PP_Grid[#Data],$DD820,79),0)</f>
        <v/>
      </c>
      <c r="CD820">
        <f>IFERROR(INDEX(PP_Grid[#Data],$DD820,80),0)</f>
        <v/>
      </c>
      <c r="CE820">
        <f>IFERROR(INDEX(PP_Grid[#Data],$DD820,81),0)</f>
        <v/>
      </c>
      <c r="CF820">
        <f>IFERROR(INDEX(PP_Grid[#Data],$DD820,82),0)</f>
        <v/>
      </c>
      <c r="CG820">
        <f>IFERROR(INDEX(PP_Grid[#Data],$DD820,83),0)</f>
        <v/>
      </c>
      <c r="CH820">
        <f>IFERROR(INDEX(PP_Grid[#Data],$DD820,84),0)</f>
        <v/>
      </c>
      <c r="CI820">
        <f>IFERROR(INDEX(PP_Grid[#Data],$DD820,85),0)</f>
        <v/>
      </c>
      <c r="CJ820">
        <f>IFERROR(INDEX(PP_Grid[#Data],$DD820,86),0)</f>
        <v/>
      </c>
      <c r="CK820">
        <f>IFERROR(INDEX(PP_Grid[#Data],$DD820,87),0)</f>
        <v/>
      </c>
      <c r="CL820">
        <f>IFERROR(INDEX(PP_Grid[#Data],$DD820,88),0)</f>
        <v/>
      </c>
      <c r="CM820">
        <f>IFERROR(INDEX(PP_Grid[#Data],$DD820,89),0)</f>
        <v/>
      </c>
      <c r="CN820">
        <f>IFERROR(INDEX(PP_Grid[#Data],$DD820,90),0)</f>
        <v/>
      </c>
      <c r="CO820">
        <f>IFERROR(INDEX(PP_Grid[#Data],$DD820,91),0)</f>
        <v/>
      </c>
      <c r="CP820">
        <f>IFERROR(INDEX(PP_Grid[#Data],$DD820,92),0)</f>
        <v/>
      </c>
      <c r="CQ820">
        <f>IFERROR(INDEX(PP_Grid[#Data],$DD820,93),0)</f>
        <v/>
      </c>
      <c r="CR820">
        <f>IFERROR(INDEX(PP_Grid[#Data],$DD820,94),0)</f>
        <v/>
      </c>
      <c r="CS820">
        <f>IFERROR(INDEX(PP_Grid[#Data],$DD820,95),0)</f>
        <v/>
      </c>
      <c r="CT820">
        <f>IFERROR(INDEX(PP_Grid[#Data],$DD820,96),0)</f>
        <v/>
      </c>
      <c r="CU820">
        <f>IFERROR(INDEX(PP_Grid[#Data],$DD820,97),0)</f>
        <v/>
      </c>
      <c r="CV820">
        <f>IFERROR(INDEX(PP_Grid[#Data],$DD820,98),0)</f>
        <v/>
      </c>
      <c r="CW820">
        <f>IFERROR(INDEX(PP_Grid[#Data],$DD820,99),0)</f>
        <v/>
      </c>
      <c r="CX820">
        <f>IFERROR(INDEX(PP_Grid[#Data],$DD820,100),0)</f>
        <v/>
      </c>
      <c r="CY820">
        <f>IFERROR(INDEX(PP_Grid[#Data],$DD820,101),0)</f>
        <v/>
      </c>
      <c r="CZ820">
        <f>IFERROR(INDEX(PP_Grid[#Data],$DD820,102),0)</f>
        <v/>
      </c>
      <c r="DA820">
        <f>IFERROR(INDEX(PP_Grid[#Data],$DD820,103),0)</f>
        <v/>
      </c>
      <c r="DB820">
        <f>IFERROR(INDEX(PP_Grid[#Data],$DD820,104),0)</f>
        <v/>
      </c>
      <c r="DC820">
        <f>IFERROR(INDEX(PP_Grid[#Data],$DD820,105),0)</f>
        <v/>
      </c>
      <c r="DD820" s="12">
        <f>IFERROR(MATCH($B820,PP_Grid[Intermediate],0),99999)</f>
        <v/>
      </c>
    </row>
    <row r="821">
      <c r="B821" t="inlineStr">
        <is>
          <t>使用量(kg)</t>
        </is>
      </c>
      <c r="C821">
        <f>SUMIFS(M_BOM[RM_Qty_Per_Batch],M_BOM[Intermediate],$B820,M_BOM[Part Name],$A807)</f>
        <v/>
      </c>
      <c r="D821">
        <f>$C821*D820</f>
        <v/>
      </c>
      <c r="E821">
        <f>$C821*E820</f>
        <v/>
      </c>
      <c r="F821">
        <f>$C821*F820</f>
        <v/>
      </c>
      <c r="G821">
        <f>$C821*G820</f>
        <v/>
      </c>
      <c r="H821">
        <f>$C821*H820</f>
        <v/>
      </c>
      <c r="I821">
        <f>$C821*I820</f>
        <v/>
      </c>
      <c r="J821">
        <f>$C821*J820</f>
        <v/>
      </c>
      <c r="K821">
        <f>$C821*K820</f>
        <v/>
      </c>
      <c r="L821">
        <f>$C821*L820</f>
        <v/>
      </c>
      <c r="M821">
        <f>$C821*M820</f>
        <v/>
      </c>
      <c r="N821">
        <f>$C821*N820</f>
        <v/>
      </c>
      <c r="O821">
        <f>$C821*O820</f>
        <v/>
      </c>
      <c r="P821">
        <f>$C821*P820</f>
        <v/>
      </c>
      <c r="Q821">
        <f>$C821*Q820</f>
        <v/>
      </c>
      <c r="R821">
        <f>$C821*R820</f>
        <v/>
      </c>
      <c r="S821">
        <f>$C821*S820</f>
        <v/>
      </c>
      <c r="T821">
        <f>$C821*T820</f>
        <v/>
      </c>
      <c r="U821">
        <f>$C821*U820</f>
        <v/>
      </c>
      <c r="V821">
        <f>$C821*V820</f>
        <v/>
      </c>
      <c r="W821">
        <f>$C821*W820</f>
        <v/>
      </c>
      <c r="X821">
        <f>$C821*X820</f>
        <v/>
      </c>
      <c r="Y821">
        <f>$C821*Y820</f>
        <v/>
      </c>
      <c r="Z821">
        <f>$C821*Z820</f>
        <v/>
      </c>
      <c r="AA821">
        <f>$C821*AA820</f>
        <v/>
      </c>
      <c r="AB821">
        <f>$C821*AB820</f>
        <v/>
      </c>
      <c r="AC821">
        <f>$C821*AC820</f>
        <v/>
      </c>
      <c r="AD821">
        <f>$C821*AD820</f>
        <v/>
      </c>
      <c r="AE821">
        <f>$C821*AE820</f>
        <v/>
      </c>
      <c r="AF821">
        <f>$C821*AF820</f>
        <v/>
      </c>
      <c r="AG821">
        <f>$C821*AG820</f>
        <v/>
      </c>
      <c r="AH821">
        <f>$C821*AH820</f>
        <v/>
      </c>
      <c r="AI821">
        <f>$C821*AI820</f>
        <v/>
      </c>
      <c r="AJ821">
        <f>$C821*AJ820</f>
        <v/>
      </c>
      <c r="AK821">
        <f>$C821*AK820</f>
        <v/>
      </c>
      <c r="AL821">
        <f>$C821*AL820</f>
        <v/>
      </c>
      <c r="AM821">
        <f>$C821*AM820</f>
        <v/>
      </c>
      <c r="AN821">
        <f>$C821*AN820</f>
        <v/>
      </c>
      <c r="AO821">
        <f>$C821*AO820</f>
        <v/>
      </c>
      <c r="AP821">
        <f>$C821*AP820</f>
        <v/>
      </c>
      <c r="AQ821">
        <f>$C821*AQ820</f>
        <v/>
      </c>
      <c r="AR821">
        <f>$C821*AR820</f>
        <v/>
      </c>
      <c r="AS821">
        <f>$C821*AS820</f>
        <v/>
      </c>
      <c r="AT821">
        <f>$C821*AT820</f>
        <v/>
      </c>
      <c r="AU821">
        <f>$C821*AU820</f>
        <v/>
      </c>
      <c r="AV821">
        <f>$C821*AV820</f>
        <v/>
      </c>
      <c r="AW821">
        <f>$C821*AW820</f>
        <v/>
      </c>
      <c r="AX821">
        <f>$C821*AX820</f>
        <v/>
      </c>
      <c r="AY821">
        <f>$C821*AY820</f>
        <v/>
      </c>
      <c r="AZ821">
        <f>$C821*AZ820</f>
        <v/>
      </c>
      <c r="BA821">
        <f>$C821*BA820</f>
        <v/>
      </c>
      <c r="BB821">
        <f>$C821*BB820</f>
        <v/>
      </c>
      <c r="BC821">
        <f>$C821*BC820</f>
        <v/>
      </c>
      <c r="BD821">
        <f>$C821*BD820</f>
        <v/>
      </c>
      <c r="BE821">
        <f>$C821*BE820</f>
        <v/>
      </c>
      <c r="BF821">
        <f>$C821*BF820</f>
        <v/>
      </c>
      <c r="BG821">
        <f>$C821*BG820</f>
        <v/>
      </c>
      <c r="BH821">
        <f>$C821*BH820</f>
        <v/>
      </c>
      <c r="BI821">
        <f>$C821*BI820</f>
        <v/>
      </c>
      <c r="BJ821">
        <f>$C821*BJ820</f>
        <v/>
      </c>
      <c r="BK821">
        <f>$C821*BK820</f>
        <v/>
      </c>
      <c r="BL821">
        <f>$C821*BL820</f>
        <v/>
      </c>
      <c r="BM821">
        <f>$C821*BM820</f>
        <v/>
      </c>
      <c r="BN821">
        <f>$C821*BN820</f>
        <v/>
      </c>
      <c r="BO821">
        <f>$C821*BO820</f>
        <v/>
      </c>
      <c r="BP821">
        <f>$C821*BP820</f>
        <v/>
      </c>
      <c r="BQ821">
        <f>$C821*BQ820</f>
        <v/>
      </c>
      <c r="BR821">
        <f>$C821*BR820</f>
        <v/>
      </c>
      <c r="BS821">
        <f>$C821*BS820</f>
        <v/>
      </c>
      <c r="BT821">
        <f>$C821*BT820</f>
        <v/>
      </c>
      <c r="BU821">
        <f>$C821*BU820</f>
        <v/>
      </c>
      <c r="BV821">
        <f>$C821*BV820</f>
        <v/>
      </c>
      <c r="BW821">
        <f>$C821*BW820</f>
        <v/>
      </c>
      <c r="BX821">
        <f>$C821*BX820</f>
        <v/>
      </c>
      <c r="BY821">
        <f>$C821*BY820</f>
        <v/>
      </c>
      <c r="BZ821">
        <f>$C821*BZ820</f>
        <v/>
      </c>
      <c r="CA821">
        <f>$C821*CA820</f>
        <v/>
      </c>
      <c r="CB821">
        <f>$C821*CB820</f>
        <v/>
      </c>
      <c r="CC821">
        <f>$C821*CC820</f>
        <v/>
      </c>
      <c r="CD821">
        <f>$C821*CD820</f>
        <v/>
      </c>
      <c r="CE821">
        <f>$C821*CE820</f>
        <v/>
      </c>
      <c r="CF821">
        <f>$C821*CF820</f>
        <v/>
      </c>
      <c r="CG821">
        <f>$C821*CG820</f>
        <v/>
      </c>
      <c r="CH821">
        <f>$C821*CH820</f>
        <v/>
      </c>
      <c r="CI821">
        <f>$C821*CI820</f>
        <v/>
      </c>
      <c r="CJ821">
        <f>$C821*CJ820</f>
        <v/>
      </c>
      <c r="CK821">
        <f>$C821*CK820</f>
        <v/>
      </c>
      <c r="CL821">
        <f>$C821*CL820</f>
        <v/>
      </c>
      <c r="CM821">
        <f>$C821*CM820</f>
        <v/>
      </c>
      <c r="CN821">
        <f>$C821*CN820</f>
        <v/>
      </c>
      <c r="CO821">
        <f>$C821*CO820</f>
        <v/>
      </c>
      <c r="CP821">
        <f>$C821*CP820</f>
        <v/>
      </c>
      <c r="CQ821">
        <f>$C821*CQ820</f>
        <v/>
      </c>
      <c r="CR821">
        <f>$C821*CR820</f>
        <v/>
      </c>
      <c r="CS821">
        <f>$C821*CS820</f>
        <v/>
      </c>
      <c r="CT821">
        <f>$C821*CT820</f>
        <v/>
      </c>
      <c r="CU821">
        <f>$C821*CU820</f>
        <v/>
      </c>
      <c r="CV821">
        <f>$C821*CV820</f>
        <v/>
      </c>
      <c r="CW821">
        <f>$C821*CW820</f>
        <v/>
      </c>
      <c r="CX821">
        <f>$C821*CX820</f>
        <v/>
      </c>
      <c r="CY821">
        <f>$C821*CY820</f>
        <v/>
      </c>
      <c r="CZ821">
        <f>$C821*CZ820</f>
        <v/>
      </c>
      <c r="DA821">
        <f>$C821*DA820</f>
        <v/>
      </c>
      <c r="DB821">
        <f>$C821*DB820</f>
        <v/>
      </c>
      <c r="DC821">
        <f>$C821*DC820</f>
        <v/>
      </c>
    </row>
    <row r="822">
      <c r="B822" t="inlineStr">
        <is>
          <t>TSP-655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12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Name],$A807)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t="inlineStr">
        <is>
          <t>TSP-656</t>
        </is>
      </c>
      <c r="C824" t="inlineStr">
        <is>
          <t>No. of batches</t>
        </is>
      </c>
      <c r="D824">
        <f>IFERROR(INDEX(PP_Grid[#Data],$DD824,2),0)</f>
        <v/>
      </c>
      <c r="E824">
        <f>IFERROR(INDEX(PP_Grid[#Data],$DD824,3),0)</f>
        <v/>
      </c>
      <c r="F824">
        <f>IFERROR(INDEX(PP_Grid[#Data],$DD824,4),0)</f>
        <v/>
      </c>
      <c r="G824">
        <f>IFERROR(INDEX(PP_Grid[#Data],$DD824,5),0)</f>
        <v/>
      </c>
      <c r="H824">
        <f>IFERROR(INDEX(PP_Grid[#Data],$DD824,6),0)</f>
        <v/>
      </c>
      <c r="I824">
        <f>IFERROR(INDEX(PP_Grid[#Data],$DD824,7),0)</f>
        <v/>
      </c>
      <c r="J824">
        <f>IFERROR(INDEX(PP_Grid[#Data],$DD824,8),0)</f>
        <v/>
      </c>
      <c r="K824">
        <f>IFERROR(INDEX(PP_Grid[#Data],$DD824,9),0)</f>
        <v/>
      </c>
      <c r="L824">
        <f>IFERROR(INDEX(PP_Grid[#Data],$DD824,10),0)</f>
        <v/>
      </c>
      <c r="M824">
        <f>IFERROR(INDEX(PP_Grid[#Data],$DD824,11),0)</f>
        <v/>
      </c>
      <c r="N824">
        <f>IFERROR(INDEX(PP_Grid[#Data],$DD824,12),0)</f>
        <v/>
      </c>
      <c r="O824">
        <f>IFERROR(INDEX(PP_Grid[#Data],$DD824,13),0)</f>
        <v/>
      </c>
      <c r="P824">
        <f>IFERROR(INDEX(PP_Grid[#Data],$DD824,14),0)</f>
        <v/>
      </c>
      <c r="Q824">
        <f>IFERROR(INDEX(PP_Grid[#Data],$DD824,15),0)</f>
        <v/>
      </c>
      <c r="R824">
        <f>IFERROR(INDEX(PP_Grid[#Data],$DD824,16),0)</f>
        <v/>
      </c>
      <c r="S824">
        <f>IFERROR(INDEX(PP_Grid[#Data],$DD824,17),0)</f>
        <v/>
      </c>
      <c r="T824">
        <f>IFERROR(INDEX(PP_Grid[#Data],$DD824,18),0)</f>
        <v/>
      </c>
      <c r="U824">
        <f>IFERROR(INDEX(PP_Grid[#Data],$DD824,19),0)</f>
        <v/>
      </c>
      <c r="V824">
        <f>IFERROR(INDEX(PP_Grid[#Data],$DD824,20),0)</f>
        <v/>
      </c>
      <c r="W824">
        <f>IFERROR(INDEX(PP_Grid[#Data],$DD824,21),0)</f>
        <v/>
      </c>
      <c r="X824">
        <f>IFERROR(INDEX(PP_Grid[#Data],$DD824,22),0)</f>
        <v/>
      </c>
      <c r="Y824">
        <f>IFERROR(INDEX(PP_Grid[#Data],$DD824,23),0)</f>
        <v/>
      </c>
      <c r="Z824">
        <f>IFERROR(INDEX(PP_Grid[#Data],$DD824,24),0)</f>
        <v/>
      </c>
      <c r="AA824">
        <f>IFERROR(INDEX(PP_Grid[#Data],$DD824,25),0)</f>
        <v/>
      </c>
      <c r="AB824">
        <f>IFERROR(INDEX(PP_Grid[#Data],$DD824,26),0)</f>
        <v/>
      </c>
      <c r="AC824">
        <f>IFERROR(INDEX(PP_Grid[#Data],$DD824,27),0)</f>
        <v/>
      </c>
      <c r="AD824">
        <f>IFERROR(INDEX(PP_Grid[#Data],$DD824,28),0)</f>
        <v/>
      </c>
      <c r="AE824">
        <f>IFERROR(INDEX(PP_Grid[#Data],$DD824,29),0)</f>
        <v/>
      </c>
      <c r="AF824">
        <f>IFERROR(INDEX(PP_Grid[#Data],$DD824,30),0)</f>
        <v/>
      </c>
      <c r="AG824">
        <f>IFERROR(INDEX(PP_Grid[#Data],$DD824,31),0)</f>
        <v/>
      </c>
      <c r="AH824">
        <f>IFERROR(INDEX(PP_Grid[#Data],$DD824,32),0)</f>
        <v/>
      </c>
      <c r="AI824">
        <f>IFERROR(INDEX(PP_Grid[#Data],$DD824,33),0)</f>
        <v/>
      </c>
      <c r="AJ824">
        <f>IFERROR(INDEX(PP_Grid[#Data],$DD824,34),0)</f>
        <v/>
      </c>
      <c r="AK824">
        <f>IFERROR(INDEX(PP_Grid[#Data],$DD824,35),0)</f>
        <v/>
      </c>
      <c r="AL824">
        <f>IFERROR(INDEX(PP_Grid[#Data],$DD824,36),0)</f>
        <v/>
      </c>
      <c r="AM824">
        <f>IFERROR(INDEX(PP_Grid[#Data],$DD824,37),0)</f>
        <v/>
      </c>
      <c r="AN824">
        <f>IFERROR(INDEX(PP_Grid[#Data],$DD824,38),0)</f>
        <v/>
      </c>
      <c r="AO824">
        <f>IFERROR(INDEX(PP_Grid[#Data],$DD824,39),0)</f>
        <v/>
      </c>
      <c r="AP824">
        <f>IFERROR(INDEX(PP_Grid[#Data],$DD824,40),0)</f>
        <v/>
      </c>
      <c r="AQ824">
        <f>IFERROR(INDEX(PP_Grid[#Data],$DD824,41),0)</f>
        <v/>
      </c>
      <c r="AR824">
        <f>IFERROR(INDEX(PP_Grid[#Data],$DD824,42),0)</f>
        <v/>
      </c>
      <c r="AS824">
        <f>IFERROR(INDEX(PP_Grid[#Data],$DD824,43),0)</f>
        <v/>
      </c>
      <c r="AT824">
        <f>IFERROR(INDEX(PP_Grid[#Data],$DD824,44),0)</f>
        <v/>
      </c>
      <c r="AU824">
        <f>IFERROR(INDEX(PP_Grid[#Data],$DD824,45),0)</f>
        <v/>
      </c>
      <c r="AV824">
        <f>IFERROR(INDEX(PP_Grid[#Data],$DD824,46),0)</f>
        <v/>
      </c>
      <c r="AW824">
        <f>IFERROR(INDEX(PP_Grid[#Data],$DD824,47),0)</f>
        <v/>
      </c>
      <c r="AX824">
        <f>IFERROR(INDEX(PP_Grid[#Data],$DD824,48),0)</f>
        <v/>
      </c>
      <c r="AY824">
        <f>IFERROR(INDEX(PP_Grid[#Data],$DD824,49),0)</f>
        <v/>
      </c>
      <c r="AZ824">
        <f>IFERROR(INDEX(PP_Grid[#Data],$DD824,50),0)</f>
        <v/>
      </c>
      <c r="BA824">
        <f>IFERROR(INDEX(PP_Grid[#Data],$DD824,51),0)</f>
        <v/>
      </c>
      <c r="BB824">
        <f>IFERROR(INDEX(PP_Grid[#Data],$DD824,52),0)</f>
        <v/>
      </c>
      <c r="BC824">
        <f>IFERROR(INDEX(PP_Grid[#Data],$DD824,53),0)</f>
        <v/>
      </c>
      <c r="BD824">
        <f>IFERROR(INDEX(PP_Grid[#Data],$DD824,54),0)</f>
        <v/>
      </c>
      <c r="BE824">
        <f>IFERROR(INDEX(PP_Grid[#Data],$DD824,55),0)</f>
        <v/>
      </c>
      <c r="BF824">
        <f>IFERROR(INDEX(PP_Grid[#Data],$DD824,56),0)</f>
        <v/>
      </c>
      <c r="BG824">
        <f>IFERROR(INDEX(PP_Grid[#Data],$DD824,57),0)</f>
        <v/>
      </c>
      <c r="BH824">
        <f>IFERROR(INDEX(PP_Grid[#Data],$DD824,58),0)</f>
        <v/>
      </c>
      <c r="BI824">
        <f>IFERROR(INDEX(PP_Grid[#Data],$DD824,59),0)</f>
        <v/>
      </c>
      <c r="BJ824">
        <f>IFERROR(INDEX(PP_Grid[#Data],$DD824,60),0)</f>
        <v/>
      </c>
      <c r="BK824">
        <f>IFERROR(INDEX(PP_Grid[#Data],$DD824,61),0)</f>
        <v/>
      </c>
      <c r="BL824">
        <f>IFERROR(INDEX(PP_Grid[#Data],$DD824,62),0)</f>
        <v/>
      </c>
      <c r="BM824">
        <f>IFERROR(INDEX(PP_Grid[#Data],$DD824,63),0)</f>
        <v/>
      </c>
      <c r="BN824">
        <f>IFERROR(INDEX(PP_Grid[#Data],$DD824,64),0)</f>
        <v/>
      </c>
      <c r="BO824">
        <f>IFERROR(INDEX(PP_Grid[#Data],$DD824,65),0)</f>
        <v/>
      </c>
      <c r="BP824">
        <f>IFERROR(INDEX(PP_Grid[#Data],$DD824,66),0)</f>
        <v/>
      </c>
      <c r="BQ824">
        <f>IFERROR(INDEX(PP_Grid[#Data],$DD824,67),0)</f>
        <v/>
      </c>
      <c r="BR824">
        <f>IFERROR(INDEX(PP_Grid[#Data],$DD824,68),0)</f>
        <v/>
      </c>
      <c r="BS824">
        <f>IFERROR(INDEX(PP_Grid[#Data],$DD824,69),0)</f>
        <v/>
      </c>
      <c r="BT824">
        <f>IFERROR(INDEX(PP_Grid[#Data],$DD824,70),0)</f>
        <v/>
      </c>
      <c r="BU824">
        <f>IFERROR(INDEX(PP_Grid[#Data],$DD824,71),0)</f>
        <v/>
      </c>
      <c r="BV824">
        <f>IFERROR(INDEX(PP_Grid[#Data],$DD824,72),0)</f>
        <v/>
      </c>
      <c r="BW824">
        <f>IFERROR(INDEX(PP_Grid[#Data],$DD824,73),0)</f>
        <v/>
      </c>
      <c r="BX824">
        <f>IFERROR(INDEX(PP_Grid[#Data],$DD824,74),0)</f>
        <v/>
      </c>
      <c r="BY824">
        <f>IFERROR(INDEX(PP_Grid[#Data],$DD824,75),0)</f>
        <v/>
      </c>
      <c r="BZ824">
        <f>IFERROR(INDEX(PP_Grid[#Data],$DD824,76),0)</f>
        <v/>
      </c>
      <c r="CA824">
        <f>IFERROR(INDEX(PP_Grid[#Data],$DD824,77),0)</f>
        <v/>
      </c>
      <c r="CB824">
        <f>IFERROR(INDEX(PP_Grid[#Data],$DD824,78),0)</f>
        <v/>
      </c>
      <c r="CC824">
        <f>IFERROR(INDEX(PP_Grid[#Data],$DD824,79),0)</f>
        <v/>
      </c>
      <c r="CD824">
        <f>IFERROR(INDEX(PP_Grid[#Data],$DD824,80),0)</f>
        <v/>
      </c>
      <c r="CE824">
        <f>IFERROR(INDEX(PP_Grid[#Data],$DD824,81),0)</f>
        <v/>
      </c>
      <c r="CF824">
        <f>IFERROR(INDEX(PP_Grid[#Data],$DD824,82),0)</f>
        <v/>
      </c>
      <c r="CG824">
        <f>IFERROR(INDEX(PP_Grid[#Data],$DD824,83),0)</f>
        <v/>
      </c>
      <c r="CH824">
        <f>IFERROR(INDEX(PP_Grid[#Data],$DD824,84),0)</f>
        <v/>
      </c>
      <c r="CI824">
        <f>IFERROR(INDEX(PP_Grid[#Data],$DD824,85),0)</f>
        <v/>
      </c>
      <c r="CJ824">
        <f>IFERROR(INDEX(PP_Grid[#Data],$DD824,86),0)</f>
        <v/>
      </c>
      <c r="CK824">
        <f>IFERROR(INDEX(PP_Grid[#Data],$DD824,87),0)</f>
        <v/>
      </c>
      <c r="CL824">
        <f>IFERROR(INDEX(PP_Grid[#Data],$DD824,88),0)</f>
        <v/>
      </c>
      <c r="CM824">
        <f>IFERROR(INDEX(PP_Grid[#Data],$DD824,89),0)</f>
        <v/>
      </c>
      <c r="CN824">
        <f>IFERROR(INDEX(PP_Grid[#Data],$DD824,90),0)</f>
        <v/>
      </c>
      <c r="CO824">
        <f>IFERROR(INDEX(PP_Grid[#Data],$DD824,91),0)</f>
        <v/>
      </c>
      <c r="CP824">
        <f>IFERROR(INDEX(PP_Grid[#Data],$DD824,92),0)</f>
        <v/>
      </c>
      <c r="CQ824">
        <f>IFERROR(INDEX(PP_Grid[#Data],$DD824,93),0)</f>
        <v/>
      </c>
      <c r="CR824">
        <f>IFERROR(INDEX(PP_Grid[#Data],$DD824,94),0)</f>
        <v/>
      </c>
      <c r="CS824">
        <f>IFERROR(INDEX(PP_Grid[#Data],$DD824,95),0)</f>
        <v/>
      </c>
      <c r="CT824">
        <f>IFERROR(INDEX(PP_Grid[#Data],$DD824,96),0)</f>
        <v/>
      </c>
      <c r="CU824">
        <f>IFERROR(INDEX(PP_Grid[#Data],$DD824,97),0)</f>
        <v/>
      </c>
      <c r="CV824">
        <f>IFERROR(INDEX(PP_Grid[#Data],$DD824,98),0)</f>
        <v/>
      </c>
      <c r="CW824">
        <f>IFERROR(INDEX(PP_Grid[#Data],$DD824,99),0)</f>
        <v/>
      </c>
      <c r="CX824">
        <f>IFERROR(INDEX(PP_Grid[#Data],$DD824,100),0)</f>
        <v/>
      </c>
      <c r="CY824">
        <f>IFERROR(INDEX(PP_Grid[#Data],$DD824,101),0)</f>
        <v/>
      </c>
      <c r="CZ824">
        <f>IFERROR(INDEX(PP_Grid[#Data],$DD824,102),0)</f>
        <v/>
      </c>
      <c r="DA824">
        <f>IFERROR(INDEX(PP_Grid[#Data],$DD824,103),0)</f>
        <v/>
      </c>
      <c r="DB824">
        <f>IFERROR(INDEX(PP_Grid[#Data],$DD824,104),0)</f>
        <v/>
      </c>
      <c r="DC824">
        <f>IFERROR(INDEX(PP_Grid[#Data],$DD824,105),0)</f>
        <v/>
      </c>
      <c r="DD824" s="12">
        <f>IFERROR(MATCH($B824,PP_Grid[Intermediate],0),99999)</f>
        <v/>
      </c>
    </row>
    <row r="825">
      <c r="B825" t="inlineStr">
        <is>
          <t>使用量(kg)</t>
        </is>
      </c>
      <c r="C825">
        <f>SUMIFS(M_BOM[RM_Qty_Per_Batch],M_BOM[Intermediate],$B824,M_BOM[Part Name],$A807)</f>
        <v/>
      </c>
      <c r="D825">
        <f>$C825*D824</f>
        <v/>
      </c>
      <c r="E825">
        <f>$C825*E824</f>
        <v/>
      </c>
      <c r="F825">
        <f>$C825*F824</f>
        <v/>
      </c>
      <c r="G825">
        <f>$C825*G824</f>
        <v/>
      </c>
      <c r="H825">
        <f>$C825*H824</f>
        <v/>
      </c>
      <c r="I825">
        <f>$C825*I824</f>
        <v/>
      </c>
      <c r="J825">
        <f>$C825*J824</f>
        <v/>
      </c>
      <c r="K825">
        <f>$C825*K824</f>
        <v/>
      </c>
      <c r="L825">
        <f>$C825*L824</f>
        <v/>
      </c>
      <c r="M825">
        <f>$C825*M824</f>
        <v/>
      </c>
      <c r="N825">
        <f>$C825*N824</f>
        <v/>
      </c>
      <c r="O825">
        <f>$C825*O824</f>
        <v/>
      </c>
      <c r="P825">
        <f>$C825*P824</f>
        <v/>
      </c>
      <c r="Q825">
        <f>$C825*Q824</f>
        <v/>
      </c>
      <c r="R825">
        <f>$C825*R824</f>
        <v/>
      </c>
      <c r="S825">
        <f>$C825*S824</f>
        <v/>
      </c>
      <c r="T825">
        <f>$C825*T824</f>
        <v/>
      </c>
      <c r="U825">
        <f>$C825*U824</f>
        <v/>
      </c>
      <c r="V825">
        <f>$C825*V824</f>
        <v/>
      </c>
      <c r="W825">
        <f>$C825*W824</f>
        <v/>
      </c>
      <c r="X825">
        <f>$C825*X824</f>
        <v/>
      </c>
      <c r="Y825">
        <f>$C825*Y824</f>
        <v/>
      </c>
      <c r="Z825">
        <f>$C825*Z824</f>
        <v/>
      </c>
      <c r="AA825">
        <f>$C825*AA824</f>
        <v/>
      </c>
      <c r="AB825">
        <f>$C825*AB824</f>
        <v/>
      </c>
      <c r="AC825">
        <f>$C825*AC824</f>
        <v/>
      </c>
      <c r="AD825">
        <f>$C825*AD824</f>
        <v/>
      </c>
      <c r="AE825">
        <f>$C825*AE824</f>
        <v/>
      </c>
      <c r="AF825">
        <f>$C825*AF824</f>
        <v/>
      </c>
      <c r="AG825">
        <f>$C825*AG824</f>
        <v/>
      </c>
      <c r="AH825">
        <f>$C825*AH824</f>
        <v/>
      </c>
      <c r="AI825">
        <f>$C825*AI824</f>
        <v/>
      </c>
      <c r="AJ825">
        <f>$C825*AJ824</f>
        <v/>
      </c>
      <c r="AK825">
        <f>$C825*AK824</f>
        <v/>
      </c>
      <c r="AL825">
        <f>$C825*AL824</f>
        <v/>
      </c>
      <c r="AM825">
        <f>$C825*AM824</f>
        <v/>
      </c>
      <c r="AN825">
        <f>$C825*AN824</f>
        <v/>
      </c>
      <c r="AO825">
        <f>$C825*AO824</f>
        <v/>
      </c>
      <c r="AP825">
        <f>$C825*AP824</f>
        <v/>
      </c>
      <c r="AQ825">
        <f>$C825*AQ824</f>
        <v/>
      </c>
      <c r="AR825">
        <f>$C825*AR824</f>
        <v/>
      </c>
      <c r="AS825">
        <f>$C825*AS824</f>
        <v/>
      </c>
      <c r="AT825">
        <f>$C825*AT824</f>
        <v/>
      </c>
      <c r="AU825">
        <f>$C825*AU824</f>
        <v/>
      </c>
      <c r="AV825">
        <f>$C825*AV824</f>
        <v/>
      </c>
      <c r="AW825">
        <f>$C825*AW824</f>
        <v/>
      </c>
      <c r="AX825">
        <f>$C825*AX824</f>
        <v/>
      </c>
      <c r="AY825">
        <f>$C825*AY824</f>
        <v/>
      </c>
      <c r="AZ825">
        <f>$C825*AZ824</f>
        <v/>
      </c>
      <c r="BA825">
        <f>$C825*BA824</f>
        <v/>
      </c>
      <c r="BB825">
        <f>$C825*BB824</f>
        <v/>
      </c>
      <c r="BC825">
        <f>$C825*BC824</f>
        <v/>
      </c>
      <c r="BD825">
        <f>$C825*BD824</f>
        <v/>
      </c>
      <c r="BE825">
        <f>$C825*BE824</f>
        <v/>
      </c>
      <c r="BF825">
        <f>$C825*BF824</f>
        <v/>
      </c>
      <c r="BG825">
        <f>$C825*BG824</f>
        <v/>
      </c>
      <c r="BH825">
        <f>$C825*BH824</f>
        <v/>
      </c>
      <c r="BI825">
        <f>$C825*BI824</f>
        <v/>
      </c>
      <c r="BJ825">
        <f>$C825*BJ824</f>
        <v/>
      </c>
      <c r="BK825">
        <f>$C825*BK824</f>
        <v/>
      </c>
      <c r="BL825">
        <f>$C825*BL824</f>
        <v/>
      </c>
      <c r="BM825">
        <f>$C825*BM824</f>
        <v/>
      </c>
      <c r="BN825">
        <f>$C825*BN824</f>
        <v/>
      </c>
      <c r="BO825">
        <f>$C825*BO824</f>
        <v/>
      </c>
      <c r="BP825">
        <f>$C825*BP824</f>
        <v/>
      </c>
      <c r="BQ825">
        <f>$C825*BQ824</f>
        <v/>
      </c>
      <c r="BR825">
        <f>$C825*BR824</f>
        <v/>
      </c>
      <c r="BS825">
        <f>$C825*BS824</f>
        <v/>
      </c>
      <c r="BT825">
        <f>$C825*BT824</f>
        <v/>
      </c>
      <c r="BU825">
        <f>$C825*BU824</f>
        <v/>
      </c>
      <c r="BV825">
        <f>$C825*BV824</f>
        <v/>
      </c>
      <c r="BW825">
        <f>$C825*BW824</f>
        <v/>
      </c>
      <c r="BX825">
        <f>$C825*BX824</f>
        <v/>
      </c>
      <c r="BY825">
        <f>$C825*BY824</f>
        <v/>
      </c>
      <c r="BZ825">
        <f>$C825*BZ824</f>
        <v/>
      </c>
      <c r="CA825">
        <f>$C825*CA824</f>
        <v/>
      </c>
      <c r="CB825">
        <f>$C825*CB824</f>
        <v/>
      </c>
      <c r="CC825">
        <f>$C825*CC824</f>
        <v/>
      </c>
      <c r="CD825">
        <f>$C825*CD824</f>
        <v/>
      </c>
      <c r="CE825">
        <f>$C825*CE824</f>
        <v/>
      </c>
      <c r="CF825">
        <f>$C825*CF824</f>
        <v/>
      </c>
      <c r="CG825">
        <f>$C825*CG824</f>
        <v/>
      </c>
      <c r="CH825">
        <f>$C825*CH824</f>
        <v/>
      </c>
      <c r="CI825">
        <f>$C825*CI824</f>
        <v/>
      </c>
      <c r="CJ825">
        <f>$C825*CJ824</f>
        <v/>
      </c>
      <c r="CK825">
        <f>$C825*CK824</f>
        <v/>
      </c>
      <c r="CL825">
        <f>$C825*CL824</f>
        <v/>
      </c>
      <c r="CM825">
        <f>$C825*CM824</f>
        <v/>
      </c>
      <c r="CN825">
        <f>$C825*CN824</f>
        <v/>
      </c>
      <c r="CO825">
        <f>$C825*CO824</f>
        <v/>
      </c>
      <c r="CP825">
        <f>$C825*CP824</f>
        <v/>
      </c>
      <c r="CQ825">
        <f>$C825*CQ824</f>
        <v/>
      </c>
      <c r="CR825">
        <f>$C825*CR824</f>
        <v/>
      </c>
      <c r="CS825">
        <f>$C825*CS824</f>
        <v/>
      </c>
      <c r="CT825">
        <f>$C825*CT824</f>
        <v/>
      </c>
      <c r="CU825">
        <f>$C825*CU824</f>
        <v/>
      </c>
      <c r="CV825">
        <f>$C825*CV824</f>
        <v/>
      </c>
      <c r="CW825">
        <f>$C825*CW824</f>
        <v/>
      </c>
      <c r="CX825">
        <f>$C825*CX824</f>
        <v/>
      </c>
      <c r="CY825">
        <f>$C825*CY824</f>
        <v/>
      </c>
      <c r="CZ825">
        <f>$C825*CZ824</f>
        <v/>
      </c>
      <c r="DA825">
        <f>$C825*DA824</f>
        <v/>
      </c>
      <c r="DB825">
        <f>$C825*DB824</f>
        <v/>
      </c>
      <c r="DC825">
        <f>$C825*DC824</f>
        <v/>
      </c>
    </row>
    <row r="826">
      <c r="B826" t="inlineStr">
        <is>
          <t>TSP-828</t>
        </is>
      </c>
      <c r="C826" t="inlineStr">
        <is>
          <t>No. of batches</t>
        </is>
      </c>
      <c r="D826">
        <f>IFERROR(INDEX(PP_Grid[#Data],$DD826,2),0)</f>
        <v/>
      </c>
      <c r="E826">
        <f>IFERROR(INDEX(PP_Grid[#Data],$DD826,3),0)</f>
        <v/>
      </c>
      <c r="F826">
        <f>IFERROR(INDEX(PP_Grid[#Data],$DD826,4),0)</f>
        <v/>
      </c>
      <c r="G826">
        <f>IFERROR(INDEX(PP_Grid[#Data],$DD826,5),0)</f>
        <v/>
      </c>
      <c r="H826">
        <f>IFERROR(INDEX(PP_Grid[#Data],$DD826,6),0)</f>
        <v/>
      </c>
      <c r="I826">
        <f>IFERROR(INDEX(PP_Grid[#Data],$DD826,7),0)</f>
        <v/>
      </c>
      <c r="J826">
        <f>IFERROR(INDEX(PP_Grid[#Data],$DD826,8),0)</f>
        <v/>
      </c>
      <c r="K826">
        <f>IFERROR(INDEX(PP_Grid[#Data],$DD826,9),0)</f>
        <v/>
      </c>
      <c r="L826">
        <f>IFERROR(INDEX(PP_Grid[#Data],$DD826,10),0)</f>
        <v/>
      </c>
      <c r="M826">
        <f>IFERROR(INDEX(PP_Grid[#Data],$DD826,11),0)</f>
        <v/>
      </c>
      <c r="N826">
        <f>IFERROR(INDEX(PP_Grid[#Data],$DD826,12),0)</f>
        <v/>
      </c>
      <c r="O826">
        <f>IFERROR(INDEX(PP_Grid[#Data],$DD826,13),0)</f>
        <v/>
      </c>
      <c r="P826">
        <f>IFERROR(INDEX(PP_Grid[#Data],$DD826,14),0)</f>
        <v/>
      </c>
      <c r="Q826">
        <f>IFERROR(INDEX(PP_Grid[#Data],$DD826,15),0)</f>
        <v/>
      </c>
      <c r="R826">
        <f>IFERROR(INDEX(PP_Grid[#Data],$DD826,16),0)</f>
        <v/>
      </c>
      <c r="S826">
        <f>IFERROR(INDEX(PP_Grid[#Data],$DD826,17),0)</f>
        <v/>
      </c>
      <c r="T826">
        <f>IFERROR(INDEX(PP_Grid[#Data],$DD826,18),0)</f>
        <v/>
      </c>
      <c r="U826">
        <f>IFERROR(INDEX(PP_Grid[#Data],$DD826,19),0)</f>
        <v/>
      </c>
      <c r="V826">
        <f>IFERROR(INDEX(PP_Grid[#Data],$DD826,20),0)</f>
        <v/>
      </c>
      <c r="W826">
        <f>IFERROR(INDEX(PP_Grid[#Data],$DD826,21),0)</f>
        <v/>
      </c>
      <c r="X826">
        <f>IFERROR(INDEX(PP_Grid[#Data],$DD826,22),0)</f>
        <v/>
      </c>
      <c r="Y826">
        <f>IFERROR(INDEX(PP_Grid[#Data],$DD826,23),0)</f>
        <v/>
      </c>
      <c r="Z826">
        <f>IFERROR(INDEX(PP_Grid[#Data],$DD826,24),0)</f>
        <v/>
      </c>
      <c r="AA826">
        <f>IFERROR(INDEX(PP_Grid[#Data],$DD826,25),0)</f>
        <v/>
      </c>
      <c r="AB826">
        <f>IFERROR(INDEX(PP_Grid[#Data],$DD826,26),0)</f>
        <v/>
      </c>
      <c r="AC826">
        <f>IFERROR(INDEX(PP_Grid[#Data],$DD826,27),0)</f>
        <v/>
      </c>
      <c r="AD826">
        <f>IFERROR(INDEX(PP_Grid[#Data],$DD826,28),0)</f>
        <v/>
      </c>
      <c r="AE826">
        <f>IFERROR(INDEX(PP_Grid[#Data],$DD826,29),0)</f>
        <v/>
      </c>
      <c r="AF826">
        <f>IFERROR(INDEX(PP_Grid[#Data],$DD826,30),0)</f>
        <v/>
      </c>
      <c r="AG826">
        <f>IFERROR(INDEX(PP_Grid[#Data],$DD826,31),0)</f>
        <v/>
      </c>
      <c r="AH826">
        <f>IFERROR(INDEX(PP_Grid[#Data],$DD826,32),0)</f>
        <v/>
      </c>
      <c r="AI826">
        <f>IFERROR(INDEX(PP_Grid[#Data],$DD826,33),0)</f>
        <v/>
      </c>
      <c r="AJ826">
        <f>IFERROR(INDEX(PP_Grid[#Data],$DD826,34),0)</f>
        <v/>
      </c>
      <c r="AK826">
        <f>IFERROR(INDEX(PP_Grid[#Data],$DD826,35),0)</f>
        <v/>
      </c>
      <c r="AL826">
        <f>IFERROR(INDEX(PP_Grid[#Data],$DD826,36),0)</f>
        <v/>
      </c>
      <c r="AM826">
        <f>IFERROR(INDEX(PP_Grid[#Data],$DD826,37),0)</f>
        <v/>
      </c>
      <c r="AN826">
        <f>IFERROR(INDEX(PP_Grid[#Data],$DD826,38),0)</f>
        <v/>
      </c>
      <c r="AO826">
        <f>IFERROR(INDEX(PP_Grid[#Data],$DD826,39),0)</f>
        <v/>
      </c>
      <c r="AP826">
        <f>IFERROR(INDEX(PP_Grid[#Data],$DD826,40),0)</f>
        <v/>
      </c>
      <c r="AQ826">
        <f>IFERROR(INDEX(PP_Grid[#Data],$DD826,41),0)</f>
        <v/>
      </c>
      <c r="AR826">
        <f>IFERROR(INDEX(PP_Grid[#Data],$DD826,42),0)</f>
        <v/>
      </c>
      <c r="AS826">
        <f>IFERROR(INDEX(PP_Grid[#Data],$DD826,43),0)</f>
        <v/>
      </c>
      <c r="AT826">
        <f>IFERROR(INDEX(PP_Grid[#Data],$DD826,44),0)</f>
        <v/>
      </c>
      <c r="AU826">
        <f>IFERROR(INDEX(PP_Grid[#Data],$DD826,45),0)</f>
        <v/>
      </c>
      <c r="AV826">
        <f>IFERROR(INDEX(PP_Grid[#Data],$DD826,46),0)</f>
        <v/>
      </c>
      <c r="AW826">
        <f>IFERROR(INDEX(PP_Grid[#Data],$DD826,47),0)</f>
        <v/>
      </c>
      <c r="AX826">
        <f>IFERROR(INDEX(PP_Grid[#Data],$DD826,48),0)</f>
        <v/>
      </c>
      <c r="AY826">
        <f>IFERROR(INDEX(PP_Grid[#Data],$DD826,49),0)</f>
        <v/>
      </c>
      <c r="AZ826">
        <f>IFERROR(INDEX(PP_Grid[#Data],$DD826,50),0)</f>
        <v/>
      </c>
      <c r="BA826">
        <f>IFERROR(INDEX(PP_Grid[#Data],$DD826,51),0)</f>
        <v/>
      </c>
      <c r="BB826">
        <f>IFERROR(INDEX(PP_Grid[#Data],$DD826,52),0)</f>
        <v/>
      </c>
      <c r="BC826">
        <f>IFERROR(INDEX(PP_Grid[#Data],$DD826,53),0)</f>
        <v/>
      </c>
      <c r="BD826">
        <f>IFERROR(INDEX(PP_Grid[#Data],$DD826,54),0)</f>
        <v/>
      </c>
      <c r="BE826">
        <f>IFERROR(INDEX(PP_Grid[#Data],$DD826,55),0)</f>
        <v/>
      </c>
      <c r="BF826">
        <f>IFERROR(INDEX(PP_Grid[#Data],$DD826,56),0)</f>
        <v/>
      </c>
      <c r="BG826">
        <f>IFERROR(INDEX(PP_Grid[#Data],$DD826,57),0)</f>
        <v/>
      </c>
      <c r="BH826">
        <f>IFERROR(INDEX(PP_Grid[#Data],$DD826,58),0)</f>
        <v/>
      </c>
      <c r="BI826">
        <f>IFERROR(INDEX(PP_Grid[#Data],$DD826,59),0)</f>
        <v/>
      </c>
      <c r="BJ826">
        <f>IFERROR(INDEX(PP_Grid[#Data],$DD826,60),0)</f>
        <v/>
      </c>
      <c r="BK826">
        <f>IFERROR(INDEX(PP_Grid[#Data],$DD826,61),0)</f>
        <v/>
      </c>
      <c r="BL826">
        <f>IFERROR(INDEX(PP_Grid[#Data],$DD826,62),0)</f>
        <v/>
      </c>
      <c r="BM826">
        <f>IFERROR(INDEX(PP_Grid[#Data],$DD826,63),0)</f>
        <v/>
      </c>
      <c r="BN826">
        <f>IFERROR(INDEX(PP_Grid[#Data],$DD826,64),0)</f>
        <v/>
      </c>
      <c r="BO826">
        <f>IFERROR(INDEX(PP_Grid[#Data],$DD826,65),0)</f>
        <v/>
      </c>
      <c r="BP826">
        <f>IFERROR(INDEX(PP_Grid[#Data],$DD826,66),0)</f>
        <v/>
      </c>
      <c r="BQ826">
        <f>IFERROR(INDEX(PP_Grid[#Data],$DD826,67),0)</f>
        <v/>
      </c>
      <c r="BR826">
        <f>IFERROR(INDEX(PP_Grid[#Data],$DD826,68),0)</f>
        <v/>
      </c>
      <c r="BS826">
        <f>IFERROR(INDEX(PP_Grid[#Data],$DD826,69),0)</f>
        <v/>
      </c>
      <c r="BT826">
        <f>IFERROR(INDEX(PP_Grid[#Data],$DD826,70),0)</f>
        <v/>
      </c>
      <c r="BU826">
        <f>IFERROR(INDEX(PP_Grid[#Data],$DD826,71),0)</f>
        <v/>
      </c>
      <c r="BV826">
        <f>IFERROR(INDEX(PP_Grid[#Data],$DD826,72),0)</f>
        <v/>
      </c>
      <c r="BW826">
        <f>IFERROR(INDEX(PP_Grid[#Data],$DD826,73),0)</f>
        <v/>
      </c>
      <c r="BX826">
        <f>IFERROR(INDEX(PP_Grid[#Data],$DD826,74),0)</f>
        <v/>
      </c>
      <c r="BY826">
        <f>IFERROR(INDEX(PP_Grid[#Data],$DD826,75),0)</f>
        <v/>
      </c>
      <c r="BZ826">
        <f>IFERROR(INDEX(PP_Grid[#Data],$DD826,76),0)</f>
        <v/>
      </c>
      <c r="CA826">
        <f>IFERROR(INDEX(PP_Grid[#Data],$DD826,77),0)</f>
        <v/>
      </c>
      <c r="CB826">
        <f>IFERROR(INDEX(PP_Grid[#Data],$DD826,78),0)</f>
        <v/>
      </c>
      <c r="CC826">
        <f>IFERROR(INDEX(PP_Grid[#Data],$DD826,79),0)</f>
        <v/>
      </c>
      <c r="CD826">
        <f>IFERROR(INDEX(PP_Grid[#Data],$DD826,80),0)</f>
        <v/>
      </c>
      <c r="CE826">
        <f>IFERROR(INDEX(PP_Grid[#Data],$DD826,81),0)</f>
        <v/>
      </c>
      <c r="CF826">
        <f>IFERROR(INDEX(PP_Grid[#Data],$DD826,82),0)</f>
        <v/>
      </c>
      <c r="CG826">
        <f>IFERROR(INDEX(PP_Grid[#Data],$DD826,83),0)</f>
        <v/>
      </c>
      <c r="CH826">
        <f>IFERROR(INDEX(PP_Grid[#Data],$DD826,84),0)</f>
        <v/>
      </c>
      <c r="CI826">
        <f>IFERROR(INDEX(PP_Grid[#Data],$DD826,85),0)</f>
        <v/>
      </c>
      <c r="CJ826">
        <f>IFERROR(INDEX(PP_Grid[#Data],$DD826,86),0)</f>
        <v/>
      </c>
      <c r="CK826">
        <f>IFERROR(INDEX(PP_Grid[#Data],$DD826,87),0)</f>
        <v/>
      </c>
      <c r="CL826">
        <f>IFERROR(INDEX(PP_Grid[#Data],$DD826,88),0)</f>
        <v/>
      </c>
      <c r="CM826">
        <f>IFERROR(INDEX(PP_Grid[#Data],$DD826,89),0)</f>
        <v/>
      </c>
      <c r="CN826">
        <f>IFERROR(INDEX(PP_Grid[#Data],$DD826,90),0)</f>
        <v/>
      </c>
      <c r="CO826">
        <f>IFERROR(INDEX(PP_Grid[#Data],$DD826,91),0)</f>
        <v/>
      </c>
      <c r="CP826">
        <f>IFERROR(INDEX(PP_Grid[#Data],$DD826,92),0)</f>
        <v/>
      </c>
      <c r="CQ826">
        <f>IFERROR(INDEX(PP_Grid[#Data],$DD826,93),0)</f>
        <v/>
      </c>
      <c r="CR826">
        <f>IFERROR(INDEX(PP_Grid[#Data],$DD826,94),0)</f>
        <v/>
      </c>
      <c r="CS826">
        <f>IFERROR(INDEX(PP_Grid[#Data],$DD826,95),0)</f>
        <v/>
      </c>
      <c r="CT826">
        <f>IFERROR(INDEX(PP_Grid[#Data],$DD826,96),0)</f>
        <v/>
      </c>
      <c r="CU826">
        <f>IFERROR(INDEX(PP_Grid[#Data],$DD826,97),0)</f>
        <v/>
      </c>
      <c r="CV826">
        <f>IFERROR(INDEX(PP_Grid[#Data],$DD826,98),0)</f>
        <v/>
      </c>
      <c r="CW826">
        <f>IFERROR(INDEX(PP_Grid[#Data],$DD826,99),0)</f>
        <v/>
      </c>
      <c r="CX826">
        <f>IFERROR(INDEX(PP_Grid[#Data],$DD826,100),0)</f>
        <v/>
      </c>
      <c r="CY826">
        <f>IFERROR(INDEX(PP_Grid[#Data],$DD826,101),0)</f>
        <v/>
      </c>
      <c r="CZ826">
        <f>IFERROR(INDEX(PP_Grid[#Data],$DD826,102),0)</f>
        <v/>
      </c>
      <c r="DA826">
        <f>IFERROR(INDEX(PP_Grid[#Data],$DD826,103),0)</f>
        <v/>
      </c>
      <c r="DB826">
        <f>IFERROR(INDEX(PP_Grid[#Data],$DD826,104),0)</f>
        <v/>
      </c>
      <c r="DC826">
        <f>IFERROR(INDEX(PP_Grid[#Data],$DD826,105),0)</f>
        <v/>
      </c>
      <c r="DD826" s="12">
        <f>IFERROR(MATCH($B826,PP_Grid[Intermediate],0),99999)</f>
        <v/>
      </c>
    </row>
    <row r="827">
      <c r="B827" t="inlineStr">
        <is>
          <t>使用量(kg)</t>
        </is>
      </c>
      <c r="C827">
        <f>SUMIFS(M_BOM[RM_Qty_Per_Batch],M_BOM[Intermediate],$B826,M_BOM[Part Name],$A807)</f>
        <v/>
      </c>
      <c r="D827">
        <f>$C827*D826</f>
        <v/>
      </c>
      <c r="E827">
        <f>$C827*E826</f>
        <v/>
      </c>
      <c r="F827">
        <f>$C827*F826</f>
        <v/>
      </c>
      <c r="G827">
        <f>$C827*G826</f>
        <v/>
      </c>
      <c r="H827">
        <f>$C827*H826</f>
        <v/>
      </c>
      <c r="I827">
        <f>$C827*I826</f>
        <v/>
      </c>
      <c r="J827">
        <f>$C827*J826</f>
        <v/>
      </c>
      <c r="K827">
        <f>$C827*K826</f>
        <v/>
      </c>
      <c r="L827">
        <f>$C827*L826</f>
        <v/>
      </c>
      <c r="M827">
        <f>$C827*M826</f>
        <v/>
      </c>
      <c r="N827">
        <f>$C827*N826</f>
        <v/>
      </c>
      <c r="O827">
        <f>$C827*O826</f>
        <v/>
      </c>
      <c r="P827">
        <f>$C827*P826</f>
        <v/>
      </c>
      <c r="Q827">
        <f>$C827*Q826</f>
        <v/>
      </c>
      <c r="R827">
        <f>$C827*R826</f>
        <v/>
      </c>
      <c r="S827">
        <f>$C827*S826</f>
        <v/>
      </c>
      <c r="T827">
        <f>$C827*T826</f>
        <v/>
      </c>
      <c r="U827">
        <f>$C827*U826</f>
        <v/>
      </c>
      <c r="V827">
        <f>$C827*V826</f>
        <v/>
      </c>
      <c r="W827">
        <f>$C827*W826</f>
        <v/>
      </c>
      <c r="X827">
        <f>$C827*X826</f>
        <v/>
      </c>
      <c r="Y827">
        <f>$C827*Y826</f>
        <v/>
      </c>
      <c r="Z827">
        <f>$C827*Z826</f>
        <v/>
      </c>
      <c r="AA827">
        <f>$C827*AA826</f>
        <v/>
      </c>
      <c r="AB827">
        <f>$C827*AB826</f>
        <v/>
      </c>
      <c r="AC827">
        <f>$C827*AC826</f>
        <v/>
      </c>
      <c r="AD827">
        <f>$C827*AD826</f>
        <v/>
      </c>
      <c r="AE827">
        <f>$C827*AE826</f>
        <v/>
      </c>
      <c r="AF827">
        <f>$C827*AF826</f>
        <v/>
      </c>
      <c r="AG827">
        <f>$C827*AG826</f>
        <v/>
      </c>
      <c r="AH827">
        <f>$C827*AH826</f>
        <v/>
      </c>
      <c r="AI827">
        <f>$C827*AI826</f>
        <v/>
      </c>
      <c r="AJ827">
        <f>$C827*AJ826</f>
        <v/>
      </c>
      <c r="AK827">
        <f>$C827*AK826</f>
        <v/>
      </c>
      <c r="AL827">
        <f>$C827*AL826</f>
        <v/>
      </c>
      <c r="AM827">
        <f>$C827*AM826</f>
        <v/>
      </c>
      <c r="AN827">
        <f>$C827*AN826</f>
        <v/>
      </c>
      <c r="AO827">
        <f>$C827*AO826</f>
        <v/>
      </c>
      <c r="AP827">
        <f>$C827*AP826</f>
        <v/>
      </c>
      <c r="AQ827">
        <f>$C827*AQ826</f>
        <v/>
      </c>
      <c r="AR827">
        <f>$C827*AR826</f>
        <v/>
      </c>
      <c r="AS827">
        <f>$C827*AS826</f>
        <v/>
      </c>
      <c r="AT827">
        <f>$C827*AT826</f>
        <v/>
      </c>
      <c r="AU827">
        <f>$C827*AU826</f>
        <v/>
      </c>
      <c r="AV827">
        <f>$C827*AV826</f>
        <v/>
      </c>
      <c r="AW827">
        <f>$C827*AW826</f>
        <v/>
      </c>
      <c r="AX827">
        <f>$C827*AX826</f>
        <v/>
      </c>
      <c r="AY827">
        <f>$C827*AY826</f>
        <v/>
      </c>
      <c r="AZ827">
        <f>$C827*AZ826</f>
        <v/>
      </c>
      <c r="BA827">
        <f>$C827*BA826</f>
        <v/>
      </c>
      <c r="BB827">
        <f>$C827*BB826</f>
        <v/>
      </c>
      <c r="BC827">
        <f>$C827*BC826</f>
        <v/>
      </c>
      <c r="BD827">
        <f>$C827*BD826</f>
        <v/>
      </c>
      <c r="BE827">
        <f>$C827*BE826</f>
        <v/>
      </c>
      <c r="BF827">
        <f>$C827*BF826</f>
        <v/>
      </c>
      <c r="BG827">
        <f>$C827*BG826</f>
        <v/>
      </c>
      <c r="BH827">
        <f>$C827*BH826</f>
        <v/>
      </c>
      <c r="BI827">
        <f>$C827*BI826</f>
        <v/>
      </c>
      <c r="BJ827">
        <f>$C827*BJ826</f>
        <v/>
      </c>
      <c r="BK827">
        <f>$C827*BK826</f>
        <v/>
      </c>
      <c r="BL827">
        <f>$C827*BL826</f>
        <v/>
      </c>
      <c r="BM827">
        <f>$C827*BM826</f>
        <v/>
      </c>
      <c r="BN827">
        <f>$C827*BN826</f>
        <v/>
      </c>
      <c r="BO827">
        <f>$C827*BO826</f>
        <v/>
      </c>
      <c r="BP827">
        <f>$C827*BP826</f>
        <v/>
      </c>
      <c r="BQ827">
        <f>$C827*BQ826</f>
        <v/>
      </c>
      <c r="BR827">
        <f>$C827*BR826</f>
        <v/>
      </c>
      <c r="BS827">
        <f>$C827*BS826</f>
        <v/>
      </c>
      <c r="BT827">
        <f>$C827*BT826</f>
        <v/>
      </c>
      <c r="BU827">
        <f>$C827*BU826</f>
        <v/>
      </c>
      <c r="BV827">
        <f>$C827*BV826</f>
        <v/>
      </c>
      <c r="BW827">
        <f>$C827*BW826</f>
        <v/>
      </c>
      <c r="BX827">
        <f>$C827*BX826</f>
        <v/>
      </c>
      <c r="BY827">
        <f>$C827*BY826</f>
        <v/>
      </c>
      <c r="BZ827">
        <f>$C827*BZ826</f>
        <v/>
      </c>
      <c r="CA827">
        <f>$C827*CA826</f>
        <v/>
      </c>
      <c r="CB827">
        <f>$C827*CB826</f>
        <v/>
      </c>
      <c r="CC827">
        <f>$C827*CC826</f>
        <v/>
      </c>
      <c r="CD827">
        <f>$C827*CD826</f>
        <v/>
      </c>
      <c r="CE827">
        <f>$C827*CE826</f>
        <v/>
      </c>
      <c r="CF827">
        <f>$C827*CF826</f>
        <v/>
      </c>
      <c r="CG827">
        <f>$C827*CG826</f>
        <v/>
      </c>
      <c r="CH827">
        <f>$C827*CH826</f>
        <v/>
      </c>
      <c r="CI827">
        <f>$C827*CI826</f>
        <v/>
      </c>
      <c r="CJ827">
        <f>$C827*CJ826</f>
        <v/>
      </c>
      <c r="CK827">
        <f>$C827*CK826</f>
        <v/>
      </c>
      <c r="CL827">
        <f>$C827*CL826</f>
        <v/>
      </c>
      <c r="CM827">
        <f>$C827*CM826</f>
        <v/>
      </c>
      <c r="CN827">
        <f>$C827*CN826</f>
        <v/>
      </c>
      <c r="CO827">
        <f>$C827*CO826</f>
        <v/>
      </c>
      <c r="CP827">
        <f>$C827*CP826</f>
        <v/>
      </c>
      <c r="CQ827">
        <f>$C827*CQ826</f>
        <v/>
      </c>
      <c r="CR827">
        <f>$C827*CR826</f>
        <v/>
      </c>
      <c r="CS827">
        <f>$C827*CS826</f>
        <v/>
      </c>
      <c r="CT827">
        <f>$C827*CT826</f>
        <v/>
      </c>
      <c r="CU827">
        <f>$C827*CU826</f>
        <v/>
      </c>
      <c r="CV827">
        <f>$C827*CV826</f>
        <v/>
      </c>
      <c r="CW827">
        <f>$C827*CW826</f>
        <v/>
      </c>
      <c r="CX827">
        <f>$C827*CX826</f>
        <v/>
      </c>
      <c r="CY827">
        <f>$C827*CY826</f>
        <v/>
      </c>
      <c r="CZ827">
        <f>$C827*CZ826</f>
        <v/>
      </c>
      <c r="DA827">
        <f>$C827*DA826</f>
        <v/>
      </c>
      <c r="DB827">
        <f>$C827*DB826</f>
        <v/>
      </c>
      <c r="DC827">
        <f>$C827*DC826</f>
        <v/>
      </c>
    </row>
    <row r="828">
      <c r="B828" t="inlineStr">
        <is>
          <t>TSP-903</t>
        </is>
      </c>
      <c r="C828" t="inlineStr">
        <is>
          <t>No. of batches</t>
        </is>
      </c>
      <c r="D828">
        <f>IFERROR(INDEX(PP_Grid[#Data],$DD828,2),0)</f>
        <v/>
      </c>
      <c r="E828">
        <f>IFERROR(INDEX(PP_Grid[#Data],$DD828,3),0)</f>
        <v/>
      </c>
      <c r="F828">
        <f>IFERROR(INDEX(PP_Grid[#Data],$DD828,4),0)</f>
        <v/>
      </c>
      <c r="G828">
        <f>IFERROR(INDEX(PP_Grid[#Data],$DD828,5),0)</f>
        <v/>
      </c>
      <c r="H828">
        <f>IFERROR(INDEX(PP_Grid[#Data],$DD828,6),0)</f>
        <v/>
      </c>
      <c r="I828">
        <f>IFERROR(INDEX(PP_Grid[#Data],$DD828,7),0)</f>
        <v/>
      </c>
      <c r="J828">
        <f>IFERROR(INDEX(PP_Grid[#Data],$DD828,8),0)</f>
        <v/>
      </c>
      <c r="K828">
        <f>IFERROR(INDEX(PP_Grid[#Data],$DD828,9),0)</f>
        <v/>
      </c>
      <c r="L828">
        <f>IFERROR(INDEX(PP_Grid[#Data],$DD828,10),0)</f>
        <v/>
      </c>
      <c r="M828">
        <f>IFERROR(INDEX(PP_Grid[#Data],$DD828,11),0)</f>
        <v/>
      </c>
      <c r="N828">
        <f>IFERROR(INDEX(PP_Grid[#Data],$DD828,12),0)</f>
        <v/>
      </c>
      <c r="O828">
        <f>IFERROR(INDEX(PP_Grid[#Data],$DD828,13),0)</f>
        <v/>
      </c>
      <c r="P828">
        <f>IFERROR(INDEX(PP_Grid[#Data],$DD828,14),0)</f>
        <v/>
      </c>
      <c r="Q828">
        <f>IFERROR(INDEX(PP_Grid[#Data],$DD828,15),0)</f>
        <v/>
      </c>
      <c r="R828">
        <f>IFERROR(INDEX(PP_Grid[#Data],$DD828,16),0)</f>
        <v/>
      </c>
      <c r="S828">
        <f>IFERROR(INDEX(PP_Grid[#Data],$DD828,17),0)</f>
        <v/>
      </c>
      <c r="T828">
        <f>IFERROR(INDEX(PP_Grid[#Data],$DD828,18),0)</f>
        <v/>
      </c>
      <c r="U828">
        <f>IFERROR(INDEX(PP_Grid[#Data],$DD828,19),0)</f>
        <v/>
      </c>
      <c r="V828">
        <f>IFERROR(INDEX(PP_Grid[#Data],$DD828,20),0)</f>
        <v/>
      </c>
      <c r="W828">
        <f>IFERROR(INDEX(PP_Grid[#Data],$DD828,21),0)</f>
        <v/>
      </c>
      <c r="X828">
        <f>IFERROR(INDEX(PP_Grid[#Data],$DD828,22),0)</f>
        <v/>
      </c>
      <c r="Y828">
        <f>IFERROR(INDEX(PP_Grid[#Data],$DD828,23),0)</f>
        <v/>
      </c>
      <c r="Z828">
        <f>IFERROR(INDEX(PP_Grid[#Data],$DD828,24),0)</f>
        <v/>
      </c>
      <c r="AA828">
        <f>IFERROR(INDEX(PP_Grid[#Data],$DD828,25),0)</f>
        <v/>
      </c>
      <c r="AB828">
        <f>IFERROR(INDEX(PP_Grid[#Data],$DD828,26),0)</f>
        <v/>
      </c>
      <c r="AC828">
        <f>IFERROR(INDEX(PP_Grid[#Data],$DD828,27),0)</f>
        <v/>
      </c>
      <c r="AD828">
        <f>IFERROR(INDEX(PP_Grid[#Data],$DD828,28),0)</f>
        <v/>
      </c>
      <c r="AE828">
        <f>IFERROR(INDEX(PP_Grid[#Data],$DD828,29),0)</f>
        <v/>
      </c>
      <c r="AF828">
        <f>IFERROR(INDEX(PP_Grid[#Data],$DD828,30),0)</f>
        <v/>
      </c>
      <c r="AG828">
        <f>IFERROR(INDEX(PP_Grid[#Data],$DD828,31),0)</f>
        <v/>
      </c>
      <c r="AH828">
        <f>IFERROR(INDEX(PP_Grid[#Data],$DD828,32),0)</f>
        <v/>
      </c>
      <c r="AI828">
        <f>IFERROR(INDEX(PP_Grid[#Data],$DD828,33),0)</f>
        <v/>
      </c>
      <c r="AJ828">
        <f>IFERROR(INDEX(PP_Grid[#Data],$DD828,34),0)</f>
        <v/>
      </c>
      <c r="AK828">
        <f>IFERROR(INDEX(PP_Grid[#Data],$DD828,35),0)</f>
        <v/>
      </c>
      <c r="AL828">
        <f>IFERROR(INDEX(PP_Grid[#Data],$DD828,36),0)</f>
        <v/>
      </c>
      <c r="AM828">
        <f>IFERROR(INDEX(PP_Grid[#Data],$DD828,37),0)</f>
        <v/>
      </c>
      <c r="AN828">
        <f>IFERROR(INDEX(PP_Grid[#Data],$DD828,38),0)</f>
        <v/>
      </c>
      <c r="AO828">
        <f>IFERROR(INDEX(PP_Grid[#Data],$DD828,39),0)</f>
        <v/>
      </c>
      <c r="AP828">
        <f>IFERROR(INDEX(PP_Grid[#Data],$DD828,40),0)</f>
        <v/>
      </c>
      <c r="AQ828">
        <f>IFERROR(INDEX(PP_Grid[#Data],$DD828,41),0)</f>
        <v/>
      </c>
      <c r="AR828">
        <f>IFERROR(INDEX(PP_Grid[#Data],$DD828,42),0)</f>
        <v/>
      </c>
      <c r="AS828">
        <f>IFERROR(INDEX(PP_Grid[#Data],$DD828,43),0)</f>
        <v/>
      </c>
      <c r="AT828">
        <f>IFERROR(INDEX(PP_Grid[#Data],$DD828,44),0)</f>
        <v/>
      </c>
      <c r="AU828">
        <f>IFERROR(INDEX(PP_Grid[#Data],$DD828,45),0)</f>
        <v/>
      </c>
      <c r="AV828">
        <f>IFERROR(INDEX(PP_Grid[#Data],$DD828,46),0)</f>
        <v/>
      </c>
      <c r="AW828">
        <f>IFERROR(INDEX(PP_Grid[#Data],$DD828,47),0)</f>
        <v/>
      </c>
      <c r="AX828">
        <f>IFERROR(INDEX(PP_Grid[#Data],$DD828,48),0)</f>
        <v/>
      </c>
      <c r="AY828">
        <f>IFERROR(INDEX(PP_Grid[#Data],$DD828,49),0)</f>
        <v/>
      </c>
      <c r="AZ828">
        <f>IFERROR(INDEX(PP_Grid[#Data],$DD828,50),0)</f>
        <v/>
      </c>
      <c r="BA828">
        <f>IFERROR(INDEX(PP_Grid[#Data],$DD828,51),0)</f>
        <v/>
      </c>
      <c r="BB828">
        <f>IFERROR(INDEX(PP_Grid[#Data],$DD828,52),0)</f>
        <v/>
      </c>
      <c r="BC828">
        <f>IFERROR(INDEX(PP_Grid[#Data],$DD828,53),0)</f>
        <v/>
      </c>
      <c r="BD828">
        <f>IFERROR(INDEX(PP_Grid[#Data],$DD828,54),0)</f>
        <v/>
      </c>
      <c r="BE828">
        <f>IFERROR(INDEX(PP_Grid[#Data],$DD828,55),0)</f>
        <v/>
      </c>
      <c r="BF828">
        <f>IFERROR(INDEX(PP_Grid[#Data],$DD828,56),0)</f>
        <v/>
      </c>
      <c r="BG828">
        <f>IFERROR(INDEX(PP_Grid[#Data],$DD828,57),0)</f>
        <v/>
      </c>
      <c r="BH828">
        <f>IFERROR(INDEX(PP_Grid[#Data],$DD828,58),0)</f>
        <v/>
      </c>
      <c r="BI828">
        <f>IFERROR(INDEX(PP_Grid[#Data],$DD828,59),0)</f>
        <v/>
      </c>
      <c r="BJ828">
        <f>IFERROR(INDEX(PP_Grid[#Data],$DD828,60),0)</f>
        <v/>
      </c>
      <c r="BK828">
        <f>IFERROR(INDEX(PP_Grid[#Data],$DD828,61),0)</f>
        <v/>
      </c>
      <c r="BL828">
        <f>IFERROR(INDEX(PP_Grid[#Data],$DD828,62),0)</f>
        <v/>
      </c>
      <c r="BM828">
        <f>IFERROR(INDEX(PP_Grid[#Data],$DD828,63),0)</f>
        <v/>
      </c>
      <c r="BN828">
        <f>IFERROR(INDEX(PP_Grid[#Data],$DD828,64),0)</f>
        <v/>
      </c>
      <c r="BO828">
        <f>IFERROR(INDEX(PP_Grid[#Data],$DD828,65),0)</f>
        <v/>
      </c>
      <c r="BP828">
        <f>IFERROR(INDEX(PP_Grid[#Data],$DD828,66),0)</f>
        <v/>
      </c>
      <c r="BQ828">
        <f>IFERROR(INDEX(PP_Grid[#Data],$DD828,67),0)</f>
        <v/>
      </c>
      <c r="BR828">
        <f>IFERROR(INDEX(PP_Grid[#Data],$DD828,68),0)</f>
        <v/>
      </c>
      <c r="BS828">
        <f>IFERROR(INDEX(PP_Grid[#Data],$DD828,69),0)</f>
        <v/>
      </c>
      <c r="BT828">
        <f>IFERROR(INDEX(PP_Grid[#Data],$DD828,70),0)</f>
        <v/>
      </c>
      <c r="BU828">
        <f>IFERROR(INDEX(PP_Grid[#Data],$DD828,71),0)</f>
        <v/>
      </c>
      <c r="BV828">
        <f>IFERROR(INDEX(PP_Grid[#Data],$DD828,72),0)</f>
        <v/>
      </c>
      <c r="BW828">
        <f>IFERROR(INDEX(PP_Grid[#Data],$DD828,73),0)</f>
        <v/>
      </c>
      <c r="BX828">
        <f>IFERROR(INDEX(PP_Grid[#Data],$DD828,74),0)</f>
        <v/>
      </c>
      <c r="BY828">
        <f>IFERROR(INDEX(PP_Grid[#Data],$DD828,75),0)</f>
        <v/>
      </c>
      <c r="BZ828">
        <f>IFERROR(INDEX(PP_Grid[#Data],$DD828,76),0)</f>
        <v/>
      </c>
      <c r="CA828">
        <f>IFERROR(INDEX(PP_Grid[#Data],$DD828,77),0)</f>
        <v/>
      </c>
      <c r="CB828">
        <f>IFERROR(INDEX(PP_Grid[#Data],$DD828,78),0)</f>
        <v/>
      </c>
      <c r="CC828">
        <f>IFERROR(INDEX(PP_Grid[#Data],$DD828,79),0)</f>
        <v/>
      </c>
      <c r="CD828">
        <f>IFERROR(INDEX(PP_Grid[#Data],$DD828,80),0)</f>
        <v/>
      </c>
      <c r="CE828">
        <f>IFERROR(INDEX(PP_Grid[#Data],$DD828,81),0)</f>
        <v/>
      </c>
      <c r="CF828">
        <f>IFERROR(INDEX(PP_Grid[#Data],$DD828,82),0)</f>
        <v/>
      </c>
      <c r="CG828">
        <f>IFERROR(INDEX(PP_Grid[#Data],$DD828,83),0)</f>
        <v/>
      </c>
      <c r="CH828">
        <f>IFERROR(INDEX(PP_Grid[#Data],$DD828,84),0)</f>
        <v/>
      </c>
      <c r="CI828">
        <f>IFERROR(INDEX(PP_Grid[#Data],$DD828,85),0)</f>
        <v/>
      </c>
      <c r="CJ828">
        <f>IFERROR(INDEX(PP_Grid[#Data],$DD828,86),0)</f>
        <v/>
      </c>
      <c r="CK828">
        <f>IFERROR(INDEX(PP_Grid[#Data],$DD828,87),0)</f>
        <v/>
      </c>
      <c r="CL828">
        <f>IFERROR(INDEX(PP_Grid[#Data],$DD828,88),0)</f>
        <v/>
      </c>
      <c r="CM828">
        <f>IFERROR(INDEX(PP_Grid[#Data],$DD828,89),0)</f>
        <v/>
      </c>
      <c r="CN828">
        <f>IFERROR(INDEX(PP_Grid[#Data],$DD828,90),0)</f>
        <v/>
      </c>
      <c r="CO828">
        <f>IFERROR(INDEX(PP_Grid[#Data],$DD828,91),0)</f>
        <v/>
      </c>
      <c r="CP828">
        <f>IFERROR(INDEX(PP_Grid[#Data],$DD828,92),0)</f>
        <v/>
      </c>
      <c r="CQ828">
        <f>IFERROR(INDEX(PP_Grid[#Data],$DD828,93),0)</f>
        <v/>
      </c>
      <c r="CR828">
        <f>IFERROR(INDEX(PP_Grid[#Data],$DD828,94),0)</f>
        <v/>
      </c>
      <c r="CS828">
        <f>IFERROR(INDEX(PP_Grid[#Data],$DD828,95),0)</f>
        <v/>
      </c>
      <c r="CT828">
        <f>IFERROR(INDEX(PP_Grid[#Data],$DD828,96),0)</f>
        <v/>
      </c>
      <c r="CU828">
        <f>IFERROR(INDEX(PP_Grid[#Data],$DD828,97),0)</f>
        <v/>
      </c>
      <c r="CV828">
        <f>IFERROR(INDEX(PP_Grid[#Data],$DD828,98),0)</f>
        <v/>
      </c>
      <c r="CW828">
        <f>IFERROR(INDEX(PP_Grid[#Data],$DD828,99),0)</f>
        <v/>
      </c>
      <c r="CX828">
        <f>IFERROR(INDEX(PP_Grid[#Data],$DD828,100),0)</f>
        <v/>
      </c>
      <c r="CY828">
        <f>IFERROR(INDEX(PP_Grid[#Data],$DD828,101),0)</f>
        <v/>
      </c>
      <c r="CZ828">
        <f>IFERROR(INDEX(PP_Grid[#Data],$DD828,102),0)</f>
        <v/>
      </c>
      <c r="DA828">
        <f>IFERROR(INDEX(PP_Grid[#Data],$DD828,103),0)</f>
        <v/>
      </c>
      <c r="DB828">
        <f>IFERROR(INDEX(PP_Grid[#Data],$DD828,104),0)</f>
        <v/>
      </c>
      <c r="DC828">
        <f>IFERROR(INDEX(PP_Grid[#Data],$DD828,105),0)</f>
        <v/>
      </c>
      <c r="DD828" s="12">
        <f>IFERROR(MATCH($B828,PP_Grid[Intermediate],0),99999)</f>
        <v/>
      </c>
    </row>
    <row r="829">
      <c r="B829" t="inlineStr">
        <is>
          <t>使用量(kg)</t>
        </is>
      </c>
      <c r="C829">
        <f>SUMIFS(M_BOM[RM_Qty_Per_Batch],M_BOM[Intermediate],$B828,M_BOM[Part Name],$A807)</f>
        <v/>
      </c>
      <c r="D829">
        <f>$C829*D828</f>
        <v/>
      </c>
      <c r="E829">
        <f>$C829*E828</f>
        <v/>
      </c>
      <c r="F829">
        <f>$C829*F828</f>
        <v/>
      </c>
      <c r="G829">
        <f>$C829*G828</f>
        <v/>
      </c>
      <c r="H829">
        <f>$C829*H828</f>
        <v/>
      </c>
      <c r="I829">
        <f>$C829*I828</f>
        <v/>
      </c>
      <c r="J829">
        <f>$C829*J828</f>
        <v/>
      </c>
      <c r="K829">
        <f>$C829*K828</f>
        <v/>
      </c>
      <c r="L829">
        <f>$C829*L828</f>
        <v/>
      </c>
      <c r="M829">
        <f>$C829*M828</f>
        <v/>
      </c>
      <c r="N829">
        <f>$C829*N828</f>
        <v/>
      </c>
      <c r="O829">
        <f>$C829*O828</f>
        <v/>
      </c>
      <c r="P829">
        <f>$C829*P828</f>
        <v/>
      </c>
      <c r="Q829">
        <f>$C829*Q828</f>
        <v/>
      </c>
      <c r="R829">
        <f>$C829*R828</f>
        <v/>
      </c>
      <c r="S829">
        <f>$C829*S828</f>
        <v/>
      </c>
      <c r="T829">
        <f>$C829*T828</f>
        <v/>
      </c>
      <c r="U829">
        <f>$C829*U828</f>
        <v/>
      </c>
      <c r="V829">
        <f>$C829*V828</f>
        <v/>
      </c>
      <c r="W829">
        <f>$C829*W828</f>
        <v/>
      </c>
      <c r="X829">
        <f>$C829*X828</f>
        <v/>
      </c>
      <c r="Y829">
        <f>$C829*Y828</f>
        <v/>
      </c>
      <c r="Z829">
        <f>$C829*Z828</f>
        <v/>
      </c>
      <c r="AA829">
        <f>$C829*AA828</f>
        <v/>
      </c>
      <c r="AB829">
        <f>$C829*AB828</f>
        <v/>
      </c>
      <c r="AC829">
        <f>$C829*AC828</f>
        <v/>
      </c>
      <c r="AD829">
        <f>$C829*AD828</f>
        <v/>
      </c>
      <c r="AE829">
        <f>$C829*AE828</f>
        <v/>
      </c>
      <c r="AF829">
        <f>$C829*AF828</f>
        <v/>
      </c>
      <c r="AG829">
        <f>$C829*AG828</f>
        <v/>
      </c>
      <c r="AH829">
        <f>$C829*AH828</f>
        <v/>
      </c>
      <c r="AI829">
        <f>$C829*AI828</f>
        <v/>
      </c>
      <c r="AJ829">
        <f>$C829*AJ828</f>
        <v/>
      </c>
      <c r="AK829">
        <f>$C829*AK828</f>
        <v/>
      </c>
      <c r="AL829">
        <f>$C829*AL828</f>
        <v/>
      </c>
      <c r="AM829">
        <f>$C829*AM828</f>
        <v/>
      </c>
      <c r="AN829">
        <f>$C829*AN828</f>
        <v/>
      </c>
      <c r="AO829">
        <f>$C829*AO828</f>
        <v/>
      </c>
      <c r="AP829">
        <f>$C829*AP828</f>
        <v/>
      </c>
      <c r="AQ829">
        <f>$C829*AQ828</f>
        <v/>
      </c>
      <c r="AR829">
        <f>$C829*AR828</f>
        <v/>
      </c>
      <c r="AS829">
        <f>$C829*AS828</f>
        <v/>
      </c>
      <c r="AT829">
        <f>$C829*AT828</f>
        <v/>
      </c>
      <c r="AU829">
        <f>$C829*AU828</f>
        <v/>
      </c>
      <c r="AV829">
        <f>$C829*AV828</f>
        <v/>
      </c>
      <c r="AW829">
        <f>$C829*AW828</f>
        <v/>
      </c>
      <c r="AX829">
        <f>$C829*AX828</f>
        <v/>
      </c>
      <c r="AY829">
        <f>$C829*AY828</f>
        <v/>
      </c>
      <c r="AZ829">
        <f>$C829*AZ828</f>
        <v/>
      </c>
      <c r="BA829">
        <f>$C829*BA828</f>
        <v/>
      </c>
      <c r="BB829">
        <f>$C829*BB828</f>
        <v/>
      </c>
      <c r="BC829">
        <f>$C829*BC828</f>
        <v/>
      </c>
      <c r="BD829">
        <f>$C829*BD828</f>
        <v/>
      </c>
      <c r="BE829">
        <f>$C829*BE828</f>
        <v/>
      </c>
      <c r="BF829">
        <f>$C829*BF828</f>
        <v/>
      </c>
      <c r="BG829">
        <f>$C829*BG828</f>
        <v/>
      </c>
      <c r="BH829">
        <f>$C829*BH828</f>
        <v/>
      </c>
      <c r="BI829">
        <f>$C829*BI828</f>
        <v/>
      </c>
      <c r="BJ829">
        <f>$C829*BJ828</f>
        <v/>
      </c>
      <c r="BK829">
        <f>$C829*BK828</f>
        <v/>
      </c>
      <c r="BL829">
        <f>$C829*BL828</f>
        <v/>
      </c>
      <c r="BM829">
        <f>$C829*BM828</f>
        <v/>
      </c>
      <c r="BN829">
        <f>$C829*BN828</f>
        <v/>
      </c>
      <c r="BO829">
        <f>$C829*BO828</f>
        <v/>
      </c>
      <c r="BP829">
        <f>$C829*BP828</f>
        <v/>
      </c>
      <c r="BQ829">
        <f>$C829*BQ828</f>
        <v/>
      </c>
      <c r="BR829">
        <f>$C829*BR828</f>
        <v/>
      </c>
      <c r="BS829">
        <f>$C829*BS828</f>
        <v/>
      </c>
      <c r="BT829">
        <f>$C829*BT828</f>
        <v/>
      </c>
      <c r="BU829">
        <f>$C829*BU828</f>
        <v/>
      </c>
      <c r="BV829">
        <f>$C829*BV828</f>
        <v/>
      </c>
      <c r="BW829">
        <f>$C829*BW828</f>
        <v/>
      </c>
      <c r="BX829">
        <f>$C829*BX828</f>
        <v/>
      </c>
      <c r="BY829">
        <f>$C829*BY828</f>
        <v/>
      </c>
      <c r="BZ829">
        <f>$C829*BZ828</f>
        <v/>
      </c>
      <c r="CA829">
        <f>$C829*CA828</f>
        <v/>
      </c>
      <c r="CB829">
        <f>$C829*CB828</f>
        <v/>
      </c>
      <c r="CC829">
        <f>$C829*CC828</f>
        <v/>
      </c>
      <c r="CD829">
        <f>$C829*CD828</f>
        <v/>
      </c>
      <c r="CE829">
        <f>$C829*CE828</f>
        <v/>
      </c>
      <c r="CF829">
        <f>$C829*CF828</f>
        <v/>
      </c>
      <c r="CG829">
        <f>$C829*CG828</f>
        <v/>
      </c>
      <c r="CH829">
        <f>$C829*CH828</f>
        <v/>
      </c>
      <c r="CI829">
        <f>$C829*CI828</f>
        <v/>
      </c>
      <c r="CJ829">
        <f>$C829*CJ828</f>
        <v/>
      </c>
      <c r="CK829">
        <f>$C829*CK828</f>
        <v/>
      </c>
      <c r="CL829">
        <f>$C829*CL828</f>
        <v/>
      </c>
      <c r="CM829">
        <f>$C829*CM828</f>
        <v/>
      </c>
      <c r="CN829">
        <f>$C829*CN828</f>
        <v/>
      </c>
      <c r="CO829">
        <f>$C829*CO828</f>
        <v/>
      </c>
      <c r="CP829">
        <f>$C829*CP828</f>
        <v/>
      </c>
      <c r="CQ829">
        <f>$C829*CQ828</f>
        <v/>
      </c>
      <c r="CR829">
        <f>$C829*CR828</f>
        <v/>
      </c>
      <c r="CS829">
        <f>$C829*CS828</f>
        <v/>
      </c>
      <c r="CT829">
        <f>$C829*CT828</f>
        <v/>
      </c>
      <c r="CU829">
        <f>$C829*CU828</f>
        <v/>
      </c>
      <c r="CV829">
        <f>$C829*CV828</f>
        <v/>
      </c>
      <c r="CW829">
        <f>$C829*CW828</f>
        <v/>
      </c>
      <c r="CX829">
        <f>$C829*CX828</f>
        <v/>
      </c>
      <c r="CY829">
        <f>$C829*CY828</f>
        <v/>
      </c>
      <c r="CZ829">
        <f>$C829*CZ828</f>
        <v/>
      </c>
      <c r="DA829">
        <f>$C829*DA828</f>
        <v/>
      </c>
      <c r="DB829">
        <f>$C829*DB828</f>
        <v/>
      </c>
      <c r="DC829">
        <f>$C829*DC828</f>
        <v/>
      </c>
    </row>
    <row r="830">
      <c r="B830" t="inlineStr">
        <is>
          <t>TSP-924</t>
        </is>
      </c>
      <c r="C830" t="inlineStr">
        <is>
          <t>No. of batches</t>
        </is>
      </c>
      <c r="D830">
        <f>IFERROR(INDEX(PP_Grid[#Data],$DD830,2),0)</f>
        <v/>
      </c>
      <c r="E830">
        <f>IFERROR(INDEX(PP_Grid[#Data],$DD830,3),0)</f>
        <v/>
      </c>
      <c r="F830">
        <f>IFERROR(INDEX(PP_Grid[#Data],$DD830,4),0)</f>
        <v/>
      </c>
      <c r="G830">
        <f>IFERROR(INDEX(PP_Grid[#Data],$DD830,5),0)</f>
        <v/>
      </c>
      <c r="H830">
        <f>IFERROR(INDEX(PP_Grid[#Data],$DD830,6),0)</f>
        <v/>
      </c>
      <c r="I830">
        <f>IFERROR(INDEX(PP_Grid[#Data],$DD830,7),0)</f>
        <v/>
      </c>
      <c r="J830">
        <f>IFERROR(INDEX(PP_Grid[#Data],$DD830,8),0)</f>
        <v/>
      </c>
      <c r="K830">
        <f>IFERROR(INDEX(PP_Grid[#Data],$DD830,9),0)</f>
        <v/>
      </c>
      <c r="L830">
        <f>IFERROR(INDEX(PP_Grid[#Data],$DD830,10),0)</f>
        <v/>
      </c>
      <c r="M830">
        <f>IFERROR(INDEX(PP_Grid[#Data],$DD830,11),0)</f>
        <v/>
      </c>
      <c r="N830">
        <f>IFERROR(INDEX(PP_Grid[#Data],$DD830,12),0)</f>
        <v/>
      </c>
      <c r="O830">
        <f>IFERROR(INDEX(PP_Grid[#Data],$DD830,13),0)</f>
        <v/>
      </c>
      <c r="P830">
        <f>IFERROR(INDEX(PP_Grid[#Data],$DD830,14),0)</f>
        <v/>
      </c>
      <c r="Q830">
        <f>IFERROR(INDEX(PP_Grid[#Data],$DD830,15),0)</f>
        <v/>
      </c>
      <c r="R830">
        <f>IFERROR(INDEX(PP_Grid[#Data],$DD830,16),0)</f>
        <v/>
      </c>
      <c r="S830">
        <f>IFERROR(INDEX(PP_Grid[#Data],$DD830,17),0)</f>
        <v/>
      </c>
      <c r="T830">
        <f>IFERROR(INDEX(PP_Grid[#Data],$DD830,18),0)</f>
        <v/>
      </c>
      <c r="U830">
        <f>IFERROR(INDEX(PP_Grid[#Data],$DD830,19),0)</f>
        <v/>
      </c>
      <c r="V830">
        <f>IFERROR(INDEX(PP_Grid[#Data],$DD830,20),0)</f>
        <v/>
      </c>
      <c r="W830">
        <f>IFERROR(INDEX(PP_Grid[#Data],$DD830,21),0)</f>
        <v/>
      </c>
      <c r="X830">
        <f>IFERROR(INDEX(PP_Grid[#Data],$DD830,22),0)</f>
        <v/>
      </c>
      <c r="Y830">
        <f>IFERROR(INDEX(PP_Grid[#Data],$DD830,23),0)</f>
        <v/>
      </c>
      <c r="Z830">
        <f>IFERROR(INDEX(PP_Grid[#Data],$DD830,24),0)</f>
        <v/>
      </c>
      <c r="AA830">
        <f>IFERROR(INDEX(PP_Grid[#Data],$DD830,25),0)</f>
        <v/>
      </c>
      <c r="AB830">
        <f>IFERROR(INDEX(PP_Grid[#Data],$DD830,26),0)</f>
        <v/>
      </c>
      <c r="AC830">
        <f>IFERROR(INDEX(PP_Grid[#Data],$DD830,27),0)</f>
        <v/>
      </c>
      <c r="AD830">
        <f>IFERROR(INDEX(PP_Grid[#Data],$DD830,28),0)</f>
        <v/>
      </c>
      <c r="AE830">
        <f>IFERROR(INDEX(PP_Grid[#Data],$DD830,29),0)</f>
        <v/>
      </c>
      <c r="AF830">
        <f>IFERROR(INDEX(PP_Grid[#Data],$DD830,30),0)</f>
        <v/>
      </c>
      <c r="AG830">
        <f>IFERROR(INDEX(PP_Grid[#Data],$DD830,31),0)</f>
        <v/>
      </c>
      <c r="AH830">
        <f>IFERROR(INDEX(PP_Grid[#Data],$DD830,32),0)</f>
        <v/>
      </c>
      <c r="AI830">
        <f>IFERROR(INDEX(PP_Grid[#Data],$DD830,33),0)</f>
        <v/>
      </c>
      <c r="AJ830">
        <f>IFERROR(INDEX(PP_Grid[#Data],$DD830,34),0)</f>
        <v/>
      </c>
      <c r="AK830">
        <f>IFERROR(INDEX(PP_Grid[#Data],$DD830,35),0)</f>
        <v/>
      </c>
      <c r="AL830">
        <f>IFERROR(INDEX(PP_Grid[#Data],$DD830,36),0)</f>
        <v/>
      </c>
      <c r="AM830">
        <f>IFERROR(INDEX(PP_Grid[#Data],$DD830,37),0)</f>
        <v/>
      </c>
      <c r="AN830">
        <f>IFERROR(INDEX(PP_Grid[#Data],$DD830,38),0)</f>
        <v/>
      </c>
      <c r="AO830">
        <f>IFERROR(INDEX(PP_Grid[#Data],$DD830,39),0)</f>
        <v/>
      </c>
      <c r="AP830">
        <f>IFERROR(INDEX(PP_Grid[#Data],$DD830,40),0)</f>
        <v/>
      </c>
      <c r="AQ830">
        <f>IFERROR(INDEX(PP_Grid[#Data],$DD830,41),0)</f>
        <v/>
      </c>
      <c r="AR830">
        <f>IFERROR(INDEX(PP_Grid[#Data],$DD830,42),0)</f>
        <v/>
      </c>
      <c r="AS830">
        <f>IFERROR(INDEX(PP_Grid[#Data],$DD830,43),0)</f>
        <v/>
      </c>
      <c r="AT830">
        <f>IFERROR(INDEX(PP_Grid[#Data],$DD830,44),0)</f>
        <v/>
      </c>
      <c r="AU830">
        <f>IFERROR(INDEX(PP_Grid[#Data],$DD830,45),0)</f>
        <v/>
      </c>
      <c r="AV830">
        <f>IFERROR(INDEX(PP_Grid[#Data],$DD830,46),0)</f>
        <v/>
      </c>
      <c r="AW830">
        <f>IFERROR(INDEX(PP_Grid[#Data],$DD830,47),0)</f>
        <v/>
      </c>
      <c r="AX830">
        <f>IFERROR(INDEX(PP_Grid[#Data],$DD830,48),0)</f>
        <v/>
      </c>
      <c r="AY830">
        <f>IFERROR(INDEX(PP_Grid[#Data],$DD830,49),0)</f>
        <v/>
      </c>
      <c r="AZ830">
        <f>IFERROR(INDEX(PP_Grid[#Data],$DD830,50),0)</f>
        <v/>
      </c>
      <c r="BA830">
        <f>IFERROR(INDEX(PP_Grid[#Data],$DD830,51),0)</f>
        <v/>
      </c>
      <c r="BB830">
        <f>IFERROR(INDEX(PP_Grid[#Data],$DD830,52),0)</f>
        <v/>
      </c>
      <c r="BC830">
        <f>IFERROR(INDEX(PP_Grid[#Data],$DD830,53),0)</f>
        <v/>
      </c>
      <c r="BD830">
        <f>IFERROR(INDEX(PP_Grid[#Data],$DD830,54),0)</f>
        <v/>
      </c>
      <c r="BE830">
        <f>IFERROR(INDEX(PP_Grid[#Data],$DD830,55),0)</f>
        <v/>
      </c>
      <c r="BF830">
        <f>IFERROR(INDEX(PP_Grid[#Data],$DD830,56),0)</f>
        <v/>
      </c>
      <c r="BG830">
        <f>IFERROR(INDEX(PP_Grid[#Data],$DD830,57),0)</f>
        <v/>
      </c>
      <c r="BH830">
        <f>IFERROR(INDEX(PP_Grid[#Data],$DD830,58),0)</f>
        <v/>
      </c>
      <c r="BI830">
        <f>IFERROR(INDEX(PP_Grid[#Data],$DD830,59),0)</f>
        <v/>
      </c>
      <c r="BJ830">
        <f>IFERROR(INDEX(PP_Grid[#Data],$DD830,60),0)</f>
        <v/>
      </c>
      <c r="BK830">
        <f>IFERROR(INDEX(PP_Grid[#Data],$DD830,61),0)</f>
        <v/>
      </c>
      <c r="BL830">
        <f>IFERROR(INDEX(PP_Grid[#Data],$DD830,62),0)</f>
        <v/>
      </c>
      <c r="BM830">
        <f>IFERROR(INDEX(PP_Grid[#Data],$DD830,63),0)</f>
        <v/>
      </c>
      <c r="BN830">
        <f>IFERROR(INDEX(PP_Grid[#Data],$DD830,64),0)</f>
        <v/>
      </c>
      <c r="BO830">
        <f>IFERROR(INDEX(PP_Grid[#Data],$DD830,65),0)</f>
        <v/>
      </c>
      <c r="BP830">
        <f>IFERROR(INDEX(PP_Grid[#Data],$DD830,66),0)</f>
        <v/>
      </c>
      <c r="BQ830">
        <f>IFERROR(INDEX(PP_Grid[#Data],$DD830,67),0)</f>
        <v/>
      </c>
      <c r="BR830">
        <f>IFERROR(INDEX(PP_Grid[#Data],$DD830,68),0)</f>
        <v/>
      </c>
      <c r="BS830">
        <f>IFERROR(INDEX(PP_Grid[#Data],$DD830,69),0)</f>
        <v/>
      </c>
      <c r="BT830">
        <f>IFERROR(INDEX(PP_Grid[#Data],$DD830,70),0)</f>
        <v/>
      </c>
      <c r="BU830">
        <f>IFERROR(INDEX(PP_Grid[#Data],$DD830,71),0)</f>
        <v/>
      </c>
      <c r="BV830">
        <f>IFERROR(INDEX(PP_Grid[#Data],$DD830,72),0)</f>
        <v/>
      </c>
      <c r="BW830">
        <f>IFERROR(INDEX(PP_Grid[#Data],$DD830,73),0)</f>
        <v/>
      </c>
      <c r="BX830">
        <f>IFERROR(INDEX(PP_Grid[#Data],$DD830,74),0)</f>
        <v/>
      </c>
      <c r="BY830">
        <f>IFERROR(INDEX(PP_Grid[#Data],$DD830,75),0)</f>
        <v/>
      </c>
      <c r="BZ830">
        <f>IFERROR(INDEX(PP_Grid[#Data],$DD830,76),0)</f>
        <v/>
      </c>
      <c r="CA830">
        <f>IFERROR(INDEX(PP_Grid[#Data],$DD830,77),0)</f>
        <v/>
      </c>
      <c r="CB830">
        <f>IFERROR(INDEX(PP_Grid[#Data],$DD830,78),0)</f>
        <v/>
      </c>
      <c r="CC830">
        <f>IFERROR(INDEX(PP_Grid[#Data],$DD830,79),0)</f>
        <v/>
      </c>
      <c r="CD830">
        <f>IFERROR(INDEX(PP_Grid[#Data],$DD830,80),0)</f>
        <v/>
      </c>
      <c r="CE830">
        <f>IFERROR(INDEX(PP_Grid[#Data],$DD830,81),0)</f>
        <v/>
      </c>
      <c r="CF830">
        <f>IFERROR(INDEX(PP_Grid[#Data],$DD830,82),0)</f>
        <v/>
      </c>
      <c r="CG830">
        <f>IFERROR(INDEX(PP_Grid[#Data],$DD830,83),0)</f>
        <v/>
      </c>
      <c r="CH830">
        <f>IFERROR(INDEX(PP_Grid[#Data],$DD830,84),0)</f>
        <v/>
      </c>
      <c r="CI830">
        <f>IFERROR(INDEX(PP_Grid[#Data],$DD830,85),0)</f>
        <v/>
      </c>
      <c r="CJ830">
        <f>IFERROR(INDEX(PP_Grid[#Data],$DD830,86),0)</f>
        <v/>
      </c>
      <c r="CK830">
        <f>IFERROR(INDEX(PP_Grid[#Data],$DD830,87),0)</f>
        <v/>
      </c>
      <c r="CL830">
        <f>IFERROR(INDEX(PP_Grid[#Data],$DD830,88),0)</f>
        <v/>
      </c>
      <c r="CM830">
        <f>IFERROR(INDEX(PP_Grid[#Data],$DD830,89),0)</f>
        <v/>
      </c>
      <c r="CN830">
        <f>IFERROR(INDEX(PP_Grid[#Data],$DD830,90),0)</f>
        <v/>
      </c>
      <c r="CO830">
        <f>IFERROR(INDEX(PP_Grid[#Data],$DD830,91),0)</f>
        <v/>
      </c>
      <c r="CP830">
        <f>IFERROR(INDEX(PP_Grid[#Data],$DD830,92),0)</f>
        <v/>
      </c>
      <c r="CQ830">
        <f>IFERROR(INDEX(PP_Grid[#Data],$DD830,93),0)</f>
        <v/>
      </c>
      <c r="CR830">
        <f>IFERROR(INDEX(PP_Grid[#Data],$DD830,94),0)</f>
        <v/>
      </c>
      <c r="CS830">
        <f>IFERROR(INDEX(PP_Grid[#Data],$DD830,95),0)</f>
        <v/>
      </c>
      <c r="CT830">
        <f>IFERROR(INDEX(PP_Grid[#Data],$DD830,96),0)</f>
        <v/>
      </c>
      <c r="CU830">
        <f>IFERROR(INDEX(PP_Grid[#Data],$DD830,97),0)</f>
        <v/>
      </c>
      <c r="CV830">
        <f>IFERROR(INDEX(PP_Grid[#Data],$DD830,98),0)</f>
        <v/>
      </c>
      <c r="CW830">
        <f>IFERROR(INDEX(PP_Grid[#Data],$DD830,99),0)</f>
        <v/>
      </c>
      <c r="CX830">
        <f>IFERROR(INDEX(PP_Grid[#Data],$DD830,100),0)</f>
        <v/>
      </c>
      <c r="CY830">
        <f>IFERROR(INDEX(PP_Grid[#Data],$DD830,101),0)</f>
        <v/>
      </c>
      <c r="CZ830">
        <f>IFERROR(INDEX(PP_Grid[#Data],$DD830,102),0)</f>
        <v/>
      </c>
      <c r="DA830">
        <f>IFERROR(INDEX(PP_Grid[#Data],$DD830,103),0)</f>
        <v/>
      </c>
      <c r="DB830">
        <f>IFERROR(INDEX(PP_Grid[#Data],$DD830,104),0)</f>
        <v/>
      </c>
      <c r="DC830">
        <f>IFERROR(INDEX(PP_Grid[#Data],$DD830,105),0)</f>
        <v/>
      </c>
      <c r="DD830" s="12">
        <f>IFERROR(MATCH($B830,PP_Grid[Intermediate],0),99999)</f>
        <v/>
      </c>
    </row>
    <row r="831">
      <c r="B831" t="inlineStr">
        <is>
          <t>使用量(kg)</t>
        </is>
      </c>
      <c r="C831">
        <f>SUMIFS(M_BOM[RM_Qty_Per_Batch],M_BOM[Intermediate],$B830,M_BOM[Part Name],$A807)</f>
        <v/>
      </c>
      <c r="D831">
        <f>$C831*D830</f>
        <v/>
      </c>
      <c r="E831">
        <f>$C831*E830</f>
        <v/>
      </c>
      <c r="F831">
        <f>$C831*F830</f>
        <v/>
      </c>
      <c r="G831">
        <f>$C831*G830</f>
        <v/>
      </c>
      <c r="H831">
        <f>$C831*H830</f>
        <v/>
      </c>
      <c r="I831">
        <f>$C831*I830</f>
        <v/>
      </c>
      <c r="J831">
        <f>$C831*J830</f>
        <v/>
      </c>
      <c r="K831">
        <f>$C831*K830</f>
        <v/>
      </c>
      <c r="L831">
        <f>$C831*L830</f>
        <v/>
      </c>
      <c r="M831">
        <f>$C831*M830</f>
        <v/>
      </c>
      <c r="N831">
        <f>$C831*N830</f>
        <v/>
      </c>
      <c r="O831">
        <f>$C831*O830</f>
        <v/>
      </c>
      <c r="P831">
        <f>$C831*P830</f>
        <v/>
      </c>
      <c r="Q831">
        <f>$C831*Q830</f>
        <v/>
      </c>
      <c r="R831">
        <f>$C831*R830</f>
        <v/>
      </c>
      <c r="S831">
        <f>$C831*S830</f>
        <v/>
      </c>
      <c r="T831">
        <f>$C831*T830</f>
        <v/>
      </c>
      <c r="U831">
        <f>$C831*U830</f>
        <v/>
      </c>
      <c r="V831">
        <f>$C831*V830</f>
        <v/>
      </c>
      <c r="W831">
        <f>$C831*W830</f>
        <v/>
      </c>
      <c r="X831">
        <f>$C831*X830</f>
        <v/>
      </c>
      <c r="Y831">
        <f>$C831*Y830</f>
        <v/>
      </c>
      <c r="Z831">
        <f>$C831*Z830</f>
        <v/>
      </c>
      <c r="AA831">
        <f>$C831*AA830</f>
        <v/>
      </c>
      <c r="AB831">
        <f>$C831*AB830</f>
        <v/>
      </c>
      <c r="AC831">
        <f>$C831*AC830</f>
        <v/>
      </c>
      <c r="AD831">
        <f>$C831*AD830</f>
        <v/>
      </c>
      <c r="AE831">
        <f>$C831*AE830</f>
        <v/>
      </c>
      <c r="AF831">
        <f>$C831*AF830</f>
        <v/>
      </c>
      <c r="AG831">
        <f>$C831*AG830</f>
        <v/>
      </c>
      <c r="AH831">
        <f>$C831*AH830</f>
        <v/>
      </c>
      <c r="AI831">
        <f>$C831*AI830</f>
        <v/>
      </c>
      <c r="AJ831">
        <f>$C831*AJ830</f>
        <v/>
      </c>
      <c r="AK831">
        <f>$C831*AK830</f>
        <v/>
      </c>
      <c r="AL831">
        <f>$C831*AL830</f>
        <v/>
      </c>
      <c r="AM831">
        <f>$C831*AM830</f>
        <v/>
      </c>
      <c r="AN831">
        <f>$C831*AN830</f>
        <v/>
      </c>
      <c r="AO831">
        <f>$C831*AO830</f>
        <v/>
      </c>
      <c r="AP831">
        <f>$C831*AP830</f>
        <v/>
      </c>
      <c r="AQ831">
        <f>$C831*AQ830</f>
        <v/>
      </c>
      <c r="AR831">
        <f>$C831*AR830</f>
        <v/>
      </c>
      <c r="AS831">
        <f>$C831*AS830</f>
        <v/>
      </c>
      <c r="AT831">
        <f>$C831*AT830</f>
        <v/>
      </c>
      <c r="AU831">
        <f>$C831*AU830</f>
        <v/>
      </c>
      <c r="AV831">
        <f>$C831*AV830</f>
        <v/>
      </c>
      <c r="AW831">
        <f>$C831*AW830</f>
        <v/>
      </c>
      <c r="AX831">
        <f>$C831*AX830</f>
        <v/>
      </c>
      <c r="AY831">
        <f>$C831*AY830</f>
        <v/>
      </c>
      <c r="AZ831">
        <f>$C831*AZ830</f>
        <v/>
      </c>
      <c r="BA831">
        <f>$C831*BA830</f>
        <v/>
      </c>
      <c r="BB831">
        <f>$C831*BB830</f>
        <v/>
      </c>
      <c r="BC831">
        <f>$C831*BC830</f>
        <v/>
      </c>
      <c r="BD831">
        <f>$C831*BD830</f>
        <v/>
      </c>
      <c r="BE831">
        <f>$C831*BE830</f>
        <v/>
      </c>
      <c r="BF831">
        <f>$C831*BF830</f>
        <v/>
      </c>
      <c r="BG831">
        <f>$C831*BG830</f>
        <v/>
      </c>
      <c r="BH831">
        <f>$C831*BH830</f>
        <v/>
      </c>
      <c r="BI831">
        <f>$C831*BI830</f>
        <v/>
      </c>
      <c r="BJ831">
        <f>$C831*BJ830</f>
        <v/>
      </c>
      <c r="BK831">
        <f>$C831*BK830</f>
        <v/>
      </c>
      <c r="BL831">
        <f>$C831*BL830</f>
        <v/>
      </c>
      <c r="BM831">
        <f>$C831*BM830</f>
        <v/>
      </c>
      <c r="BN831">
        <f>$C831*BN830</f>
        <v/>
      </c>
      <c r="BO831">
        <f>$C831*BO830</f>
        <v/>
      </c>
      <c r="BP831">
        <f>$C831*BP830</f>
        <v/>
      </c>
      <c r="BQ831">
        <f>$C831*BQ830</f>
        <v/>
      </c>
      <c r="BR831">
        <f>$C831*BR830</f>
        <v/>
      </c>
      <c r="BS831">
        <f>$C831*BS830</f>
        <v/>
      </c>
      <c r="BT831">
        <f>$C831*BT830</f>
        <v/>
      </c>
      <c r="BU831">
        <f>$C831*BU830</f>
        <v/>
      </c>
      <c r="BV831">
        <f>$C831*BV830</f>
        <v/>
      </c>
      <c r="BW831">
        <f>$C831*BW830</f>
        <v/>
      </c>
      <c r="BX831">
        <f>$C831*BX830</f>
        <v/>
      </c>
      <c r="BY831">
        <f>$C831*BY830</f>
        <v/>
      </c>
      <c r="BZ831">
        <f>$C831*BZ830</f>
        <v/>
      </c>
      <c r="CA831">
        <f>$C831*CA830</f>
        <v/>
      </c>
      <c r="CB831">
        <f>$C831*CB830</f>
        <v/>
      </c>
      <c r="CC831">
        <f>$C831*CC830</f>
        <v/>
      </c>
      <c r="CD831">
        <f>$C831*CD830</f>
        <v/>
      </c>
      <c r="CE831">
        <f>$C831*CE830</f>
        <v/>
      </c>
      <c r="CF831">
        <f>$C831*CF830</f>
        <v/>
      </c>
      <c r="CG831">
        <f>$C831*CG830</f>
        <v/>
      </c>
      <c r="CH831">
        <f>$C831*CH830</f>
        <v/>
      </c>
      <c r="CI831">
        <f>$C831*CI830</f>
        <v/>
      </c>
      <c r="CJ831">
        <f>$C831*CJ830</f>
        <v/>
      </c>
      <c r="CK831">
        <f>$C831*CK830</f>
        <v/>
      </c>
      <c r="CL831">
        <f>$C831*CL830</f>
        <v/>
      </c>
      <c r="CM831">
        <f>$C831*CM830</f>
        <v/>
      </c>
      <c r="CN831">
        <f>$C831*CN830</f>
        <v/>
      </c>
      <c r="CO831">
        <f>$C831*CO830</f>
        <v/>
      </c>
      <c r="CP831">
        <f>$C831*CP830</f>
        <v/>
      </c>
      <c r="CQ831">
        <f>$C831*CQ830</f>
        <v/>
      </c>
      <c r="CR831">
        <f>$C831*CR830</f>
        <v/>
      </c>
      <c r="CS831">
        <f>$C831*CS830</f>
        <v/>
      </c>
      <c r="CT831">
        <f>$C831*CT830</f>
        <v/>
      </c>
      <c r="CU831">
        <f>$C831*CU830</f>
        <v/>
      </c>
      <c r="CV831">
        <f>$C831*CV830</f>
        <v/>
      </c>
      <c r="CW831">
        <f>$C831*CW830</f>
        <v/>
      </c>
      <c r="CX831">
        <f>$C831*CX830</f>
        <v/>
      </c>
      <c r="CY831">
        <f>$C831*CY830</f>
        <v/>
      </c>
      <c r="CZ831">
        <f>$C831*CZ830</f>
        <v/>
      </c>
      <c r="DA831">
        <f>$C831*DA830</f>
        <v/>
      </c>
      <c r="DB831">
        <f>$C831*DB830</f>
        <v/>
      </c>
      <c r="DC831">
        <f>$C831*DC830</f>
        <v/>
      </c>
    </row>
    <row r="832">
      <c r="B832" t="inlineStr">
        <is>
          <t>TSP-925</t>
        </is>
      </c>
      <c r="C832" t="inlineStr">
        <is>
          <t>No. of batches</t>
        </is>
      </c>
      <c r="D832">
        <f>IFERROR(INDEX(PP_Grid[#Data],$DD832,2),0)</f>
        <v/>
      </c>
      <c r="E832">
        <f>IFERROR(INDEX(PP_Grid[#Data],$DD832,3),0)</f>
        <v/>
      </c>
      <c r="F832">
        <f>IFERROR(INDEX(PP_Grid[#Data],$DD832,4),0)</f>
        <v/>
      </c>
      <c r="G832">
        <f>IFERROR(INDEX(PP_Grid[#Data],$DD832,5),0)</f>
        <v/>
      </c>
      <c r="H832">
        <f>IFERROR(INDEX(PP_Grid[#Data],$DD832,6),0)</f>
        <v/>
      </c>
      <c r="I832">
        <f>IFERROR(INDEX(PP_Grid[#Data],$DD832,7),0)</f>
        <v/>
      </c>
      <c r="J832">
        <f>IFERROR(INDEX(PP_Grid[#Data],$DD832,8),0)</f>
        <v/>
      </c>
      <c r="K832">
        <f>IFERROR(INDEX(PP_Grid[#Data],$DD832,9),0)</f>
        <v/>
      </c>
      <c r="L832">
        <f>IFERROR(INDEX(PP_Grid[#Data],$DD832,10),0)</f>
        <v/>
      </c>
      <c r="M832">
        <f>IFERROR(INDEX(PP_Grid[#Data],$DD832,11),0)</f>
        <v/>
      </c>
      <c r="N832">
        <f>IFERROR(INDEX(PP_Grid[#Data],$DD832,12),0)</f>
        <v/>
      </c>
      <c r="O832">
        <f>IFERROR(INDEX(PP_Grid[#Data],$DD832,13),0)</f>
        <v/>
      </c>
      <c r="P832">
        <f>IFERROR(INDEX(PP_Grid[#Data],$DD832,14),0)</f>
        <v/>
      </c>
      <c r="Q832">
        <f>IFERROR(INDEX(PP_Grid[#Data],$DD832,15),0)</f>
        <v/>
      </c>
      <c r="R832">
        <f>IFERROR(INDEX(PP_Grid[#Data],$DD832,16),0)</f>
        <v/>
      </c>
      <c r="S832">
        <f>IFERROR(INDEX(PP_Grid[#Data],$DD832,17),0)</f>
        <v/>
      </c>
      <c r="T832">
        <f>IFERROR(INDEX(PP_Grid[#Data],$DD832,18),0)</f>
        <v/>
      </c>
      <c r="U832">
        <f>IFERROR(INDEX(PP_Grid[#Data],$DD832,19),0)</f>
        <v/>
      </c>
      <c r="V832">
        <f>IFERROR(INDEX(PP_Grid[#Data],$DD832,20),0)</f>
        <v/>
      </c>
      <c r="W832">
        <f>IFERROR(INDEX(PP_Grid[#Data],$DD832,21),0)</f>
        <v/>
      </c>
      <c r="X832">
        <f>IFERROR(INDEX(PP_Grid[#Data],$DD832,22),0)</f>
        <v/>
      </c>
      <c r="Y832">
        <f>IFERROR(INDEX(PP_Grid[#Data],$DD832,23),0)</f>
        <v/>
      </c>
      <c r="Z832">
        <f>IFERROR(INDEX(PP_Grid[#Data],$DD832,24),0)</f>
        <v/>
      </c>
      <c r="AA832">
        <f>IFERROR(INDEX(PP_Grid[#Data],$DD832,25),0)</f>
        <v/>
      </c>
      <c r="AB832">
        <f>IFERROR(INDEX(PP_Grid[#Data],$DD832,26),0)</f>
        <v/>
      </c>
      <c r="AC832">
        <f>IFERROR(INDEX(PP_Grid[#Data],$DD832,27),0)</f>
        <v/>
      </c>
      <c r="AD832">
        <f>IFERROR(INDEX(PP_Grid[#Data],$DD832,28),0)</f>
        <v/>
      </c>
      <c r="AE832">
        <f>IFERROR(INDEX(PP_Grid[#Data],$DD832,29),0)</f>
        <v/>
      </c>
      <c r="AF832">
        <f>IFERROR(INDEX(PP_Grid[#Data],$DD832,30),0)</f>
        <v/>
      </c>
      <c r="AG832">
        <f>IFERROR(INDEX(PP_Grid[#Data],$DD832,31),0)</f>
        <v/>
      </c>
      <c r="AH832">
        <f>IFERROR(INDEX(PP_Grid[#Data],$DD832,32),0)</f>
        <v/>
      </c>
      <c r="AI832">
        <f>IFERROR(INDEX(PP_Grid[#Data],$DD832,33),0)</f>
        <v/>
      </c>
      <c r="AJ832">
        <f>IFERROR(INDEX(PP_Grid[#Data],$DD832,34),0)</f>
        <v/>
      </c>
      <c r="AK832">
        <f>IFERROR(INDEX(PP_Grid[#Data],$DD832,35),0)</f>
        <v/>
      </c>
      <c r="AL832">
        <f>IFERROR(INDEX(PP_Grid[#Data],$DD832,36),0)</f>
        <v/>
      </c>
      <c r="AM832">
        <f>IFERROR(INDEX(PP_Grid[#Data],$DD832,37),0)</f>
        <v/>
      </c>
      <c r="AN832">
        <f>IFERROR(INDEX(PP_Grid[#Data],$DD832,38),0)</f>
        <v/>
      </c>
      <c r="AO832">
        <f>IFERROR(INDEX(PP_Grid[#Data],$DD832,39),0)</f>
        <v/>
      </c>
      <c r="AP832">
        <f>IFERROR(INDEX(PP_Grid[#Data],$DD832,40),0)</f>
        <v/>
      </c>
      <c r="AQ832">
        <f>IFERROR(INDEX(PP_Grid[#Data],$DD832,41),0)</f>
        <v/>
      </c>
      <c r="AR832">
        <f>IFERROR(INDEX(PP_Grid[#Data],$DD832,42),0)</f>
        <v/>
      </c>
      <c r="AS832">
        <f>IFERROR(INDEX(PP_Grid[#Data],$DD832,43),0)</f>
        <v/>
      </c>
      <c r="AT832">
        <f>IFERROR(INDEX(PP_Grid[#Data],$DD832,44),0)</f>
        <v/>
      </c>
      <c r="AU832">
        <f>IFERROR(INDEX(PP_Grid[#Data],$DD832,45),0)</f>
        <v/>
      </c>
      <c r="AV832">
        <f>IFERROR(INDEX(PP_Grid[#Data],$DD832,46),0)</f>
        <v/>
      </c>
      <c r="AW832">
        <f>IFERROR(INDEX(PP_Grid[#Data],$DD832,47),0)</f>
        <v/>
      </c>
      <c r="AX832">
        <f>IFERROR(INDEX(PP_Grid[#Data],$DD832,48),0)</f>
        <v/>
      </c>
      <c r="AY832">
        <f>IFERROR(INDEX(PP_Grid[#Data],$DD832,49),0)</f>
        <v/>
      </c>
      <c r="AZ832">
        <f>IFERROR(INDEX(PP_Grid[#Data],$DD832,50),0)</f>
        <v/>
      </c>
      <c r="BA832">
        <f>IFERROR(INDEX(PP_Grid[#Data],$DD832,51),0)</f>
        <v/>
      </c>
      <c r="BB832">
        <f>IFERROR(INDEX(PP_Grid[#Data],$DD832,52),0)</f>
        <v/>
      </c>
      <c r="BC832">
        <f>IFERROR(INDEX(PP_Grid[#Data],$DD832,53),0)</f>
        <v/>
      </c>
      <c r="BD832">
        <f>IFERROR(INDEX(PP_Grid[#Data],$DD832,54),0)</f>
        <v/>
      </c>
      <c r="BE832">
        <f>IFERROR(INDEX(PP_Grid[#Data],$DD832,55),0)</f>
        <v/>
      </c>
      <c r="BF832">
        <f>IFERROR(INDEX(PP_Grid[#Data],$DD832,56),0)</f>
        <v/>
      </c>
      <c r="BG832">
        <f>IFERROR(INDEX(PP_Grid[#Data],$DD832,57),0)</f>
        <v/>
      </c>
      <c r="BH832">
        <f>IFERROR(INDEX(PP_Grid[#Data],$DD832,58),0)</f>
        <v/>
      </c>
      <c r="BI832">
        <f>IFERROR(INDEX(PP_Grid[#Data],$DD832,59),0)</f>
        <v/>
      </c>
      <c r="BJ832">
        <f>IFERROR(INDEX(PP_Grid[#Data],$DD832,60),0)</f>
        <v/>
      </c>
      <c r="BK832">
        <f>IFERROR(INDEX(PP_Grid[#Data],$DD832,61),0)</f>
        <v/>
      </c>
      <c r="BL832">
        <f>IFERROR(INDEX(PP_Grid[#Data],$DD832,62),0)</f>
        <v/>
      </c>
      <c r="BM832">
        <f>IFERROR(INDEX(PP_Grid[#Data],$DD832,63),0)</f>
        <v/>
      </c>
      <c r="BN832">
        <f>IFERROR(INDEX(PP_Grid[#Data],$DD832,64),0)</f>
        <v/>
      </c>
      <c r="BO832">
        <f>IFERROR(INDEX(PP_Grid[#Data],$DD832,65),0)</f>
        <v/>
      </c>
      <c r="BP832">
        <f>IFERROR(INDEX(PP_Grid[#Data],$DD832,66),0)</f>
        <v/>
      </c>
      <c r="BQ832">
        <f>IFERROR(INDEX(PP_Grid[#Data],$DD832,67),0)</f>
        <v/>
      </c>
      <c r="BR832">
        <f>IFERROR(INDEX(PP_Grid[#Data],$DD832,68),0)</f>
        <v/>
      </c>
      <c r="BS832">
        <f>IFERROR(INDEX(PP_Grid[#Data],$DD832,69),0)</f>
        <v/>
      </c>
      <c r="BT832">
        <f>IFERROR(INDEX(PP_Grid[#Data],$DD832,70),0)</f>
        <v/>
      </c>
      <c r="BU832">
        <f>IFERROR(INDEX(PP_Grid[#Data],$DD832,71),0)</f>
        <v/>
      </c>
      <c r="BV832">
        <f>IFERROR(INDEX(PP_Grid[#Data],$DD832,72),0)</f>
        <v/>
      </c>
      <c r="BW832">
        <f>IFERROR(INDEX(PP_Grid[#Data],$DD832,73),0)</f>
        <v/>
      </c>
      <c r="BX832">
        <f>IFERROR(INDEX(PP_Grid[#Data],$DD832,74),0)</f>
        <v/>
      </c>
      <c r="BY832">
        <f>IFERROR(INDEX(PP_Grid[#Data],$DD832,75),0)</f>
        <v/>
      </c>
      <c r="BZ832">
        <f>IFERROR(INDEX(PP_Grid[#Data],$DD832,76),0)</f>
        <v/>
      </c>
      <c r="CA832">
        <f>IFERROR(INDEX(PP_Grid[#Data],$DD832,77),0)</f>
        <v/>
      </c>
      <c r="CB832">
        <f>IFERROR(INDEX(PP_Grid[#Data],$DD832,78),0)</f>
        <v/>
      </c>
      <c r="CC832">
        <f>IFERROR(INDEX(PP_Grid[#Data],$DD832,79),0)</f>
        <v/>
      </c>
      <c r="CD832">
        <f>IFERROR(INDEX(PP_Grid[#Data],$DD832,80),0)</f>
        <v/>
      </c>
      <c r="CE832">
        <f>IFERROR(INDEX(PP_Grid[#Data],$DD832,81),0)</f>
        <v/>
      </c>
      <c r="CF832">
        <f>IFERROR(INDEX(PP_Grid[#Data],$DD832,82),0)</f>
        <v/>
      </c>
      <c r="CG832">
        <f>IFERROR(INDEX(PP_Grid[#Data],$DD832,83),0)</f>
        <v/>
      </c>
      <c r="CH832">
        <f>IFERROR(INDEX(PP_Grid[#Data],$DD832,84),0)</f>
        <v/>
      </c>
      <c r="CI832">
        <f>IFERROR(INDEX(PP_Grid[#Data],$DD832,85),0)</f>
        <v/>
      </c>
      <c r="CJ832">
        <f>IFERROR(INDEX(PP_Grid[#Data],$DD832,86),0)</f>
        <v/>
      </c>
      <c r="CK832">
        <f>IFERROR(INDEX(PP_Grid[#Data],$DD832,87),0)</f>
        <v/>
      </c>
      <c r="CL832">
        <f>IFERROR(INDEX(PP_Grid[#Data],$DD832,88),0)</f>
        <v/>
      </c>
      <c r="CM832">
        <f>IFERROR(INDEX(PP_Grid[#Data],$DD832,89),0)</f>
        <v/>
      </c>
      <c r="CN832">
        <f>IFERROR(INDEX(PP_Grid[#Data],$DD832,90),0)</f>
        <v/>
      </c>
      <c r="CO832">
        <f>IFERROR(INDEX(PP_Grid[#Data],$DD832,91),0)</f>
        <v/>
      </c>
      <c r="CP832">
        <f>IFERROR(INDEX(PP_Grid[#Data],$DD832,92),0)</f>
        <v/>
      </c>
      <c r="CQ832">
        <f>IFERROR(INDEX(PP_Grid[#Data],$DD832,93),0)</f>
        <v/>
      </c>
      <c r="CR832">
        <f>IFERROR(INDEX(PP_Grid[#Data],$DD832,94),0)</f>
        <v/>
      </c>
      <c r="CS832">
        <f>IFERROR(INDEX(PP_Grid[#Data],$DD832,95),0)</f>
        <v/>
      </c>
      <c r="CT832">
        <f>IFERROR(INDEX(PP_Grid[#Data],$DD832,96),0)</f>
        <v/>
      </c>
      <c r="CU832">
        <f>IFERROR(INDEX(PP_Grid[#Data],$DD832,97),0)</f>
        <v/>
      </c>
      <c r="CV832">
        <f>IFERROR(INDEX(PP_Grid[#Data],$DD832,98),0)</f>
        <v/>
      </c>
      <c r="CW832">
        <f>IFERROR(INDEX(PP_Grid[#Data],$DD832,99),0)</f>
        <v/>
      </c>
      <c r="CX832">
        <f>IFERROR(INDEX(PP_Grid[#Data],$DD832,100),0)</f>
        <v/>
      </c>
      <c r="CY832">
        <f>IFERROR(INDEX(PP_Grid[#Data],$DD832,101),0)</f>
        <v/>
      </c>
      <c r="CZ832">
        <f>IFERROR(INDEX(PP_Grid[#Data],$DD832,102),0)</f>
        <v/>
      </c>
      <c r="DA832">
        <f>IFERROR(INDEX(PP_Grid[#Data],$DD832,103),0)</f>
        <v/>
      </c>
      <c r="DB832">
        <f>IFERROR(INDEX(PP_Grid[#Data],$DD832,104),0)</f>
        <v/>
      </c>
      <c r="DC832">
        <f>IFERROR(INDEX(PP_Grid[#Data],$DD832,105),0)</f>
        <v/>
      </c>
      <c r="DD832" s="12">
        <f>IFERROR(MATCH($B832,PP_Grid[Intermediate],0),99999)</f>
        <v/>
      </c>
    </row>
    <row r="833">
      <c r="B833" t="inlineStr">
        <is>
          <t>使用量(kg)</t>
        </is>
      </c>
      <c r="C833">
        <f>SUMIFS(M_BOM[RM_Qty_Per_Batch],M_BOM[Intermediate],$B832,M_BOM[Part Name],$A807)</f>
        <v/>
      </c>
      <c r="D833">
        <f>$C833*D832</f>
        <v/>
      </c>
      <c r="E833">
        <f>$C833*E832</f>
        <v/>
      </c>
      <c r="F833">
        <f>$C833*F832</f>
        <v/>
      </c>
      <c r="G833">
        <f>$C833*G832</f>
        <v/>
      </c>
      <c r="H833">
        <f>$C833*H832</f>
        <v/>
      </c>
      <c r="I833">
        <f>$C833*I832</f>
        <v/>
      </c>
      <c r="J833">
        <f>$C833*J832</f>
        <v/>
      </c>
      <c r="K833">
        <f>$C833*K832</f>
        <v/>
      </c>
      <c r="L833">
        <f>$C833*L832</f>
        <v/>
      </c>
      <c r="M833">
        <f>$C833*M832</f>
        <v/>
      </c>
      <c r="N833">
        <f>$C833*N832</f>
        <v/>
      </c>
      <c r="O833">
        <f>$C833*O832</f>
        <v/>
      </c>
      <c r="P833">
        <f>$C833*P832</f>
        <v/>
      </c>
      <c r="Q833">
        <f>$C833*Q832</f>
        <v/>
      </c>
      <c r="R833">
        <f>$C833*R832</f>
        <v/>
      </c>
      <c r="S833">
        <f>$C833*S832</f>
        <v/>
      </c>
      <c r="T833">
        <f>$C833*T832</f>
        <v/>
      </c>
      <c r="U833">
        <f>$C833*U832</f>
        <v/>
      </c>
      <c r="V833">
        <f>$C833*V832</f>
        <v/>
      </c>
      <c r="W833">
        <f>$C833*W832</f>
        <v/>
      </c>
      <c r="X833">
        <f>$C833*X832</f>
        <v/>
      </c>
      <c r="Y833">
        <f>$C833*Y832</f>
        <v/>
      </c>
      <c r="Z833">
        <f>$C833*Z832</f>
        <v/>
      </c>
      <c r="AA833">
        <f>$C833*AA832</f>
        <v/>
      </c>
      <c r="AB833">
        <f>$C833*AB832</f>
        <v/>
      </c>
      <c r="AC833">
        <f>$C833*AC832</f>
        <v/>
      </c>
      <c r="AD833">
        <f>$C833*AD832</f>
        <v/>
      </c>
      <c r="AE833">
        <f>$C833*AE832</f>
        <v/>
      </c>
      <c r="AF833">
        <f>$C833*AF832</f>
        <v/>
      </c>
      <c r="AG833">
        <f>$C833*AG832</f>
        <v/>
      </c>
      <c r="AH833">
        <f>$C833*AH832</f>
        <v/>
      </c>
      <c r="AI833">
        <f>$C833*AI832</f>
        <v/>
      </c>
      <c r="AJ833">
        <f>$C833*AJ832</f>
        <v/>
      </c>
      <c r="AK833">
        <f>$C833*AK832</f>
        <v/>
      </c>
      <c r="AL833">
        <f>$C833*AL832</f>
        <v/>
      </c>
      <c r="AM833">
        <f>$C833*AM832</f>
        <v/>
      </c>
      <c r="AN833">
        <f>$C833*AN832</f>
        <v/>
      </c>
      <c r="AO833">
        <f>$C833*AO832</f>
        <v/>
      </c>
      <c r="AP833">
        <f>$C833*AP832</f>
        <v/>
      </c>
      <c r="AQ833">
        <f>$C833*AQ832</f>
        <v/>
      </c>
      <c r="AR833">
        <f>$C833*AR832</f>
        <v/>
      </c>
      <c r="AS833">
        <f>$C833*AS832</f>
        <v/>
      </c>
      <c r="AT833">
        <f>$C833*AT832</f>
        <v/>
      </c>
      <c r="AU833">
        <f>$C833*AU832</f>
        <v/>
      </c>
      <c r="AV833">
        <f>$C833*AV832</f>
        <v/>
      </c>
      <c r="AW833">
        <f>$C833*AW832</f>
        <v/>
      </c>
      <c r="AX833">
        <f>$C833*AX832</f>
        <v/>
      </c>
      <c r="AY833">
        <f>$C833*AY832</f>
        <v/>
      </c>
      <c r="AZ833">
        <f>$C833*AZ832</f>
        <v/>
      </c>
      <c r="BA833">
        <f>$C833*BA832</f>
        <v/>
      </c>
      <c r="BB833">
        <f>$C833*BB832</f>
        <v/>
      </c>
      <c r="BC833">
        <f>$C833*BC832</f>
        <v/>
      </c>
      <c r="BD833">
        <f>$C833*BD832</f>
        <v/>
      </c>
      <c r="BE833">
        <f>$C833*BE832</f>
        <v/>
      </c>
      <c r="BF833">
        <f>$C833*BF832</f>
        <v/>
      </c>
      <c r="BG833">
        <f>$C833*BG832</f>
        <v/>
      </c>
      <c r="BH833">
        <f>$C833*BH832</f>
        <v/>
      </c>
      <c r="BI833">
        <f>$C833*BI832</f>
        <v/>
      </c>
      <c r="BJ833">
        <f>$C833*BJ832</f>
        <v/>
      </c>
      <c r="BK833">
        <f>$C833*BK832</f>
        <v/>
      </c>
      <c r="BL833">
        <f>$C833*BL832</f>
        <v/>
      </c>
      <c r="BM833">
        <f>$C833*BM832</f>
        <v/>
      </c>
      <c r="BN833">
        <f>$C833*BN832</f>
        <v/>
      </c>
      <c r="BO833">
        <f>$C833*BO832</f>
        <v/>
      </c>
      <c r="BP833">
        <f>$C833*BP832</f>
        <v/>
      </c>
      <c r="BQ833">
        <f>$C833*BQ832</f>
        <v/>
      </c>
      <c r="BR833">
        <f>$C833*BR832</f>
        <v/>
      </c>
      <c r="BS833">
        <f>$C833*BS832</f>
        <v/>
      </c>
      <c r="BT833">
        <f>$C833*BT832</f>
        <v/>
      </c>
      <c r="BU833">
        <f>$C833*BU832</f>
        <v/>
      </c>
      <c r="BV833">
        <f>$C833*BV832</f>
        <v/>
      </c>
      <c r="BW833">
        <f>$C833*BW832</f>
        <v/>
      </c>
      <c r="BX833">
        <f>$C833*BX832</f>
        <v/>
      </c>
      <c r="BY833">
        <f>$C833*BY832</f>
        <v/>
      </c>
      <c r="BZ833">
        <f>$C833*BZ832</f>
        <v/>
      </c>
      <c r="CA833">
        <f>$C833*CA832</f>
        <v/>
      </c>
      <c r="CB833">
        <f>$C833*CB832</f>
        <v/>
      </c>
      <c r="CC833">
        <f>$C833*CC832</f>
        <v/>
      </c>
      <c r="CD833">
        <f>$C833*CD832</f>
        <v/>
      </c>
      <c r="CE833">
        <f>$C833*CE832</f>
        <v/>
      </c>
      <c r="CF833">
        <f>$C833*CF832</f>
        <v/>
      </c>
      <c r="CG833">
        <f>$C833*CG832</f>
        <v/>
      </c>
      <c r="CH833">
        <f>$C833*CH832</f>
        <v/>
      </c>
      <c r="CI833">
        <f>$C833*CI832</f>
        <v/>
      </c>
      <c r="CJ833">
        <f>$C833*CJ832</f>
        <v/>
      </c>
      <c r="CK833">
        <f>$C833*CK832</f>
        <v/>
      </c>
      <c r="CL833">
        <f>$C833*CL832</f>
        <v/>
      </c>
      <c r="CM833">
        <f>$C833*CM832</f>
        <v/>
      </c>
      <c r="CN833">
        <f>$C833*CN832</f>
        <v/>
      </c>
      <c r="CO833">
        <f>$C833*CO832</f>
        <v/>
      </c>
      <c r="CP833">
        <f>$C833*CP832</f>
        <v/>
      </c>
      <c r="CQ833">
        <f>$C833*CQ832</f>
        <v/>
      </c>
      <c r="CR833">
        <f>$C833*CR832</f>
        <v/>
      </c>
      <c r="CS833">
        <f>$C833*CS832</f>
        <v/>
      </c>
      <c r="CT833">
        <f>$C833*CT832</f>
        <v/>
      </c>
      <c r="CU833">
        <f>$C833*CU832</f>
        <v/>
      </c>
      <c r="CV833">
        <f>$C833*CV832</f>
        <v/>
      </c>
      <c r="CW833">
        <f>$C833*CW832</f>
        <v/>
      </c>
      <c r="CX833">
        <f>$C833*CX832</f>
        <v/>
      </c>
      <c r="CY833">
        <f>$C833*CY832</f>
        <v/>
      </c>
      <c r="CZ833">
        <f>$C833*CZ832</f>
        <v/>
      </c>
      <c r="DA833">
        <f>$C833*DA832</f>
        <v/>
      </c>
      <c r="DB833">
        <f>$C833*DB832</f>
        <v/>
      </c>
      <c r="DC833">
        <f>$C833*DC832</f>
        <v/>
      </c>
    </row>
    <row r="834">
      <c r="B834" t="inlineStr">
        <is>
          <t>TSP-934</t>
        </is>
      </c>
      <c r="C834" t="inlineStr">
        <is>
          <t>No. of batches</t>
        </is>
      </c>
      <c r="D834">
        <f>IFERROR(INDEX(PP_Grid[#Data],$DD834,2),0)</f>
        <v/>
      </c>
      <c r="E834">
        <f>IFERROR(INDEX(PP_Grid[#Data],$DD834,3),0)</f>
        <v/>
      </c>
      <c r="F834">
        <f>IFERROR(INDEX(PP_Grid[#Data],$DD834,4),0)</f>
        <v/>
      </c>
      <c r="G834">
        <f>IFERROR(INDEX(PP_Grid[#Data],$DD834,5),0)</f>
        <v/>
      </c>
      <c r="H834">
        <f>IFERROR(INDEX(PP_Grid[#Data],$DD834,6),0)</f>
        <v/>
      </c>
      <c r="I834">
        <f>IFERROR(INDEX(PP_Grid[#Data],$DD834,7),0)</f>
        <v/>
      </c>
      <c r="J834">
        <f>IFERROR(INDEX(PP_Grid[#Data],$DD834,8),0)</f>
        <v/>
      </c>
      <c r="K834">
        <f>IFERROR(INDEX(PP_Grid[#Data],$DD834,9),0)</f>
        <v/>
      </c>
      <c r="L834">
        <f>IFERROR(INDEX(PP_Grid[#Data],$DD834,10),0)</f>
        <v/>
      </c>
      <c r="M834">
        <f>IFERROR(INDEX(PP_Grid[#Data],$DD834,11),0)</f>
        <v/>
      </c>
      <c r="N834">
        <f>IFERROR(INDEX(PP_Grid[#Data],$DD834,12),0)</f>
        <v/>
      </c>
      <c r="O834">
        <f>IFERROR(INDEX(PP_Grid[#Data],$DD834,13),0)</f>
        <v/>
      </c>
      <c r="P834">
        <f>IFERROR(INDEX(PP_Grid[#Data],$DD834,14),0)</f>
        <v/>
      </c>
      <c r="Q834">
        <f>IFERROR(INDEX(PP_Grid[#Data],$DD834,15),0)</f>
        <v/>
      </c>
      <c r="R834">
        <f>IFERROR(INDEX(PP_Grid[#Data],$DD834,16),0)</f>
        <v/>
      </c>
      <c r="S834">
        <f>IFERROR(INDEX(PP_Grid[#Data],$DD834,17),0)</f>
        <v/>
      </c>
      <c r="T834">
        <f>IFERROR(INDEX(PP_Grid[#Data],$DD834,18),0)</f>
        <v/>
      </c>
      <c r="U834">
        <f>IFERROR(INDEX(PP_Grid[#Data],$DD834,19),0)</f>
        <v/>
      </c>
      <c r="V834">
        <f>IFERROR(INDEX(PP_Grid[#Data],$DD834,20),0)</f>
        <v/>
      </c>
      <c r="W834">
        <f>IFERROR(INDEX(PP_Grid[#Data],$DD834,21),0)</f>
        <v/>
      </c>
      <c r="X834">
        <f>IFERROR(INDEX(PP_Grid[#Data],$DD834,22),0)</f>
        <v/>
      </c>
      <c r="Y834">
        <f>IFERROR(INDEX(PP_Grid[#Data],$DD834,23),0)</f>
        <v/>
      </c>
      <c r="Z834">
        <f>IFERROR(INDEX(PP_Grid[#Data],$DD834,24),0)</f>
        <v/>
      </c>
      <c r="AA834">
        <f>IFERROR(INDEX(PP_Grid[#Data],$DD834,25),0)</f>
        <v/>
      </c>
      <c r="AB834">
        <f>IFERROR(INDEX(PP_Grid[#Data],$DD834,26),0)</f>
        <v/>
      </c>
      <c r="AC834">
        <f>IFERROR(INDEX(PP_Grid[#Data],$DD834,27),0)</f>
        <v/>
      </c>
      <c r="AD834">
        <f>IFERROR(INDEX(PP_Grid[#Data],$DD834,28),0)</f>
        <v/>
      </c>
      <c r="AE834">
        <f>IFERROR(INDEX(PP_Grid[#Data],$DD834,29),0)</f>
        <v/>
      </c>
      <c r="AF834">
        <f>IFERROR(INDEX(PP_Grid[#Data],$DD834,30),0)</f>
        <v/>
      </c>
      <c r="AG834">
        <f>IFERROR(INDEX(PP_Grid[#Data],$DD834,31),0)</f>
        <v/>
      </c>
      <c r="AH834">
        <f>IFERROR(INDEX(PP_Grid[#Data],$DD834,32),0)</f>
        <v/>
      </c>
      <c r="AI834">
        <f>IFERROR(INDEX(PP_Grid[#Data],$DD834,33),0)</f>
        <v/>
      </c>
      <c r="AJ834">
        <f>IFERROR(INDEX(PP_Grid[#Data],$DD834,34),0)</f>
        <v/>
      </c>
      <c r="AK834">
        <f>IFERROR(INDEX(PP_Grid[#Data],$DD834,35),0)</f>
        <v/>
      </c>
      <c r="AL834">
        <f>IFERROR(INDEX(PP_Grid[#Data],$DD834,36),0)</f>
        <v/>
      </c>
      <c r="AM834">
        <f>IFERROR(INDEX(PP_Grid[#Data],$DD834,37),0)</f>
        <v/>
      </c>
      <c r="AN834">
        <f>IFERROR(INDEX(PP_Grid[#Data],$DD834,38),0)</f>
        <v/>
      </c>
      <c r="AO834">
        <f>IFERROR(INDEX(PP_Grid[#Data],$DD834,39),0)</f>
        <v/>
      </c>
      <c r="AP834">
        <f>IFERROR(INDEX(PP_Grid[#Data],$DD834,40),0)</f>
        <v/>
      </c>
      <c r="AQ834">
        <f>IFERROR(INDEX(PP_Grid[#Data],$DD834,41),0)</f>
        <v/>
      </c>
      <c r="AR834">
        <f>IFERROR(INDEX(PP_Grid[#Data],$DD834,42),0)</f>
        <v/>
      </c>
      <c r="AS834">
        <f>IFERROR(INDEX(PP_Grid[#Data],$DD834,43),0)</f>
        <v/>
      </c>
      <c r="AT834">
        <f>IFERROR(INDEX(PP_Grid[#Data],$DD834,44),0)</f>
        <v/>
      </c>
      <c r="AU834">
        <f>IFERROR(INDEX(PP_Grid[#Data],$DD834,45),0)</f>
        <v/>
      </c>
      <c r="AV834">
        <f>IFERROR(INDEX(PP_Grid[#Data],$DD834,46),0)</f>
        <v/>
      </c>
      <c r="AW834">
        <f>IFERROR(INDEX(PP_Grid[#Data],$DD834,47),0)</f>
        <v/>
      </c>
      <c r="AX834">
        <f>IFERROR(INDEX(PP_Grid[#Data],$DD834,48),0)</f>
        <v/>
      </c>
      <c r="AY834">
        <f>IFERROR(INDEX(PP_Grid[#Data],$DD834,49),0)</f>
        <v/>
      </c>
      <c r="AZ834">
        <f>IFERROR(INDEX(PP_Grid[#Data],$DD834,50),0)</f>
        <v/>
      </c>
      <c r="BA834">
        <f>IFERROR(INDEX(PP_Grid[#Data],$DD834,51),0)</f>
        <v/>
      </c>
      <c r="BB834">
        <f>IFERROR(INDEX(PP_Grid[#Data],$DD834,52),0)</f>
        <v/>
      </c>
      <c r="BC834">
        <f>IFERROR(INDEX(PP_Grid[#Data],$DD834,53),0)</f>
        <v/>
      </c>
      <c r="BD834">
        <f>IFERROR(INDEX(PP_Grid[#Data],$DD834,54),0)</f>
        <v/>
      </c>
      <c r="BE834">
        <f>IFERROR(INDEX(PP_Grid[#Data],$DD834,55),0)</f>
        <v/>
      </c>
      <c r="BF834">
        <f>IFERROR(INDEX(PP_Grid[#Data],$DD834,56),0)</f>
        <v/>
      </c>
      <c r="BG834">
        <f>IFERROR(INDEX(PP_Grid[#Data],$DD834,57),0)</f>
        <v/>
      </c>
      <c r="BH834">
        <f>IFERROR(INDEX(PP_Grid[#Data],$DD834,58),0)</f>
        <v/>
      </c>
      <c r="BI834">
        <f>IFERROR(INDEX(PP_Grid[#Data],$DD834,59),0)</f>
        <v/>
      </c>
      <c r="BJ834">
        <f>IFERROR(INDEX(PP_Grid[#Data],$DD834,60),0)</f>
        <v/>
      </c>
      <c r="BK834">
        <f>IFERROR(INDEX(PP_Grid[#Data],$DD834,61),0)</f>
        <v/>
      </c>
      <c r="BL834">
        <f>IFERROR(INDEX(PP_Grid[#Data],$DD834,62),0)</f>
        <v/>
      </c>
      <c r="BM834">
        <f>IFERROR(INDEX(PP_Grid[#Data],$DD834,63),0)</f>
        <v/>
      </c>
      <c r="BN834">
        <f>IFERROR(INDEX(PP_Grid[#Data],$DD834,64),0)</f>
        <v/>
      </c>
      <c r="BO834">
        <f>IFERROR(INDEX(PP_Grid[#Data],$DD834,65),0)</f>
        <v/>
      </c>
      <c r="BP834">
        <f>IFERROR(INDEX(PP_Grid[#Data],$DD834,66),0)</f>
        <v/>
      </c>
      <c r="BQ834">
        <f>IFERROR(INDEX(PP_Grid[#Data],$DD834,67),0)</f>
        <v/>
      </c>
      <c r="BR834">
        <f>IFERROR(INDEX(PP_Grid[#Data],$DD834,68),0)</f>
        <v/>
      </c>
      <c r="BS834">
        <f>IFERROR(INDEX(PP_Grid[#Data],$DD834,69),0)</f>
        <v/>
      </c>
      <c r="BT834">
        <f>IFERROR(INDEX(PP_Grid[#Data],$DD834,70),0)</f>
        <v/>
      </c>
      <c r="BU834">
        <f>IFERROR(INDEX(PP_Grid[#Data],$DD834,71),0)</f>
        <v/>
      </c>
      <c r="BV834">
        <f>IFERROR(INDEX(PP_Grid[#Data],$DD834,72),0)</f>
        <v/>
      </c>
      <c r="BW834">
        <f>IFERROR(INDEX(PP_Grid[#Data],$DD834,73),0)</f>
        <v/>
      </c>
      <c r="BX834">
        <f>IFERROR(INDEX(PP_Grid[#Data],$DD834,74),0)</f>
        <v/>
      </c>
      <c r="BY834">
        <f>IFERROR(INDEX(PP_Grid[#Data],$DD834,75),0)</f>
        <v/>
      </c>
      <c r="BZ834">
        <f>IFERROR(INDEX(PP_Grid[#Data],$DD834,76),0)</f>
        <v/>
      </c>
      <c r="CA834">
        <f>IFERROR(INDEX(PP_Grid[#Data],$DD834,77),0)</f>
        <v/>
      </c>
      <c r="CB834">
        <f>IFERROR(INDEX(PP_Grid[#Data],$DD834,78),0)</f>
        <v/>
      </c>
      <c r="CC834">
        <f>IFERROR(INDEX(PP_Grid[#Data],$DD834,79),0)</f>
        <v/>
      </c>
      <c r="CD834">
        <f>IFERROR(INDEX(PP_Grid[#Data],$DD834,80),0)</f>
        <v/>
      </c>
      <c r="CE834">
        <f>IFERROR(INDEX(PP_Grid[#Data],$DD834,81),0)</f>
        <v/>
      </c>
      <c r="CF834">
        <f>IFERROR(INDEX(PP_Grid[#Data],$DD834,82),0)</f>
        <v/>
      </c>
      <c r="CG834">
        <f>IFERROR(INDEX(PP_Grid[#Data],$DD834,83),0)</f>
        <v/>
      </c>
      <c r="CH834">
        <f>IFERROR(INDEX(PP_Grid[#Data],$DD834,84),0)</f>
        <v/>
      </c>
      <c r="CI834">
        <f>IFERROR(INDEX(PP_Grid[#Data],$DD834,85),0)</f>
        <v/>
      </c>
      <c r="CJ834">
        <f>IFERROR(INDEX(PP_Grid[#Data],$DD834,86),0)</f>
        <v/>
      </c>
      <c r="CK834">
        <f>IFERROR(INDEX(PP_Grid[#Data],$DD834,87),0)</f>
        <v/>
      </c>
      <c r="CL834">
        <f>IFERROR(INDEX(PP_Grid[#Data],$DD834,88),0)</f>
        <v/>
      </c>
      <c r="CM834">
        <f>IFERROR(INDEX(PP_Grid[#Data],$DD834,89),0)</f>
        <v/>
      </c>
      <c r="CN834">
        <f>IFERROR(INDEX(PP_Grid[#Data],$DD834,90),0)</f>
        <v/>
      </c>
      <c r="CO834">
        <f>IFERROR(INDEX(PP_Grid[#Data],$DD834,91),0)</f>
        <v/>
      </c>
      <c r="CP834">
        <f>IFERROR(INDEX(PP_Grid[#Data],$DD834,92),0)</f>
        <v/>
      </c>
      <c r="CQ834">
        <f>IFERROR(INDEX(PP_Grid[#Data],$DD834,93),0)</f>
        <v/>
      </c>
      <c r="CR834">
        <f>IFERROR(INDEX(PP_Grid[#Data],$DD834,94),0)</f>
        <v/>
      </c>
      <c r="CS834">
        <f>IFERROR(INDEX(PP_Grid[#Data],$DD834,95),0)</f>
        <v/>
      </c>
      <c r="CT834">
        <f>IFERROR(INDEX(PP_Grid[#Data],$DD834,96),0)</f>
        <v/>
      </c>
      <c r="CU834">
        <f>IFERROR(INDEX(PP_Grid[#Data],$DD834,97),0)</f>
        <v/>
      </c>
      <c r="CV834">
        <f>IFERROR(INDEX(PP_Grid[#Data],$DD834,98),0)</f>
        <v/>
      </c>
      <c r="CW834">
        <f>IFERROR(INDEX(PP_Grid[#Data],$DD834,99),0)</f>
        <v/>
      </c>
      <c r="CX834">
        <f>IFERROR(INDEX(PP_Grid[#Data],$DD834,100),0)</f>
        <v/>
      </c>
      <c r="CY834">
        <f>IFERROR(INDEX(PP_Grid[#Data],$DD834,101),0)</f>
        <v/>
      </c>
      <c r="CZ834">
        <f>IFERROR(INDEX(PP_Grid[#Data],$DD834,102),0)</f>
        <v/>
      </c>
      <c r="DA834">
        <f>IFERROR(INDEX(PP_Grid[#Data],$DD834,103),0)</f>
        <v/>
      </c>
      <c r="DB834">
        <f>IFERROR(INDEX(PP_Grid[#Data],$DD834,104),0)</f>
        <v/>
      </c>
      <c r="DC834">
        <f>IFERROR(INDEX(PP_Grid[#Data],$DD834,105),0)</f>
        <v/>
      </c>
      <c r="DD834" s="12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SUMIFS(M_BOM[RM_Qty_Per_Batch],M_BOM[Intermediate],$B834,M_BOM[Part Name],$A807)</f>
        <v/>
      </c>
      <c r="D835">
        <f>$C835*D834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</row>
    <row r="836">
      <c r="B836" t="inlineStr">
        <is>
          <t>TSP-935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12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Name],$A807)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TSP-936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12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Name],$A807)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TSP-937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12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Name],$A807)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t="inlineStr">
        <is>
          <t>TSP-959</t>
        </is>
      </c>
      <c r="C842" t="inlineStr">
        <is>
          <t>No. of batches</t>
        </is>
      </c>
      <c r="D842">
        <f>IFERROR(INDEX(PP_Grid[#Data],$DD842,2),0)</f>
        <v/>
      </c>
      <c r="E842">
        <f>IFERROR(INDEX(PP_Grid[#Data],$DD842,3),0)</f>
        <v/>
      </c>
      <c r="F842">
        <f>IFERROR(INDEX(PP_Grid[#Data],$DD842,4),0)</f>
        <v/>
      </c>
      <c r="G842">
        <f>IFERROR(INDEX(PP_Grid[#Data],$DD842,5),0)</f>
        <v/>
      </c>
      <c r="H842">
        <f>IFERROR(INDEX(PP_Grid[#Data],$DD842,6),0)</f>
        <v/>
      </c>
      <c r="I842">
        <f>IFERROR(INDEX(PP_Grid[#Data],$DD842,7),0)</f>
        <v/>
      </c>
      <c r="J842">
        <f>IFERROR(INDEX(PP_Grid[#Data],$DD842,8),0)</f>
        <v/>
      </c>
      <c r="K842">
        <f>IFERROR(INDEX(PP_Grid[#Data],$DD842,9),0)</f>
        <v/>
      </c>
      <c r="L842">
        <f>IFERROR(INDEX(PP_Grid[#Data],$DD842,10),0)</f>
        <v/>
      </c>
      <c r="M842">
        <f>IFERROR(INDEX(PP_Grid[#Data],$DD842,11),0)</f>
        <v/>
      </c>
      <c r="N842">
        <f>IFERROR(INDEX(PP_Grid[#Data],$DD842,12),0)</f>
        <v/>
      </c>
      <c r="O842">
        <f>IFERROR(INDEX(PP_Grid[#Data],$DD842,13),0)</f>
        <v/>
      </c>
      <c r="P842">
        <f>IFERROR(INDEX(PP_Grid[#Data],$DD842,14),0)</f>
        <v/>
      </c>
      <c r="Q842">
        <f>IFERROR(INDEX(PP_Grid[#Data],$DD842,15),0)</f>
        <v/>
      </c>
      <c r="R842">
        <f>IFERROR(INDEX(PP_Grid[#Data],$DD842,16),0)</f>
        <v/>
      </c>
      <c r="S842">
        <f>IFERROR(INDEX(PP_Grid[#Data],$DD842,17),0)</f>
        <v/>
      </c>
      <c r="T842">
        <f>IFERROR(INDEX(PP_Grid[#Data],$DD842,18),0)</f>
        <v/>
      </c>
      <c r="U842">
        <f>IFERROR(INDEX(PP_Grid[#Data],$DD842,19),0)</f>
        <v/>
      </c>
      <c r="V842">
        <f>IFERROR(INDEX(PP_Grid[#Data],$DD842,20),0)</f>
        <v/>
      </c>
      <c r="W842">
        <f>IFERROR(INDEX(PP_Grid[#Data],$DD842,21),0)</f>
        <v/>
      </c>
      <c r="X842">
        <f>IFERROR(INDEX(PP_Grid[#Data],$DD842,22),0)</f>
        <v/>
      </c>
      <c r="Y842">
        <f>IFERROR(INDEX(PP_Grid[#Data],$DD842,23),0)</f>
        <v/>
      </c>
      <c r="Z842">
        <f>IFERROR(INDEX(PP_Grid[#Data],$DD842,24),0)</f>
        <v/>
      </c>
      <c r="AA842">
        <f>IFERROR(INDEX(PP_Grid[#Data],$DD842,25),0)</f>
        <v/>
      </c>
      <c r="AB842">
        <f>IFERROR(INDEX(PP_Grid[#Data],$DD842,26),0)</f>
        <v/>
      </c>
      <c r="AC842">
        <f>IFERROR(INDEX(PP_Grid[#Data],$DD842,27),0)</f>
        <v/>
      </c>
      <c r="AD842">
        <f>IFERROR(INDEX(PP_Grid[#Data],$DD842,28),0)</f>
        <v/>
      </c>
      <c r="AE842">
        <f>IFERROR(INDEX(PP_Grid[#Data],$DD842,29),0)</f>
        <v/>
      </c>
      <c r="AF842">
        <f>IFERROR(INDEX(PP_Grid[#Data],$DD842,30),0)</f>
        <v/>
      </c>
      <c r="AG842">
        <f>IFERROR(INDEX(PP_Grid[#Data],$DD842,31),0)</f>
        <v/>
      </c>
      <c r="AH842">
        <f>IFERROR(INDEX(PP_Grid[#Data],$DD842,32),0)</f>
        <v/>
      </c>
      <c r="AI842">
        <f>IFERROR(INDEX(PP_Grid[#Data],$DD842,33),0)</f>
        <v/>
      </c>
      <c r="AJ842">
        <f>IFERROR(INDEX(PP_Grid[#Data],$DD842,34),0)</f>
        <v/>
      </c>
      <c r="AK842">
        <f>IFERROR(INDEX(PP_Grid[#Data],$DD842,35),0)</f>
        <v/>
      </c>
      <c r="AL842">
        <f>IFERROR(INDEX(PP_Grid[#Data],$DD842,36),0)</f>
        <v/>
      </c>
      <c r="AM842">
        <f>IFERROR(INDEX(PP_Grid[#Data],$DD842,37),0)</f>
        <v/>
      </c>
      <c r="AN842">
        <f>IFERROR(INDEX(PP_Grid[#Data],$DD842,38),0)</f>
        <v/>
      </c>
      <c r="AO842">
        <f>IFERROR(INDEX(PP_Grid[#Data],$DD842,39),0)</f>
        <v/>
      </c>
      <c r="AP842">
        <f>IFERROR(INDEX(PP_Grid[#Data],$DD842,40),0)</f>
        <v/>
      </c>
      <c r="AQ842">
        <f>IFERROR(INDEX(PP_Grid[#Data],$DD842,41),0)</f>
        <v/>
      </c>
      <c r="AR842">
        <f>IFERROR(INDEX(PP_Grid[#Data],$DD842,42),0)</f>
        <v/>
      </c>
      <c r="AS842">
        <f>IFERROR(INDEX(PP_Grid[#Data],$DD842,43),0)</f>
        <v/>
      </c>
      <c r="AT842">
        <f>IFERROR(INDEX(PP_Grid[#Data],$DD842,44),0)</f>
        <v/>
      </c>
      <c r="AU842">
        <f>IFERROR(INDEX(PP_Grid[#Data],$DD842,45),0)</f>
        <v/>
      </c>
      <c r="AV842">
        <f>IFERROR(INDEX(PP_Grid[#Data],$DD842,46),0)</f>
        <v/>
      </c>
      <c r="AW842">
        <f>IFERROR(INDEX(PP_Grid[#Data],$DD842,47),0)</f>
        <v/>
      </c>
      <c r="AX842">
        <f>IFERROR(INDEX(PP_Grid[#Data],$DD842,48),0)</f>
        <v/>
      </c>
      <c r="AY842">
        <f>IFERROR(INDEX(PP_Grid[#Data],$DD842,49),0)</f>
        <v/>
      </c>
      <c r="AZ842">
        <f>IFERROR(INDEX(PP_Grid[#Data],$DD842,50),0)</f>
        <v/>
      </c>
      <c r="BA842">
        <f>IFERROR(INDEX(PP_Grid[#Data],$DD842,51),0)</f>
        <v/>
      </c>
      <c r="BB842">
        <f>IFERROR(INDEX(PP_Grid[#Data],$DD842,52),0)</f>
        <v/>
      </c>
      <c r="BC842">
        <f>IFERROR(INDEX(PP_Grid[#Data],$DD842,53),0)</f>
        <v/>
      </c>
      <c r="BD842">
        <f>IFERROR(INDEX(PP_Grid[#Data],$DD842,54),0)</f>
        <v/>
      </c>
      <c r="BE842">
        <f>IFERROR(INDEX(PP_Grid[#Data],$DD842,55),0)</f>
        <v/>
      </c>
      <c r="BF842">
        <f>IFERROR(INDEX(PP_Grid[#Data],$DD842,56),0)</f>
        <v/>
      </c>
      <c r="BG842">
        <f>IFERROR(INDEX(PP_Grid[#Data],$DD842,57),0)</f>
        <v/>
      </c>
      <c r="BH842">
        <f>IFERROR(INDEX(PP_Grid[#Data],$DD842,58),0)</f>
        <v/>
      </c>
      <c r="BI842">
        <f>IFERROR(INDEX(PP_Grid[#Data],$DD842,59),0)</f>
        <v/>
      </c>
      <c r="BJ842">
        <f>IFERROR(INDEX(PP_Grid[#Data],$DD842,60),0)</f>
        <v/>
      </c>
      <c r="BK842">
        <f>IFERROR(INDEX(PP_Grid[#Data],$DD842,61),0)</f>
        <v/>
      </c>
      <c r="BL842">
        <f>IFERROR(INDEX(PP_Grid[#Data],$DD842,62),0)</f>
        <v/>
      </c>
      <c r="BM842">
        <f>IFERROR(INDEX(PP_Grid[#Data],$DD842,63),0)</f>
        <v/>
      </c>
      <c r="BN842">
        <f>IFERROR(INDEX(PP_Grid[#Data],$DD842,64),0)</f>
        <v/>
      </c>
      <c r="BO842">
        <f>IFERROR(INDEX(PP_Grid[#Data],$DD842,65),0)</f>
        <v/>
      </c>
      <c r="BP842">
        <f>IFERROR(INDEX(PP_Grid[#Data],$DD842,66),0)</f>
        <v/>
      </c>
      <c r="BQ842">
        <f>IFERROR(INDEX(PP_Grid[#Data],$DD842,67),0)</f>
        <v/>
      </c>
      <c r="BR842">
        <f>IFERROR(INDEX(PP_Grid[#Data],$DD842,68),0)</f>
        <v/>
      </c>
      <c r="BS842">
        <f>IFERROR(INDEX(PP_Grid[#Data],$DD842,69),0)</f>
        <v/>
      </c>
      <c r="BT842">
        <f>IFERROR(INDEX(PP_Grid[#Data],$DD842,70),0)</f>
        <v/>
      </c>
      <c r="BU842">
        <f>IFERROR(INDEX(PP_Grid[#Data],$DD842,71),0)</f>
        <v/>
      </c>
      <c r="BV842">
        <f>IFERROR(INDEX(PP_Grid[#Data],$DD842,72),0)</f>
        <v/>
      </c>
      <c r="BW842">
        <f>IFERROR(INDEX(PP_Grid[#Data],$DD842,73),0)</f>
        <v/>
      </c>
      <c r="BX842">
        <f>IFERROR(INDEX(PP_Grid[#Data],$DD842,74),0)</f>
        <v/>
      </c>
      <c r="BY842">
        <f>IFERROR(INDEX(PP_Grid[#Data],$DD842,75),0)</f>
        <v/>
      </c>
      <c r="BZ842">
        <f>IFERROR(INDEX(PP_Grid[#Data],$DD842,76),0)</f>
        <v/>
      </c>
      <c r="CA842">
        <f>IFERROR(INDEX(PP_Grid[#Data],$DD842,77),0)</f>
        <v/>
      </c>
      <c r="CB842">
        <f>IFERROR(INDEX(PP_Grid[#Data],$DD842,78),0)</f>
        <v/>
      </c>
      <c r="CC842">
        <f>IFERROR(INDEX(PP_Grid[#Data],$DD842,79),0)</f>
        <v/>
      </c>
      <c r="CD842">
        <f>IFERROR(INDEX(PP_Grid[#Data],$DD842,80),0)</f>
        <v/>
      </c>
      <c r="CE842">
        <f>IFERROR(INDEX(PP_Grid[#Data],$DD842,81),0)</f>
        <v/>
      </c>
      <c r="CF842">
        <f>IFERROR(INDEX(PP_Grid[#Data],$DD842,82),0)</f>
        <v/>
      </c>
      <c r="CG842">
        <f>IFERROR(INDEX(PP_Grid[#Data],$DD842,83),0)</f>
        <v/>
      </c>
      <c r="CH842">
        <f>IFERROR(INDEX(PP_Grid[#Data],$DD842,84),0)</f>
        <v/>
      </c>
      <c r="CI842">
        <f>IFERROR(INDEX(PP_Grid[#Data],$DD842,85),0)</f>
        <v/>
      </c>
      <c r="CJ842">
        <f>IFERROR(INDEX(PP_Grid[#Data],$DD842,86),0)</f>
        <v/>
      </c>
      <c r="CK842">
        <f>IFERROR(INDEX(PP_Grid[#Data],$DD842,87),0)</f>
        <v/>
      </c>
      <c r="CL842">
        <f>IFERROR(INDEX(PP_Grid[#Data],$DD842,88),0)</f>
        <v/>
      </c>
      <c r="CM842">
        <f>IFERROR(INDEX(PP_Grid[#Data],$DD842,89),0)</f>
        <v/>
      </c>
      <c r="CN842">
        <f>IFERROR(INDEX(PP_Grid[#Data],$DD842,90),0)</f>
        <v/>
      </c>
      <c r="CO842">
        <f>IFERROR(INDEX(PP_Grid[#Data],$DD842,91),0)</f>
        <v/>
      </c>
      <c r="CP842">
        <f>IFERROR(INDEX(PP_Grid[#Data],$DD842,92),0)</f>
        <v/>
      </c>
      <c r="CQ842">
        <f>IFERROR(INDEX(PP_Grid[#Data],$DD842,93),0)</f>
        <v/>
      </c>
      <c r="CR842">
        <f>IFERROR(INDEX(PP_Grid[#Data],$DD842,94),0)</f>
        <v/>
      </c>
      <c r="CS842">
        <f>IFERROR(INDEX(PP_Grid[#Data],$DD842,95),0)</f>
        <v/>
      </c>
      <c r="CT842">
        <f>IFERROR(INDEX(PP_Grid[#Data],$DD842,96),0)</f>
        <v/>
      </c>
      <c r="CU842">
        <f>IFERROR(INDEX(PP_Grid[#Data],$DD842,97),0)</f>
        <v/>
      </c>
      <c r="CV842">
        <f>IFERROR(INDEX(PP_Grid[#Data],$DD842,98),0)</f>
        <v/>
      </c>
      <c r="CW842">
        <f>IFERROR(INDEX(PP_Grid[#Data],$DD842,99),0)</f>
        <v/>
      </c>
      <c r="CX842">
        <f>IFERROR(INDEX(PP_Grid[#Data],$DD842,100),0)</f>
        <v/>
      </c>
      <c r="CY842">
        <f>IFERROR(INDEX(PP_Grid[#Data],$DD842,101),0)</f>
        <v/>
      </c>
      <c r="CZ842">
        <f>IFERROR(INDEX(PP_Grid[#Data],$DD842,102),0)</f>
        <v/>
      </c>
      <c r="DA842">
        <f>IFERROR(INDEX(PP_Grid[#Data],$DD842,103),0)</f>
        <v/>
      </c>
      <c r="DB842">
        <f>IFERROR(INDEX(PP_Grid[#Data],$DD842,104),0)</f>
        <v/>
      </c>
      <c r="DC842">
        <f>IFERROR(INDEX(PP_Grid[#Data],$DD842,105),0)</f>
        <v/>
      </c>
      <c r="DD842" s="12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SUMIFS(M_BOM[RM_Qty_Per_Batch],M_BOM[Intermediate],$B842,M_BOM[Part Name],$A807)</f>
        <v/>
      </c>
      <c r="D843">
        <f>$C843*D842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</row>
    <row r="844">
      <c r="B844" t="inlineStr">
        <is>
          <t>TSP-966</t>
        </is>
      </c>
      <c r="C844" t="inlineStr">
        <is>
          <t>No. of batches</t>
        </is>
      </c>
      <c r="D844">
        <f>IFERROR(INDEX(PP_Grid[#Data],$DD844,2),0)</f>
        <v/>
      </c>
      <c r="E844">
        <f>IFERROR(INDEX(PP_Grid[#Data],$DD844,3),0)</f>
        <v/>
      </c>
      <c r="F844">
        <f>IFERROR(INDEX(PP_Grid[#Data],$DD844,4),0)</f>
        <v/>
      </c>
      <c r="G844">
        <f>IFERROR(INDEX(PP_Grid[#Data],$DD844,5),0)</f>
        <v/>
      </c>
      <c r="H844">
        <f>IFERROR(INDEX(PP_Grid[#Data],$DD844,6),0)</f>
        <v/>
      </c>
      <c r="I844">
        <f>IFERROR(INDEX(PP_Grid[#Data],$DD844,7),0)</f>
        <v/>
      </c>
      <c r="J844">
        <f>IFERROR(INDEX(PP_Grid[#Data],$DD844,8),0)</f>
        <v/>
      </c>
      <c r="K844">
        <f>IFERROR(INDEX(PP_Grid[#Data],$DD844,9),0)</f>
        <v/>
      </c>
      <c r="L844">
        <f>IFERROR(INDEX(PP_Grid[#Data],$DD844,10),0)</f>
        <v/>
      </c>
      <c r="M844">
        <f>IFERROR(INDEX(PP_Grid[#Data],$DD844,11),0)</f>
        <v/>
      </c>
      <c r="N844">
        <f>IFERROR(INDEX(PP_Grid[#Data],$DD844,12),0)</f>
        <v/>
      </c>
      <c r="O844">
        <f>IFERROR(INDEX(PP_Grid[#Data],$DD844,13),0)</f>
        <v/>
      </c>
      <c r="P844">
        <f>IFERROR(INDEX(PP_Grid[#Data],$DD844,14),0)</f>
        <v/>
      </c>
      <c r="Q844">
        <f>IFERROR(INDEX(PP_Grid[#Data],$DD844,15),0)</f>
        <v/>
      </c>
      <c r="R844">
        <f>IFERROR(INDEX(PP_Grid[#Data],$DD844,16),0)</f>
        <v/>
      </c>
      <c r="S844">
        <f>IFERROR(INDEX(PP_Grid[#Data],$DD844,17),0)</f>
        <v/>
      </c>
      <c r="T844">
        <f>IFERROR(INDEX(PP_Grid[#Data],$DD844,18),0)</f>
        <v/>
      </c>
      <c r="U844">
        <f>IFERROR(INDEX(PP_Grid[#Data],$DD844,19),0)</f>
        <v/>
      </c>
      <c r="V844">
        <f>IFERROR(INDEX(PP_Grid[#Data],$DD844,20),0)</f>
        <v/>
      </c>
      <c r="W844">
        <f>IFERROR(INDEX(PP_Grid[#Data],$DD844,21),0)</f>
        <v/>
      </c>
      <c r="X844">
        <f>IFERROR(INDEX(PP_Grid[#Data],$DD844,22),0)</f>
        <v/>
      </c>
      <c r="Y844">
        <f>IFERROR(INDEX(PP_Grid[#Data],$DD844,23),0)</f>
        <v/>
      </c>
      <c r="Z844">
        <f>IFERROR(INDEX(PP_Grid[#Data],$DD844,24),0)</f>
        <v/>
      </c>
      <c r="AA844">
        <f>IFERROR(INDEX(PP_Grid[#Data],$DD844,25),0)</f>
        <v/>
      </c>
      <c r="AB844">
        <f>IFERROR(INDEX(PP_Grid[#Data],$DD844,26),0)</f>
        <v/>
      </c>
      <c r="AC844">
        <f>IFERROR(INDEX(PP_Grid[#Data],$DD844,27),0)</f>
        <v/>
      </c>
      <c r="AD844">
        <f>IFERROR(INDEX(PP_Grid[#Data],$DD844,28),0)</f>
        <v/>
      </c>
      <c r="AE844">
        <f>IFERROR(INDEX(PP_Grid[#Data],$DD844,29),0)</f>
        <v/>
      </c>
      <c r="AF844">
        <f>IFERROR(INDEX(PP_Grid[#Data],$DD844,30),0)</f>
        <v/>
      </c>
      <c r="AG844">
        <f>IFERROR(INDEX(PP_Grid[#Data],$DD844,31),0)</f>
        <v/>
      </c>
      <c r="AH844">
        <f>IFERROR(INDEX(PP_Grid[#Data],$DD844,32),0)</f>
        <v/>
      </c>
      <c r="AI844">
        <f>IFERROR(INDEX(PP_Grid[#Data],$DD844,33),0)</f>
        <v/>
      </c>
      <c r="AJ844">
        <f>IFERROR(INDEX(PP_Grid[#Data],$DD844,34),0)</f>
        <v/>
      </c>
      <c r="AK844">
        <f>IFERROR(INDEX(PP_Grid[#Data],$DD844,35),0)</f>
        <v/>
      </c>
      <c r="AL844">
        <f>IFERROR(INDEX(PP_Grid[#Data],$DD844,36),0)</f>
        <v/>
      </c>
      <c r="AM844">
        <f>IFERROR(INDEX(PP_Grid[#Data],$DD844,37),0)</f>
        <v/>
      </c>
      <c r="AN844">
        <f>IFERROR(INDEX(PP_Grid[#Data],$DD844,38),0)</f>
        <v/>
      </c>
      <c r="AO844">
        <f>IFERROR(INDEX(PP_Grid[#Data],$DD844,39),0)</f>
        <v/>
      </c>
      <c r="AP844">
        <f>IFERROR(INDEX(PP_Grid[#Data],$DD844,40),0)</f>
        <v/>
      </c>
      <c r="AQ844">
        <f>IFERROR(INDEX(PP_Grid[#Data],$DD844,41),0)</f>
        <v/>
      </c>
      <c r="AR844">
        <f>IFERROR(INDEX(PP_Grid[#Data],$DD844,42),0)</f>
        <v/>
      </c>
      <c r="AS844">
        <f>IFERROR(INDEX(PP_Grid[#Data],$DD844,43),0)</f>
        <v/>
      </c>
      <c r="AT844">
        <f>IFERROR(INDEX(PP_Grid[#Data],$DD844,44),0)</f>
        <v/>
      </c>
      <c r="AU844">
        <f>IFERROR(INDEX(PP_Grid[#Data],$DD844,45),0)</f>
        <v/>
      </c>
      <c r="AV844">
        <f>IFERROR(INDEX(PP_Grid[#Data],$DD844,46),0)</f>
        <v/>
      </c>
      <c r="AW844">
        <f>IFERROR(INDEX(PP_Grid[#Data],$DD844,47),0)</f>
        <v/>
      </c>
      <c r="AX844">
        <f>IFERROR(INDEX(PP_Grid[#Data],$DD844,48),0)</f>
        <v/>
      </c>
      <c r="AY844">
        <f>IFERROR(INDEX(PP_Grid[#Data],$DD844,49),0)</f>
        <v/>
      </c>
      <c r="AZ844">
        <f>IFERROR(INDEX(PP_Grid[#Data],$DD844,50),0)</f>
        <v/>
      </c>
      <c r="BA844">
        <f>IFERROR(INDEX(PP_Grid[#Data],$DD844,51),0)</f>
        <v/>
      </c>
      <c r="BB844">
        <f>IFERROR(INDEX(PP_Grid[#Data],$DD844,52),0)</f>
        <v/>
      </c>
      <c r="BC844">
        <f>IFERROR(INDEX(PP_Grid[#Data],$DD844,53),0)</f>
        <v/>
      </c>
      <c r="BD844">
        <f>IFERROR(INDEX(PP_Grid[#Data],$DD844,54),0)</f>
        <v/>
      </c>
      <c r="BE844">
        <f>IFERROR(INDEX(PP_Grid[#Data],$DD844,55),0)</f>
        <v/>
      </c>
      <c r="BF844">
        <f>IFERROR(INDEX(PP_Grid[#Data],$DD844,56),0)</f>
        <v/>
      </c>
      <c r="BG844">
        <f>IFERROR(INDEX(PP_Grid[#Data],$DD844,57),0)</f>
        <v/>
      </c>
      <c r="BH844">
        <f>IFERROR(INDEX(PP_Grid[#Data],$DD844,58),0)</f>
        <v/>
      </c>
      <c r="BI844">
        <f>IFERROR(INDEX(PP_Grid[#Data],$DD844,59),0)</f>
        <v/>
      </c>
      <c r="BJ844">
        <f>IFERROR(INDEX(PP_Grid[#Data],$DD844,60),0)</f>
        <v/>
      </c>
      <c r="BK844">
        <f>IFERROR(INDEX(PP_Grid[#Data],$DD844,61),0)</f>
        <v/>
      </c>
      <c r="BL844">
        <f>IFERROR(INDEX(PP_Grid[#Data],$DD844,62),0)</f>
        <v/>
      </c>
      <c r="BM844">
        <f>IFERROR(INDEX(PP_Grid[#Data],$DD844,63),0)</f>
        <v/>
      </c>
      <c r="BN844">
        <f>IFERROR(INDEX(PP_Grid[#Data],$DD844,64),0)</f>
        <v/>
      </c>
      <c r="BO844">
        <f>IFERROR(INDEX(PP_Grid[#Data],$DD844,65),0)</f>
        <v/>
      </c>
      <c r="BP844">
        <f>IFERROR(INDEX(PP_Grid[#Data],$DD844,66),0)</f>
        <v/>
      </c>
      <c r="BQ844">
        <f>IFERROR(INDEX(PP_Grid[#Data],$DD844,67),0)</f>
        <v/>
      </c>
      <c r="BR844">
        <f>IFERROR(INDEX(PP_Grid[#Data],$DD844,68),0)</f>
        <v/>
      </c>
      <c r="BS844">
        <f>IFERROR(INDEX(PP_Grid[#Data],$DD844,69),0)</f>
        <v/>
      </c>
      <c r="BT844">
        <f>IFERROR(INDEX(PP_Grid[#Data],$DD844,70),0)</f>
        <v/>
      </c>
      <c r="BU844">
        <f>IFERROR(INDEX(PP_Grid[#Data],$DD844,71),0)</f>
        <v/>
      </c>
      <c r="BV844">
        <f>IFERROR(INDEX(PP_Grid[#Data],$DD844,72),0)</f>
        <v/>
      </c>
      <c r="BW844">
        <f>IFERROR(INDEX(PP_Grid[#Data],$DD844,73),0)</f>
        <v/>
      </c>
      <c r="BX844">
        <f>IFERROR(INDEX(PP_Grid[#Data],$DD844,74),0)</f>
        <v/>
      </c>
      <c r="BY844">
        <f>IFERROR(INDEX(PP_Grid[#Data],$DD844,75),0)</f>
        <v/>
      </c>
      <c r="BZ844">
        <f>IFERROR(INDEX(PP_Grid[#Data],$DD844,76),0)</f>
        <v/>
      </c>
      <c r="CA844">
        <f>IFERROR(INDEX(PP_Grid[#Data],$DD844,77),0)</f>
        <v/>
      </c>
      <c r="CB844">
        <f>IFERROR(INDEX(PP_Grid[#Data],$DD844,78),0)</f>
        <v/>
      </c>
      <c r="CC844">
        <f>IFERROR(INDEX(PP_Grid[#Data],$DD844,79),0)</f>
        <v/>
      </c>
      <c r="CD844">
        <f>IFERROR(INDEX(PP_Grid[#Data],$DD844,80),0)</f>
        <v/>
      </c>
      <c r="CE844">
        <f>IFERROR(INDEX(PP_Grid[#Data],$DD844,81),0)</f>
        <v/>
      </c>
      <c r="CF844">
        <f>IFERROR(INDEX(PP_Grid[#Data],$DD844,82),0)</f>
        <v/>
      </c>
      <c r="CG844">
        <f>IFERROR(INDEX(PP_Grid[#Data],$DD844,83),0)</f>
        <v/>
      </c>
      <c r="CH844">
        <f>IFERROR(INDEX(PP_Grid[#Data],$DD844,84),0)</f>
        <v/>
      </c>
      <c r="CI844">
        <f>IFERROR(INDEX(PP_Grid[#Data],$DD844,85),0)</f>
        <v/>
      </c>
      <c r="CJ844">
        <f>IFERROR(INDEX(PP_Grid[#Data],$DD844,86),0)</f>
        <v/>
      </c>
      <c r="CK844">
        <f>IFERROR(INDEX(PP_Grid[#Data],$DD844,87),0)</f>
        <v/>
      </c>
      <c r="CL844">
        <f>IFERROR(INDEX(PP_Grid[#Data],$DD844,88),0)</f>
        <v/>
      </c>
      <c r="CM844">
        <f>IFERROR(INDEX(PP_Grid[#Data],$DD844,89),0)</f>
        <v/>
      </c>
      <c r="CN844">
        <f>IFERROR(INDEX(PP_Grid[#Data],$DD844,90),0)</f>
        <v/>
      </c>
      <c r="CO844">
        <f>IFERROR(INDEX(PP_Grid[#Data],$DD844,91),0)</f>
        <v/>
      </c>
      <c r="CP844">
        <f>IFERROR(INDEX(PP_Grid[#Data],$DD844,92),0)</f>
        <v/>
      </c>
      <c r="CQ844">
        <f>IFERROR(INDEX(PP_Grid[#Data],$DD844,93),0)</f>
        <v/>
      </c>
      <c r="CR844">
        <f>IFERROR(INDEX(PP_Grid[#Data],$DD844,94),0)</f>
        <v/>
      </c>
      <c r="CS844">
        <f>IFERROR(INDEX(PP_Grid[#Data],$DD844,95),0)</f>
        <v/>
      </c>
      <c r="CT844">
        <f>IFERROR(INDEX(PP_Grid[#Data],$DD844,96),0)</f>
        <v/>
      </c>
      <c r="CU844">
        <f>IFERROR(INDEX(PP_Grid[#Data],$DD844,97),0)</f>
        <v/>
      </c>
      <c r="CV844">
        <f>IFERROR(INDEX(PP_Grid[#Data],$DD844,98),0)</f>
        <v/>
      </c>
      <c r="CW844">
        <f>IFERROR(INDEX(PP_Grid[#Data],$DD844,99),0)</f>
        <v/>
      </c>
      <c r="CX844">
        <f>IFERROR(INDEX(PP_Grid[#Data],$DD844,100),0)</f>
        <v/>
      </c>
      <c r="CY844">
        <f>IFERROR(INDEX(PP_Grid[#Data],$DD844,101),0)</f>
        <v/>
      </c>
      <c r="CZ844">
        <f>IFERROR(INDEX(PP_Grid[#Data],$DD844,102),0)</f>
        <v/>
      </c>
      <c r="DA844">
        <f>IFERROR(INDEX(PP_Grid[#Data],$DD844,103),0)</f>
        <v/>
      </c>
      <c r="DB844">
        <f>IFERROR(INDEX(PP_Grid[#Data],$DD844,104),0)</f>
        <v/>
      </c>
      <c r="DC844">
        <f>IFERROR(INDEX(PP_Grid[#Data],$DD844,105),0)</f>
        <v/>
      </c>
      <c r="DD844" s="12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SUMIFS(M_BOM[RM_Qty_Per_Batch],M_BOM[Intermediate],$B844,M_BOM[Part Name],$A807)</f>
        <v/>
      </c>
      <c r="D845">
        <f>$C845*D844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</row>
    <row r="846">
      <c r="B846" t="inlineStr">
        <is>
          <t>TSZ-616</t>
        </is>
      </c>
      <c r="C846" t="inlineStr">
        <is>
          <t>No. of batches</t>
        </is>
      </c>
      <c r="D846">
        <f>IFERROR(INDEX(PP_Grid[#Data],$DD846,2),0)</f>
        <v/>
      </c>
      <c r="E846">
        <f>IFERROR(INDEX(PP_Grid[#Data],$DD846,3),0)</f>
        <v/>
      </c>
      <c r="F846">
        <f>IFERROR(INDEX(PP_Grid[#Data],$DD846,4),0)</f>
        <v/>
      </c>
      <c r="G846">
        <f>IFERROR(INDEX(PP_Grid[#Data],$DD846,5),0)</f>
        <v/>
      </c>
      <c r="H846">
        <f>IFERROR(INDEX(PP_Grid[#Data],$DD846,6),0)</f>
        <v/>
      </c>
      <c r="I846">
        <f>IFERROR(INDEX(PP_Grid[#Data],$DD846,7),0)</f>
        <v/>
      </c>
      <c r="J846">
        <f>IFERROR(INDEX(PP_Grid[#Data],$DD846,8),0)</f>
        <v/>
      </c>
      <c r="K846">
        <f>IFERROR(INDEX(PP_Grid[#Data],$DD846,9),0)</f>
        <v/>
      </c>
      <c r="L846">
        <f>IFERROR(INDEX(PP_Grid[#Data],$DD846,10),0)</f>
        <v/>
      </c>
      <c r="M846">
        <f>IFERROR(INDEX(PP_Grid[#Data],$DD846,11),0)</f>
        <v/>
      </c>
      <c r="N846">
        <f>IFERROR(INDEX(PP_Grid[#Data],$DD846,12),0)</f>
        <v/>
      </c>
      <c r="O846">
        <f>IFERROR(INDEX(PP_Grid[#Data],$DD846,13),0)</f>
        <v/>
      </c>
      <c r="P846">
        <f>IFERROR(INDEX(PP_Grid[#Data],$DD846,14),0)</f>
        <v/>
      </c>
      <c r="Q846">
        <f>IFERROR(INDEX(PP_Grid[#Data],$DD846,15),0)</f>
        <v/>
      </c>
      <c r="R846">
        <f>IFERROR(INDEX(PP_Grid[#Data],$DD846,16),0)</f>
        <v/>
      </c>
      <c r="S846">
        <f>IFERROR(INDEX(PP_Grid[#Data],$DD846,17),0)</f>
        <v/>
      </c>
      <c r="T846">
        <f>IFERROR(INDEX(PP_Grid[#Data],$DD846,18),0)</f>
        <v/>
      </c>
      <c r="U846">
        <f>IFERROR(INDEX(PP_Grid[#Data],$DD846,19),0)</f>
        <v/>
      </c>
      <c r="V846">
        <f>IFERROR(INDEX(PP_Grid[#Data],$DD846,20),0)</f>
        <v/>
      </c>
      <c r="W846">
        <f>IFERROR(INDEX(PP_Grid[#Data],$DD846,21),0)</f>
        <v/>
      </c>
      <c r="X846">
        <f>IFERROR(INDEX(PP_Grid[#Data],$DD846,22),0)</f>
        <v/>
      </c>
      <c r="Y846">
        <f>IFERROR(INDEX(PP_Grid[#Data],$DD846,23),0)</f>
        <v/>
      </c>
      <c r="Z846">
        <f>IFERROR(INDEX(PP_Grid[#Data],$DD846,24),0)</f>
        <v/>
      </c>
      <c r="AA846">
        <f>IFERROR(INDEX(PP_Grid[#Data],$DD846,25),0)</f>
        <v/>
      </c>
      <c r="AB846">
        <f>IFERROR(INDEX(PP_Grid[#Data],$DD846,26),0)</f>
        <v/>
      </c>
      <c r="AC846">
        <f>IFERROR(INDEX(PP_Grid[#Data],$DD846,27),0)</f>
        <v/>
      </c>
      <c r="AD846">
        <f>IFERROR(INDEX(PP_Grid[#Data],$DD846,28),0)</f>
        <v/>
      </c>
      <c r="AE846">
        <f>IFERROR(INDEX(PP_Grid[#Data],$DD846,29),0)</f>
        <v/>
      </c>
      <c r="AF846">
        <f>IFERROR(INDEX(PP_Grid[#Data],$DD846,30),0)</f>
        <v/>
      </c>
      <c r="AG846">
        <f>IFERROR(INDEX(PP_Grid[#Data],$DD846,31),0)</f>
        <v/>
      </c>
      <c r="AH846">
        <f>IFERROR(INDEX(PP_Grid[#Data],$DD846,32),0)</f>
        <v/>
      </c>
      <c r="AI846">
        <f>IFERROR(INDEX(PP_Grid[#Data],$DD846,33),0)</f>
        <v/>
      </c>
      <c r="AJ846">
        <f>IFERROR(INDEX(PP_Grid[#Data],$DD846,34),0)</f>
        <v/>
      </c>
      <c r="AK846">
        <f>IFERROR(INDEX(PP_Grid[#Data],$DD846,35),0)</f>
        <v/>
      </c>
      <c r="AL846">
        <f>IFERROR(INDEX(PP_Grid[#Data],$DD846,36),0)</f>
        <v/>
      </c>
      <c r="AM846">
        <f>IFERROR(INDEX(PP_Grid[#Data],$DD846,37),0)</f>
        <v/>
      </c>
      <c r="AN846">
        <f>IFERROR(INDEX(PP_Grid[#Data],$DD846,38),0)</f>
        <v/>
      </c>
      <c r="AO846">
        <f>IFERROR(INDEX(PP_Grid[#Data],$DD846,39),0)</f>
        <v/>
      </c>
      <c r="AP846">
        <f>IFERROR(INDEX(PP_Grid[#Data],$DD846,40),0)</f>
        <v/>
      </c>
      <c r="AQ846">
        <f>IFERROR(INDEX(PP_Grid[#Data],$DD846,41),0)</f>
        <v/>
      </c>
      <c r="AR846">
        <f>IFERROR(INDEX(PP_Grid[#Data],$DD846,42),0)</f>
        <v/>
      </c>
      <c r="AS846">
        <f>IFERROR(INDEX(PP_Grid[#Data],$DD846,43),0)</f>
        <v/>
      </c>
      <c r="AT846">
        <f>IFERROR(INDEX(PP_Grid[#Data],$DD846,44),0)</f>
        <v/>
      </c>
      <c r="AU846">
        <f>IFERROR(INDEX(PP_Grid[#Data],$DD846,45),0)</f>
        <v/>
      </c>
      <c r="AV846">
        <f>IFERROR(INDEX(PP_Grid[#Data],$DD846,46),0)</f>
        <v/>
      </c>
      <c r="AW846">
        <f>IFERROR(INDEX(PP_Grid[#Data],$DD846,47),0)</f>
        <v/>
      </c>
      <c r="AX846">
        <f>IFERROR(INDEX(PP_Grid[#Data],$DD846,48),0)</f>
        <v/>
      </c>
      <c r="AY846">
        <f>IFERROR(INDEX(PP_Grid[#Data],$DD846,49),0)</f>
        <v/>
      </c>
      <c r="AZ846">
        <f>IFERROR(INDEX(PP_Grid[#Data],$DD846,50),0)</f>
        <v/>
      </c>
      <c r="BA846">
        <f>IFERROR(INDEX(PP_Grid[#Data],$DD846,51),0)</f>
        <v/>
      </c>
      <c r="BB846">
        <f>IFERROR(INDEX(PP_Grid[#Data],$DD846,52),0)</f>
        <v/>
      </c>
      <c r="BC846">
        <f>IFERROR(INDEX(PP_Grid[#Data],$DD846,53),0)</f>
        <v/>
      </c>
      <c r="BD846">
        <f>IFERROR(INDEX(PP_Grid[#Data],$DD846,54),0)</f>
        <v/>
      </c>
      <c r="BE846">
        <f>IFERROR(INDEX(PP_Grid[#Data],$DD846,55),0)</f>
        <v/>
      </c>
      <c r="BF846">
        <f>IFERROR(INDEX(PP_Grid[#Data],$DD846,56),0)</f>
        <v/>
      </c>
      <c r="BG846">
        <f>IFERROR(INDEX(PP_Grid[#Data],$DD846,57),0)</f>
        <v/>
      </c>
      <c r="BH846">
        <f>IFERROR(INDEX(PP_Grid[#Data],$DD846,58),0)</f>
        <v/>
      </c>
      <c r="BI846">
        <f>IFERROR(INDEX(PP_Grid[#Data],$DD846,59),0)</f>
        <v/>
      </c>
      <c r="BJ846">
        <f>IFERROR(INDEX(PP_Grid[#Data],$DD846,60),0)</f>
        <v/>
      </c>
      <c r="BK846">
        <f>IFERROR(INDEX(PP_Grid[#Data],$DD846,61),0)</f>
        <v/>
      </c>
      <c r="BL846">
        <f>IFERROR(INDEX(PP_Grid[#Data],$DD846,62),0)</f>
        <v/>
      </c>
      <c r="BM846">
        <f>IFERROR(INDEX(PP_Grid[#Data],$DD846,63),0)</f>
        <v/>
      </c>
      <c r="BN846">
        <f>IFERROR(INDEX(PP_Grid[#Data],$DD846,64),0)</f>
        <v/>
      </c>
      <c r="BO846">
        <f>IFERROR(INDEX(PP_Grid[#Data],$DD846,65),0)</f>
        <v/>
      </c>
      <c r="BP846">
        <f>IFERROR(INDEX(PP_Grid[#Data],$DD846,66),0)</f>
        <v/>
      </c>
      <c r="BQ846">
        <f>IFERROR(INDEX(PP_Grid[#Data],$DD846,67),0)</f>
        <v/>
      </c>
      <c r="BR846">
        <f>IFERROR(INDEX(PP_Grid[#Data],$DD846,68),0)</f>
        <v/>
      </c>
      <c r="BS846">
        <f>IFERROR(INDEX(PP_Grid[#Data],$DD846,69),0)</f>
        <v/>
      </c>
      <c r="BT846">
        <f>IFERROR(INDEX(PP_Grid[#Data],$DD846,70),0)</f>
        <v/>
      </c>
      <c r="BU846">
        <f>IFERROR(INDEX(PP_Grid[#Data],$DD846,71),0)</f>
        <v/>
      </c>
      <c r="BV846">
        <f>IFERROR(INDEX(PP_Grid[#Data],$DD846,72),0)</f>
        <v/>
      </c>
      <c r="BW846">
        <f>IFERROR(INDEX(PP_Grid[#Data],$DD846,73),0)</f>
        <v/>
      </c>
      <c r="BX846">
        <f>IFERROR(INDEX(PP_Grid[#Data],$DD846,74),0)</f>
        <v/>
      </c>
      <c r="BY846">
        <f>IFERROR(INDEX(PP_Grid[#Data],$DD846,75),0)</f>
        <v/>
      </c>
      <c r="BZ846">
        <f>IFERROR(INDEX(PP_Grid[#Data],$DD846,76),0)</f>
        <v/>
      </c>
      <c r="CA846">
        <f>IFERROR(INDEX(PP_Grid[#Data],$DD846,77),0)</f>
        <v/>
      </c>
      <c r="CB846">
        <f>IFERROR(INDEX(PP_Grid[#Data],$DD846,78),0)</f>
        <v/>
      </c>
      <c r="CC846">
        <f>IFERROR(INDEX(PP_Grid[#Data],$DD846,79),0)</f>
        <v/>
      </c>
      <c r="CD846">
        <f>IFERROR(INDEX(PP_Grid[#Data],$DD846,80),0)</f>
        <v/>
      </c>
      <c r="CE846">
        <f>IFERROR(INDEX(PP_Grid[#Data],$DD846,81),0)</f>
        <v/>
      </c>
      <c r="CF846">
        <f>IFERROR(INDEX(PP_Grid[#Data],$DD846,82),0)</f>
        <v/>
      </c>
      <c r="CG846">
        <f>IFERROR(INDEX(PP_Grid[#Data],$DD846,83),0)</f>
        <v/>
      </c>
      <c r="CH846">
        <f>IFERROR(INDEX(PP_Grid[#Data],$DD846,84),0)</f>
        <v/>
      </c>
      <c r="CI846">
        <f>IFERROR(INDEX(PP_Grid[#Data],$DD846,85),0)</f>
        <v/>
      </c>
      <c r="CJ846">
        <f>IFERROR(INDEX(PP_Grid[#Data],$DD846,86),0)</f>
        <v/>
      </c>
      <c r="CK846">
        <f>IFERROR(INDEX(PP_Grid[#Data],$DD846,87),0)</f>
        <v/>
      </c>
      <c r="CL846">
        <f>IFERROR(INDEX(PP_Grid[#Data],$DD846,88),0)</f>
        <v/>
      </c>
      <c r="CM846">
        <f>IFERROR(INDEX(PP_Grid[#Data],$DD846,89),0)</f>
        <v/>
      </c>
      <c r="CN846">
        <f>IFERROR(INDEX(PP_Grid[#Data],$DD846,90),0)</f>
        <v/>
      </c>
      <c r="CO846">
        <f>IFERROR(INDEX(PP_Grid[#Data],$DD846,91),0)</f>
        <v/>
      </c>
      <c r="CP846">
        <f>IFERROR(INDEX(PP_Grid[#Data],$DD846,92),0)</f>
        <v/>
      </c>
      <c r="CQ846">
        <f>IFERROR(INDEX(PP_Grid[#Data],$DD846,93),0)</f>
        <v/>
      </c>
      <c r="CR846">
        <f>IFERROR(INDEX(PP_Grid[#Data],$DD846,94),0)</f>
        <v/>
      </c>
      <c r="CS846">
        <f>IFERROR(INDEX(PP_Grid[#Data],$DD846,95),0)</f>
        <v/>
      </c>
      <c r="CT846">
        <f>IFERROR(INDEX(PP_Grid[#Data],$DD846,96),0)</f>
        <v/>
      </c>
      <c r="CU846">
        <f>IFERROR(INDEX(PP_Grid[#Data],$DD846,97),0)</f>
        <v/>
      </c>
      <c r="CV846">
        <f>IFERROR(INDEX(PP_Grid[#Data],$DD846,98),0)</f>
        <v/>
      </c>
      <c r="CW846">
        <f>IFERROR(INDEX(PP_Grid[#Data],$DD846,99),0)</f>
        <v/>
      </c>
      <c r="CX846">
        <f>IFERROR(INDEX(PP_Grid[#Data],$DD846,100),0)</f>
        <v/>
      </c>
      <c r="CY846">
        <f>IFERROR(INDEX(PP_Grid[#Data],$DD846,101),0)</f>
        <v/>
      </c>
      <c r="CZ846">
        <f>IFERROR(INDEX(PP_Grid[#Data],$DD846,102),0)</f>
        <v/>
      </c>
      <c r="DA846">
        <f>IFERROR(INDEX(PP_Grid[#Data],$DD846,103),0)</f>
        <v/>
      </c>
      <c r="DB846">
        <f>IFERROR(INDEX(PP_Grid[#Data],$DD846,104),0)</f>
        <v/>
      </c>
      <c r="DC846">
        <f>IFERROR(INDEX(PP_Grid[#Data],$DD846,105),0)</f>
        <v/>
      </c>
      <c r="DD846" s="12">
        <f>IFERROR(MATCH($B846,PP_Grid[Intermediate],0),99999)</f>
        <v/>
      </c>
    </row>
    <row r="847">
      <c r="B847" t="inlineStr">
        <is>
          <t>使用量(kg)</t>
        </is>
      </c>
      <c r="C847">
        <f>SUMIFS(M_BOM[RM_Qty_Per_Batch],M_BOM[Intermediate],$B846,M_BOM[Part Name],$A807)</f>
        <v/>
      </c>
      <c r="D847">
        <f>$C847*D846</f>
        <v/>
      </c>
      <c r="E847">
        <f>$C847*E846</f>
        <v/>
      </c>
      <c r="F847">
        <f>$C847*F846</f>
        <v/>
      </c>
      <c r="G847">
        <f>$C847*G846</f>
        <v/>
      </c>
      <c r="H847">
        <f>$C847*H846</f>
        <v/>
      </c>
      <c r="I847">
        <f>$C847*I846</f>
        <v/>
      </c>
      <c r="J847">
        <f>$C847*J846</f>
        <v/>
      </c>
      <c r="K847">
        <f>$C847*K846</f>
        <v/>
      </c>
      <c r="L847">
        <f>$C847*L846</f>
        <v/>
      </c>
      <c r="M847">
        <f>$C847*M846</f>
        <v/>
      </c>
      <c r="N847">
        <f>$C847*N846</f>
        <v/>
      </c>
      <c r="O847">
        <f>$C847*O846</f>
        <v/>
      </c>
      <c r="P847">
        <f>$C847*P846</f>
        <v/>
      </c>
      <c r="Q847">
        <f>$C847*Q846</f>
        <v/>
      </c>
      <c r="R847">
        <f>$C847*R846</f>
        <v/>
      </c>
      <c r="S847">
        <f>$C847*S846</f>
        <v/>
      </c>
      <c r="T847">
        <f>$C847*T846</f>
        <v/>
      </c>
      <c r="U847">
        <f>$C847*U846</f>
        <v/>
      </c>
      <c r="V847">
        <f>$C847*V846</f>
        <v/>
      </c>
      <c r="W847">
        <f>$C847*W846</f>
        <v/>
      </c>
      <c r="X847">
        <f>$C847*X846</f>
        <v/>
      </c>
      <c r="Y847">
        <f>$C847*Y846</f>
        <v/>
      </c>
      <c r="Z847">
        <f>$C847*Z846</f>
        <v/>
      </c>
      <c r="AA847">
        <f>$C847*AA846</f>
        <v/>
      </c>
      <c r="AB847">
        <f>$C847*AB846</f>
        <v/>
      </c>
      <c r="AC847">
        <f>$C847*AC846</f>
        <v/>
      </c>
      <c r="AD847">
        <f>$C847*AD846</f>
        <v/>
      </c>
      <c r="AE847">
        <f>$C847*AE846</f>
        <v/>
      </c>
      <c r="AF847">
        <f>$C847*AF846</f>
        <v/>
      </c>
      <c r="AG847">
        <f>$C847*AG846</f>
        <v/>
      </c>
      <c r="AH847">
        <f>$C847*AH846</f>
        <v/>
      </c>
      <c r="AI847">
        <f>$C847*AI846</f>
        <v/>
      </c>
      <c r="AJ847">
        <f>$C847*AJ846</f>
        <v/>
      </c>
      <c r="AK847">
        <f>$C847*AK846</f>
        <v/>
      </c>
      <c r="AL847">
        <f>$C847*AL846</f>
        <v/>
      </c>
      <c r="AM847">
        <f>$C847*AM846</f>
        <v/>
      </c>
      <c r="AN847">
        <f>$C847*AN846</f>
        <v/>
      </c>
      <c r="AO847">
        <f>$C847*AO846</f>
        <v/>
      </c>
      <c r="AP847">
        <f>$C847*AP846</f>
        <v/>
      </c>
      <c r="AQ847">
        <f>$C847*AQ846</f>
        <v/>
      </c>
      <c r="AR847">
        <f>$C847*AR846</f>
        <v/>
      </c>
      <c r="AS847">
        <f>$C847*AS846</f>
        <v/>
      </c>
      <c r="AT847">
        <f>$C847*AT846</f>
        <v/>
      </c>
      <c r="AU847">
        <f>$C847*AU846</f>
        <v/>
      </c>
      <c r="AV847">
        <f>$C847*AV846</f>
        <v/>
      </c>
      <c r="AW847">
        <f>$C847*AW846</f>
        <v/>
      </c>
      <c r="AX847">
        <f>$C847*AX846</f>
        <v/>
      </c>
      <c r="AY847">
        <f>$C847*AY846</f>
        <v/>
      </c>
      <c r="AZ847">
        <f>$C847*AZ846</f>
        <v/>
      </c>
      <c r="BA847">
        <f>$C847*BA846</f>
        <v/>
      </c>
      <c r="BB847">
        <f>$C847*BB846</f>
        <v/>
      </c>
      <c r="BC847">
        <f>$C847*BC846</f>
        <v/>
      </c>
      <c r="BD847">
        <f>$C847*BD846</f>
        <v/>
      </c>
      <c r="BE847">
        <f>$C847*BE846</f>
        <v/>
      </c>
      <c r="BF847">
        <f>$C847*BF846</f>
        <v/>
      </c>
      <c r="BG847">
        <f>$C847*BG846</f>
        <v/>
      </c>
      <c r="BH847">
        <f>$C847*BH846</f>
        <v/>
      </c>
      <c r="BI847">
        <f>$C847*BI846</f>
        <v/>
      </c>
      <c r="BJ847">
        <f>$C847*BJ846</f>
        <v/>
      </c>
      <c r="BK847">
        <f>$C847*BK846</f>
        <v/>
      </c>
      <c r="BL847">
        <f>$C847*BL846</f>
        <v/>
      </c>
      <c r="BM847">
        <f>$C847*BM846</f>
        <v/>
      </c>
      <c r="BN847">
        <f>$C847*BN846</f>
        <v/>
      </c>
      <c r="BO847">
        <f>$C847*BO846</f>
        <v/>
      </c>
      <c r="BP847">
        <f>$C847*BP846</f>
        <v/>
      </c>
      <c r="BQ847">
        <f>$C847*BQ846</f>
        <v/>
      </c>
      <c r="BR847">
        <f>$C847*BR846</f>
        <v/>
      </c>
      <c r="BS847">
        <f>$C847*BS846</f>
        <v/>
      </c>
      <c r="BT847">
        <f>$C847*BT846</f>
        <v/>
      </c>
      <c r="BU847">
        <f>$C847*BU846</f>
        <v/>
      </c>
      <c r="BV847">
        <f>$C847*BV846</f>
        <v/>
      </c>
      <c r="BW847">
        <f>$C847*BW846</f>
        <v/>
      </c>
      <c r="BX847">
        <f>$C847*BX846</f>
        <v/>
      </c>
      <c r="BY847">
        <f>$C847*BY846</f>
        <v/>
      </c>
      <c r="BZ847">
        <f>$C847*BZ846</f>
        <v/>
      </c>
      <c r="CA847">
        <f>$C847*CA846</f>
        <v/>
      </c>
      <c r="CB847">
        <f>$C847*CB846</f>
        <v/>
      </c>
      <c r="CC847">
        <f>$C847*CC846</f>
        <v/>
      </c>
      <c r="CD847">
        <f>$C847*CD846</f>
        <v/>
      </c>
      <c r="CE847">
        <f>$C847*CE846</f>
        <v/>
      </c>
      <c r="CF847">
        <f>$C847*CF846</f>
        <v/>
      </c>
      <c r="CG847">
        <f>$C847*CG846</f>
        <v/>
      </c>
      <c r="CH847">
        <f>$C847*CH846</f>
        <v/>
      </c>
      <c r="CI847">
        <f>$C847*CI846</f>
        <v/>
      </c>
      <c r="CJ847">
        <f>$C847*CJ846</f>
        <v/>
      </c>
      <c r="CK847">
        <f>$C847*CK846</f>
        <v/>
      </c>
      <c r="CL847">
        <f>$C847*CL846</f>
        <v/>
      </c>
      <c r="CM847">
        <f>$C847*CM846</f>
        <v/>
      </c>
      <c r="CN847">
        <f>$C847*CN846</f>
        <v/>
      </c>
      <c r="CO847">
        <f>$C847*CO846</f>
        <v/>
      </c>
      <c r="CP847">
        <f>$C847*CP846</f>
        <v/>
      </c>
      <c r="CQ847">
        <f>$C847*CQ846</f>
        <v/>
      </c>
      <c r="CR847">
        <f>$C847*CR846</f>
        <v/>
      </c>
      <c r="CS847">
        <f>$C847*CS846</f>
        <v/>
      </c>
      <c r="CT847">
        <f>$C847*CT846</f>
        <v/>
      </c>
      <c r="CU847">
        <f>$C847*CU846</f>
        <v/>
      </c>
      <c r="CV847">
        <f>$C847*CV846</f>
        <v/>
      </c>
      <c r="CW847">
        <f>$C847*CW846</f>
        <v/>
      </c>
      <c r="CX847">
        <f>$C847*CX846</f>
        <v/>
      </c>
      <c r="CY847">
        <f>$C847*CY846</f>
        <v/>
      </c>
      <c r="CZ847">
        <f>$C847*CZ846</f>
        <v/>
      </c>
      <c r="DA847">
        <f>$C847*DA846</f>
        <v/>
      </c>
      <c r="DB847">
        <f>$C847*DB846</f>
        <v/>
      </c>
      <c r="DC847">
        <f>$C847*DC846</f>
        <v/>
      </c>
    </row>
    <row r="848">
      <c r="B848" t="inlineStr">
        <is>
          <t>TSZ-938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12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SUMIFS(M_BOM[RM_Qty_Per_Batch],M_BOM[Intermediate],$B848,M_BOM[Part Name],$A807)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TVS-267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12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Name],$A807)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TVS-500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Name],$A807)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TVS-664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12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Name],$A807)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TVS-833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12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Name],$A807)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VSP-820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12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Name],$A807)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VSP-822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12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Name],$A807)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VSP-910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12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Name],$A807)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VSP-989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12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Name],$A807)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VSP-990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12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Name],$A807)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s="5" t="inlineStr">
        <is>
          <t>合計使用量(kg)/週</t>
        </is>
      </c>
      <c r="D868">
        <f>'Grid_Requirement'!B43</f>
        <v/>
      </c>
      <c r="E868">
        <f>'Grid_Requirement'!C43</f>
        <v/>
      </c>
      <c r="F868">
        <f>'Grid_Requirement'!D43</f>
        <v/>
      </c>
      <c r="G868">
        <f>'Grid_Requirement'!E43</f>
        <v/>
      </c>
      <c r="H868">
        <f>'Grid_Requirement'!F43</f>
        <v/>
      </c>
      <c r="I868">
        <f>'Grid_Requirement'!G43</f>
        <v/>
      </c>
      <c r="J868">
        <f>'Grid_Requirement'!H43</f>
        <v/>
      </c>
      <c r="K868">
        <f>'Grid_Requirement'!I43</f>
        <v/>
      </c>
      <c r="L868">
        <f>'Grid_Requirement'!J43</f>
        <v/>
      </c>
      <c r="M868">
        <f>'Grid_Requirement'!K43</f>
        <v/>
      </c>
      <c r="N868">
        <f>'Grid_Requirement'!L43</f>
        <v/>
      </c>
      <c r="O868">
        <f>'Grid_Requirement'!M43</f>
        <v/>
      </c>
      <c r="P868">
        <f>'Grid_Requirement'!N43</f>
        <v/>
      </c>
      <c r="Q868">
        <f>'Grid_Requirement'!O43</f>
        <v/>
      </c>
      <c r="R868">
        <f>'Grid_Requirement'!P43</f>
        <v/>
      </c>
      <c r="S868">
        <f>'Grid_Requirement'!Q43</f>
        <v/>
      </c>
      <c r="T868">
        <f>'Grid_Requirement'!R43</f>
        <v/>
      </c>
      <c r="U868">
        <f>'Grid_Requirement'!S43</f>
        <v/>
      </c>
      <c r="V868">
        <f>'Grid_Requirement'!T43</f>
        <v/>
      </c>
      <c r="W868">
        <f>'Grid_Requirement'!U43</f>
        <v/>
      </c>
      <c r="X868">
        <f>'Grid_Requirement'!V43</f>
        <v/>
      </c>
      <c r="Y868">
        <f>'Grid_Requirement'!W43</f>
        <v/>
      </c>
      <c r="Z868">
        <f>'Grid_Requirement'!X43</f>
        <v/>
      </c>
      <c r="AA868">
        <f>'Grid_Requirement'!Y43</f>
        <v/>
      </c>
      <c r="AB868">
        <f>'Grid_Requirement'!Z43</f>
        <v/>
      </c>
      <c r="AC868">
        <f>'Grid_Requirement'!AA43</f>
        <v/>
      </c>
      <c r="AD868">
        <f>'Grid_Requirement'!AB43</f>
        <v/>
      </c>
      <c r="AE868">
        <f>'Grid_Requirement'!AC43</f>
        <v/>
      </c>
      <c r="AF868">
        <f>'Grid_Requirement'!AD43</f>
        <v/>
      </c>
      <c r="AG868">
        <f>'Grid_Requirement'!AE43</f>
        <v/>
      </c>
      <c r="AH868">
        <f>'Grid_Requirement'!AF43</f>
        <v/>
      </c>
      <c r="AI868">
        <f>'Grid_Requirement'!AG43</f>
        <v/>
      </c>
      <c r="AJ868">
        <f>'Grid_Requirement'!AH43</f>
        <v/>
      </c>
      <c r="AK868">
        <f>'Grid_Requirement'!AI43</f>
        <v/>
      </c>
      <c r="AL868">
        <f>'Grid_Requirement'!AJ43</f>
        <v/>
      </c>
      <c r="AM868">
        <f>'Grid_Requirement'!AK43</f>
        <v/>
      </c>
      <c r="AN868">
        <f>'Grid_Requirement'!AL43</f>
        <v/>
      </c>
      <c r="AO868">
        <f>'Grid_Requirement'!AM43</f>
        <v/>
      </c>
      <c r="AP868">
        <f>'Grid_Requirement'!AN43</f>
        <v/>
      </c>
      <c r="AQ868">
        <f>'Grid_Requirement'!AO43</f>
        <v/>
      </c>
      <c r="AR868">
        <f>'Grid_Requirement'!AP43</f>
        <v/>
      </c>
      <c r="AS868">
        <f>'Grid_Requirement'!AQ43</f>
        <v/>
      </c>
      <c r="AT868">
        <f>'Grid_Requirement'!AR43</f>
        <v/>
      </c>
      <c r="AU868">
        <f>'Grid_Requirement'!AS43</f>
        <v/>
      </c>
      <c r="AV868">
        <f>'Grid_Requirement'!AT43</f>
        <v/>
      </c>
      <c r="AW868">
        <f>'Grid_Requirement'!AU43</f>
        <v/>
      </c>
      <c r="AX868">
        <f>'Grid_Requirement'!AV43</f>
        <v/>
      </c>
      <c r="AY868">
        <f>'Grid_Requirement'!AW43</f>
        <v/>
      </c>
      <c r="AZ868">
        <f>'Grid_Requirement'!AX43</f>
        <v/>
      </c>
      <c r="BA868">
        <f>'Grid_Requirement'!AY43</f>
        <v/>
      </c>
      <c r="BB868">
        <f>'Grid_Requirement'!AZ43</f>
        <v/>
      </c>
      <c r="BC868">
        <f>'Grid_Requirement'!BA43</f>
        <v/>
      </c>
      <c r="BD868">
        <f>'Grid_Requirement'!BB43</f>
        <v/>
      </c>
      <c r="BE868">
        <f>'Grid_Requirement'!BC43</f>
        <v/>
      </c>
      <c r="BF868">
        <f>'Grid_Requirement'!BD43</f>
        <v/>
      </c>
      <c r="BG868">
        <f>'Grid_Requirement'!BE43</f>
        <v/>
      </c>
      <c r="BH868">
        <f>'Grid_Requirement'!BF43</f>
        <v/>
      </c>
      <c r="BI868">
        <f>'Grid_Requirement'!BG43</f>
        <v/>
      </c>
      <c r="BJ868">
        <f>'Grid_Requirement'!BH43</f>
        <v/>
      </c>
      <c r="BK868">
        <f>'Grid_Requirement'!BI43</f>
        <v/>
      </c>
      <c r="BL868">
        <f>'Grid_Requirement'!BJ43</f>
        <v/>
      </c>
      <c r="BM868">
        <f>'Grid_Requirement'!BK43</f>
        <v/>
      </c>
      <c r="BN868">
        <f>'Grid_Requirement'!BL43</f>
        <v/>
      </c>
      <c r="BO868">
        <f>'Grid_Requirement'!BM43</f>
        <v/>
      </c>
      <c r="BP868">
        <f>'Grid_Requirement'!BN43</f>
        <v/>
      </c>
      <c r="BQ868">
        <f>'Grid_Requirement'!BO43</f>
        <v/>
      </c>
      <c r="BR868">
        <f>'Grid_Requirement'!BP43</f>
        <v/>
      </c>
      <c r="BS868">
        <f>'Grid_Requirement'!BQ43</f>
        <v/>
      </c>
      <c r="BT868">
        <f>'Grid_Requirement'!BR43</f>
        <v/>
      </c>
      <c r="BU868">
        <f>'Grid_Requirement'!BS43</f>
        <v/>
      </c>
      <c r="BV868">
        <f>'Grid_Requirement'!BT43</f>
        <v/>
      </c>
      <c r="BW868">
        <f>'Grid_Requirement'!BU43</f>
        <v/>
      </c>
      <c r="BX868">
        <f>'Grid_Requirement'!BV43</f>
        <v/>
      </c>
      <c r="BY868">
        <f>'Grid_Requirement'!BW43</f>
        <v/>
      </c>
      <c r="BZ868">
        <f>'Grid_Requirement'!BX43</f>
        <v/>
      </c>
      <c r="CA868">
        <f>'Grid_Requirement'!BY43</f>
        <v/>
      </c>
      <c r="CB868">
        <f>'Grid_Requirement'!BZ43</f>
        <v/>
      </c>
      <c r="CC868">
        <f>'Grid_Requirement'!CA43</f>
        <v/>
      </c>
      <c r="CD868">
        <f>'Grid_Requirement'!CB43</f>
        <v/>
      </c>
      <c r="CE868">
        <f>'Grid_Requirement'!CC43</f>
        <v/>
      </c>
      <c r="CF868">
        <f>'Grid_Requirement'!CD43</f>
        <v/>
      </c>
      <c r="CG868">
        <f>'Grid_Requirement'!CE43</f>
        <v/>
      </c>
      <c r="CH868">
        <f>'Grid_Requirement'!CF43</f>
        <v/>
      </c>
      <c r="CI868">
        <f>'Grid_Requirement'!CG43</f>
        <v/>
      </c>
      <c r="CJ868">
        <f>'Grid_Requirement'!CH43</f>
        <v/>
      </c>
      <c r="CK868">
        <f>'Grid_Requirement'!CI43</f>
        <v/>
      </c>
      <c r="CL868">
        <f>'Grid_Requirement'!CJ43</f>
        <v/>
      </c>
      <c r="CM868">
        <f>'Grid_Requirement'!CK43</f>
        <v/>
      </c>
      <c r="CN868">
        <f>'Grid_Requirement'!CL43</f>
        <v/>
      </c>
      <c r="CO868">
        <f>'Grid_Requirement'!CM43</f>
        <v/>
      </c>
      <c r="CP868">
        <f>'Grid_Requirement'!CN43</f>
        <v/>
      </c>
      <c r="CQ868">
        <f>'Grid_Requirement'!CO43</f>
        <v/>
      </c>
      <c r="CR868">
        <f>'Grid_Requirement'!CP43</f>
        <v/>
      </c>
      <c r="CS868">
        <f>'Grid_Requirement'!CQ43</f>
        <v/>
      </c>
      <c r="CT868">
        <f>'Grid_Requirement'!CR43</f>
        <v/>
      </c>
      <c r="CU868">
        <f>'Grid_Requirement'!CS43</f>
        <v/>
      </c>
      <c r="CV868">
        <f>'Grid_Requirement'!CT43</f>
        <v/>
      </c>
      <c r="CW868">
        <f>'Grid_Requirement'!CU43</f>
        <v/>
      </c>
      <c r="CX868">
        <f>'Grid_Requirement'!CV43</f>
        <v/>
      </c>
      <c r="CY868">
        <f>'Grid_Requirement'!CW43</f>
        <v/>
      </c>
      <c r="CZ868">
        <f>'Grid_Requirement'!CX43</f>
        <v/>
      </c>
      <c r="DA868">
        <f>'Grid_Requirement'!CY43</f>
        <v/>
      </c>
      <c r="DB868">
        <f>'Grid_Requirement'!CZ43</f>
        <v/>
      </c>
      <c r="DC868">
        <f>'Grid_Requirement'!DA43</f>
        <v/>
      </c>
    </row>
    <row r="869">
      <c r="B869" t="inlineStr">
        <is>
          <t>TTAF在庫(実績,kg)</t>
        </is>
      </c>
      <c r="D869">
        <f>'T_TTAFStock'!B47</f>
        <v/>
      </c>
      <c r="E869">
        <f>'T_TTAFStock'!C47</f>
        <v/>
      </c>
      <c r="F869">
        <f>'T_TTAFStock'!D47</f>
        <v/>
      </c>
      <c r="G869">
        <f>'T_TTAFStock'!E47</f>
        <v/>
      </c>
      <c r="H869">
        <f>'T_TTAFStock'!F47</f>
        <v/>
      </c>
      <c r="I869">
        <f>'T_TTAFStock'!G47</f>
        <v/>
      </c>
      <c r="J869">
        <f>'T_TTAFStock'!H47</f>
        <v/>
      </c>
      <c r="K869">
        <f>'T_TTAFStock'!I47</f>
        <v/>
      </c>
      <c r="L869">
        <f>'T_TTAFStock'!J47</f>
        <v/>
      </c>
      <c r="M869">
        <f>'T_TTAFStock'!K47</f>
        <v/>
      </c>
      <c r="N869">
        <f>'T_TTAFStock'!L47</f>
        <v/>
      </c>
      <c r="O869">
        <f>'T_TTAFStock'!M47</f>
        <v/>
      </c>
      <c r="P869">
        <f>'T_TTAFStock'!N47</f>
        <v/>
      </c>
      <c r="Q869">
        <f>'T_TTAFStock'!O47</f>
        <v/>
      </c>
      <c r="R869">
        <f>'T_TTAFStock'!P47</f>
        <v/>
      </c>
      <c r="S869">
        <f>'T_TTAFStock'!Q47</f>
        <v/>
      </c>
      <c r="T869">
        <f>'T_TTAFStock'!R47</f>
        <v/>
      </c>
      <c r="U869">
        <f>'T_TTAFStock'!S47</f>
        <v/>
      </c>
      <c r="V869">
        <f>'T_TTAFStock'!T47</f>
        <v/>
      </c>
      <c r="W869">
        <f>'T_TTAFStock'!U47</f>
        <v/>
      </c>
      <c r="X869">
        <f>'T_TTAFStock'!V47</f>
        <v/>
      </c>
      <c r="Y869">
        <f>'T_TTAFStock'!W47</f>
        <v/>
      </c>
      <c r="Z869">
        <f>'T_TTAFStock'!X47</f>
        <v/>
      </c>
      <c r="AA869">
        <f>'T_TTAFStock'!Y47</f>
        <v/>
      </c>
      <c r="AB869">
        <f>'T_TTAFStock'!Z47</f>
        <v/>
      </c>
      <c r="AC869">
        <f>'T_TTAFStock'!AA47</f>
        <v/>
      </c>
      <c r="AD869">
        <f>'T_TTAFStock'!AB47</f>
        <v/>
      </c>
      <c r="AE869">
        <f>'T_TTAFStock'!AC47</f>
        <v/>
      </c>
      <c r="AF869">
        <f>'T_TTAFStock'!AD47</f>
        <v/>
      </c>
      <c r="AG869">
        <f>'T_TTAFStock'!AE47</f>
        <v/>
      </c>
      <c r="AH869">
        <f>'T_TTAFStock'!AF47</f>
        <v/>
      </c>
      <c r="AI869">
        <f>'T_TTAFStock'!AG47</f>
        <v/>
      </c>
      <c r="AJ869">
        <f>'T_TTAFStock'!AH47</f>
        <v/>
      </c>
      <c r="AK869">
        <f>'T_TTAFStock'!AI47</f>
        <v/>
      </c>
      <c r="AL869">
        <f>'T_TTAFStock'!AJ47</f>
        <v/>
      </c>
      <c r="AM869">
        <f>'T_TTAFStock'!AK47</f>
        <v/>
      </c>
      <c r="AN869">
        <f>'T_TTAFStock'!AL47</f>
        <v/>
      </c>
      <c r="AO869">
        <f>'T_TTAFStock'!AM47</f>
        <v/>
      </c>
      <c r="AP869">
        <f>'T_TTAFStock'!AN47</f>
        <v/>
      </c>
      <c r="AQ869">
        <f>'T_TTAFStock'!AO47</f>
        <v/>
      </c>
      <c r="AR869">
        <f>'T_TTAFStock'!AP47</f>
        <v/>
      </c>
      <c r="AS869">
        <f>'T_TTAFStock'!AQ47</f>
        <v/>
      </c>
      <c r="AT869">
        <f>'T_TTAFStock'!AR47</f>
        <v/>
      </c>
      <c r="AU869">
        <f>'T_TTAFStock'!AS47</f>
        <v/>
      </c>
      <c r="AV869">
        <f>'T_TTAFStock'!AT47</f>
        <v/>
      </c>
      <c r="AW869">
        <f>'T_TTAFStock'!AU47</f>
        <v/>
      </c>
      <c r="AX869">
        <f>'T_TTAFStock'!AV47</f>
        <v/>
      </c>
      <c r="AY869">
        <f>'T_TTAFStock'!AW47</f>
        <v/>
      </c>
      <c r="AZ869">
        <f>'T_TTAFStock'!AX47</f>
        <v/>
      </c>
      <c r="BA869">
        <f>'T_TTAFStock'!AY47</f>
        <v/>
      </c>
      <c r="BB869">
        <f>'T_TTAFStock'!AZ47</f>
        <v/>
      </c>
      <c r="BC869">
        <f>'T_TTAFStock'!BA47</f>
        <v/>
      </c>
      <c r="BD869">
        <f>'T_TTAFStock'!BB47</f>
        <v/>
      </c>
      <c r="BE869">
        <f>'T_TTAFStock'!BC47</f>
        <v/>
      </c>
      <c r="BF869">
        <f>'T_TTAFStock'!BD47</f>
        <v/>
      </c>
      <c r="BG869">
        <f>'T_TTAFStock'!BE47</f>
        <v/>
      </c>
      <c r="BH869">
        <f>'T_TTAFStock'!BF47</f>
        <v/>
      </c>
      <c r="BI869">
        <f>'T_TTAFStock'!BG47</f>
        <v/>
      </c>
      <c r="BJ869">
        <f>'T_TTAFStock'!BH47</f>
        <v/>
      </c>
      <c r="BK869">
        <f>'T_TTAFStock'!BI47</f>
        <v/>
      </c>
      <c r="BL869">
        <f>'T_TTAFStock'!BJ47</f>
        <v/>
      </c>
      <c r="BM869">
        <f>'T_TTAFStock'!BK47</f>
        <v/>
      </c>
      <c r="BN869">
        <f>'T_TTAFStock'!BL47</f>
        <v/>
      </c>
      <c r="BO869">
        <f>'T_TTAFStock'!BM47</f>
        <v/>
      </c>
      <c r="BP869">
        <f>'T_TTAFStock'!BN47</f>
        <v/>
      </c>
      <c r="BQ869">
        <f>'T_TTAFStock'!BO47</f>
        <v/>
      </c>
      <c r="BR869">
        <f>'T_TTAFStock'!BP47</f>
        <v/>
      </c>
      <c r="BS869">
        <f>'T_TTAFStock'!BQ47</f>
        <v/>
      </c>
      <c r="BT869">
        <f>'T_TTAFStock'!BR47</f>
        <v/>
      </c>
      <c r="BU869">
        <f>'T_TTAFStock'!BS47</f>
        <v/>
      </c>
      <c r="BV869">
        <f>'T_TTAFStock'!BT47</f>
        <v/>
      </c>
      <c r="BW869">
        <f>'T_TTAFStock'!BU47</f>
        <v/>
      </c>
      <c r="BX869">
        <f>'T_TTAFStock'!BV47</f>
        <v/>
      </c>
      <c r="BY869">
        <f>'T_TTAFStock'!BW47</f>
        <v/>
      </c>
      <c r="BZ869">
        <f>'T_TTAFStock'!BX47</f>
        <v/>
      </c>
      <c r="CA869">
        <f>'T_TTAFStock'!BY47</f>
        <v/>
      </c>
      <c r="CB869">
        <f>'T_TTAFStock'!BZ47</f>
        <v/>
      </c>
      <c r="CC869">
        <f>'T_TTAFStock'!CA47</f>
        <v/>
      </c>
      <c r="CD869">
        <f>'T_TTAFStock'!CB47</f>
        <v/>
      </c>
      <c r="CE869">
        <f>'T_TTAFStock'!CC47</f>
        <v/>
      </c>
      <c r="CF869">
        <f>'T_TTAFStock'!CD47</f>
        <v/>
      </c>
      <c r="CG869">
        <f>'T_TTAFStock'!CE47</f>
        <v/>
      </c>
      <c r="CH869">
        <f>'T_TTAFStock'!CF47</f>
        <v/>
      </c>
      <c r="CI869">
        <f>'T_TTAFStock'!CG47</f>
        <v/>
      </c>
      <c r="CJ869">
        <f>'T_TTAFStock'!CH47</f>
        <v/>
      </c>
      <c r="CK869">
        <f>'T_TTAFStock'!CI47</f>
        <v/>
      </c>
      <c r="CL869">
        <f>'T_TTAFStock'!CJ47</f>
        <v/>
      </c>
      <c r="CM869">
        <f>'T_TTAFStock'!CK47</f>
        <v/>
      </c>
      <c r="CN869">
        <f>'T_TTAFStock'!CL47</f>
        <v/>
      </c>
      <c r="CO869">
        <f>'T_TTAFStock'!CM47</f>
        <v/>
      </c>
      <c r="CP869">
        <f>'T_TTAFStock'!CN47</f>
        <v/>
      </c>
      <c r="CQ869">
        <f>'T_TTAFStock'!CO47</f>
        <v/>
      </c>
      <c r="CR869">
        <f>'T_TTAFStock'!CP47</f>
        <v/>
      </c>
      <c r="CS869">
        <f>'T_TTAFStock'!CQ47</f>
        <v/>
      </c>
      <c r="CT869">
        <f>'T_TTAFStock'!CR47</f>
        <v/>
      </c>
      <c r="CU869">
        <f>'T_TTAFStock'!CS47</f>
        <v/>
      </c>
      <c r="CV869">
        <f>'T_TTAFStock'!CT47</f>
        <v/>
      </c>
      <c r="CW869">
        <f>'T_TTAFStock'!CU47</f>
        <v/>
      </c>
      <c r="CX869">
        <f>'T_TTAFStock'!CV47</f>
        <v/>
      </c>
      <c r="CY869">
        <f>'T_TTAFStock'!CW47</f>
        <v/>
      </c>
      <c r="CZ869">
        <f>'T_TTAFStock'!CX47</f>
        <v/>
      </c>
      <c r="DA869">
        <f>'T_TTAFStock'!CY47</f>
        <v/>
      </c>
      <c r="DB869">
        <f>'T_TTAFStock'!CZ47</f>
        <v/>
      </c>
      <c r="DC869">
        <f>'T_TTAFStock'!DA47</f>
        <v/>
      </c>
    </row>
    <row r="870">
      <c r="B870" t="inlineStr">
        <is>
          <t>自社在庫(実績,kg)</t>
        </is>
      </c>
      <c r="D870">
        <f>'T_SelfStock'!B47</f>
        <v/>
      </c>
      <c r="E870">
        <f>'T_SelfStock'!C47</f>
        <v/>
      </c>
      <c r="F870">
        <f>'T_SelfStock'!D47</f>
        <v/>
      </c>
      <c r="G870">
        <f>'T_SelfStock'!E47</f>
        <v/>
      </c>
      <c r="H870">
        <f>'T_SelfStock'!F47</f>
        <v/>
      </c>
      <c r="I870">
        <f>'T_SelfStock'!G47</f>
        <v/>
      </c>
      <c r="J870">
        <f>'T_SelfStock'!H47</f>
        <v/>
      </c>
      <c r="K870">
        <f>'T_SelfStock'!I47</f>
        <v/>
      </c>
      <c r="L870">
        <f>'T_SelfStock'!J47</f>
        <v/>
      </c>
      <c r="M870">
        <f>'T_SelfStock'!K47</f>
        <v/>
      </c>
      <c r="N870">
        <f>'T_SelfStock'!L47</f>
        <v/>
      </c>
      <c r="O870">
        <f>'T_SelfStock'!M47</f>
        <v/>
      </c>
      <c r="P870">
        <f>'T_SelfStock'!N47</f>
        <v/>
      </c>
      <c r="Q870">
        <f>'T_SelfStock'!O47</f>
        <v/>
      </c>
      <c r="R870">
        <f>'T_SelfStock'!P47</f>
        <v/>
      </c>
      <c r="S870">
        <f>'T_SelfStock'!Q47</f>
        <v/>
      </c>
      <c r="T870">
        <f>'T_SelfStock'!R47</f>
        <v/>
      </c>
      <c r="U870">
        <f>'T_SelfStock'!S47</f>
        <v/>
      </c>
      <c r="V870">
        <f>'T_SelfStock'!T47</f>
        <v/>
      </c>
      <c r="W870">
        <f>'T_SelfStock'!U47</f>
        <v/>
      </c>
      <c r="X870">
        <f>'T_SelfStock'!V47</f>
        <v/>
      </c>
      <c r="Y870">
        <f>'T_SelfStock'!W47</f>
        <v/>
      </c>
      <c r="Z870">
        <f>'T_SelfStock'!X47</f>
        <v/>
      </c>
      <c r="AA870">
        <f>'T_SelfStock'!Y47</f>
        <v/>
      </c>
      <c r="AB870">
        <f>'T_SelfStock'!Z47</f>
        <v/>
      </c>
      <c r="AC870">
        <f>'T_SelfStock'!AA47</f>
        <v/>
      </c>
      <c r="AD870">
        <f>'T_SelfStock'!AB47</f>
        <v/>
      </c>
      <c r="AE870">
        <f>'T_SelfStock'!AC47</f>
        <v/>
      </c>
      <c r="AF870">
        <f>'T_SelfStock'!AD47</f>
        <v/>
      </c>
      <c r="AG870">
        <f>'T_SelfStock'!AE47</f>
        <v/>
      </c>
      <c r="AH870">
        <f>'T_SelfStock'!AF47</f>
        <v/>
      </c>
      <c r="AI870">
        <f>'T_SelfStock'!AG47</f>
        <v/>
      </c>
      <c r="AJ870">
        <f>'T_SelfStock'!AH47</f>
        <v/>
      </c>
      <c r="AK870">
        <f>'T_SelfStock'!AI47</f>
        <v/>
      </c>
      <c r="AL870">
        <f>'T_SelfStock'!AJ47</f>
        <v/>
      </c>
      <c r="AM870">
        <f>'T_SelfStock'!AK47</f>
        <v/>
      </c>
      <c r="AN870">
        <f>'T_SelfStock'!AL47</f>
        <v/>
      </c>
      <c r="AO870">
        <f>'T_SelfStock'!AM47</f>
        <v/>
      </c>
      <c r="AP870">
        <f>'T_SelfStock'!AN47</f>
        <v/>
      </c>
      <c r="AQ870">
        <f>'T_SelfStock'!AO47</f>
        <v/>
      </c>
      <c r="AR870">
        <f>'T_SelfStock'!AP47</f>
        <v/>
      </c>
      <c r="AS870">
        <f>'T_SelfStock'!AQ47</f>
        <v/>
      </c>
      <c r="AT870">
        <f>'T_SelfStock'!AR47</f>
        <v/>
      </c>
      <c r="AU870">
        <f>'T_SelfStock'!AS47</f>
        <v/>
      </c>
      <c r="AV870">
        <f>'T_SelfStock'!AT47</f>
        <v/>
      </c>
      <c r="AW870">
        <f>'T_SelfStock'!AU47</f>
        <v/>
      </c>
      <c r="AX870">
        <f>'T_SelfStock'!AV47</f>
        <v/>
      </c>
      <c r="AY870">
        <f>'T_SelfStock'!AW47</f>
        <v/>
      </c>
      <c r="AZ870">
        <f>'T_SelfStock'!AX47</f>
        <v/>
      </c>
      <c r="BA870">
        <f>'T_SelfStock'!AY47</f>
        <v/>
      </c>
      <c r="BB870">
        <f>'T_SelfStock'!AZ47</f>
        <v/>
      </c>
      <c r="BC870">
        <f>'T_SelfStock'!BA47</f>
        <v/>
      </c>
      <c r="BD870">
        <f>'T_SelfStock'!BB47</f>
        <v/>
      </c>
      <c r="BE870">
        <f>'T_SelfStock'!BC47</f>
        <v/>
      </c>
      <c r="BF870">
        <f>'T_SelfStock'!BD47</f>
        <v/>
      </c>
      <c r="BG870">
        <f>'T_SelfStock'!BE47</f>
        <v/>
      </c>
      <c r="BH870">
        <f>'T_SelfStock'!BF47</f>
        <v/>
      </c>
      <c r="BI870">
        <f>'T_SelfStock'!BG47</f>
        <v/>
      </c>
      <c r="BJ870">
        <f>'T_SelfStock'!BH47</f>
        <v/>
      </c>
      <c r="BK870">
        <f>'T_SelfStock'!BI47</f>
        <v/>
      </c>
      <c r="BL870">
        <f>'T_SelfStock'!BJ47</f>
        <v/>
      </c>
      <c r="BM870">
        <f>'T_SelfStock'!BK47</f>
        <v/>
      </c>
      <c r="BN870">
        <f>'T_SelfStock'!BL47</f>
        <v/>
      </c>
      <c r="BO870">
        <f>'T_SelfStock'!BM47</f>
        <v/>
      </c>
      <c r="BP870">
        <f>'T_SelfStock'!BN47</f>
        <v/>
      </c>
      <c r="BQ870">
        <f>'T_SelfStock'!BO47</f>
        <v/>
      </c>
      <c r="BR870">
        <f>'T_SelfStock'!BP47</f>
        <v/>
      </c>
      <c r="BS870">
        <f>'T_SelfStock'!BQ47</f>
        <v/>
      </c>
      <c r="BT870">
        <f>'T_SelfStock'!BR47</f>
        <v/>
      </c>
      <c r="BU870">
        <f>'T_SelfStock'!BS47</f>
        <v/>
      </c>
      <c r="BV870">
        <f>'T_SelfStock'!BT47</f>
        <v/>
      </c>
      <c r="BW870">
        <f>'T_SelfStock'!BU47</f>
        <v/>
      </c>
      <c r="BX870">
        <f>'T_SelfStock'!BV47</f>
        <v/>
      </c>
      <c r="BY870">
        <f>'T_SelfStock'!BW47</f>
        <v/>
      </c>
      <c r="BZ870">
        <f>'T_SelfStock'!BX47</f>
        <v/>
      </c>
      <c r="CA870">
        <f>'T_SelfStock'!BY47</f>
        <v/>
      </c>
      <c r="CB870">
        <f>'T_SelfStock'!BZ47</f>
        <v/>
      </c>
      <c r="CC870">
        <f>'T_SelfStock'!CA47</f>
        <v/>
      </c>
      <c r="CD870">
        <f>'T_SelfStock'!CB47</f>
        <v/>
      </c>
      <c r="CE870">
        <f>'T_SelfStock'!CC47</f>
        <v/>
      </c>
      <c r="CF870">
        <f>'T_SelfStock'!CD47</f>
        <v/>
      </c>
      <c r="CG870">
        <f>'T_SelfStock'!CE47</f>
        <v/>
      </c>
      <c r="CH870">
        <f>'T_SelfStock'!CF47</f>
        <v/>
      </c>
      <c r="CI870">
        <f>'T_SelfStock'!CG47</f>
        <v/>
      </c>
      <c r="CJ870">
        <f>'T_SelfStock'!CH47</f>
        <v/>
      </c>
      <c r="CK870">
        <f>'T_SelfStock'!CI47</f>
        <v/>
      </c>
      <c r="CL870">
        <f>'T_SelfStock'!CJ47</f>
        <v/>
      </c>
      <c r="CM870">
        <f>'T_SelfStock'!CK47</f>
        <v/>
      </c>
      <c r="CN870">
        <f>'T_SelfStock'!CL47</f>
        <v/>
      </c>
      <c r="CO870">
        <f>'T_SelfStock'!CM47</f>
        <v/>
      </c>
      <c r="CP870">
        <f>'T_SelfStock'!CN47</f>
        <v/>
      </c>
      <c r="CQ870">
        <f>'T_SelfStock'!CO47</f>
        <v/>
      </c>
      <c r="CR870">
        <f>'T_SelfStock'!CP47</f>
        <v/>
      </c>
      <c r="CS870">
        <f>'T_SelfStock'!CQ47</f>
        <v/>
      </c>
      <c r="CT870">
        <f>'T_SelfStock'!CR47</f>
        <v/>
      </c>
      <c r="CU870">
        <f>'T_SelfStock'!CS47</f>
        <v/>
      </c>
      <c r="CV870">
        <f>'T_SelfStock'!CT47</f>
        <v/>
      </c>
      <c r="CW870">
        <f>'T_SelfStock'!CU47</f>
        <v/>
      </c>
      <c r="CX870">
        <f>'T_SelfStock'!CV47</f>
        <v/>
      </c>
      <c r="CY870">
        <f>'T_SelfStock'!CW47</f>
        <v/>
      </c>
      <c r="CZ870">
        <f>'T_SelfStock'!CX47</f>
        <v/>
      </c>
      <c r="DA870">
        <f>'T_SelfStock'!CY47</f>
        <v/>
      </c>
      <c r="DB870">
        <f>'T_SelfStock'!CZ47</f>
        <v/>
      </c>
      <c r="DC870">
        <f>'T_SelfStock'!DA47</f>
        <v/>
      </c>
    </row>
    <row r="871">
      <c r="B871" t="inlineStr">
        <is>
          <t>Order(発注予定,kg)</t>
        </is>
      </c>
      <c r="D871">
        <f>IF(SUMIFS(T_PlannedOrders[EffectiveQty],T_PlannedOrders[Part Name],$A807,T_PlannedOrders[WeekIndex],1)=0,"",SUMIFS(T_PlannedOrders[EffectiveQty],T_PlannedOrders[Part Name],$A807,T_PlannedOrders[WeekIndex],1)&amp;" ("&amp;TEXT(SUMPRODUCT(MAX((T_PlannedOrders[Part Name]=$A807)*(T_PlannedOrders[WeekIndex]=1)*(T_PlannedOrders[EffectiveQty]&gt;0)*T_PlannedOrders[Order_Month])),"m月")&amp;"発注)")</f>
        <v/>
      </c>
      <c r="E871">
        <f>IF(SUMIFS(T_PlannedOrders[EffectiveQty],T_PlannedOrders[Part Name],$A807,T_PlannedOrders[WeekIndex],2)=0,"",SUMIFS(T_PlannedOrders[EffectiveQty],T_PlannedOrders[Part Name],$A807,T_PlannedOrders[WeekIndex],2)&amp;" ("&amp;TEXT(SUMPRODUCT(MAX((T_PlannedOrders[Part Name]=$A807)*(T_PlannedOrders[WeekIndex]=2)*(T_PlannedOrders[EffectiveQty]&gt;0)*T_PlannedOrders[Order_Month])),"m月")&amp;"発注)")</f>
        <v/>
      </c>
      <c r="F871">
        <f>IF(SUMIFS(T_PlannedOrders[EffectiveQty],T_PlannedOrders[Part Name],$A807,T_PlannedOrders[WeekIndex],3)=0,"",SUMIFS(T_PlannedOrders[EffectiveQty],T_PlannedOrders[Part Name],$A807,T_PlannedOrders[WeekIndex],3)&amp;" ("&amp;TEXT(SUMPRODUCT(MAX((T_PlannedOrders[Part Name]=$A807)*(T_PlannedOrders[WeekIndex]=3)*(T_PlannedOrders[EffectiveQty]&gt;0)*T_PlannedOrders[Order_Month])),"m月")&amp;"発注)")</f>
        <v/>
      </c>
      <c r="G871">
        <f>IF(SUMIFS(T_PlannedOrders[EffectiveQty],T_PlannedOrders[Part Name],$A807,T_PlannedOrders[WeekIndex],4)=0,"",SUMIFS(T_PlannedOrders[EffectiveQty],T_PlannedOrders[Part Name],$A807,T_PlannedOrders[WeekIndex],4)&amp;" ("&amp;TEXT(SUMPRODUCT(MAX((T_PlannedOrders[Part Name]=$A807)*(T_PlannedOrders[WeekIndex]=4)*(T_PlannedOrders[EffectiveQty]&gt;0)*T_PlannedOrders[Order_Month])),"m月")&amp;"発注)")</f>
        <v/>
      </c>
      <c r="H871">
        <f>IF(SUMIFS(T_PlannedOrders[EffectiveQty],T_PlannedOrders[Part Name],$A807,T_PlannedOrders[WeekIndex],5)=0,"",SUMIFS(T_PlannedOrders[EffectiveQty],T_PlannedOrders[Part Name],$A807,T_PlannedOrders[WeekIndex],5)&amp;" ("&amp;TEXT(SUMPRODUCT(MAX((T_PlannedOrders[Part Name]=$A807)*(T_PlannedOrders[WeekIndex]=5)*(T_PlannedOrders[EffectiveQty]&gt;0)*T_PlannedOrders[Order_Month])),"m月")&amp;"発注)")</f>
        <v/>
      </c>
      <c r="I871">
        <f>IF(SUMIFS(T_PlannedOrders[EffectiveQty],T_PlannedOrders[Part Name],$A807,T_PlannedOrders[WeekIndex],6)=0,"",SUMIFS(T_PlannedOrders[EffectiveQty],T_PlannedOrders[Part Name],$A807,T_PlannedOrders[WeekIndex],6)&amp;" ("&amp;TEXT(SUMPRODUCT(MAX((T_PlannedOrders[Part Name]=$A807)*(T_PlannedOrders[WeekIndex]=6)*(T_PlannedOrders[EffectiveQty]&gt;0)*T_PlannedOrders[Order_Month])),"m月")&amp;"発注)")</f>
        <v/>
      </c>
      <c r="J871">
        <f>IF(SUMIFS(T_PlannedOrders[EffectiveQty],T_PlannedOrders[Part Name],$A807,T_PlannedOrders[WeekIndex],7)=0,"",SUMIFS(T_PlannedOrders[EffectiveQty],T_PlannedOrders[Part Name],$A807,T_PlannedOrders[WeekIndex],7)&amp;" ("&amp;TEXT(SUMPRODUCT(MAX((T_PlannedOrders[Part Name]=$A807)*(T_PlannedOrders[WeekIndex]=7)*(T_PlannedOrders[EffectiveQty]&gt;0)*T_PlannedOrders[Order_Month])),"m月")&amp;"発注)")</f>
        <v/>
      </c>
      <c r="K871">
        <f>IF(SUMIFS(T_PlannedOrders[EffectiveQty],T_PlannedOrders[Part Name],$A807,T_PlannedOrders[WeekIndex],8)=0,"",SUMIFS(T_PlannedOrders[EffectiveQty],T_PlannedOrders[Part Name],$A807,T_PlannedOrders[WeekIndex],8)&amp;" ("&amp;TEXT(SUMPRODUCT(MAX((T_PlannedOrders[Part Name]=$A807)*(T_PlannedOrders[WeekIndex]=8)*(T_PlannedOrders[EffectiveQty]&gt;0)*T_PlannedOrders[Order_Month])),"m月")&amp;"発注)")</f>
        <v/>
      </c>
      <c r="L871">
        <f>IF(SUMIFS(T_PlannedOrders[EffectiveQty],T_PlannedOrders[Part Name],$A807,T_PlannedOrders[WeekIndex],9)=0,"",SUMIFS(T_PlannedOrders[EffectiveQty],T_PlannedOrders[Part Name],$A807,T_PlannedOrders[WeekIndex],9)&amp;" ("&amp;TEXT(SUMPRODUCT(MAX((T_PlannedOrders[Part Name]=$A807)*(T_PlannedOrders[WeekIndex]=9)*(T_PlannedOrders[EffectiveQty]&gt;0)*T_PlannedOrders[Order_Month])),"m月")&amp;"発注)")</f>
        <v/>
      </c>
      <c r="M871">
        <f>IF(SUMIFS(T_PlannedOrders[EffectiveQty],T_PlannedOrders[Part Name],$A807,T_PlannedOrders[WeekIndex],10)=0,"",SUMIFS(T_PlannedOrders[EffectiveQty],T_PlannedOrders[Part Name],$A807,T_PlannedOrders[WeekIndex],10)&amp;" ("&amp;TEXT(SUMPRODUCT(MAX((T_PlannedOrders[Part Name]=$A807)*(T_PlannedOrders[WeekIndex]=10)*(T_PlannedOrders[EffectiveQty]&gt;0)*T_PlannedOrders[Order_Month])),"m月")&amp;"発注)")</f>
        <v/>
      </c>
      <c r="N871">
        <f>IF(SUMIFS(T_PlannedOrders[EffectiveQty],T_PlannedOrders[Part Name],$A807,T_PlannedOrders[WeekIndex],11)=0,"",SUMIFS(T_PlannedOrders[EffectiveQty],T_PlannedOrders[Part Name],$A807,T_PlannedOrders[WeekIndex],11)&amp;" ("&amp;TEXT(SUMPRODUCT(MAX((T_PlannedOrders[Part Name]=$A807)*(T_PlannedOrders[WeekIndex]=11)*(T_PlannedOrders[EffectiveQty]&gt;0)*T_PlannedOrders[Order_Month])),"m月")&amp;"発注)")</f>
        <v/>
      </c>
      <c r="O871">
        <f>IF(SUMIFS(T_PlannedOrders[EffectiveQty],T_PlannedOrders[Part Name],$A807,T_PlannedOrders[WeekIndex],12)=0,"",SUMIFS(T_PlannedOrders[EffectiveQty],T_PlannedOrders[Part Name],$A807,T_PlannedOrders[WeekIndex],12)&amp;" ("&amp;TEXT(SUMPRODUCT(MAX((T_PlannedOrders[Part Name]=$A807)*(T_PlannedOrders[WeekIndex]=12)*(T_PlannedOrders[EffectiveQty]&gt;0)*T_PlannedOrders[Order_Month])),"m月")&amp;"発注)")</f>
        <v/>
      </c>
      <c r="P871">
        <f>IF(SUMIFS(T_PlannedOrders[EffectiveQty],T_PlannedOrders[Part Name],$A807,T_PlannedOrders[WeekIndex],13)=0,"",SUMIFS(T_PlannedOrders[EffectiveQty],T_PlannedOrders[Part Name],$A807,T_PlannedOrders[WeekIndex],13)&amp;" ("&amp;TEXT(SUMPRODUCT(MAX((T_PlannedOrders[Part Name]=$A807)*(T_PlannedOrders[WeekIndex]=13)*(T_PlannedOrders[EffectiveQty]&gt;0)*T_PlannedOrders[Order_Month])),"m月")&amp;"発注)")</f>
        <v/>
      </c>
      <c r="Q871">
        <f>IF(SUMIFS(T_PlannedOrders[EffectiveQty],T_PlannedOrders[Part Name],$A807,T_PlannedOrders[WeekIndex],14)=0,"",SUMIFS(T_PlannedOrders[EffectiveQty],T_PlannedOrders[Part Name],$A807,T_PlannedOrders[WeekIndex],14)&amp;" ("&amp;TEXT(SUMPRODUCT(MAX((T_PlannedOrders[Part Name]=$A807)*(T_PlannedOrders[WeekIndex]=14)*(T_PlannedOrders[EffectiveQty]&gt;0)*T_PlannedOrders[Order_Month])),"m月")&amp;"発注)")</f>
        <v/>
      </c>
      <c r="R871">
        <f>IF(SUMIFS(T_PlannedOrders[EffectiveQty],T_PlannedOrders[Part Name],$A807,T_PlannedOrders[WeekIndex],15)=0,"",SUMIFS(T_PlannedOrders[EffectiveQty],T_PlannedOrders[Part Name],$A807,T_PlannedOrders[WeekIndex],15)&amp;" ("&amp;TEXT(SUMPRODUCT(MAX((T_PlannedOrders[Part Name]=$A807)*(T_PlannedOrders[WeekIndex]=15)*(T_PlannedOrders[EffectiveQty]&gt;0)*T_PlannedOrders[Order_Month])),"m月")&amp;"発注)")</f>
        <v/>
      </c>
      <c r="S871">
        <f>IF(SUMIFS(T_PlannedOrders[EffectiveQty],T_PlannedOrders[Part Name],$A807,T_PlannedOrders[WeekIndex],16)=0,"",SUMIFS(T_PlannedOrders[EffectiveQty],T_PlannedOrders[Part Name],$A807,T_PlannedOrders[WeekIndex],16)&amp;" ("&amp;TEXT(SUMPRODUCT(MAX((T_PlannedOrders[Part Name]=$A807)*(T_PlannedOrders[WeekIndex]=16)*(T_PlannedOrders[EffectiveQty]&gt;0)*T_PlannedOrders[Order_Month])),"m月")&amp;"発注)")</f>
        <v/>
      </c>
      <c r="T871">
        <f>IF(SUMIFS(T_PlannedOrders[EffectiveQty],T_PlannedOrders[Part Name],$A807,T_PlannedOrders[WeekIndex],17)=0,"",SUMIFS(T_PlannedOrders[EffectiveQty],T_PlannedOrders[Part Name],$A807,T_PlannedOrders[WeekIndex],17)&amp;" ("&amp;TEXT(SUMPRODUCT(MAX((T_PlannedOrders[Part Name]=$A807)*(T_PlannedOrders[WeekIndex]=17)*(T_PlannedOrders[EffectiveQty]&gt;0)*T_PlannedOrders[Order_Month])),"m月")&amp;"発注)")</f>
        <v/>
      </c>
      <c r="U871">
        <f>IF(SUMIFS(T_PlannedOrders[EffectiveQty],T_PlannedOrders[Part Name],$A807,T_PlannedOrders[WeekIndex],18)=0,"",SUMIFS(T_PlannedOrders[EffectiveQty],T_PlannedOrders[Part Name],$A807,T_PlannedOrders[WeekIndex],18)&amp;" ("&amp;TEXT(SUMPRODUCT(MAX((T_PlannedOrders[Part Name]=$A807)*(T_PlannedOrders[WeekIndex]=18)*(T_PlannedOrders[EffectiveQty]&gt;0)*T_PlannedOrders[Order_Month])),"m月")&amp;"発注)")</f>
        <v/>
      </c>
      <c r="V871">
        <f>IF(SUMIFS(T_PlannedOrders[EffectiveQty],T_PlannedOrders[Part Name],$A807,T_PlannedOrders[WeekIndex],19)=0,"",SUMIFS(T_PlannedOrders[EffectiveQty],T_PlannedOrders[Part Name],$A807,T_PlannedOrders[WeekIndex],19)&amp;" ("&amp;TEXT(SUMPRODUCT(MAX((T_PlannedOrders[Part Name]=$A807)*(T_PlannedOrders[WeekIndex]=19)*(T_PlannedOrders[EffectiveQty]&gt;0)*T_PlannedOrders[Order_Month])),"m月")&amp;"発注)")</f>
        <v/>
      </c>
      <c r="W871">
        <f>IF(SUMIFS(T_PlannedOrders[EffectiveQty],T_PlannedOrders[Part Name],$A807,T_PlannedOrders[WeekIndex],20)=0,"",SUMIFS(T_PlannedOrders[EffectiveQty],T_PlannedOrders[Part Name],$A807,T_PlannedOrders[WeekIndex],20)&amp;" ("&amp;TEXT(SUMPRODUCT(MAX((T_PlannedOrders[Part Name]=$A807)*(T_PlannedOrders[WeekIndex]=20)*(T_PlannedOrders[EffectiveQty]&gt;0)*T_PlannedOrders[Order_Month])),"m月")&amp;"発注)")</f>
        <v/>
      </c>
      <c r="X871">
        <f>IF(SUMIFS(T_PlannedOrders[EffectiveQty],T_PlannedOrders[Part Name],$A807,T_PlannedOrders[WeekIndex],21)=0,"",SUMIFS(T_PlannedOrders[EffectiveQty],T_PlannedOrders[Part Name],$A807,T_PlannedOrders[WeekIndex],21)&amp;" ("&amp;TEXT(SUMPRODUCT(MAX((T_PlannedOrders[Part Name]=$A807)*(T_PlannedOrders[WeekIndex]=21)*(T_PlannedOrders[EffectiveQty]&gt;0)*T_PlannedOrders[Order_Month])),"m月")&amp;"発注)")</f>
        <v/>
      </c>
      <c r="Y871">
        <f>IF(SUMIFS(T_PlannedOrders[EffectiveQty],T_PlannedOrders[Part Name],$A807,T_PlannedOrders[WeekIndex],22)=0,"",SUMIFS(T_PlannedOrders[EffectiveQty],T_PlannedOrders[Part Name],$A807,T_PlannedOrders[WeekIndex],22)&amp;" ("&amp;TEXT(SUMPRODUCT(MAX((T_PlannedOrders[Part Name]=$A807)*(T_PlannedOrders[WeekIndex]=22)*(T_PlannedOrders[EffectiveQty]&gt;0)*T_PlannedOrders[Order_Month])),"m月")&amp;"発注)")</f>
        <v/>
      </c>
      <c r="Z871">
        <f>IF(SUMIFS(T_PlannedOrders[EffectiveQty],T_PlannedOrders[Part Name],$A807,T_PlannedOrders[WeekIndex],23)=0,"",SUMIFS(T_PlannedOrders[EffectiveQty],T_PlannedOrders[Part Name],$A807,T_PlannedOrders[WeekIndex],23)&amp;" ("&amp;TEXT(SUMPRODUCT(MAX((T_PlannedOrders[Part Name]=$A807)*(T_PlannedOrders[WeekIndex]=23)*(T_PlannedOrders[EffectiveQty]&gt;0)*T_PlannedOrders[Order_Month])),"m月")&amp;"発注)")</f>
        <v/>
      </c>
      <c r="AA871">
        <f>IF(SUMIFS(T_PlannedOrders[EffectiveQty],T_PlannedOrders[Part Name],$A807,T_PlannedOrders[WeekIndex],24)=0,"",SUMIFS(T_PlannedOrders[EffectiveQty],T_PlannedOrders[Part Name],$A807,T_PlannedOrders[WeekIndex],24)&amp;" ("&amp;TEXT(SUMPRODUCT(MAX((T_PlannedOrders[Part Name]=$A807)*(T_PlannedOrders[WeekIndex]=24)*(T_PlannedOrders[EffectiveQty]&gt;0)*T_PlannedOrders[Order_Month])),"m月")&amp;"発注)")</f>
        <v/>
      </c>
      <c r="AB871">
        <f>IF(SUMIFS(T_PlannedOrders[EffectiveQty],T_PlannedOrders[Part Name],$A807,T_PlannedOrders[WeekIndex],25)=0,"",SUMIFS(T_PlannedOrders[EffectiveQty],T_PlannedOrders[Part Name],$A807,T_PlannedOrders[WeekIndex],25)&amp;" ("&amp;TEXT(SUMPRODUCT(MAX((T_PlannedOrders[Part Name]=$A807)*(T_PlannedOrders[WeekIndex]=25)*(T_PlannedOrders[EffectiveQty]&gt;0)*T_PlannedOrders[Order_Month])),"m月")&amp;"発注)")</f>
        <v/>
      </c>
      <c r="AC871">
        <f>IF(SUMIFS(T_PlannedOrders[EffectiveQty],T_PlannedOrders[Part Name],$A807,T_PlannedOrders[WeekIndex],26)=0,"",SUMIFS(T_PlannedOrders[EffectiveQty],T_PlannedOrders[Part Name],$A807,T_PlannedOrders[WeekIndex],26)&amp;" ("&amp;TEXT(SUMPRODUCT(MAX((T_PlannedOrders[Part Name]=$A807)*(T_PlannedOrders[WeekIndex]=26)*(T_PlannedOrders[EffectiveQty]&gt;0)*T_PlannedOrders[Order_Month])),"m月")&amp;"発注)")</f>
        <v/>
      </c>
      <c r="AD871">
        <f>IF(SUMIFS(T_PlannedOrders[EffectiveQty],T_PlannedOrders[Part Name],$A807,T_PlannedOrders[WeekIndex],27)=0,"",SUMIFS(T_PlannedOrders[EffectiveQty],T_PlannedOrders[Part Name],$A807,T_PlannedOrders[WeekIndex],27)&amp;" ("&amp;TEXT(SUMPRODUCT(MAX((T_PlannedOrders[Part Name]=$A807)*(T_PlannedOrders[WeekIndex]=27)*(T_PlannedOrders[EffectiveQty]&gt;0)*T_PlannedOrders[Order_Month])),"m月")&amp;"発注)")</f>
        <v/>
      </c>
      <c r="AE871">
        <f>IF(SUMIFS(T_PlannedOrders[EffectiveQty],T_PlannedOrders[Part Name],$A807,T_PlannedOrders[WeekIndex],28)=0,"",SUMIFS(T_PlannedOrders[EffectiveQty],T_PlannedOrders[Part Name],$A807,T_PlannedOrders[WeekIndex],28)&amp;" ("&amp;TEXT(SUMPRODUCT(MAX((T_PlannedOrders[Part Name]=$A807)*(T_PlannedOrders[WeekIndex]=28)*(T_PlannedOrders[EffectiveQty]&gt;0)*T_PlannedOrders[Order_Month])),"m月")&amp;"発注)")</f>
        <v/>
      </c>
      <c r="AF871">
        <f>IF(SUMIFS(T_PlannedOrders[EffectiveQty],T_PlannedOrders[Part Name],$A807,T_PlannedOrders[WeekIndex],29)=0,"",SUMIFS(T_PlannedOrders[EffectiveQty],T_PlannedOrders[Part Name],$A807,T_PlannedOrders[WeekIndex],29)&amp;" ("&amp;TEXT(SUMPRODUCT(MAX((T_PlannedOrders[Part Name]=$A807)*(T_PlannedOrders[WeekIndex]=29)*(T_PlannedOrders[EffectiveQty]&gt;0)*T_PlannedOrders[Order_Month])),"m月")&amp;"発注)")</f>
        <v/>
      </c>
      <c r="AG871">
        <f>IF(SUMIFS(T_PlannedOrders[EffectiveQty],T_PlannedOrders[Part Name],$A807,T_PlannedOrders[WeekIndex],30)=0,"",SUMIFS(T_PlannedOrders[EffectiveQty],T_PlannedOrders[Part Name],$A807,T_PlannedOrders[WeekIndex],30)&amp;" ("&amp;TEXT(SUMPRODUCT(MAX((T_PlannedOrders[Part Name]=$A807)*(T_PlannedOrders[WeekIndex]=30)*(T_PlannedOrders[EffectiveQty]&gt;0)*T_PlannedOrders[Order_Month])),"m月")&amp;"発注)")</f>
        <v/>
      </c>
      <c r="AH871">
        <f>IF(SUMIFS(T_PlannedOrders[EffectiveQty],T_PlannedOrders[Part Name],$A807,T_PlannedOrders[WeekIndex],31)=0,"",SUMIFS(T_PlannedOrders[EffectiveQty],T_PlannedOrders[Part Name],$A807,T_PlannedOrders[WeekIndex],31)&amp;" ("&amp;TEXT(SUMPRODUCT(MAX((T_PlannedOrders[Part Name]=$A807)*(T_PlannedOrders[WeekIndex]=31)*(T_PlannedOrders[EffectiveQty]&gt;0)*T_PlannedOrders[Order_Month])),"m月")&amp;"発注)")</f>
        <v/>
      </c>
      <c r="AI871">
        <f>IF(SUMIFS(T_PlannedOrders[EffectiveQty],T_PlannedOrders[Part Name],$A807,T_PlannedOrders[WeekIndex],32)=0,"",SUMIFS(T_PlannedOrders[EffectiveQty],T_PlannedOrders[Part Name],$A807,T_PlannedOrders[WeekIndex],32)&amp;" ("&amp;TEXT(SUMPRODUCT(MAX((T_PlannedOrders[Part Name]=$A807)*(T_PlannedOrders[WeekIndex]=32)*(T_PlannedOrders[EffectiveQty]&gt;0)*T_PlannedOrders[Order_Month])),"m月")&amp;"発注)")</f>
        <v/>
      </c>
      <c r="AJ871">
        <f>IF(SUMIFS(T_PlannedOrders[EffectiveQty],T_PlannedOrders[Part Name],$A807,T_PlannedOrders[WeekIndex],33)=0,"",SUMIFS(T_PlannedOrders[EffectiveQty],T_PlannedOrders[Part Name],$A807,T_PlannedOrders[WeekIndex],33)&amp;" ("&amp;TEXT(SUMPRODUCT(MAX((T_PlannedOrders[Part Name]=$A807)*(T_PlannedOrders[WeekIndex]=33)*(T_PlannedOrders[EffectiveQty]&gt;0)*T_PlannedOrders[Order_Month])),"m月")&amp;"発注)")</f>
        <v/>
      </c>
      <c r="AK871">
        <f>IF(SUMIFS(T_PlannedOrders[EffectiveQty],T_PlannedOrders[Part Name],$A807,T_PlannedOrders[WeekIndex],34)=0,"",SUMIFS(T_PlannedOrders[EffectiveQty],T_PlannedOrders[Part Name],$A807,T_PlannedOrders[WeekIndex],34)&amp;" ("&amp;TEXT(SUMPRODUCT(MAX((T_PlannedOrders[Part Name]=$A807)*(T_PlannedOrders[WeekIndex]=34)*(T_PlannedOrders[EffectiveQty]&gt;0)*T_PlannedOrders[Order_Month])),"m月")&amp;"発注)")</f>
        <v/>
      </c>
      <c r="AL871">
        <f>IF(SUMIFS(T_PlannedOrders[EffectiveQty],T_PlannedOrders[Part Name],$A807,T_PlannedOrders[WeekIndex],35)=0,"",SUMIFS(T_PlannedOrders[EffectiveQty],T_PlannedOrders[Part Name],$A807,T_PlannedOrders[WeekIndex],35)&amp;" ("&amp;TEXT(SUMPRODUCT(MAX((T_PlannedOrders[Part Name]=$A807)*(T_PlannedOrders[WeekIndex]=35)*(T_PlannedOrders[EffectiveQty]&gt;0)*T_PlannedOrders[Order_Month])),"m月")&amp;"発注)")</f>
        <v/>
      </c>
      <c r="AM871">
        <f>IF(SUMIFS(T_PlannedOrders[EffectiveQty],T_PlannedOrders[Part Name],$A807,T_PlannedOrders[WeekIndex],36)=0,"",SUMIFS(T_PlannedOrders[EffectiveQty],T_PlannedOrders[Part Name],$A807,T_PlannedOrders[WeekIndex],36)&amp;" ("&amp;TEXT(SUMPRODUCT(MAX((T_PlannedOrders[Part Name]=$A807)*(T_PlannedOrders[WeekIndex]=36)*(T_PlannedOrders[EffectiveQty]&gt;0)*T_PlannedOrders[Order_Month])),"m月")&amp;"発注)")</f>
        <v/>
      </c>
      <c r="AN871">
        <f>IF(SUMIFS(T_PlannedOrders[EffectiveQty],T_PlannedOrders[Part Name],$A807,T_PlannedOrders[WeekIndex],37)=0,"",SUMIFS(T_PlannedOrders[EffectiveQty],T_PlannedOrders[Part Name],$A807,T_PlannedOrders[WeekIndex],37)&amp;" ("&amp;TEXT(SUMPRODUCT(MAX((T_PlannedOrders[Part Name]=$A807)*(T_PlannedOrders[WeekIndex]=37)*(T_PlannedOrders[EffectiveQty]&gt;0)*T_PlannedOrders[Order_Month])),"m月")&amp;"発注)")</f>
        <v/>
      </c>
      <c r="AO871">
        <f>IF(SUMIFS(T_PlannedOrders[EffectiveQty],T_PlannedOrders[Part Name],$A807,T_PlannedOrders[WeekIndex],38)=0,"",SUMIFS(T_PlannedOrders[EffectiveQty],T_PlannedOrders[Part Name],$A807,T_PlannedOrders[WeekIndex],38)&amp;" ("&amp;TEXT(SUMPRODUCT(MAX((T_PlannedOrders[Part Name]=$A807)*(T_PlannedOrders[WeekIndex]=38)*(T_PlannedOrders[EffectiveQty]&gt;0)*T_PlannedOrders[Order_Month])),"m月")&amp;"発注)")</f>
        <v/>
      </c>
      <c r="AP871">
        <f>IF(SUMIFS(T_PlannedOrders[EffectiveQty],T_PlannedOrders[Part Name],$A807,T_PlannedOrders[WeekIndex],39)=0,"",SUMIFS(T_PlannedOrders[EffectiveQty],T_PlannedOrders[Part Name],$A807,T_PlannedOrders[WeekIndex],39)&amp;" ("&amp;TEXT(SUMPRODUCT(MAX((T_PlannedOrders[Part Name]=$A807)*(T_PlannedOrders[WeekIndex]=39)*(T_PlannedOrders[EffectiveQty]&gt;0)*T_PlannedOrders[Order_Month])),"m月")&amp;"発注)")</f>
        <v/>
      </c>
      <c r="AQ871">
        <f>IF(SUMIFS(T_PlannedOrders[EffectiveQty],T_PlannedOrders[Part Name],$A807,T_PlannedOrders[WeekIndex],40)=0,"",SUMIFS(T_PlannedOrders[EffectiveQty],T_PlannedOrders[Part Name],$A807,T_PlannedOrders[WeekIndex],40)&amp;" ("&amp;TEXT(SUMPRODUCT(MAX((T_PlannedOrders[Part Name]=$A807)*(T_PlannedOrders[WeekIndex]=40)*(T_PlannedOrders[EffectiveQty]&gt;0)*T_PlannedOrders[Order_Month])),"m月")&amp;"発注)")</f>
        <v/>
      </c>
      <c r="AR871">
        <f>IF(SUMIFS(T_PlannedOrders[EffectiveQty],T_PlannedOrders[Part Name],$A807,T_PlannedOrders[WeekIndex],41)=0,"",SUMIFS(T_PlannedOrders[EffectiveQty],T_PlannedOrders[Part Name],$A807,T_PlannedOrders[WeekIndex],41)&amp;" ("&amp;TEXT(SUMPRODUCT(MAX((T_PlannedOrders[Part Name]=$A807)*(T_PlannedOrders[WeekIndex]=41)*(T_PlannedOrders[EffectiveQty]&gt;0)*T_PlannedOrders[Order_Month])),"m月")&amp;"発注)")</f>
        <v/>
      </c>
      <c r="AS871">
        <f>IF(SUMIFS(T_PlannedOrders[EffectiveQty],T_PlannedOrders[Part Name],$A807,T_PlannedOrders[WeekIndex],42)=0,"",SUMIFS(T_PlannedOrders[EffectiveQty],T_PlannedOrders[Part Name],$A807,T_PlannedOrders[WeekIndex],42)&amp;" ("&amp;TEXT(SUMPRODUCT(MAX((T_PlannedOrders[Part Name]=$A807)*(T_PlannedOrders[WeekIndex]=42)*(T_PlannedOrders[EffectiveQty]&gt;0)*T_PlannedOrders[Order_Month])),"m月")&amp;"発注)")</f>
        <v/>
      </c>
      <c r="AT871">
        <f>IF(SUMIFS(T_PlannedOrders[EffectiveQty],T_PlannedOrders[Part Name],$A807,T_PlannedOrders[WeekIndex],43)=0,"",SUMIFS(T_PlannedOrders[EffectiveQty],T_PlannedOrders[Part Name],$A807,T_PlannedOrders[WeekIndex],43)&amp;" ("&amp;TEXT(SUMPRODUCT(MAX((T_PlannedOrders[Part Name]=$A807)*(T_PlannedOrders[WeekIndex]=43)*(T_PlannedOrders[EffectiveQty]&gt;0)*T_PlannedOrders[Order_Month])),"m月")&amp;"発注)")</f>
        <v/>
      </c>
      <c r="AU871">
        <f>IF(SUMIFS(T_PlannedOrders[EffectiveQty],T_PlannedOrders[Part Name],$A807,T_PlannedOrders[WeekIndex],44)=0,"",SUMIFS(T_PlannedOrders[EffectiveQty],T_PlannedOrders[Part Name],$A807,T_PlannedOrders[WeekIndex],44)&amp;" ("&amp;TEXT(SUMPRODUCT(MAX((T_PlannedOrders[Part Name]=$A807)*(T_PlannedOrders[WeekIndex]=44)*(T_PlannedOrders[EffectiveQty]&gt;0)*T_PlannedOrders[Order_Month])),"m月")&amp;"発注)")</f>
        <v/>
      </c>
      <c r="AV871">
        <f>IF(SUMIFS(T_PlannedOrders[EffectiveQty],T_PlannedOrders[Part Name],$A807,T_PlannedOrders[WeekIndex],45)=0,"",SUMIFS(T_PlannedOrders[EffectiveQty],T_PlannedOrders[Part Name],$A807,T_PlannedOrders[WeekIndex],45)&amp;" ("&amp;TEXT(SUMPRODUCT(MAX((T_PlannedOrders[Part Name]=$A807)*(T_PlannedOrders[WeekIndex]=45)*(T_PlannedOrders[EffectiveQty]&gt;0)*T_PlannedOrders[Order_Month])),"m月")&amp;"発注)")</f>
        <v/>
      </c>
      <c r="AW871">
        <f>IF(SUMIFS(T_PlannedOrders[EffectiveQty],T_PlannedOrders[Part Name],$A807,T_PlannedOrders[WeekIndex],46)=0,"",SUMIFS(T_PlannedOrders[EffectiveQty],T_PlannedOrders[Part Name],$A807,T_PlannedOrders[WeekIndex],46)&amp;" ("&amp;TEXT(SUMPRODUCT(MAX((T_PlannedOrders[Part Name]=$A807)*(T_PlannedOrders[WeekIndex]=46)*(T_PlannedOrders[EffectiveQty]&gt;0)*T_PlannedOrders[Order_Month])),"m月")&amp;"発注)")</f>
        <v/>
      </c>
      <c r="AX871">
        <f>IF(SUMIFS(T_PlannedOrders[EffectiveQty],T_PlannedOrders[Part Name],$A807,T_PlannedOrders[WeekIndex],47)=0,"",SUMIFS(T_PlannedOrders[EffectiveQty],T_PlannedOrders[Part Name],$A807,T_PlannedOrders[WeekIndex],47)&amp;" ("&amp;TEXT(SUMPRODUCT(MAX((T_PlannedOrders[Part Name]=$A807)*(T_PlannedOrders[WeekIndex]=47)*(T_PlannedOrders[EffectiveQty]&gt;0)*T_PlannedOrders[Order_Month])),"m月")&amp;"発注)")</f>
        <v/>
      </c>
      <c r="AY871">
        <f>IF(SUMIFS(T_PlannedOrders[EffectiveQty],T_PlannedOrders[Part Name],$A807,T_PlannedOrders[WeekIndex],48)=0,"",SUMIFS(T_PlannedOrders[EffectiveQty],T_PlannedOrders[Part Name],$A807,T_PlannedOrders[WeekIndex],48)&amp;" ("&amp;TEXT(SUMPRODUCT(MAX((T_PlannedOrders[Part Name]=$A807)*(T_PlannedOrders[WeekIndex]=48)*(T_PlannedOrders[EffectiveQty]&gt;0)*T_PlannedOrders[Order_Month])),"m月")&amp;"発注)")</f>
        <v/>
      </c>
      <c r="AZ871">
        <f>IF(SUMIFS(T_PlannedOrders[EffectiveQty],T_PlannedOrders[Part Name],$A807,T_PlannedOrders[WeekIndex],49)=0,"",SUMIFS(T_PlannedOrders[EffectiveQty],T_PlannedOrders[Part Name],$A807,T_PlannedOrders[WeekIndex],49)&amp;" ("&amp;TEXT(SUMPRODUCT(MAX((T_PlannedOrders[Part Name]=$A807)*(T_PlannedOrders[WeekIndex]=49)*(T_PlannedOrders[EffectiveQty]&gt;0)*T_PlannedOrders[Order_Month])),"m月")&amp;"発注)")</f>
        <v/>
      </c>
      <c r="BA871">
        <f>IF(SUMIFS(T_PlannedOrders[EffectiveQty],T_PlannedOrders[Part Name],$A807,T_PlannedOrders[WeekIndex],50)=0,"",SUMIFS(T_PlannedOrders[EffectiveQty],T_PlannedOrders[Part Name],$A807,T_PlannedOrders[WeekIndex],50)&amp;" ("&amp;TEXT(SUMPRODUCT(MAX((T_PlannedOrders[Part Name]=$A807)*(T_PlannedOrders[WeekIndex]=50)*(T_PlannedOrders[EffectiveQty]&gt;0)*T_PlannedOrders[Order_Month])),"m月")&amp;"発注)")</f>
        <v/>
      </c>
      <c r="BB871">
        <f>IF(SUMIFS(T_PlannedOrders[EffectiveQty],T_PlannedOrders[Part Name],$A807,T_PlannedOrders[WeekIndex],51)=0,"",SUMIFS(T_PlannedOrders[EffectiveQty],T_PlannedOrders[Part Name],$A807,T_PlannedOrders[WeekIndex],51)&amp;" ("&amp;TEXT(SUMPRODUCT(MAX((T_PlannedOrders[Part Name]=$A807)*(T_PlannedOrders[WeekIndex]=51)*(T_PlannedOrders[EffectiveQty]&gt;0)*T_PlannedOrders[Order_Month])),"m月")&amp;"発注)")</f>
        <v/>
      </c>
      <c r="BC871">
        <f>IF(SUMIFS(T_PlannedOrders[EffectiveQty],T_PlannedOrders[Part Name],$A807,T_PlannedOrders[WeekIndex],52)=0,"",SUMIFS(T_PlannedOrders[EffectiveQty],T_PlannedOrders[Part Name],$A807,T_PlannedOrders[WeekIndex],52)&amp;" ("&amp;TEXT(SUMPRODUCT(MAX((T_PlannedOrders[Part Name]=$A807)*(T_PlannedOrders[WeekIndex]=52)*(T_PlannedOrders[EffectiveQty]&gt;0)*T_PlannedOrders[Order_Month])),"m月")&amp;"発注)")</f>
        <v/>
      </c>
      <c r="BD871">
        <f>IF(SUMIFS(T_PlannedOrders[EffectiveQty],T_PlannedOrders[Part Name],$A807,T_PlannedOrders[WeekIndex],53)=0,"",SUMIFS(T_PlannedOrders[EffectiveQty],T_PlannedOrders[Part Name],$A807,T_PlannedOrders[WeekIndex],53)&amp;" ("&amp;TEXT(SUMPRODUCT(MAX((T_PlannedOrders[Part Name]=$A807)*(T_PlannedOrders[WeekIndex]=53)*(T_PlannedOrders[EffectiveQty]&gt;0)*T_PlannedOrders[Order_Month])),"m月")&amp;"発注)")</f>
        <v/>
      </c>
      <c r="BE871">
        <f>IF(SUMIFS(T_PlannedOrders[EffectiveQty],T_PlannedOrders[Part Name],$A807,T_PlannedOrders[WeekIndex],54)=0,"",SUMIFS(T_PlannedOrders[EffectiveQty],T_PlannedOrders[Part Name],$A807,T_PlannedOrders[WeekIndex],54)&amp;" ("&amp;TEXT(SUMPRODUCT(MAX((T_PlannedOrders[Part Name]=$A807)*(T_PlannedOrders[WeekIndex]=54)*(T_PlannedOrders[EffectiveQty]&gt;0)*T_PlannedOrders[Order_Month])),"m月")&amp;"発注)")</f>
        <v/>
      </c>
      <c r="BF871">
        <f>IF(SUMIFS(T_PlannedOrders[EffectiveQty],T_PlannedOrders[Part Name],$A807,T_PlannedOrders[WeekIndex],55)=0,"",SUMIFS(T_PlannedOrders[EffectiveQty],T_PlannedOrders[Part Name],$A807,T_PlannedOrders[WeekIndex],55)&amp;" ("&amp;TEXT(SUMPRODUCT(MAX((T_PlannedOrders[Part Name]=$A807)*(T_PlannedOrders[WeekIndex]=55)*(T_PlannedOrders[EffectiveQty]&gt;0)*T_PlannedOrders[Order_Month])),"m月")&amp;"発注)")</f>
        <v/>
      </c>
      <c r="BG871">
        <f>IF(SUMIFS(T_PlannedOrders[EffectiveQty],T_PlannedOrders[Part Name],$A807,T_PlannedOrders[WeekIndex],56)=0,"",SUMIFS(T_PlannedOrders[EffectiveQty],T_PlannedOrders[Part Name],$A807,T_PlannedOrders[WeekIndex],56)&amp;" ("&amp;TEXT(SUMPRODUCT(MAX((T_PlannedOrders[Part Name]=$A807)*(T_PlannedOrders[WeekIndex]=56)*(T_PlannedOrders[EffectiveQty]&gt;0)*T_PlannedOrders[Order_Month])),"m月")&amp;"発注)")</f>
        <v/>
      </c>
      <c r="BH871">
        <f>IF(SUMIFS(T_PlannedOrders[EffectiveQty],T_PlannedOrders[Part Name],$A807,T_PlannedOrders[WeekIndex],57)=0,"",SUMIFS(T_PlannedOrders[EffectiveQty],T_PlannedOrders[Part Name],$A807,T_PlannedOrders[WeekIndex],57)&amp;" ("&amp;TEXT(SUMPRODUCT(MAX((T_PlannedOrders[Part Name]=$A807)*(T_PlannedOrders[WeekIndex]=57)*(T_PlannedOrders[EffectiveQty]&gt;0)*T_PlannedOrders[Order_Month])),"m月")&amp;"発注)")</f>
        <v/>
      </c>
      <c r="BI871">
        <f>IF(SUMIFS(T_PlannedOrders[EffectiveQty],T_PlannedOrders[Part Name],$A807,T_PlannedOrders[WeekIndex],58)=0,"",SUMIFS(T_PlannedOrders[EffectiveQty],T_PlannedOrders[Part Name],$A807,T_PlannedOrders[WeekIndex],58)&amp;" ("&amp;TEXT(SUMPRODUCT(MAX((T_PlannedOrders[Part Name]=$A807)*(T_PlannedOrders[WeekIndex]=58)*(T_PlannedOrders[EffectiveQty]&gt;0)*T_PlannedOrders[Order_Month])),"m月")&amp;"発注)")</f>
        <v/>
      </c>
      <c r="BJ871">
        <f>IF(SUMIFS(T_PlannedOrders[EffectiveQty],T_PlannedOrders[Part Name],$A807,T_PlannedOrders[WeekIndex],59)=0,"",SUMIFS(T_PlannedOrders[EffectiveQty],T_PlannedOrders[Part Name],$A807,T_PlannedOrders[WeekIndex],59)&amp;" ("&amp;TEXT(SUMPRODUCT(MAX((T_PlannedOrders[Part Name]=$A807)*(T_PlannedOrders[WeekIndex]=59)*(T_PlannedOrders[EffectiveQty]&gt;0)*T_PlannedOrders[Order_Month])),"m月")&amp;"発注)")</f>
        <v/>
      </c>
      <c r="BK871">
        <f>IF(SUMIFS(T_PlannedOrders[EffectiveQty],T_PlannedOrders[Part Name],$A807,T_PlannedOrders[WeekIndex],60)=0,"",SUMIFS(T_PlannedOrders[EffectiveQty],T_PlannedOrders[Part Name],$A807,T_PlannedOrders[WeekIndex],60)&amp;" ("&amp;TEXT(SUMPRODUCT(MAX((T_PlannedOrders[Part Name]=$A807)*(T_PlannedOrders[WeekIndex]=60)*(T_PlannedOrders[EffectiveQty]&gt;0)*T_PlannedOrders[Order_Month])),"m月")&amp;"発注)")</f>
        <v/>
      </c>
      <c r="BL871">
        <f>IF(SUMIFS(T_PlannedOrders[EffectiveQty],T_PlannedOrders[Part Name],$A807,T_PlannedOrders[WeekIndex],61)=0,"",SUMIFS(T_PlannedOrders[EffectiveQty],T_PlannedOrders[Part Name],$A807,T_PlannedOrders[WeekIndex],61)&amp;" ("&amp;TEXT(SUMPRODUCT(MAX((T_PlannedOrders[Part Name]=$A807)*(T_PlannedOrders[WeekIndex]=61)*(T_PlannedOrders[EffectiveQty]&gt;0)*T_PlannedOrders[Order_Month])),"m月")&amp;"発注)")</f>
        <v/>
      </c>
      <c r="BM871">
        <f>IF(SUMIFS(T_PlannedOrders[EffectiveQty],T_PlannedOrders[Part Name],$A807,T_PlannedOrders[WeekIndex],62)=0,"",SUMIFS(T_PlannedOrders[EffectiveQty],T_PlannedOrders[Part Name],$A807,T_PlannedOrders[WeekIndex],62)&amp;" ("&amp;TEXT(SUMPRODUCT(MAX((T_PlannedOrders[Part Name]=$A807)*(T_PlannedOrders[WeekIndex]=62)*(T_PlannedOrders[EffectiveQty]&gt;0)*T_PlannedOrders[Order_Month])),"m月")&amp;"発注)")</f>
        <v/>
      </c>
      <c r="BN871">
        <f>IF(SUMIFS(T_PlannedOrders[EffectiveQty],T_PlannedOrders[Part Name],$A807,T_PlannedOrders[WeekIndex],63)=0,"",SUMIFS(T_PlannedOrders[EffectiveQty],T_PlannedOrders[Part Name],$A807,T_PlannedOrders[WeekIndex],63)&amp;" ("&amp;TEXT(SUMPRODUCT(MAX((T_PlannedOrders[Part Name]=$A807)*(T_PlannedOrders[WeekIndex]=63)*(T_PlannedOrders[EffectiveQty]&gt;0)*T_PlannedOrders[Order_Month])),"m月")&amp;"発注)")</f>
        <v/>
      </c>
      <c r="BO871">
        <f>IF(SUMIFS(T_PlannedOrders[EffectiveQty],T_PlannedOrders[Part Name],$A807,T_PlannedOrders[WeekIndex],64)=0,"",SUMIFS(T_PlannedOrders[EffectiveQty],T_PlannedOrders[Part Name],$A807,T_PlannedOrders[WeekIndex],64)&amp;" ("&amp;TEXT(SUMPRODUCT(MAX((T_PlannedOrders[Part Name]=$A807)*(T_PlannedOrders[WeekIndex]=64)*(T_PlannedOrders[EffectiveQty]&gt;0)*T_PlannedOrders[Order_Month])),"m月")&amp;"発注)")</f>
        <v/>
      </c>
      <c r="BP871">
        <f>IF(SUMIFS(T_PlannedOrders[EffectiveQty],T_PlannedOrders[Part Name],$A807,T_PlannedOrders[WeekIndex],65)=0,"",SUMIFS(T_PlannedOrders[EffectiveQty],T_PlannedOrders[Part Name],$A807,T_PlannedOrders[WeekIndex],65)&amp;" ("&amp;TEXT(SUMPRODUCT(MAX((T_PlannedOrders[Part Name]=$A807)*(T_PlannedOrders[WeekIndex]=65)*(T_PlannedOrders[EffectiveQty]&gt;0)*T_PlannedOrders[Order_Month])),"m月")&amp;"発注)")</f>
        <v/>
      </c>
      <c r="BQ871">
        <f>IF(SUMIFS(T_PlannedOrders[EffectiveQty],T_PlannedOrders[Part Name],$A807,T_PlannedOrders[WeekIndex],66)=0,"",SUMIFS(T_PlannedOrders[EffectiveQty],T_PlannedOrders[Part Name],$A807,T_PlannedOrders[WeekIndex],66)&amp;" ("&amp;TEXT(SUMPRODUCT(MAX((T_PlannedOrders[Part Name]=$A807)*(T_PlannedOrders[WeekIndex]=66)*(T_PlannedOrders[EffectiveQty]&gt;0)*T_PlannedOrders[Order_Month])),"m月")&amp;"発注)")</f>
        <v/>
      </c>
      <c r="BR871">
        <f>IF(SUMIFS(T_PlannedOrders[EffectiveQty],T_PlannedOrders[Part Name],$A807,T_PlannedOrders[WeekIndex],67)=0,"",SUMIFS(T_PlannedOrders[EffectiveQty],T_PlannedOrders[Part Name],$A807,T_PlannedOrders[WeekIndex],67)&amp;" ("&amp;TEXT(SUMPRODUCT(MAX((T_PlannedOrders[Part Name]=$A807)*(T_PlannedOrders[WeekIndex]=67)*(T_PlannedOrders[EffectiveQty]&gt;0)*T_PlannedOrders[Order_Month])),"m月")&amp;"発注)")</f>
        <v/>
      </c>
      <c r="BS871">
        <f>IF(SUMIFS(T_PlannedOrders[EffectiveQty],T_PlannedOrders[Part Name],$A807,T_PlannedOrders[WeekIndex],68)=0,"",SUMIFS(T_PlannedOrders[EffectiveQty],T_PlannedOrders[Part Name],$A807,T_PlannedOrders[WeekIndex],68)&amp;" ("&amp;TEXT(SUMPRODUCT(MAX((T_PlannedOrders[Part Name]=$A807)*(T_PlannedOrders[WeekIndex]=68)*(T_PlannedOrders[EffectiveQty]&gt;0)*T_PlannedOrders[Order_Month])),"m月")&amp;"発注)")</f>
        <v/>
      </c>
      <c r="BT871">
        <f>IF(SUMIFS(T_PlannedOrders[EffectiveQty],T_PlannedOrders[Part Name],$A807,T_PlannedOrders[WeekIndex],69)=0,"",SUMIFS(T_PlannedOrders[EffectiveQty],T_PlannedOrders[Part Name],$A807,T_PlannedOrders[WeekIndex],69)&amp;" ("&amp;TEXT(SUMPRODUCT(MAX((T_PlannedOrders[Part Name]=$A807)*(T_PlannedOrders[WeekIndex]=69)*(T_PlannedOrders[EffectiveQty]&gt;0)*T_PlannedOrders[Order_Month])),"m月")&amp;"発注)")</f>
        <v/>
      </c>
      <c r="BU871">
        <f>IF(SUMIFS(T_PlannedOrders[EffectiveQty],T_PlannedOrders[Part Name],$A807,T_PlannedOrders[WeekIndex],70)=0,"",SUMIFS(T_PlannedOrders[EffectiveQty],T_PlannedOrders[Part Name],$A807,T_PlannedOrders[WeekIndex],70)&amp;" ("&amp;TEXT(SUMPRODUCT(MAX((T_PlannedOrders[Part Name]=$A807)*(T_PlannedOrders[WeekIndex]=70)*(T_PlannedOrders[EffectiveQty]&gt;0)*T_PlannedOrders[Order_Month])),"m月")&amp;"発注)")</f>
        <v/>
      </c>
      <c r="BV871">
        <f>IF(SUMIFS(T_PlannedOrders[EffectiveQty],T_PlannedOrders[Part Name],$A807,T_PlannedOrders[WeekIndex],71)=0,"",SUMIFS(T_PlannedOrders[EffectiveQty],T_PlannedOrders[Part Name],$A807,T_PlannedOrders[WeekIndex],71)&amp;" ("&amp;TEXT(SUMPRODUCT(MAX((T_PlannedOrders[Part Name]=$A807)*(T_PlannedOrders[WeekIndex]=71)*(T_PlannedOrders[EffectiveQty]&gt;0)*T_PlannedOrders[Order_Month])),"m月")&amp;"発注)")</f>
        <v/>
      </c>
      <c r="BW871">
        <f>IF(SUMIFS(T_PlannedOrders[EffectiveQty],T_PlannedOrders[Part Name],$A807,T_PlannedOrders[WeekIndex],72)=0,"",SUMIFS(T_PlannedOrders[EffectiveQty],T_PlannedOrders[Part Name],$A807,T_PlannedOrders[WeekIndex],72)&amp;" ("&amp;TEXT(SUMPRODUCT(MAX((T_PlannedOrders[Part Name]=$A807)*(T_PlannedOrders[WeekIndex]=72)*(T_PlannedOrders[EffectiveQty]&gt;0)*T_PlannedOrders[Order_Month])),"m月")&amp;"発注)")</f>
        <v/>
      </c>
      <c r="BX871">
        <f>IF(SUMIFS(T_PlannedOrders[EffectiveQty],T_PlannedOrders[Part Name],$A807,T_PlannedOrders[WeekIndex],73)=0,"",SUMIFS(T_PlannedOrders[EffectiveQty],T_PlannedOrders[Part Name],$A807,T_PlannedOrders[WeekIndex],73)&amp;" ("&amp;TEXT(SUMPRODUCT(MAX((T_PlannedOrders[Part Name]=$A807)*(T_PlannedOrders[WeekIndex]=73)*(T_PlannedOrders[EffectiveQty]&gt;0)*T_PlannedOrders[Order_Month])),"m月")&amp;"発注)")</f>
        <v/>
      </c>
      <c r="BY871">
        <f>IF(SUMIFS(T_PlannedOrders[EffectiveQty],T_PlannedOrders[Part Name],$A807,T_PlannedOrders[WeekIndex],74)=0,"",SUMIFS(T_PlannedOrders[EffectiveQty],T_PlannedOrders[Part Name],$A807,T_PlannedOrders[WeekIndex],74)&amp;" ("&amp;TEXT(SUMPRODUCT(MAX((T_PlannedOrders[Part Name]=$A807)*(T_PlannedOrders[WeekIndex]=74)*(T_PlannedOrders[EffectiveQty]&gt;0)*T_PlannedOrders[Order_Month])),"m月")&amp;"発注)")</f>
        <v/>
      </c>
      <c r="BZ871">
        <f>IF(SUMIFS(T_PlannedOrders[EffectiveQty],T_PlannedOrders[Part Name],$A807,T_PlannedOrders[WeekIndex],75)=0,"",SUMIFS(T_PlannedOrders[EffectiveQty],T_PlannedOrders[Part Name],$A807,T_PlannedOrders[WeekIndex],75)&amp;" ("&amp;TEXT(SUMPRODUCT(MAX((T_PlannedOrders[Part Name]=$A807)*(T_PlannedOrders[WeekIndex]=75)*(T_PlannedOrders[EffectiveQty]&gt;0)*T_PlannedOrders[Order_Month])),"m月")&amp;"発注)")</f>
        <v/>
      </c>
      <c r="CA871">
        <f>IF(SUMIFS(T_PlannedOrders[EffectiveQty],T_PlannedOrders[Part Name],$A807,T_PlannedOrders[WeekIndex],76)=0,"",SUMIFS(T_PlannedOrders[EffectiveQty],T_PlannedOrders[Part Name],$A807,T_PlannedOrders[WeekIndex],76)&amp;" ("&amp;TEXT(SUMPRODUCT(MAX((T_PlannedOrders[Part Name]=$A807)*(T_PlannedOrders[WeekIndex]=76)*(T_PlannedOrders[EffectiveQty]&gt;0)*T_PlannedOrders[Order_Month])),"m月")&amp;"発注)")</f>
        <v/>
      </c>
      <c r="CB871">
        <f>IF(SUMIFS(T_PlannedOrders[EffectiveQty],T_PlannedOrders[Part Name],$A807,T_PlannedOrders[WeekIndex],77)=0,"",SUMIFS(T_PlannedOrders[EffectiveQty],T_PlannedOrders[Part Name],$A807,T_PlannedOrders[WeekIndex],77)&amp;" ("&amp;TEXT(SUMPRODUCT(MAX((T_PlannedOrders[Part Name]=$A807)*(T_PlannedOrders[WeekIndex]=77)*(T_PlannedOrders[EffectiveQty]&gt;0)*T_PlannedOrders[Order_Month])),"m月")&amp;"発注)")</f>
        <v/>
      </c>
      <c r="CC871">
        <f>IF(SUMIFS(T_PlannedOrders[EffectiveQty],T_PlannedOrders[Part Name],$A807,T_PlannedOrders[WeekIndex],78)=0,"",SUMIFS(T_PlannedOrders[EffectiveQty],T_PlannedOrders[Part Name],$A807,T_PlannedOrders[WeekIndex],78)&amp;" ("&amp;TEXT(SUMPRODUCT(MAX((T_PlannedOrders[Part Name]=$A807)*(T_PlannedOrders[WeekIndex]=78)*(T_PlannedOrders[EffectiveQty]&gt;0)*T_PlannedOrders[Order_Month])),"m月")&amp;"発注)")</f>
        <v/>
      </c>
      <c r="CD871">
        <f>IF(SUMIFS(T_PlannedOrders[EffectiveQty],T_PlannedOrders[Part Name],$A807,T_PlannedOrders[WeekIndex],79)=0,"",SUMIFS(T_PlannedOrders[EffectiveQty],T_PlannedOrders[Part Name],$A807,T_PlannedOrders[WeekIndex],79)&amp;" ("&amp;TEXT(SUMPRODUCT(MAX((T_PlannedOrders[Part Name]=$A807)*(T_PlannedOrders[WeekIndex]=79)*(T_PlannedOrders[EffectiveQty]&gt;0)*T_PlannedOrders[Order_Month])),"m月")&amp;"発注)")</f>
        <v/>
      </c>
      <c r="CE871">
        <f>IF(SUMIFS(T_PlannedOrders[EffectiveQty],T_PlannedOrders[Part Name],$A807,T_PlannedOrders[WeekIndex],80)=0,"",SUMIFS(T_PlannedOrders[EffectiveQty],T_PlannedOrders[Part Name],$A807,T_PlannedOrders[WeekIndex],80)&amp;" ("&amp;TEXT(SUMPRODUCT(MAX((T_PlannedOrders[Part Name]=$A807)*(T_PlannedOrders[WeekIndex]=80)*(T_PlannedOrders[EffectiveQty]&gt;0)*T_PlannedOrders[Order_Month])),"m月")&amp;"発注)")</f>
        <v/>
      </c>
      <c r="CF871">
        <f>IF(SUMIFS(T_PlannedOrders[EffectiveQty],T_PlannedOrders[Part Name],$A807,T_PlannedOrders[WeekIndex],81)=0,"",SUMIFS(T_PlannedOrders[EffectiveQty],T_PlannedOrders[Part Name],$A807,T_PlannedOrders[WeekIndex],81)&amp;" ("&amp;TEXT(SUMPRODUCT(MAX((T_PlannedOrders[Part Name]=$A807)*(T_PlannedOrders[WeekIndex]=81)*(T_PlannedOrders[EffectiveQty]&gt;0)*T_PlannedOrders[Order_Month])),"m月")&amp;"発注)")</f>
        <v/>
      </c>
      <c r="CG871">
        <f>IF(SUMIFS(T_PlannedOrders[EffectiveQty],T_PlannedOrders[Part Name],$A807,T_PlannedOrders[WeekIndex],82)=0,"",SUMIFS(T_PlannedOrders[EffectiveQty],T_PlannedOrders[Part Name],$A807,T_PlannedOrders[WeekIndex],82)&amp;" ("&amp;TEXT(SUMPRODUCT(MAX((T_PlannedOrders[Part Name]=$A807)*(T_PlannedOrders[WeekIndex]=82)*(T_PlannedOrders[EffectiveQty]&gt;0)*T_PlannedOrders[Order_Month])),"m月")&amp;"発注)")</f>
        <v/>
      </c>
      <c r="CH871">
        <f>IF(SUMIFS(T_PlannedOrders[EffectiveQty],T_PlannedOrders[Part Name],$A807,T_PlannedOrders[WeekIndex],83)=0,"",SUMIFS(T_PlannedOrders[EffectiveQty],T_PlannedOrders[Part Name],$A807,T_PlannedOrders[WeekIndex],83)&amp;" ("&amp;TEXT(SUMPRODUCT(MAX((T_PlannedOrders[Part Name]=$A807)*(T_PlannedOrders[WeekIndex]=83)*(T_PlannedOrders[EffectiveQty]&gt;0)*T_PlannedOrders[Order_Month])),"m月")&amp;"発注)")</f>
        <v/>
      </c>
      <c r="CI871">
        <f>IF(SUMIFS(T_PlannedOrders[EffectiveQty],T_PlannedOrders[Part Name],$A807,T_PlannedOrders[WeekIndex],84)=0,"",SUMIFS(T_PlannedOrders[EffectiveQty],T_PlannedOrders[Part Name],$A807,T_PlannedOrders[WeekIndex],84)&amp;" ("&amp;TEXT(SUMPRODUCT(MAX((T_PlannedOrders[Part Name]=$A807)*(T_PlannedOrders[WeekIndex]=84)*(T_PlannedOrders[EffectiveQty]&gt;0)*T_PlannedOrders[Order_Month])),"m月")&amp;"発注)")</f>
        <v/>
      </c>
      <c r="CJ871">
        <f>IF(SUMIFS(T_PlannedOrders[EffectiveQty],T_PlannedOrders[Part Name],$A807,T_PlannedOrders[WeekIndex],85)=0,"",SUMIFS(T_PlannedOrders[EffectiveQty],T_PlannedOrders[Part Name],$A807,T_PlannedOrders[WeekIndex],85)&amp;" ("&amp;TEXT(SUMPRODUCT(MAX((T_PlannedOrders[Part Name]=$A807)*(T_PlannedOrders[WeekIndex]=85)*(T_PlannedOrders[EffectiveQty]&gt;0)*T_PlannedOrders[Order_Month])),"m月")&amp;"発注)")</f>
        <v/>
      </c>
      <c r="CK871">
        <f>IF(SUMIFS(T_PlannedOrders[EffectiveQty],T_PlannedOrders[Part Name],$A807,T_PlannedOrders[WeekIndex],86)=0,"",SUMIFS(T_PlannedOrders[EffectiveQty],T_PlannedOrders[Part Name],$A807,T_PlannedOrders[WeekIndex],86)&amp;" ("&amp;TEXT(SUMPRODUCT(MAX((T_PlannedOrders[Part Name]=$A807)*(T_PlannedOrders[WeekIndex]=86)*(T_PlannedOrders[EffectiveQty]&gt;0)*T_PlannedOrders[Order_Month])),"m月")&amp;"発注)")</f>
        <v/>
      </c>
      <c r="CL871">
        <f>IF(SUMIFS(T_PlannedOrders[EffectiveQty],T_PlannedOrders[Part Name],$A807,T_PlannedOrders[WeekIndex],87)=0,"",SUMIFS(T_PlannedOrders[EffectiveQty],T_PlannedOrders[Part Name],$A807,T_PlannedOrders[WeekIndex],87)&amp;" ("&amp;TEXT(SUMPRODUCT(MAX((T_PlannedOrders[Part Name]=$A807)*(T_PlannedOrders[WeekIndex]=87)*(T_PlannedOrders[EffectiveQty]&gt;0)*T_PlannedOrders[Order_Month])),"m月")&amp;"発注)")</f>
        <v/>
      </c>
      <c r="CM871">
        <f>IF(SUMIFS(T_PlannedOrders[EffectiveQty],T_PlannedOrders[Part Name],$A807,T_PlannedOrders[WeekIndex],88)=0,"",SUMIFS(T_PlannedOrders[EffectiveQty],T_PlannedOrders[Part Name],$A807,T_PlannedOrders[WeekIndex],88)&amp;" ("&amp;TEXT(SUMPRODUCT(MAX((T_PlannedOrders[Part Name]=$A807)*(T_PlannedOrders[WeekIndex]=88)*(T_PlannedOrders[EffectiveQty]&gt;0)*T_PlannedOrders[Order_Month])),"m月")&amp;"発注)")</f>
        <v/>
      </c>
      <c r="CN871">
        <f>IF(SUMIFS(T_PlannedOrders[EffectiveQty],T_PlannedOrders[Part Name],$A807,T_PlannedOrders[WeekIndex],89)=0,"",SUMIFS(T_PlannedOrders[EffectiveQty],T_PlannedOrders[Part Name],$A807,T_PlannedOrders[WeekIndex],89)&amp;" ("&amp;TEXT(SUMPRODUCT(MAX((T_PlannedOrders[Part Name]=$A807)*(T_PlannedOrders[WeekIndex]=89)*(T_PlannedOrders[EffectiveQty]&gt;0)*T_PlannedOrders[Order_Month])),"m月")&amp;"発注)")</f>
        <v/>
      </c>
      <c r="CO871">
        <f>IF(SUMIFS(T_PlannedOrders[EffectiveQty],T_PlannedOrders[Part Name],$A807,T_PlannedOrders[WeekIndex],90)=0,"",SUMIFS(T_PlannedOrders[EffectiveQty],T_PlannedOrders[Part Name],$A807,T_PlannedOrders[WeekIndex],90)&amp;" ("&amp;TEXT(SUMPRODUCT(MAX((T_PlannedOrders[Part Name]=$A807)*(T_PlannedOrders[WeekIndex]=90)*(T_PlannedOrders[EffectiveQty]&gt;0)*T_PlannedOrders[Order_Month])),"m月")&amp;"発注)")</f>
        <v/>
      </c>
      <c r="CP871">
        <f>IF(SUMIFS(T_PlannedOrders[EffectiveQty],T_PlannedOrders[Part Name],$A807,T_PlannedOrders[WeekIndex],91)=0,"",SUMIFS(T_PlannedOrders[EffectiveQty],T_PlannedOrders[Part Name],$A807,T_PlannedOrders[WeekIndex],91)&amp;" ("&amp;TEXT(SUMPRODUCT(MAX((T_PlannedOrders[Part Name]=$A807)*(T_PlannedOrders[WeekIndex]=91)*(T_PlannedOrders[EffectiveQty]&gt;0)*T_PlannedOrders[Order_Month])),"m月")&amp;"発注)")</f>
        <v/>
      </c>
      <c r="CQ871">
        <f>IF(SUMIFS(T_PlannedOrders[EffectiveQty],T_PlannedOrders[Part Name],$A807,T_PlannedOrders[WeekIndex],92)=0,"",SUMIFS(T_PlannedOrders[EffectiveQty],T_PlannedOrders[Part Name],$A807,T_PlannedOrders[WeekIndex],92)&amp;" ("&amp;TEXT(SUMPRODUCT(MAX((T_PlannedOrders[Part Name]=$A807)*(T_PlannedOrders[WeekIndex]=92)*(T_PlannedOrders[EffectiveQty]&gt;0)*T_PlannedOrders[Order_Month])),"m月")&amp;"発注)")</f>
        <v/>
      </c>
      <c r="CR871">
        <f>IF(SUMIFS(T_PlannedOrders[EffectiveQty],T_PlannedOrders[Part Name],$A807,T_PlannedOrders[WeekIndex],93)=0,"",SUMIFS(T_PlannedOrders[EffectiveQty],T_PlannedOrders[Part Name],$A807,T_PlannedOrders[WeekIndex],93)&amp;" ("&amp;TEXT(SUMPRODUCT(MAX((T_PlannedOrders[Part Name]=$A807)*(T_PlannedOrders[WeekIndex]=93)*(T_PlannedOrders[EffectiveQty]&gt;0)*T_PlannedOrders[Order_Month])),"m月")&amp;"発注)")</f>
        <v/>
      </c>
      <c r="CS871">
        <f>IF(SUMIFS(T_PlannedOrders[EffectiveQty],T_PlannedOrders[Part Name],$A807,T_PlannedOrders[WeekIndex],94)=0,"",SUMIFS(T_PlannedOrders[EffectiveQty],T_PlannedOrders[Part Name],$A807,T_PlannedOrders[WeekIndex],94)&amp;" ("&amp;TEXT(SUMPRODUCT(MAX((T_PlannedOrders[Part Name]=$A807)*(T_PlannedOrders[WeekIndex]=94)*(T_PlannedOrders[EffectiveQty]&gt;0)*T_PlannedOrders[Order_Month])),"m月")&amp;"発注)")</f>
        <v/>
      </c>
      <c r="CT871">
        <f>IF(SUMIFS(T_PlannedOrders[EffectiveQty],T_PlannedOrders[Part Name],$A807,T_PlannedOrders[WeekIndex],95)=0,"",SUMIFS(T_PlannedOrders[EffectiveQty],T_PlannedOrders[Part Name],$A807,T_PlannedOrders[WeekIndex],95)&amp;" ("&amp;TEXT(SUMPRODUCT(MAX((T_PlannedOrders[Part Name]=$A807)*(T_PlannedOrders[WeekIndex]=95)*(T_PlannedOrders[EffectiveQty]&gt;0)*T_PlannedOrders[Order_Month])),"m月")&amp;"発注)")</f>
        <v/>
      </c>
      <c r="CU871">
        <f>IF(SUMIFS(T_PlannedOrders[EffectiveQty],T_PlannedOrders[Part Name],$A807,T_PlannedOrders[WeekIndex],96)=0,"",SUMIFS(T_PlannedOrders[EffectiveQty],T_PlannedOrders[Part Name],$A807,T_PlannedOrders[WeekIndex],96)&amp;" ("&amp;TEXT(SUMPRODUCT(MAX((T_PlannedOrders[Part Name]=$A807)*(T_PlannedOrders[WeekIndex]=96)*(T_PlannedOrders[EffectiveQty]&gt;0)*T_PlannedOrders[Order_Month])),"m月")&amp;"発注)")</f>
        <v/>
      </c>
      <c r="CV871">
        <f>IF(SUMIFS(T_PlannedOrders[EffectiveQty],T_PlannedOrders[Part Name],$A807,T_PlannedOrders[WeekIndex],97)=0,"",SUMIFS(T_PlannedOrders[EffectiveQty],T_PlannedOrders[Part Name],$A807,T_PlannedOrders[WeekIndex],97)&amp;" ("&amp;TEXT(SUMPRODUCT(MAX((T_PlannedOrders[Part Name]=$A807)*(T_PlannedOrders[WeekIndex]=97)*(T_PlannedOrders[EffectiveQty]&gt;0)*T_PlannedOrders[Order_Month])),"m月")&amp;"発注)")</f>
        <v/>
      </c>
      <c r="CW871">
        <f>IF(SUMIFS(T_PlannedOrders[EffectiveQty],T_PlannedOrders[Part Name],$A807,T_PlannedOrders[WeekIndex],98)=0,"",SUMIFS(T_PlannedOrders[EffectiveQty],T_PlannedOrders[Part Name],$A807,T_PlannedOrders[WeekIndex],98)&amp;" ("&amp;TEXT(SUMPRODUCT(MAX((T_PlannedOrders[Part Name]=$A807)*(T_PlannedOrders[WeekIndex]=98)*(T_PlannedOrders[EffectiveQty]&gt;0)*T_PlannedOrders[Order_Month])),"m月")&amp;"発注)")</f>
        <v/>
      </c>
      <c r="CX871">
        <f>IF(SUMIFS(T_PlannedOrders[EffectiveQty],T_PlannedOrders[Part Name],$A807,T_PlannedOrders[WeekIndex],99)=0,"",SUMIFS(T_PlannedOrders[EffectiveQty],T_PlannedOrders[Part Name],$A807,T_PlannedOrders[WeekIndex],99)&amp;" ("&amp;TEXT(SUMPRODUCT(MAX((T_PlannedOrders[Part Name]=$A807)*(T_PlannedOrders[WeekIndex]=99)*(T_PlannedOrders[EffectiveQty]&gt;0)*T_PlannedOrders[Order_Month])),"m月")&amp;"発注)")</f>
        <v/>
      </c>
      <c r="CY871">
        <f>IF(SUMIFS(T_PlannedOrders[EffectiveQty],T_PlannedOrders[Part Name],$A807,T_PlannedOrders[WeekIndex],100)=0,"",SUMIFS(T_PlannedOrders[EffectiveQty],T_PlannedOrders[Part Name],$A807,T_PlannedOrders[WeekIndex],100)&amp;" ("&amp;TEXT(SUMPRODUCT(MAX((T_PlannedOrders[Part Name]=$A807)*(T_PlannedOrders[WeekIndex]=100)*(T_PlannedOrders[EffectiveQty]&gt;0)*T_PlannedOrders[Order_Month])),"m月")&amp;"発注)")</f>
        <v/>
      </c>
      <c r="CZ871">
        <f>IF(SUMIFS(T_PlannedOrders[EffectiveQty],T_PlannedOrders[Part Name],$A807,T_PlannedOrders[WeekIndex],101)=0,"",SUMIFS(T_PlannedOrders[EffectiveQty],T_PlannedOrders[Part Name],$A807,T_PlannedOrders[WeekIndex],101)&amp;" ("&amp;TEXT(SUMPRODUCT(MAX((T_PlannedOrders[Part Name]=$A807)*(T_PlannedOrders[WeekIndex]=101)*(T_PlannedOrders[EffectiveQty]&gt;0)*T_PlannedOrders[Order_Month])),"m月")&amp;"発注)")</f>
        <v/>
      </c>
      <c r="DA871">
        <f>IF(SUMIFS(T_PlannedOrders[EffectiveQty],T_PlannedOrders[Part Name],$A807,T_PlannedOrders[WeekIndex],102)=0,"",SUMIFS(T_PlannedOrders[EffectiveQty],T_PlannedOrders[Part Name],$A807,T_PlannedOrders[WeekIndex],102)&amp;" ("&amp;TEXT(SUMPRODUCT(MAX((T_PlannedOrders[Part Name]=$A807)*(T_PlannedOrders[WeekIndex]=102)*(T_PlannedOrders[EffectiveQty]&gt;0)*T_PlannedOrders[Order_Month])),"m月")&amp;"発注)")</f>
        <v/>
      </c>
      <c r="DB871">
        <f>IF(SUMIFS(T_PlannedOrders[EffectiveQty],T_PlannedOrders[Part Name],$A807,T_PlannedOrders[WeekIndex],103)=0,"",SUMIFS(T_PlannedOrders[EffectiveQty],T_PlannedOrders[Part Name],$A807,T_PlannedOrders[WeekIndex],103)&amp;" ("&amp;TEXT(SUMPRODUCT(MAX((T_PlannedOrders[Part Name]=$A807)*(T_PlannedOrders[WeekIndex]=103)*(T_PlannedOrders[EffectiveQty]&gt;0)*T_PlannedOrders[Order_Month])),"m月")&amp;"発注)")</f>
        <v/>
      </c>
      <c r="DC871">
        <f>IF(SUMIFS(T_PlannedOrders[EffectiveQty],T_PlannedOrders[Part Name],$A807,T_PlannedOrders[WeekIndex],104)=0,"",SUMIFS(T_PlannedOrders[EffectiveQty],T_PlannedOrders[Part Name],$A807,T_PlannedOrders[WeekIndex],104)&amp;" ("&amp;TEXT(SUMPRODUCT(MAX((T_PlannedOrders[Part Name]=$A807)*(T_PlannedOrders[WeekIndex]=104)*(T_PlannedOrders[EffectiveQty]&gt;0)*T_PlannedOrders[Order_Month])),"m月")&amp;"発注)")</f>
        <v/>
      </c>
    </row>
    <row r="872">
      <c r="B872" s="5" t="inlineStr">
        <is>
          <t>合計在庫(週末時点,kg)</t>
        </is>
      </c>
      <c r="D872">
        <f>'Grid_Stock'!B43</f>
        <v/>
      </c>
      <c r="E872">
        <f>'Grid_Stock'!C43</f>
        <v/>
      </c>
      <c r="F872">
        <f>'Grid_Stock'!D43</f>
        <v/>
      </c>
      <c r="G872">
        <f>'Grid_Stock'!E43</f>
        <v/>
      </c>
      <c r="H872">
        <f>'Grid_Stock'!F43</f>
        <v/>
      </c>
      <c r="I872">
        <f>'Grid_Stock'!G43</f>
        <v/>
      </c>
      <c r="J872">
        <f>'Grid_Stock'!H43</f>
        <v/>
      </c>
      <c r="K872">
        <f>'Grid_Stock'!I43</f>
        <v/>
      </c>
      <c r="L872">
        <f>'Grid_Stock'!J43</f>
        <v/>
      </c>
      <c r="M872">
        <f>'Grid_Stock'!K43</f>
        <v/>
      </c>
      <c r="N872">
        <f>'Grid_Stock'!L43</f>
        <v/>
      </c>
      <c r="O872">
        <f>'Grid_Stock'!M43</f>
        <v/>
      </c>
      <c r="P872">
        <f>'Grid_Stock'!N43</f>
        <v/>
      </c>
      <c r="Q872">
        <f>'Grid_Stock'!O43</f>
        <v/>
      </c>
      <c r="R872">
        <f>'Grid_Stock'!P43</f>
        <v/>
      </c>
      <c r="S872">
        <f>'Grid_Stock'!Q43</f>
        <v/>
      </c>
      <c r="T872">
        <f>'Grid_Stock'!R43</f>
        <v/>
      </c>
      <c r="U872">
        <f>'Grid_Stock'!S43</f>
        <v/>
      </c>
      <c r="V872">
        <f>'Grid_Stock'!T43</f>
        <v/>
      </c>
      <c r="W872">
        <f>'Grid_Stock'!U43</f>
        <v/>
      </c>
      <c r="X872">
        <f>'Grid_Stock'!V43</f>
        <v/>
      </c>
      <c r="Y872">
        <f>'Grid_Stock'!W43</f>
        <v/>
      </c>
      <c r="Z872">
        <f>'Grid_Stock'!X43</f>
        <v/>
      </c>
      <c r="AA872">
        <f>'Grid_Stock'!Y43</f>
        <v/>
      </c>
      <c r="AB872">
        <f>'Grid_Stock'!Z43</f>
        <v/>
      </c>
      <c r="AC872">
        <f>'Grid_Stock'!AA43</f>
        <v/>
      </c>
      <c r="AD872">
        <f>'Grid_Stock'!AB43</f>
        <v/>
      </c>
      <c r="AE872">
        <f>'Grid_Stock'!AC43</f>
        <v/>
      </c>
      <c r="AF872">
        <f>'Grid_Stock'!AD43</f>
        <v/>
      </c>
      <c r="AG872">
        <f>'Grid_Stock'!AE43</f>
        <v/>
      </c>
      <c r="AH872">
        <f>'Grid_Stock'!AF43</f>
        <v/>
      </c>
      <c r="AI872">
        <f>'Grid_Stock'!AG43</f>
        <v/>
      </c>
      <c r="AJ872">
        <f>'Grid_Stock'!AH43</f>
        <v/>
      </c>
      <c r="AK872">
        <f>'Grid_Stock'!AI43</f>
        <v/>
      </c>
      <c r="AL872">
        <f>'Grid_Stock'!AJ43</f>
        <v/>
      </c>
      <c r="AM872">
        <f>'Grid_Stock'!AK43</f>
        <v/>
      </c>
      <c r="AN872">
        <f>'Grid_Stock'!AL43</f>
        <v/>
      </c>
      <c r="AO872">
        <f>'Grid_Stock'!AM43</f>
        <v/>
      </c>
      <c r="AP872">
        <f>'Grid_Stock'!AN43</f>
        <v/>
      </c>
      <c r="AQ872">
        <f>'Grid_Stock'!AO43</f>
        <v/>
      </c>
      <c r="AR872">
        <f>'Grid_Stock'!AP43</f>
        <v/>
      </c>
      <c r="AS872">
        <f>'Grid_Stock'!AQ43</f>
        <v/>
      </c>
      <c r="AT872">
        <f>'Grid_Stock'!AR43</f>
        <v/>
      </c>
      <c r="AU872">
        <f>'Grid_Stock'!AS43</f>
        <v/>
      </c>
      <c r="AV872">
        <f>'Grid_Stock'!AT43</f>
        <v/>
      </c>
      <c r="AW872">
        <f>'Grid_Stock'!AU43</f>
        <v/>
      </c>
      <c r="AX872">
        <f>'Grid_Stock'!AV43</f>
        <v/>
      </c>
      <c r="AY872">
        <f>'Grid_Stock'!AW43</f>
        <v/>
      </c>
      <c r="AZ872">
        <f>'Grid_Stock'!AX43</f>
        <v/>
      </c>
      <c r="BA872">
        <f>'Grid_Stock'!AY43</f>
        <v/>
      </c>
      <c r="BB872">
        <f>'Grid_Stock'!AZ43</f>
        <v/>
      </c>
      <c r="BC872">
        <f>'Grid_Stock'!BA43</f>
        <v/>
      </c>
      <c r="BD872">
        <f>'Grid_Stock'!BB43</f>
        <v/>
      </c>
      <c r="BE872">
        <f>'Grid_Stock'!BC43</f>
        <v/>
      </c>
      <c r="BF872">
        <f>'Grid_Stock'!BD43</f>
        <v/>
      </c>
      <c r="BG872">
        <f>'Grid_Stock'!BE43</f>
        <v/>
      </c>
      <c r="BH872">
        <f>'Grid_Stock'!BF43</f>
        <v/>
      </c>
      <c r="BI872">
        <f>'Grid_Stock'!BG43</f>
        <v/>
      </c>
      <c r="BJ872">
        <f>'Grid_Stock'!BH43</f>
        <v/>
      </c>
      <c r="BK872">
        <f>'Grid_Stock'!BI43</f>
        <v/>
      </c>
      <c r="BL872">
        <f>'Grid_Stock'!BJ43</f>
        <v/>
      </c>
      <c r="BM872">
        <f>'Grid_Stock'!BK43</f>
        <v/>
      </c>
      <c r="BN872">
        <f>'Grid_Stock'!BL43</f>
        <v/>
      </c>
      <c r="BO872">
        <f>'Grid_Stock'!BM43</f>
        <v/>
      </c>
      <c r="BP872">
        <f>'Grid_Stock'!BN43</f>
        <v/>
      </c>
      <c r="BQ872">
        <f>'Grid_Stock'!BO43</f>
        <v/>
      </c>
      <c r="BR872">
        <f>'Grid_Stock'!BP43</f>
        <v/>
      </c>
      <c r="BS872">
        <f>'Grid_Stock'!BQ43</f>
        <v/>
      </c>
      <c r="BT872">
        <f>'Grid_Stock'!BR43</f>
        <v/>
      </c>
      <c r="BU872">
        <f>'Grid_Stock'!BS43</f>
        <v/>
      </c>
      <c r="BV872">
        <f>'Grid_Stock'!BT43</f>
        <v/>
      </c>
      <c r="BW872">
        <f>'Grid_Stock'!BU43</f>
        <v/>
      </c>
      <c r="BX872">
        <f>'Grid_Stock'!BV43</f>
        <v/>
      </c>
      <c r="BY872">
        <f>'Grid_Stock'!BW43</f>
        <v/>
      </c>
      <c r="BZ872">
        <f>'Grid_Stock'!BX43</f>
        <v/>
      </c>
      <c r="CA872">
        <f>'Grid_Stock'!BY43</f>
        <v/>
      </c>
      <c r="CB872">
        <f>'Grid_Stock'!BZ43</f>
        <v/>
      </c>
      <c r="CC872">
        <f>'Grid_Stock'!CA43</f>
        <v/>
      </c>
      <c r="CD872">
        <f>'Grid_Stock'!CB43</f>
        <v/>
      </c>
      <c r="CE872">
        <f>'Grid_Stock'!CC43</f>
        <v/>
      </c>
      <c r="CF872">
        <f>'Grid_Stock'!CD43</f>
        <v/>
      </c>
      <c r="CG872">
        <f>'Grid_Stock'!CE43</f>
        <v/>
      </c>
      <c r="CH872">
        <f>'Grid_Stock'!CF43</f>
        <v/>
      </c>
      <c r="CI872">
        <f>'Grid_Stock'!CG43</f>
        <v/>
      </c>
      <c r="CJ872">
        <f>'Grid_Stock'!CH43</f>
        <v/>
      </c>
      <c r="CK872">
        <f>'Grid_Stock'!CI43</f>
        <v/>
      </c>
      <c r="CL872">
        <f>'Grid_Stock'!CJ43</f>
        <v/>
      </c>
      <c r="CM872">
        <f>'Grid_Stock'!CK43</f>
        <v/>
      </c>
      <c r="CN872">
        <f>'Grid_Stock'!CL43</f>
        <v/>
      </c>
      <c r="CO872">
        <f>'Grid_Stock'!CM43</f>
        <v/>
      </c>
      <c r="CP872">
        <f>'Grid_Stock'!CN43</f>
        <v/>
      </c>
      <c r="CQ872">
        <f>'Grid_Stock'!CO43</f>
        <v/>
      </c>
      <c r="CR872">
        <f>'Grid_Stock'!CP43</f>
        <v/>
      </c>
      <c r="CS872">
        <f>'Grid_Stock'!CQ43</f>
        <v/>
      </c>
      <c r="CT872">
        <f>'Grid_Stock'!CR43</f>
        <v/>
      </c>
      <c r="CU872">
        <f>'Grid_Stock'!CS43</f>
        <v/>
      </c>
      <c r="CV872">
        <f>'Grid_Stock'!CT43</f>
        <v/>
      </c>
      <c r="CW872">
        <f>'Grid_Stock'!CU43</f>
        <v/>
      </c>
      <c r="CX872">
        <f>'Grid_Stock'!CV43</f>
        <v/>
      </c>
      <c r="CY872">
        <f>'Grid_Stock'!CW43</f>
        <v/>
      </c>
      <c r="CZ872">
        <f>'Grid_Stock'!CX43</f>
        <v/>
      </c>
      <c r="DA872">
        <f>'Grid_Stock'!CY43</f>
        <v/>
      </c>
      <c r="DB872">
        <f>'Grid_Stock'!CZ43</f>
        <v/>
      </c>
      <c r="DC872">
        <f>'Grid_Stock'!DA43</f>
        <v/>
      </c>
    </row>
    <row r="873">
      <c r="B873" s="23" t="inlineStr">
        <is>
          <t>（発注の目安はDashboardの基準在庫[下限/上限]と色分けを参照）</t>
        </is>
      </c>
    </row>
    <row r="875">
      <c r="A875" s="21" t="inlineStr">
        <is>
          <t>CHEM-1600</t>
        </is>
      </c>
      <c r="B875" s="21" t="inlineStr">
        <is>
          <t>BF-1P</t>
        </is>
      </c>
      <c r="C875" s="22" t="n"/>
      <c r="D875" s="21" t="n"/>
      <c r="E875" s="21" t="n"/>
      <c r="F875" s="21" t="n"/>
      <c r="G875" s="21" t="n"/>
      <c r="H875" s="21" t="n"/>
      <c r="I875" s="21" t="n"/>
      <c r="J875" s="21" t="n"/>
      <c r="K875" s="21" t="n"/>
      <c r="L875" s="21" t="n"/>
      <c r="M875" s="21" t="n"/>
      <c r="N875" s="21" t="n"/>
      <c r="O875" s="21" t="n"/>
      <c r="P875" s="21" t="n"/>
      <c r="Q875" s="21" t="n"/>
      <c r="R875" s="21" t="n"/>
      <c r="S875" s="21" t="n"/>
      <c r="T875" s="21" t="n"/>
      <c r="U875" s="21" t="n"/>
      <c r="V875" s="21" t="n"/>
      <c r="W875" s="21" t="n"/>
      <c r="X875" s="21" t="n"/>
      <c r="Y875" s="21" t="n"/>
      <c r="Z875" s="21" t="n"/>
      <c r="AA875" s="21" t="n"/>
      <c r="AB875" s="21" t="n"/>
      <c r="AC875" s="21" t="n"/>
      <c r="AD875" s="21" t="n"/>
      <c r="AE875" s="21" t="n"/>
      <c r="AF875" s="21" t="n"/>
      <c r="AG875" s="21" t="n"/>
      <c r="AH875" s="21" t="n"/>
      <c r="AI875" s="21" t="n"/>
      <c r="AJ875" s="21" t="n"/>
      <c r="AK875" s="21" t="n"/>
      <c r="AL875" s="21" t="n"/>
      <c r="AM875" s="21" t="n"/>
      <c r="AN875" s="21" t="n"/>
      <c r="AO875" s="21" t="n"/>
      <c r="AP875" s="21" t="n"/>
      <c r="AQ875" s="21" t="n"/>
      <c r="AR875" s="21" t="n"/>
      <c r="AS875" s="21" t="n"/>
      <c r="AT875" s="21" t="n"/>
      <c r="AU875" s="21" t="n"/>
      <c r="AV875" s="21" t="n"/>
      <c r="AW875" s="21" t="n"/>
      <c r="AX875" s="21" t="n"/>
      <c r="AY875" s="21" t="n"/>
      <c r="AZ875" s="21" t="n"/>
      <c r="BA875" s="21" t="n"/>
      <c r="BB875" s="21" t="n"/>
      <c r="BC875" s="21" t="n"/>
      <c r="BD875" s="21" t="n"/>
      <c r="BE875" s="21" t="n"/>
      <c r="BF875" s="21" t="n"/>
      <c r="BG875" s="21" t="n"/>
      <c r="BH875" s="21" t="n"/>
      <c r="BI875" s="21" t="n"/>
      <c r="BJ875" s="21" t="n"/>
      <c r="BK875" s="21" t="n"/>
      <c r="BL875" s="21" t="n"/>
      <c r="BM875" s="21" t="n"/>
      <c r="BN875" s="21" t="n"/>
      <c r="BO875" s="21" t="n"/>
      <c r="BP875" s="21" t="n"/>
      <c r="BQ875" s="21" t="n"/>
      <c r="BR875" s="21" t="n"/>
      <c r="BS875" s="21" t="n"/>
      <c r="BT875" s="21" t="n"/>
      <c r="BU875" s="21" t="n"/>
      <c r="BV875" s="21" t="n"/>
      <c r="BW875" s="21" t="n"/>
      <c r="BX875" s="21" t="n"/>
      <c r="BY875" s="21" t="n"/>
      <c r="BZ875" s="21" t="n"/>
      <c r="CA875" s="21" t="n"/>
      <c r="CB875" s="21" t="n"/>
      <c r="CC875" s="21" t="n"/>
      <c r="CD875" s="21" t="n"/>
      <c r="CE875" s="21" t="n"/>
      <c r="CF875" s="21" t="n"/>
      <c r="CG875" s="21" t="n"/>
      <c r="CH875" s="21" t="n"/>
      <c r="CI875" s="21" t="n"/>
      <c r="CJ875" s="21" t="n"/>
      <c r="CK875" s="21" t="n"/>
      <c r="CL875" s="21" t="n"/>
      <c r="CM875" s="21" t="n"/>
      <c r="CN875" s="21" t="n"/>
      <c r="CO875" s="21" t="n"/>
      <c r="CP875" s="21" t="n"/>
      <c r="CQ875" s="21" t="n"/>
      <c r="CR875" s="21" t="n"/>
      <c r="CS875" s="21" t="n"/>
      <c r="CT875" s="21" t="n"/>
      <c r="CU875" s="21" t="n"/>
      <c r="CV875" s="21" t="n"/>
      <c r="CW875" s="21" t="n"/>
      <c r="CX875" s="21" t="n"/>
      <c r="CY875" s="21" t="n"/>
      <c r="CZ875" s="21" t="n"/>
      <c r="DA875" s="21" t="n"/>
      <c r="DB875" s="21" t="n"/>
      <c r="DC875" s="21" t="n"/>
    </row>
    <row r="876">
      <c r="B876" t="inlineStr">
        <is>
          <t>TSP-1388</t>
        </is>
      </c>
      <c r="C876" t="inlineStr">
        <is>
          <t>No. of batches</t>
        </is>
      </c>
      <c r="D876">
        <f>IFERROR(INDEX(PP_Grid[#Data],$DD876,2),0)</f>
        <v/>
      </c>
      <c r="E876">
        <f>IFERROR(INDEX(PP_Grid[#Data],$DD876,3),0)</f>
        <v/>
      </c>
      <c r="F876">
        <f>IFERROR(INDEX(PP_Grid[#Data],$DD876,4),0)</f>
        <v/>
      </c>
      <c r="G876">
        <f>IFERROR(INDEX(PP_Grid[#Data],$DD876,5),0)</f>
        <v/>
      </c>
      <c r="H876">
        <f>IFERROR(INDEX(PP_Grid[#Data],$DD876,6),0)</f>
        <v/>
      </c>
      <c r="I876">
        <f>IFERROR(INDEX(PP_Grid[#Data],$DD876,7),0)</f>
        <v/>
      </c>
      <c r="J876">
        <f>IFERROR(INDEX(PP_Grid[#Data],$DD876,8),0)</f>
        <v/>
      </c>
      <c r="K876">
        <f>IFERROR(INDEX(PP_Grid[#Data],$DD876,9),0)</f>
        <v/>
      </c>
      <c r="L876">
        <f>IFERROR(INDEX(PP_Grid[#Data],$DD876,10),0)</f>
        <v/>
      </c>
      <c r="M876">
        <f>IFERROR(INDEX(PP_Grid[#Data],$DD876,11),0)</f>
        <v/>
      </c>
      <c r="N876">
        <f>IFERROR(INDEX(PP_Grid[#Data],$DD876,12),0)</f>
        <v/>
      </c>
      <c r="O876">
        <f>IFERROR(INDEX(PP_Grid[#Data],$DD876,13),0)</f>
        <v/>
      </c>
      <c r="P876">
        <f>IFERROR(INDEX(PP_Grid[#Data],$DD876,14),0)</f>
        <v/>
      </c>
      <c r="Q876">
        <f>IFERROR(INDEX(PP_Grid[#Data],$DD876,15),0)</f>
        <v/>
      </c>
      <c r="R876">
        <f>IFERROR(INDEX(PP_Grid[#Data],$DD876,16),0)</f>
        <v/>
      </c>
      <c r="S876">
        <f>IFERROR(INDEX(PP_Grid[#Data],$DD876,17),0)</f>
        <v/>
      </c>
      <c r="T876">
        <f>IFERROR(INDEX(PP_Grid[#Data],$DD876,18),0)</f>
        <v/>
      </c>
      <c r="U876">
        <f>IFERROR(INDEX(PP_Grid[#Data],$DD876,19),0)</f>
        <v/>
      </c>
      <c r="V876">
        <f>IFERROR(INDEX(PP_Grid[#Data],$DD876,20),0)</f>
        <v/>
      </c>
      <c r="W876">
        <f>IFERROR(INDEX(PP_Grid[#Data],$DD876,21),0)</f>
        <v/>
      </c>
      <c r="X876">
        <f>IFERROR(INDEX(PP_Grid[#Data],$DD876,22),0)</f>
        <v/>
      </c>
      <c r="Y876">
        <f>IFERROR(INDEX(PP_Grid[#Data],$DD876,23),0)</f>
        <v/>
      </c>
      <c r="Z876">
        <f>IFERROR(INDEX(PP_Grid[#Data],$DD876,24),0)</f>
        <v/>
      </c>
      <c r="AA876">
        <f>IFERROR(INDEX(PP_Grid[#Data],$DD876,25),0)</f>
        <v/>
      </c>
      <c r="AB876">
        <f>IFERROR(INDEX(PP_Grid[#Data],$DD876,26),0)</f>
        <v/>
      </c>
      <c r="AC876">
        <f>IFERROR(INDEX(PP_Grid[#Data],$DD876,27),0)</f>
        <v/>
      </c>
      <c r="AD876">
        <f>IFERROR(INDEX(PP_Grid[#Data],$DD876,28),0)</f>
        <v/>
      </c>
      <c r="AE876">
        <f>IFERROR(INDEX(PP_Grid[#Data],$DD876,29),0)</f>
        <v/>
      </c>
      <c r="AF876">
        <f>IFERROR(INDEX(PP_Grid[#Data],$DD876,30),0)</f>
        <v/>
      </c>
      <c r="AG876">
        <f>IFERROR(INDEX(PP_Grid[#Data],$DD876,31),0)</f>
        <v/>
      </c>
      <c r="AH876">
        <f>IFERROR(INDEX(PP_Grid[#Data],$DD876,32),0)</f>
        <v/>
      </c>
      <c r="AI876">
        <f>IFERROR(INDEX(PP_Grid[#Data],$DD876,33),0)</f>
        <v/>
      </c>
      <c r="AJ876">
        <f>IFERROR(INDEX(PP_Grid[#Data],$DD876,34),0)</f>
        <v/>
      </c>
      <c r="AK876">
        <f>IFERROR(INDEX(PP_Grid[#Data],$DD876,35),0)</f>
        <v/>
      </c>
      <c r="AL876">
        <f>IFERROR(INDEX(PP_Grid[#Data],$DD876,36),0)</f>
        <v/>
      </c>
      <c r="AM876">
        <f>IFERROR(INDEX(PP_Grid[#Data],$DD876,37),0)</f>
        <v/>
      </c>
      <c r="AN876">
        <f>IFERROR(INDEX(PP_Grid[#Data],$DD876,38),0)</f>
        <v/>
      </c>
      <c r="AO876">
        <f>IFERROR(INDEX(PP_Grid[#Data],$DD876,39),0)</f>
        <v/>
      </c>
      <c r="AP876">
        <f>IFERROR(INDEX(PP_Grid[#Data],$DD876,40),0)</f>
        <v/>
      </c>
      <c r="AQ876">
        <f>IFERROR(INDEX(PP_Grid[#Data],$DD876,41),0)</f>
        <v/>
      </c>
      <c r="AR876">
        <f>IFERROR(INDEX(PP_Grid[#Data],$DD876,42),0)</f>
        <v/>
      </c>
      <c r="AS876">
        <f>IFERROR(INDEX(PP_Grid[#Data],$DD876,43),0)</f>
        <v/>
      </c>
      <c r="AT876">
        <f>IFERROR(INDEX(PP_Grid[#Data],$DD876,44),0)</f>
        <v/>
      </c>
      <c r="AU876">
        <f>IFERROR(INDEX(PP_Grid[#Data],$DD876,45),0)</f>
        <v/>
      </c>
      <c r="AV876">
        <f>IFERROR(INDEX(PP_Grid[#Data],$DD876,46),0)</f>
        <v/>
      </c>
      <c r="AW876">
        <f>IFERROR(INDEX(PP_Grid[#Data],$DD876,47),0)</f>
        <v/>
      </c>
      <c r="AX876">
        <f>IFERROR(INDEX(PP_Grid[#Data],$DD876,48),0)</f>
        <v/>
      </c>
      <c r="AY876">
        <f>IFERROR(INDEX(PP_Grid[#Data],$DD876,49),0)</f>
        <v/>
      </c>
      <c r="AZ876">
        <f>IFERROR(INDEX(PP_Grid[#Data],$DD876,50),0)</f>
        <v/>
      </c>
      <c r="BA876">
        <f>IFERROR(INDEX(PP_Grid[#Data],$DD876,51),0)</f>
        <v/>
      </c>
      <c r="BB876">
        <f>IFERROR(INDEX(PP_Grid[#Data],$DD876,52),0)</f>
        <v/>
      </c>
      <c r="BC876">
        <f>IFERROR(INDEX(PP_Grid[#Data],$DD876,53),0)</f>
        <v/>
      </c>
      <c r="BD876">
        <f>IFERROR(INDEX(PP_Grid[#Data],$DD876,54),0)</f>
        <v/>
      </c>
      <c r="BE876">
        <f>IFERROR(INDEX(PP_Grid[#Data],$DD876,55),0)</f>
        <v/>
      </c>
      <c r="BF876">
        <f>IFERROR(INDEX(PP_Grid[#Data],$DD876,56),0)</f>
        <v/>
      </c>
      <c r="BG876">
        <f>IFERROR(INDEX(PP_Grid[#Data],$DD876,57),0)</f>
        <v/>
      </c>
      <c r="BH876">
        <f>IFERROR(INDEX(PP_Grid[#Data],$DD876,58),0)</f>
        <v/>
      </c>
      <c r="BI876">
        <f>IFERROR(INDEX(PP_Grid[#Data],$DD876,59),0)</f>
        <v/>
      </c>
      <c r="BJ876">
        <f>IFERROR(INDEX(PP_Grid[#Data],$DD876,60),0)</f>
        <v/>
      </c>
      <c r="BK876">
        <f>IFERROR(INDEX(PP_Grid[#Data],$DD876,61),0)</f>
        <v/>
      </c>
      <c r="BL876">
        <f>IFERROR(INDEX(PP_Grid[#Data],$DD876,62),0)</f>
        <v/>
      </c>
      <c r="BM876">
        <f>IFERROR(INDEX(PP_Grid[#Data],$DD876,63),0)</f>
        <v/>
      </c>
      <c r="BN876">
        <f>IFERROR(INDEX(PP_Grid[#Data],$DD876,64),0)</f>
        <v/>
      </c>
      <c r="BO876">
        <f>IFERROR(INDEX(PP_Grid[#Data],$DD876,65),0)</f>
        <v/>
      </c>
      <c r="BP876">
        <f>IFERROR(INDEX(PP_Grid[#Data],$DD876,66),0)</f>
        <v/>
      </c>
      <c r="BQ876">
        <f>IFERROR(INDEX(PP_Grid[#Data],$DD876,67),0)</f>
        <v/>
      </c>
      <c r="BR876">
        <f>IFERROR(INDEX(PP_Grid[#Data],$DD876,68),0)</f>
        <v/>
      </c>
      <c r="BS876">
        <f>IFERROR(INDEX(PP_Grid[#Data],$DD876,69),0)</f>
        <v/>
      </c>
      <c r="BT876">
        <f>IFERROR(INDEX(PP_Grid[#Data],$DD876,70),0)</f>
        <v/>
      </c>
      <c r="BU876">
        <f>IFERROR(INDEX(PP_Grid[#Data],$DD876,71),0)</f>
        <v/>
      </c>
      <c r="BV876">
        <f>IFERROR(INDEX(PP_Grid[#Data],$DD876,72),0)</f>
        <v/>
      </c>
      <c r="BW876">
        <f>IFERROR(INDEX(PP_Grid[#Data],$DD876,73),0)</f>
        <v/>
      </c>
      <c r="BX876">
        <f>IFERROR(INDEX(PP_Grid[#Data],$DD876,74),0)</f>
        <v/>
      </c>
      <c r="BY876">
        <f>IFERROR(INDEX(PP_Grid[#Data],$DD876,75),0)</f>
        <v/>
      </c>
      <c r="BZ876">
        <f>IFERROR(INDEX(PP_Grid[#Data],$DD876,76),0)</f>
        <v/>
      </c>
      <c r="CA876">
        <f>IFERROR(INDEX(PP_Grid[#Data],$DD876,77),0)</f>
        <v/>
      </c>
      <c r="CB876">
        <f>IFERROR(INDEX(PP_Grid[#Data],$DD876,78),0)</f>
        <v/>
      </c>
      <c r="CC876">
        <f>IFERROR(INDEX(PP_Grid[#Data],$DD876,79),0)</f>
        <v/>
      </c>
      <c r="CD876">
        <f>IFERROR(INDEX(PP_Grid[#Data],$DD876,80),0)</f>
        <v/>
      </c>
      <c r="CE876">
        <f>IFERROR(INDEX(PP_Grid[#Data],$DD876,81),0)</f>
        <v/>
      </c>
      <c r="CF876">
        <f>IFERROR(INDEX(PP_Grid[#Data],$DD876,82),0)</f>
        <v/>
      </c>
      <c r="CG876">
        <f>IFERROR(INDEX(PP_Grid[#Data],$DD876,83),0)</f>
        <v/>
      </c>
      <c r="CH876">
        <f>IFERROR(INDEX(PP_Grid[#Data],$DD876,84),0)</f>
        <v/>
      </c>
      <c r="CI876">
        <f>IFERROR(INDEX(PP_Grid[#Data],$DD876,85),0)</f>
        <v/>
      </c>
      <c r="CJ876">
        <f>IFERROR(INDEX(PP_Grid[#Data],$DD876,86),0)</f>
        <v/>
      </c>
      <c r="CK876">
        <f>IFERROR(INDEX(PP_Grid[#Data],$DD876,87),0)</f>
        <v/>
      </c>
      <c r="CL876">
        <f>IFERROR(INDEX(PP_Grid[#Data],$DD876,88),0)</f>
        <v/>
      </c>
      <c r="CM876">
        <f>IFERROR(INDEX(PP_Grid[#Data],$DD876,89),0)</f>
        <v/>
      </c>
      <c r="CN876">
        <f>IFERROR(INDEX(PP_Grid[#Data],$DD876,90),0)</f>
        <v/>
      </c>
      <c r="CO876">
        <f>IFERROR(INDEX(PP_Grid[#Data],$DD876,91),0)</f>
        <v/>
      </c>
      <c r="CP876">
        <f>IFERROR(INDEX(PP_Grid[#Data],$DD876,92),0)</f>
        <v/>
      </c>
      <c r="CQ876">
        <f>IFERROR(INDEX(PP_Grid[#Data],$DD876,93),0)</f>
        <v/>
      </c>
      <c r="CR876">
        <f>IFERROR(INDEX(PP_Grid[#Data],$DD876,94),0)</f>
        <v/>
      </c>
      <c r="CS876">
        <f>IFERROR(INDEX(PP_Grid[#Data],$DD876,95),0)</f>
        <v/>
      </c>
      <c r="CT876">
        <f>IFERROR(INDEX(PP_Grid[#Data],$DD876,96),0)</f>
        <v/>
      </c>
      <c r="CU876">
        <f>IFERROR(INDEX(PP_Grid[#Data],$DD876,97),0)</f>
        <v/>
      </c>
      <c r="CV876">
        <f>IFERROR(INDEX(PP_Grid[#Data],$DD876,98),0)</f>
        <v/>
      </c>
      <c r="CW876">
        <f>IFERROR(INDEX(PP_Grid[#Data],$DD876,99),0)</f>
        <v/>
      </c>
      <c r="CX876">
        <f>IFERROR(INDEX(PP_Grid[#Data],$DD876,100),0)</f>
        <v/>
      </c>
      <c r="CY876">
        <f>IFERROR(INDEX(PP_Grid[#Data],$DD876,101),0)</f>
        <v/>
      </c>
      <c r="CZ876">
        <f>IFERROR(INDEX(PP_Grid[#Data],$DD876,102),0)</f>
        <v/>
      </c>
      <c r="DA876">
        <f>IFERROR(INDEX(PP_Grid[#Data],$DD876,103),0)</f>
        <v/>
      </c>
      <c r="DB876">
        <f>IFERROR(INDEX(PP_Grid[#Data],$DD876,104),0)</f>
        <v/>
      </c>
      <c r="DC876">
        <f>IFERROR(INDEX(PP_Grid[#Data],$DD876,105),0)</f>
        <v/>
      </c>
      <c r="DD876" s="12">
        <f>IFERROR(MATCH($B876,PP_Grid[Intermediate],0),99999)</f>
        <v/>
      </c>
    </row>
    <row r="877">
      <c r="B877" t="inlineStr">
        <is>
          <t>使用量(kg)</t>
        </is>
      </c>
      <c r="C877">
        <f>SUMIFS(M_BOM[RM_Qty_Per_Batch],M_BOM[Intermediate],$B876,M_BOM[Part Name],$A875)</f>
        <v/>
      </c>
      <c r="D877">
        <f>$C877*D876</f>
        <v/>
      </c>
      <c r="E877">
        <f>$C877*E876</f>
        <v/>
      </c>
      <c r="F877">
        <f>$C877*F876</f>
        <v/>
      </c>
      <c r="G877">
        <f>$C877*G876</f>
        <v/>
      </c>
      <c r="H877">
        <f>$C877*H876</f>
        <v/>
      </c>
      <c r="I877">
        <f>$C877*I876</f>
        <v/>
      </c>
      <c r="J877">
        <f>$C877*J876</f>
        <v/>
      </c>
      <c r="K877">
        <f>$C877*K876</f>
        <v/>
      </c>
      <c r="L877">
        <f>$C877*L876</f>
        <v/>
      </c>
      <c r="M877">
        <f>$C877*M876</f>
        <v/>
      </c>
      <c r="N877">
        <f>$C877*N876</f>
        <v/>
      </c>
      <c r="O877">
        <f>$C877*O876</f>
        <v/>
      </c>
      <c r="P877">
        <f>$C877*P876</f>
        <v/>
      </c>
      <c r="Q877">
        <f>$C877*Q876</f>
        <v/>
      </c>
      <c r="R877">
        <f>$C877*R876</f>
        <v/>
      </c>
      <c r="S877">
        <f>$C877*S876</f>
        <v/>
      </c>
      <c r="T877">
        <f>$C877*T876</f>
        <v/>
      </c>
      <c r="U877">
        <f>$C877*U876</f>
        <v/>
      </c>
      <c r="V877">
        <f>$C877*V876</f>
        <v/>
      </c>
      <c r="W877">
        <f>$C877*W876</f>
        <v/>
      </c>
      <c r="X877">
        <f>$C877*X876</f>
        <v/>
      </c>
      <c r="Y877">
        <f>$C877*Y876</f>
        <v/>
      </c>
      <c r="Z877">
        <f>$C877*Z876</f>
        <v/>
      </c>
      <c r="AA877">
        <f>$C877*AA876</f>
        <v/>
      </c>
      <c r="AB877">
        <f>$C877*AB876</f>
        <v/>
      </c>
      <c r="AC877">
        <f>$C877*AC876</f>
        <v/>
      </c>
      <c r="AD877">
        <f>$C877*AD876</f>
        <v/>
      </c>
      <c r="AE877">
        <f>$C877*AE876</f>
        <v/>
      </c>
      <c r="AF877">
        <f>$C877*AF876</f>
        <v/>
      </c>
      <c r="AG877">
        <f>$C877*AG876</f>
        <v/>
      </c>
      <c r="AH877">
        <f>$C877*AH876</f>
        <v/>
      </c>
      <c r="AI877">
        <f>$C877*AI876</f>
        <v/>
      </c>
      <c r="AJ877">
        <f>$C877*AJ876</f>
        <v/>
      </c>
      <c r="AK877">
        <f>$C877*AK876</f>
        <v/>
      </c>
      <c r="AL877">
        <f>$C877*AL876</f>
        <v/>
      </c>
      <c r="AM877">
        <f>$C877*AM876</f>
        <v/>
      </c>
      <c r="AN877">
        <f>$C877*AN876</f>
        <v/>
      </c>
      <c r="AO877">
        <f>$C877*AO876</f>
        <v/>
      </c>
      <c r="AP877">
        <f>$C877*AP876</f>
        <v/>
      </c>
      <c r="AQ877">
        <f>$C877*AQ876</f>
        <v/>
      </c>
      <c r="AR877">
        <f>$C877*AR876</f>
        <v/>
      </c>
      <c r="AS877">
        <f>$C877*AS876</f>
        <v/>
      </c>
      <c r="AT877">
        <f>$C877*AT876</f>
        <v/>
      </c>
      <c r="AU877">
        <f>$C877*AU876</f>
        <v/>
      </c>
      <c r="AV877">
        <f>$C877*AV876</f>
        <v/>
      </c>
      <c r="AW877">
        <f>$C877*AW876</f>
        <v/>
      </c>
      <c r="AX877">
        <f>$C877*AX876</f>
        <v/>
      </c>
      <c r="AY877">
        <f>$C877*AY876</f>
        <v/>
      </c>
      <c r="AZ877">
        <f>$C877*AZ876</f>
        <v/>
      </c>
      <c r="BA877">
        <f>$C877*BA876</f>
        <v/>
      </c>
      <c r="BB877">
        <f>$C877*BB876</f>
        <v/>
      </c>
      <c r="BC877">
        <f>$C877*BC876</f>
        <v/>
      </c>
      <c r="BD877">
        <f>$C877*BD876</f>
        <v/>
      </c>
      <c r="BE877">
        <f>$C877*BE876</f>
        <v/>
      </c>
      <c r="BF877">
        <f>$C877*BF876</f>
        <v/>
      </c>
      <c r="BG877">
        <f>$C877*BG876</f>
        <v/>
      </c>
      <c r="BH877">
        <f>$C877*BH876</f>
        <v/>
      </c>
      <c r="BI877">
        <f>$C877*BI876</f>
        <v/>
      </c>
      <c r="BJ877">
        <f>$C877*BJ876</f>
        <v/>
      </c>
      <c r="BK877">
        <f>$C877*BK876</f>
        <v/>
      </c>
      <c r="BL877">
        <f>$C877*BL876</f>
        <v/>
      </c>
      <c r="BM877">
        <f>$C877*BM876</f>
        <v/>
      </c>
      <c r="BN877">
        <f>$C877*BN876</f>
        <v/>
      </c>
      <c r="BO877">
        <f>$C877*BO876</f>
        <v/>
      </c>
      <c r="BP877">
        <f>$C877*BP876</f>
        <v/>
      </c>
      <c r="BQ877">
        <f>$C877*BQ876</f>
        <v/>
      </c>
      <c r="BR877">
        <f>$C877*BR876</f>
        <v/>
      </c>
      <c r="BS877">
        <f>$C877*BS876</f>
        <v/>
      </c>
      <c r="BT877">
        <f>$C877*BT876</f>
        <v/>
      </c>
      <c r="BU877">
        <f>$C877*BU876</f>
        <v/>
      </c>
      <c r="BV877">
        <f>$C877*BV876</f>
        <v/>
      </c>
      <c r="BW877">
        <f>$C877*BW876</f>
        <v/>
      </c>
      <c r="BX877">
        <f>$C877*BX876</f>
        <v/>
      </c>
      <c r="BY877">
        <f>$C877*BY876</f>
        <v/>
      </c>
      <c r="BZ877">
        <f>$C877*BZ876</f>
        <v/>
      </c>
      <c r="CA877">
        <f>$C877*CA876</f>
        <v/>
      </c>
      <c r="CB877">
        <f>$C877*CB876</f>
        <v/>
      </c>
      <c r="CC877">
        <f>$C877*CC876</f>
        <v/>
      </c>
      <c r="CD877">
        <f>$C877*CD876</f>
        <v/>
      </c>
      <c r="CE877">
        <f>$C877*CE876</f>
        <v/>
      </c>
      <c r="CF877">
        <f>$C877*CF876</f>
        <v/>
      </c>
      <c r="CG877">
        <f>$C877*CG876</f>
        <v/>
      </c>
      <c r="CH877">
        <f>$C877*CH876</f>
        <v/>
      </c>
      <c r="CI877">
        <f>$C877*CI876</f>
        <v/>
      </c>
      <c r="CJ877">
        <f>$C877*CJ876</f>
        <v/>
      </c>
      <c r="CK877">
        <f>$C877*CK876</f>
        <v/>
      </c>
      <c r="CL877">
        <f>$C877*CL876</f>
        <v/>
      </c>
      <c r="CM877">
        <f>$C877*CM876</f>
        <v/>
      </c>
      <c r="CN877">
        <f>$C877*CN876</f>
        <v/>
      </c>
      <c r="CO877">
        <f>$C877*CO876</f>
        <v/>
      </c>
      <c r="CP877">
        <f>$C877*CP876</f>
        <v/>
      </c>
      <c r="CQ877">
        <f>$C877*CQ876</f>
        <v/>
      </c>
      <c r="CR877">
        <f>$C877*CR876</f>
        <v/>
      </c>
      <c r="CS877">
        <f>$C877*CS876</f>
        <v/>
      </c>
      <c r="CT877">
        <f>$C877*CT876</f>
        <v/>
      </c>
      <c r="CU877">
        <f>$C877*CU876</f>
        <v/>
      </c>
      <c r="CV877">
        <f>$C877*CV876</f>
        <v/>
      </c>
      <c r="CW877">
        <f>$C877*CW876</f>
        <v/>
      </c>
      <c r="CX877">
        <f>$C877*CX876</f>
        <v/>
      </c>
      <c r="CY877">
        <f>$C877*CY876</f>
        <v/>
      </c>
      <c r="CZ877">
        <f>$C877*CZ876</f>
        <v/>
      </c>
      <c r="DA877">
        <f>$C877*DA876</f>
        <v/>
      </c>
      <c r="DB877">
        <f>$C877*DB876</f>
        <v/>
      </c>
      <c r="DC877">
        <f>$C877*DC876</f>
        <v/>
      </c>
    </row>
    <row r="878">
      <c r="B878" t="inlineStr">
        <is>
          <t>TSP-618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12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Name],$A875)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TSP-828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12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Name],$A875)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TSP-924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12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Name],$A875)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TSP-925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12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Name],$A875)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TSZ-616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12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Name],$A875)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t="inlineStr">
        <is>
          <t>VSP-600</t>
        </is>
      </c>
      <c r="C888" t="inlineStr">
        <is>
          <t>No. of batches</t>
        </is>
      </c>
      <c r="D888">
        <f>IFERROR(INDEX(PP_Grid[#Data],$DD888,2),0)</f>
        <v/>
      </c>
      <c r="E888">
        <f>IFERROR(INDEX(PP_Grid[#Data],$DD888,3),0)</f>
        <v/>
      </c>
      <c r="F888">
        <f>IFERROR(INDEX(PP_Grid[#Data],$DD888,4),0)</f>
        <v/>
      </c>
      <c r="G888">
        <f>IFERROR(INDEX(PP_Grid[#Data],$DD888,5),0)</f>
        <v/>
      </c>
      <c r="H888">
        <f>IFERROR(INDEX(PP_Grid[#Data],$DD888,6),0)</f>
        <v/>
      </c>
      <c r="I888">
        <f>IFERROR(INDEX(PP_Grid[#Data],$DD888,7),0)</f>
        <v/>
      </c>
      <c r="J888">
        <f>IFERROR(INDEX(PP_Grid[#Data],$DD888,8),0)</f>
        <v/>
      </c>
      <c r="K888">
        <f>IFERROR(INDEX(PP_Grid[#Data],$DD888,9),0)</f>
        <v/>
      </c>
      <c r="L888">
        <f>IFERROR(INDEX(PP_Grid[#Data],$DD888,10),0)</f>
        <v/>
      </c>
      <c r="M888">
        <f>IFERROR(INDEX(PP_Grid[#Data],$DD888,11),0)</f>
        <v/>
      </c>
      <c r="N888">
        <f>IFERROR(INDEX(PP_Grid[#Data],$DD888,12),0)</f>
        <v/>
      </c>
      <c r="O888">
        <f>IFERROR(INDEX(PP_Grid[#Data],$DD888,13),0)</f>
        <v/>
      </c>
      <c r="P888">
        <f>IFERROR(INDEX(PP_Grid[#Data],$DD888,14),0)</f>
        <v/>
      </c>
      <c r="Q888">
        <f>IFERROR(INDEX(PP_Grid[#Data],$DD888,15),0)</f>
        <v/>
      </c>
      <c r="R888">
        <f>IFERROR(INDEX(PP_Grid[#Data],$DD888,16),0)</f>
        <v/>
      </c>
      <c r="S888">
        <f>IFERROR(INDEX(PP_Grid[#Data],$DD888,17),0)</f>
        <v/>
      </c>
      <c r="T888">
        <f>IFERROR(INDEX(PP_Grid[#Data],$DD888,18),0)</f>
        <v/>
      </c>
      <c r="U888">
        <f>IFERROR(INDEX(PP_Grid[#Data],$DD888,19),0)</f>
        <v/>
      </c>
      <c r="V888">
        <f>IFERROR(INDEX(PP_Grid[#Data],$DD888,20),0)</f>
        <v/>
      </c>
      <c r="W888">
        <f>IFERROR(INDEX(PP_Grid[#Data],$DD888,21),0)</f>
        <v/>
      </c>
      <c r="X888">
        <f>IFERROR(INDEX(PP_Grid[#Data],$DD888,22),0)</f>
        <v/>
      </c>
      <c r="Y888">
        <f>IFERROR(INDEX(PP_Grid[#Data],$DD888,23),0)</f>
        <v/>
      </c>
      <c r="Z888">
        <f>IFERROR(INDEX(PP_Grid[#Data],$DD888,24),0)</f>
        <v/>
      </c>
      <c r="AA888">
        <f>IFERROR(INDEX(PP_Grid[#Data],$DD888,25),0)</f>
        <v/>
      </c>
      <c r="AB888">
        <f>IFERROR(INDEX(PP_Grid[#Data],$DD888,26),0)</f>
        <v/>
      </c>
      <c r="AC888">
        <f>IFERROR(INDEX(PP_Grid[#Data],$DD888,27),0)</f>
        <v/>
      </c>
      <c r="AD888">
        <f>IFERROR(INDEX(PP_Grid[#Data],$DD888,28),0)</f>
        <v/>
      </c>
      <c r="AE888">
        <f>IFERROR(INDEX(PP_Grid[#Data],$DD888,29),0)</f>
        <v/>
      </c>
      <c r="AF888">
        <f>IFERROR(INDEX(PP_Grid[#Data],$DD888,30),0)</f>
        <v/>
      </c>
      <c r="AG888">
        <f>IFERROR(INDEX(PP_Grid[#Data],$DD888,31),0)</f>
        <v/>
      </c>
      <c r="AH888">
        <f>IFERROR(INDEX(PP_Grid[#Data],$DD888,32),0)</f>
        <v/>
      </c>
      <c r="AI888">
        <f>IFERROR(INDEX(PP_Grid[#Data],$DD888,33),0)</f>
        <v/>
      </c>
      <c r="AJ888">
        <f>IFERROR(INDEX(PP_Grid[#Data],$DD888,34),0)</f>
        <v/>
      </c>
      <c r="AK888">
        <f>IFERROR(INDEX(PP_Grid[#Data],$DD888,35),0)</f>
        <v/>
      </c>
      <c r="AL888">
        <f>IFERROR(INDEX(PP_Grid[#Data],$DD888,36),0)</f>
        <v/>
      </c>
      <c r="AM888">
        <f>IFERROR(INDEX(PP_Grid[#Data],$DD888,37),0)</f>
        <v/>
      </c>
      <c r="AN888">
        <f>IFERROR(INDEX(PP_Grid[#Data],$DD888,38),0)</f>
        <v/>
      </c>
      <c r="AO888">
        <f>IFERROR(INDEX(PP_Grid[#Data],$DD888,39),0)</f>
        <v/>
      </c>
      <c r="AP888">
        <f>IFERROR(INDEX(PP_Grid[#Data],$DD888,40),0)</f>
        <v/>
      </c>
      <c r="AQ888">
        <f>IFERROR(INDEX(PP_Grid[#Data],$DD888,41),0)</f>
        <v/>
      </c>
      <c r="AR888">
        <f>IFERROR(INDEX(PP_Grid[#Data],$DD888,42),0)</f>
        <v/>
      </c>
      <c r="AS888">
        <f>IFERROR(INDEX(PP_Grid[#Data],$DD888,43),0)</f>
        <v/>
      </c>
      <c r="AT888">
        <f>IFERROR(INDEX(PP_Grid[#Data],$DD888,44),0)</f>
        <v/>
      </c>
      <c r="AU888">
        <f>IFERROR(INDEX(PP_Grid[#Data],$DD888,45),0)</f>
        <v/>
      </c>
      <c r="AV888">
        <f>IFERROR(INDEX(PP_Grid[#Data],$DD888,46),0)</f>
        <v/>
      </c>
      <c r="AW888">
        <f>IFERROR(INDEX(PP_Grid[#Data],$DD888,47),0)</f>
        <v/>
      </c>
      <c r="AX888">
        <f>IFERROR(INDEX(PP_Grid[#Data],$DD888,48),0)</f>
        <v/>
      </c>
      <c r="AY888">
        <f>IFERROR(INDEX(PP_Grid[#Data],$DD888,49),0)</f>
        <v/>
      </c>
      <c r="AZ888">
        <f>IFERROR(INDEX(PP_Grid[#Data],$DD888,50),0)</f>
        <v/>
      </c>
      <c r="BA888">
        <f>IFERROR(INDEX(PP_Grid[#Data],$DD888,51),0)</f>
        <v/>
      </c>
      <c r="BB888">
        <f>IFERROR(INDEX(PP_Grid[#Data],$DD888,52),0)</f>
        <v/>
      </c>
      <c r="BC888">
        <f>IFERROR(INDEX(PP_Grid[#Data],$DD888,53),0)</f>
        <v/>
      </c>
      <c r="BD888">
        <f>IFERROR(INDEX(PP_Grid[#Data],$DD888,54),0)</f>
        <v/>
      </c>
      <c r="BE888">
        <f>IFERROR(INDEX(PP_Grid[#Data],$DD888,55),0)</f>
        <v/>
      </c>
      <c r="BF888">
        <f>IFERROR(INDEX(PP_Grid[#Data],$DD888,56),0)</f>
        <v/>
      </c>
      <c r="BG888">
        <f>IFERROR(INDEX(PP_Grid[#Data],$DD888,57),0)</f>
        <v/>
      </c>
      <c r="BH888">
        <f>IFERROR(INDEX(PP_Grid[#Data],$DD888,58),0)</f>
        <v/>
      </c>
      <c r="BI888">
        <f>IFERROR(INDEX(PP_Grid[#Data],$DD888,59),0)</f>
        <v/>
      </c>
      <c r="BJ888">
        <f>IFERROR(INDEX(PP_Grid[#Data],$DD888,60),0)</f>
        <v/>
      </c>
      <c r="BK888">
        <f>IFERROR(INDEX(PP_Grid[#Data],$DD888,61),0)</f>
        <v/>
      </c>
      <c r="BL888">
        <f>IFERROR(INDEX(PP_Grid[#Data],$DD888,62),0)</f>
        <v/>
      </c>
      <c r="BM888">
        <f>IFERROR(INDEX(PP_Grid[#Data],$DD888,63),0)</f>
        <v/>
      </c>
      <c r="BN888">
        <f>IFERROR(INDEX(PP_Grid[#Data],$DD888,64),0)</f>
        <v/>
      </c>
      <c r="BO888">
        <f>IFERROR(INDEX(PP_Grid[#Data],$DD888,65),0)</f>
        <v/>
      </c>
      <c r="BP888">
        <f>IFERROR(INDEX(PP_Grid[#Data],$DD888,66),0)</f>
        <v/>
      </c>
      <c r="BQ888">
        <f>IFERROR(INDEX(PP_Grid[#Data],$DD888,67),0)</f>
        <v/>
      </c>
      <c r="BR888">
        <f>IFERROR(INDEX(PP_Grid[#Data],$DD888,68),0)</f>
        <v/>
      </c>
      <c r="BS888">
        <f>IFERROR(INDEX(PP_Grid[#Data],$DD888,69),0)</f>
        <v/>
      </c>
      <c r="BT888">
        <f>IFERROR(INDEX(PP_Grid[#Data],$DD888,70),0)</f>
        <v/>
      </c>
      <c r="BU888">
        <f>IFERROR(INDEX(PP_Grid[#Data],$DD888,71),0)</f>
        <v/>
      </c>
      <c r="BV888">
        <f>IFERROR(INDEX(PP_Grid[#Data],$DD888,72),0)</f>
        <v/>
      </c>
      <c r="BW888">
        <f>IFERROR(INDEX(PP_Grid[#Data],$DD888,73),0)</f>
        <v/>
      </c>
      <c r="BX888">
        <f>IFERROR(INDEX(PP_Grid[#Data],$DD888,74),0)</f>
        <v/>
      </c>
      <c r="BY888">
        <f>IFERROR(INDEX(PP_Grid[#Data],$DD888,75),0)</f>
        <v/>
      </c>
      <c r="BZ888">
        <f>IFERROR(INDEX(PP_Grid[#Data],$DD888,76),0)</f>
        <v/>
      </c>
      <c r="CA888">
        <f>IFERROR(INDEX(PP_Grid[#Data],$DD888,77),0)</f>
        <v/>
      </c>
      <c r="CB888">
        <f>IFERROR(INDEX(PP_Grid[#Data],$DD888,78),0)</f>
        <v/>
      </c>
      <c r="CC888">
        <f>IFERROR(INDEX(PP_Grid[#Data],$DD888,79),0)</f>
        <v/>
      </c>
      <c r="CD888">
        <f>IFERROR(INDEX(PP_Grid[#Data],$DD888,80),0)</f>
        <v/>
      </c>
      <c r="CE888">
        <f>IFERROR(INDEX(PP_Grid[#Data],$DD888,81),0)</f>
        <v/>
      </c>
      <c r="CF888">
        <f>IFERROR(INDEX(PP_Grid[#Data],$DD888,82),0)</f>
        <v/>
      </c>
      <c r="CG888">
        <f>IFERROR(INDEX(PP_Grid[#Data],$DD888,83),0)</f>
        <v/>
      </c>
      <c r="CH888">
        <f>IFERROR(INDEX(PP_Grid[#Data],$DD888,84),0)</f>
        <v/>
      </c>
      <c r="CI888">
        <f>IFERROR(INDEX(PP_Grid[#Data],$DD888,85),0)</f>
        <v/>
      </c>
      <c r="CJ888">
        <f>IFERROR(INDEX(PP_Grid[#Data],$DD888,86),0)</f>
        <v/>
      </c>
      <c r="CK888">
        <f>IFERROR(INDEX(PP_Grid[#Data],$DD888,87),0)</f>
        <v/>
      </c>
      <c r="CL888">
        <f>IFERROR(INDEX(PP_Grid[#Data],$DD888,88),0)</f>
        <v/>
      </c>
      <c r="CM888">
        <f>IFERROR(INDEX(PP_Grid[#Data],$DD888,89),0)</f>
        <v/>
      </c>
      <c r="CN888">
        <f>IFERROR(INDEX(PP_Grid[#Data],$DD888,90),0)</f>
        <v/>
      </c>
      <c r="CO888">
        <f>IFERROR(INDEX(PP_Grid[#Data],$DD888,91),0)</f>
        <v/>
      </c>
      <c r="CP888">
        <f>IFERROR(INDEX(PP_Grid[#Data],$DD888,92),0)</f>
        <v/>
      </c>
      <c r="CQ888">
        <f>IFERROR(INDEX(PP_Grid[#Data],$DD888,93),0)</f>
        <v/>
      </c>
      <c r="CR888">
        <f>IFERROR(INDEX(PP_Grid[#Data],$DD888,94),0)</f>
        <v/>
      </c>
      <c r="CS888">
        <f>IFERROR(INDEX(PP_Grid[#Data],$DD888,95),0)</f>
        <v/>
      </c>
      <c r="CT888">
        <f>IFERROR(INDEX(PP_Grid[#Data],$DD888,96),0)</f>
        <v/>
      </c>
      <c r="CU888">
        <f>IFERROR(INDEX(PP_Grid[#Data],$DD888,97),0)</f>
        <v/>
      </c>
      <c r="CV888">
        <f>IFERROR(INDEX(PP_Grid[#Data],$DD888,98),0)</f>
        <v/>
      </c>
      <c r="CW888">
        <f>IFERROR(INDEX(PP_Grid[#Data],$DD888,99),0)</f>
        <v/>
      </c>
      <c r="CX888">
        <f>IFERROR(INDEX(PP_Grid[#Data],$DD888,100),0)</f>
        <v/>
      </c>
      <c r="CY888">
        <f>IFERROR(INDEX(PP_Grid[#Data],$DD888,101),0)</f>
        <v/>
      </c>
      <c r="CZ888">
        <f>IFERROR(INDEX(PP_Grid[#Data],$DD888,102),0)</f>
        <v/>
      </c>
      <c r="DA888">
        <f>IFERROR(INDEX(PP_Grid[#Data],$DD888,103),0)</f>
        <v/>
      </c>
      <c r="DB888">
        <f>IFERROR(INDEX(PP_Grid[#Data],$DD888,104),0)</f>
        <v/>
      </c>
      <c r="DC888">
        <f>IFERROR(INDEX(PP_Grid[#Data],$DD888,105),0)</f>
        <v/>
      </c>
      <c r="DD888" s="12">
        <f>IFERROR(MATCH($B888,PP_Grid[Intermediate],0),99999)</f>
        <v/>
      </c>
    </row>
    <row r="889">
      <c r="B889" t="inlineStr">
        <is>
          <t>使用量(kg)</t>
        </is>
      </c>
      <c r="C889">
        <f>SUMIFS(M_BOM[RM_Qty_Per_Batch],M_BOM[Intermediate],$B888,M_BOM[Part Name],$A875)</f>
        <v/>
      </c>
      <c r="D889">
        <f>$C889*D888</f>
        <v/>
      </c>
      <c r="E889">
        <f>$C889*E888</f>
        <v/>
      </c>
      <c r="F889">
        <f>$C889*F888</f>
        <v/>
      </c>
      <c r="G889">
        <f>$C889*G888</f>
        <v/>
      </c>
      <c r="H889">
        <f>$C889*H888</f>
        <v/>
      </c>
      <c r="I889">
        <f>$C889*I888</f>
        <v/>
      </c>
      <c r="J889">
        <f>$C889*J888</f>
        <v/>
      </c>
      <c r="K889">
        <f>$C889*K888</f>
        <v/>
      </c>
      <c r="L889">
        <f>$C889*L888</f>
        <v/>
      </c>
      <c r="M889">
        <f>$C889*M888</f>
        <v/>
      </c>
      <c r="N889">
        <f>$C889*N888</f>
        <v/>
      </c>
      <c r="O889">
        <f>$C889*O888</f>
        <v/>
      </c>
      <c r="P889">
        <f>$C889*P888</f>
        <v/>
      </c>
      <c r="Q889">
        <f>$C889*Q888</f>
        <v/>
      </c>
      <c r="R889">
        <f>$C889*R888</f>
        <v/>
      </c>
      <c r="S889">
        <f>$C889*S888</f>
        <v/>
      </c>
      <c r="T889">
        <f>$C889*T888</f>
        <v/>
      </c>
      <c r="U889">
        <f>$C889*U888</f>
        <v/>
      </c>
      <c r="V889">
        <f>$C889*V888</f>
        <v/>
      </c>
      <c r="W889">
        <f>$C889*W888</f>
        <v/>
      </c>
      <c r="X889">
        <f>$C889*X888</f>
        <v/>
      </c>
      <c r="Y889">
        <f>$C889*Y888</f>
        <v/>
      </c>
      <c r="Z889">
        <f>$C889*Z888</f>
        <v/>
      </c>
      <c r="AA889">
        <f>$C889*AA888</f>
        <v/>
      </c>
      <c r="AB889">
        <f>$C889*AB888</f>
        <v/>
      </c>
      <c r="AC889">
        <f>$C889*AC888</f>
        <v/>
      </c>
      <c r="AD889">
        <f>$C889*AD888</f>
        <v/>
      </c>
      <c r="AE889">
        <f>$C889*AE888</f>
        <v/>
      </c>
      <c r="AF889">
        <f>$C889*AF888</f>
        <v/>
      </c>
      <c r="AG889">
        <f>$C889*AG888</f>
        <v/>
      </c>
      <c r="AH889">
        <f>$C889*AH888</f>
        <v/>
      </c>
      <c r="AI889">
        <f>$C889*AI888</f>
        <v/>
      </c>
      <c r="AJ889">
        <f>$C889*AJ888</f>
        <v/>
      </c>
      <c r="AK889">
        <f>$C889*AK888</f>
        <v/>
      </c>
      <c r="AL889">
        <f>$C889*AL888</f>
        <v/>
      </c>
      <c r="AM889">
        <f>$C889*AM888</f>
        <v/>
      </c>
      <c r="AN889">
        <f>$C889*AN888</f>
        <v/>
      </c>
      <c r="AO889">
        <f>$C889*AO888</f>
        <v/>
      </c>
      <c r="AP889">
        <f>$C889*AP888</f>
        <v/>
      </c>
      <c r="AQ889">
        <f>$C889*AQ888</f>
        <v/>
      </c>
      <c r="AR889">
        <f>$C889*AR888</f>
        <v/>
      </c>
      <c r="AS889">
        <f>$C889*AS888</f>
        <v/>
      </c>
      <c r="AT889">
        <f>$C889*AT888</f>
        <v/>
      </c>
      <c r="AU889">
        <f>$C889*AU888</f>
        <v/>
      </c>
      <c r="AV889">
        <f>$C889*AV888</f>
        <v/>
      </c>
      <c r="AW889">
        <f>$C889*AW888</f>
        <v/>
      </c>
      <c r="AX889">
        <f>$C889*AX888</f>
        <v/>
      </c>
      <c r="AY889">
        <f>$C889*AY888</f>
        <v/>
      </c>
      <c r="AZ889">
        <f>$C889*AZ888</f>
        <v/>
      </c>
      <c r="BA889">
        <f>$C889*BA888</f>
        <v/>
      </c>
      <c r="BB889">
        <f>$C889*BB888</f>
        <v/>
      </c>
      <c r="BC889">
        <f>$C889*BC888</f>
        <v/>
      </c>
      <c r="BD889">
        <f>$C889*BD888</f>
        <v/>
      </c>
      <c r="BE889">
        <f>$C889*BE888</f>
        <v/>
      </c>
      <c r="BF889">
        <f>$C889*BF888</f>
        <v/>
      </c>
      <c r="BG889">
        <f>$C889*BG888</f>
        <v/>
      </c>
      <c r="BH889">
        <f>$C889*BH888</f>
        <v/>
      </c>
      <c r="BI889">
        <f>$C889*BI888</f>
        <v/>
      </c>
      <c r="BJ889">
        <f>$C889*BJ888</f>
        <v/>
      </c>
      <c r="BK889">
        <f>$C889*BK888</f>
        <v/>
      </c>
      <c r="BL889">
        <f>$C889*BL888</f>
        <v/>
      </c>
      <c r="BM889">
        <f>$C889*BM888</f>
        <v/>
      </c>
      <c r="BN889">
        <f>$C889*BN888</f>
        <v/>
      </c>
      <c r="BO889">
        <f>$C889*BO888</f>
        <v/>
      </c>
      <c r="BP889">
        <f>$C889*BP888</f>
        <v/>
      </c>
      <c r="BQ889">
        <f>$C889*BQ888</f>
        <v/>
      </c>
      <c r="BR889">
        <f>$C889*BR888</f>
        <v/>
      </c>
      <c r="BS889">
        <f>$C889*BS888</f>
        <v/>
      </c>
      <c r="BT889">
        <f>$C889*BT888</f>
        <v/>
      </c>
      <c r="BU889">
        <f>$C889*BU888</f>
        <v/>
      </c>
      <c r="BV889">
        <f>$C889*BV888</f>
        <v/>
      </c>
      <c r="BW889">
        <f>$C889*BW888</f>
        <v/>
      </c>
      <c r="BX889">
        <f>$C889*BX888</f>
        <v/>
      </c>
      <c r="BY889">
        <f>$C889*BY888</f>
        <v/>
      </c>
      <c r="BZ889">
        <f>$C889*BZ888</f>
        <v/>
      </c>
      <c r="CA889">
        <f>$C889*CA888</f>
        <v/>
      </c>
      <c r="CB889">
        <f>$C889*CB888</f>
        <v/>
      </c>
      <c r="CC889">
        <f>$C889*CC888</f>
        <v/>
      </c>
      <c r="CD889">
        <f>$C889*CD888</f>
        <v/>
      </c>
      <c r="CE889">
        <f>$C889*CE888</f>
        <v/>
      </c>
      <c r="CF889">
        <f>$C889*CF888</f>
        <v/>
      </c>
      <c r="CG889">
        <f>$C889*CG888</f>
        <v/>
      </c>
      <c r="CH889">
        <f>$C889*CH888</f>
        <v/>
      </c>
      <c r="CI889">
        <f>$C889*CI888</f>
        <v/>
      </c>
      <c r="CJ889">
        <f>$C889*CJ888</f>
        <v/>
      </c>
      <c r="CK889">
        <f>$C889*CK888</f>
        <v/>
      </c>
      <c r="CL889">
        <f>$C889*CL888</f>
        <v/>
      </c>
      <c r="CM889">
        <f>$C889*CM888</f>
        <v/>
      </c>
      <c r="CN889">
        <f>$C889*CN888</f>
        <v/>
      </c>
      <c r="CO889">
        <f>$C889*CO888</f>
        <v/>
      </c>
      <c r="CP889">
        <f>$C889*CP888</f>
        <v/>
      </c>
      <c r="CQ889">
        <f>$C889*CQ888</f>
        <v/>
      </c>
      <c r="CR889">
        <f>$C889*CR888</f>
        <v/>
      </c>
      <c r="CS889">
        <f>$C889*CS888</f>
        <v/>
      </c>
      <c r="CT889">
        <f>$C889*CT888</f>
        <v/>
      </c>
      <c r="CU889">
        <f>$C889*CU888</f>
        <v/>
      </c>
      <c r="CV889">
        <f>$C889*CV888</f>
        <v/>
      </c>
      <c r="CW889">
        <f>$C889*CW888</f>
        <v/>
      </c>
      <c r="CX889">
        <f>$C889*CX888</f>
        <v/>
      </c>
      <c r="CY889">
        <f>$C889*CY888</f>
        <v/>
      </c>
      <c r="CZ889">
        <f>$C889*CZ888</f>
        <v/>
      </c>
      <c r="DA889">
        <f>$C889*DA888</f>
        <v/>
      </c>
      <c r="DB889">
        <f>$C889*DB888</f>
        <v/>
      </c>
      <c r="DC889">
        <f>$C889*DC888</f>
        <v/>
      </c>
    </row>
    <row r="890">
      <c r="B890" t="inlineStr">
        <is>
          <t>VSP-601</t>
        </is>
      </c>
      <c r="C890" t="inlineStr">
        <is>
          <t>No. of batches</t>
        </is>
      </c>
      <c r="D890">
        <f>IFERROR(INDEX(PP_Grid[#Data],$DD890,2),0)</f>
        <v/>
      </c>
      <c r="E890">
        <f>IFERROR(INDEX(PP_Grid[#Data],$DD890,3),0)</f>
        <v/>
      </c>
      <c r="F890">
        <f>IFERROR(INDEX(PP_Grid[#Data],$DD890,4),0)</f>
        <v/>
      </c>
      <c r="G890">
        <f>IFERROR(INDEX(PP_Grid[#Data],$DD890,5),0)</f>
        <v/>
      </c>
      <c r="H890">
        <f>IFERROR(INDEX(PP_Grid[#Data],$DD890,6),0)</f>
        <v/>
      </c>
      <c r="I890">
        <f>IFERROR(INDEX(PP_Grid[#Data],$DD890,7),0)</f>
        <v/>
      </c>
      <c r="J890">
        <f>IFERROR(INDEX(PP_Grid[#Data],$DD890,8),0)</f>
        <v/>
      </c>
      <c r="K890">
        <f>IFERROR(INDEX(PP_Grid[#Data],$DD890,9),0)</f>
        <v/>
      </c>
      <c r="L890">
        <f>IFERROR(INDEX(PP_Grid[#Data],$DD890,10),0)</f>
        <v/>
      </c>
      <c r="M890">
        <f>IFERROR(INDEX(PP_Grid[#Data],$DD890,11),0)</f>
        <v/>
      </c>
      <c r="N890">
        <f>IFERROR(INDEX(PP_Grid[#Data],$DD890,12),0)</f>
        <v/>
      </c>
      <c r="O890">
        <f>IFERROR(INDEX(PP_Grid[#Data],$DD890,13),0)</f>
        <v/>
      </c>
      <c r="P890">
        <f>IFERROR(INDEX(PP_Grid[#Data],$DD890,14),0)</f>
        <v/>
      </c>
      <c r="Q890">
        <f>IFERROR(INDEX(PP_Grid[#Data],$DD890,15),0)</f>
        <v/>
      </c>
      <c r="R890">
        <f>IFERROR(INDEX(PP_Grid[#Data],$DD890,16),0)</f>
        <v/>
      </c>
      <c r="S890">
        <f>IFERROR(INDEX(PP_Grid[#Data],$DD890,17),0)</f>
        <v/>
      </c>
      <c r="T890">
        <f>IFERROR(INDEX(PP_Grid[#Data],$DD890,18),0)</f>
        <v/>
      </c>
      <c r="U890">
        <f>IFERROR(INDEX(PP_Grid[#Data],$DD890,19),0)</f>
        <v/>
      </c>
      <c r="V890">
        <f>IFERROR(INDEX(PP_Grid[#Data],$DD890,20),0)</f>
        <v/>
      </c>
      <c r="W890">
        <f>IFERROR(INDEX(PP_Grid[#Data],$DD890,21),0)</f>
        <v/>
      </c>
      <c r="X890">
        <f>IFERROR(INDEX(PP_Grid[#Data],$DD890,22),0)</f>
        <v/>
      </c>
      <c r="Y890">
        <f>IFERROR(INDEX(PP_Grid[#Data],$DD890,23),0)</f>
        <v/>
      </c>
      <c r="Z890">
        <f>IFERROR(INDEX(PP_Grid[#Data],$DD890,24),0)</f>
        <v/>
      </c>
      <c r="AA890">
        <f>IFERROR(INDEX(PP_Grid[#Data],$DD890,25),0)</f>
        <v/>
      </c>
      <c r="AB890">
        <f>IFERROR(INDEX(PP_Grid[#Data],$DD890,26),0)</f>
        <v/>
      </c>
      <c r="AC890">
        <f>IFERROR(INDEX(PP_Grid[#Data],$DD890,27),0)</f>
        <v/>
      </c>
      <c r="AD890">
        <f>IFERROR(INDEX(PP_Grid[#Data],$DD890,28),0)</f>
        <v/>
      </c>
      <c r="AE890">
        <f>IFERROR(INDEX(PP_Grid[#Data],$DD890,29),0)</f>
        <v/>
      </c>
      <c r="AF890">
        <f>IFERROR(INDEX(PP_Grid[#Data],$DD890,30),0)</f>
        <v/>
      </c>
      <c r="AG890">
        <f>IFERROR(INDEX(PP_Grid[#Data],$DD890,31),0)</f>
        <v/>
      </c>
      <c r="AH890">
        <f>IFERROR(INDEX(PP_Grid[#Data],$DD890,32),0)</f>
        <v/>
      </c>
      <c r="AI890">
        <f>IFERROR(INDEX(PP_Grid[#Data],$DD890,33),0)</f>
        <v/>
      </c>
      <c r="AJ890">
        <f>IFERROR(INDEX(PP_Grid[#Data],$DD890,34),0)</f>
        <v/>
      </c>
      <c r="AK890">
        <f>IFERROR(INDEX(PP_Grid[#Data],$DD890,35),0)</f>
        <v/>
      </c>
      <c r="AL890">
        <f>IFERROR(INDEX(PP_Grid[#Data],$DD890,36),0)</f>
        <v/>
      </c>
      <c r="AM890">
        <f>IFERROR(INDEX(PP_Grid[#Data],$DD890,37),0)</f>
        <v/>
      </c>
      <c r="AN890">
        <f>IFERROR(INDEX(PP_Grid[#Data],$DD890,38),0)</f>
        <v/>
      </c>
      <c r="AO890">
        <f>IFERROR(INDEX(PP_Grid[#Data],$DD890,39),0)</f>
        <v/>
      </c>
      <c r="AP890">
        <f>IFERROR(INDEX(PP_Grid[#Data],$DD890,40),0)</f>
        <v/>
      </c>
      <c r="AQ890">
        <f>IFERROR(INDEX(PP_Grid[#Data],$DD890,41),0)</f>
        <v/>
      </c>
      <c r="AR890">
        <f>IFERROR(INDEX(PP_Grid[#Data],$DD890,42),0)</f>
        <v/>
      </c>
      <c r="AS890">
        <f>IFERROR(INDEX(PP_Grid[#Data],$DD890,43),0)</f>
        <v/>
      </c>
      <c r="AT890">
        <f>IFERROR(INDEX(PP_Grid[#Data],$DD890,44),0)</f>
        <v/>
      </c>
      <c r="AU890">
        <f>IFERROR(INDEX(PP_Grid[#Data],$DD890,45),0)</f>
        <v/>
      </c>
      <c r="AV890">
        <f>IFERROR(INDEX(PP_Grid[#Data],$DD890,46),0)</f>
        <v/>
      </c>
      <c r="AW890">
        <f>IFERROR(INDEX(PP_Grid[#Data],$DD890,47),0)</f>
        <v/>
      </c>
      <c r="AX890">
        <f>IFERROR(INDEX(PP_Grid[#Data],$DD890,48),0)</f>
        <v/>
      </c>
      <c r="AY890">
        <f>IFERROR(INDEX(PP_Grid[#Data],$DD890,49),0)</f>
        <v/>
      </c>
      <c r="AZ890">
        <f>IFERROR(INDEX(PP_Grid[#Data],$DD890,50),0)</f>
        <v/>
      </c>
      <c r="BA890">
        <f>IFERROR(INDEX(PP_Grid[#Data],$DD890,51),0)</f>
        <v/>
      </c>
      <c r="BB890">
        <f>IFERROR(INDEX(PP_Grid[#Data],$DD890,52),0)</f>
        <v/>
      </c>
      <c r="BC890">
        <f>IFERROR(INDEX(PP_Grid[#Data],$DD890,53),0)</f>
        <v/>
      </c>
      <c r="BD890">
        <f>IFERROR(INDEX(PP_Grid[#Data],$DD890,54),0)</f>
        <v/>
      </c>
      <c r="BE890">
        <f>IFERROR(INDEX(PP_Grid[#Data],$DD890,55),0)</f>
        <v/>
      </c>
      <c r="BF890">
        <f>IFERROR(INDEX(PP_Grid[#Data],$DD890,56),0)</f>
        <v/>
      </c>
      <c r="BG890">
        <f>IFERROR(INDEX(PP_Grid[#Data],$DD890,57),0)</f>
        <v/>
      </c>
      <c r="BH890">
        <f>IFERROR(INDEX(PP_Grid[#Data],$DD890,58),0)</f>
        <v/>
      </c>
      <c r="BI890">
        <f>IFERROR(INDEX(PP_Grid[#Data],$DD890,59),0)</f>
        <v/>
      </c>
      <c r="BJ890">
        <f>IFERROR(INDEX(PP_Grid[#Data],$DD890,60),0)</f>
        <v/>
      </c>
      <c r="BK890">
        <f>IFERROR(INDEX(PP_Grid[#Data],$DD890,61),0)</f>
        <v/>
      </c>
      <c r="BL890">
        <f>IFERROR(INDEX(PP_Grid[#Data],$DD890,62),0)</f>
        <v/>
      </c>
      <c r="BM890">
        <f>IFERROR(INDEX(PP_Grid[#Data],$DD890,63),0)</f>
        <v/>
      </c>
      <c r="BN890">
        <f>IFERROR(INDEX(PP_Grid[#Data],$DD890,64),0)</f>
        <v/>
      </c>
      <c r="BO890">
        <f>IFERROR(INDEX(PP_Grid[#Data],$DD890,65),0)</f>
        <v/>
      </c>
      <c r="BP890">
        <f>IFERROR(INDEX(PP_Grid[#Data],$DD890,66),0)</f>
        <v/>
      </c>
      <c r="BQ890">
        <f>IFERROR(INDEX(PP_Grid[#Data],$DD890,67),0)</f>
        <v/>
      </c>
      <c r="BR890">
        <f>IFERROR(INDEX(PP_Grid[#Data],$DD890,68),0)</f>
        <v/>
      </c>
      <c r="BS890">
        <f>IFERROR(INDEX(PP_Grid[#Data],$DD890,69),0)</f>
        <v/>
      </c>
      <c r="BT890">
        <f>IFERROR(INDEX(PP_Grid[#Data],$DD890,70),0)</f>
        <v/>
      </c>
      <c r="BU890">
        <f>IFERROR(INDEX(PP_Grid[#Data],$DD890,71),0)</f>
        <v/>
      </c>
      <c r="BV890">
        <f>IFERROR(INDEX(PP_Grid[#Data],$DD890,72),0)</f>
        <v/>
      </c>
      <c r="BW890">
        <f>IFERROR(INDEX(PP_Grid[#Data],$DD890,73),0)</f>
        <v/>
      </c>
      <c r="BX890">
        <f>IFERROR(INDEX(PP_Grid[#Data],$DD890,74),0)</f>
        <v/>
      </c>
      <c r="BY890">
        <f>IFERROR(INDEX(PP_Grid[#Data],$DD890,75),0)</f>
        <v/>
      </c>
      <c r="BZ890">
        <f>IFERROR(INDEX(PP_Grid[#Data],$DD890,76),0)</f>
        <v/>
      </c>
      <c r="CA890">
        <f>IFERROR(INDEX(PP_Grid[#Data],$DD890,77),0)</f>
        <v/>
      </c>
      <c r="CB890">
        <f>IFERROR(INDEX(PP_Grid[#Data],$DD890,78),0)</f>
        <v/>
      </c>
      <c r="CC890">
        <f>IFERROR(INDEX(PP_Grid[#Data],$DD890,79),0)</f>
        <v/>
      </c>
      <c r="CD890">
        <f>IFERROR(INDEX(PP_Grid[#Data],$DD890,80),0)</f>
        <v/>
      </c>
      <c r="CE890">
        <f>IFERROR(INDEX(PP_Grid[#Data],$DD890,81),0)</f>
        <v/>
      </c>
      <c r="CF890">
        <f>IFERROR(INDEX(PP_Grid[#Data],$DD890,82),0)</f>
        <v/>
      </c>
      <c r="CG890">
        <f>IFERROR(INDEX(PP_Grid[#Data],$DD890,83),0)</f>
        <v/>
      </c>
      <c r="CH890">
        <f>IFERROR(INDEX(PP_Grid[#Data],$DD890,84),0)</f>
        <v/>
      </c>
      <c r="CI890">
        <f>IFERROR(INDEX(PP_Grid[#Data],$DD890,85),0)</f>
        <v/>
      </c>
      <c r="CJ890">
        <f>IFERROR(INDEX(PP_Grid[#Data],$DD890,86),0)</f>
        <v/>
      </c>
      <c r="CK890">
        <f>IFERROR(INDEX(PP_Grid[#Data],$DD890,87),0)</f>
        <v/>
      </c>
      <c r="CL890">
        <f>IFERROR(INDEX(PP_Grid[#Data],$DD890,88),0)</f>
        <v/>
      </c>
      <c r="CM890">
        <f>IFERROR(INDEX(PP_Grid[#Data],$DD890,89),0)</f>
        <v/>
      </c>
      <c r="CN890">
        <f>IFERROR(INDEX(PP_Grid[#Data],$DD890,90),0)</f>
        <v/>
      </c>
      <c r="CO890">
        <f>IFERROR(INDEX(PP_Grid[#Data],$DD890,91),0)</f>
        <v/>
      </c>
      <c r="CP890">
        <f>IFERROR(INDEX(PP_Grid[#Data],$DD890,92),0)</f>
        <v/>
      </c>
      <c r="CQ890">
        <f>IFERROR(INDEX(PP_Grid[#Data],$DD890,93),0)</f>
        <v/>
      </c>
      <c r="CR890">
        <f>IFERROR(INDEX(PP_Grid[#Data],$DD890,94),0)</f>
        <v/>
      </c>
      <c r="CS890">
        <f>IFERROR(INDEX(PP_Grid[#Data],$DD890,95),0)</f>
        <v/>
      </c>
      <c r="CT890">
        <f>IFERROR(INDEX(PP_Grid[#Data],$DD890,96),0)</f>
        <v/>
      </c>
      <c r="CU890">
        <f>IFERROR(INDEX(PP_Grid[#Data],$DD890,97),0)</f>
        <v/>
      </c>
      <c r="CV890">
        <f>IFERROR(INDEX(PP_Grid[#Data],$DD890,98),0)</f>
        <v/>
      </c>
      <c r="CW890">
        <f>IFERROR(INDEX(PP_Grid[#Data],$DD890,99),0)</f>
        <v/>
      </c>
      <c r="CX890">
        <f>IFERROR(INDEX(PP_Grid[#Data],$DD890,100),0)</f>
        <v/>
      </c>
      <c r="CY890">
        <f>IFERROR(INDEX(PP_Grid[#Data],$DD890,101),0)</f>
        <v/>
      </c>
      <c r="CZ890">
        <f>IFERROR(INDEX(PP_Grid[#Data],$DD890,102),0)</f>
        <v/>
      </c>
      <c r="DA890">
        <f>IFERROR(INDEX(PP_Grid[#Data],$DD890,103),0)</f>
        <v/>
      </c>
      <c r="DB890">
        <f>IFERROR(INDEX(PP_Grid[#Data],$DD890,104),0)</f>
        <v/>
      </c>
      <c r="DC890">
        <f>IFERROR(INDEX(PP_Grid[#Data],$DD890,105),0)</f>
        <v/>
      </c>
      <c r="DD890" s="12">
        <f>IFERROR(MATCH($B890,PP_Grid[Intermediate],0),99999)</f>
        <v/>
      </c>
    </row>
    <row r="891">
      <c r="B891" t="inlineStr">
        <is>
          <t>使用量(kg)</t>
        </is>
      </c>
      <c r="C891">
        <f>SUMIFS(M_BOM[RM_Qty_Per_Batch],M_BOM[Intermediate],$B890,M_BOM[Part Name],$A875)</f>
        <v/>
      </c>
      <c r="D891">
        <f>$C891*D890</f>
        <v/>
      </c>
      <c r="E891">
        <f>$C891*E890</f>
        <v/>
      </c>
      <c r="F891">
        <f>$C891*F890</f>
        <v/>
      </c>
      <c r="G891">
        <f>$C891*G890</f>
        <v/>
      </c>
      <c r="H891">
        <f>$C891*H890</f>
        <v/>
      </c>
      <c r="I891">
        <f>$C891*I890</f>
        <v/>
      </c>
      <c r="J891">
        <f>$C891*J890</f>
        <v/>
      </c>
      <c r="K891">
        <f>$C891*K890</f>
        <v/>
      </c>
      <c r="L891">
        <f>$C891*L890</f>
        <v/>
      </c>
      <c r="M891">
        <f>$C891*M890</f>
        <v/>
      </c>
      <c r="N891">
        <f>$C891*N890</f>
        <v/>
      </c>
      <c r="O891">
        <f>$C891*O890</f>
        <v/>
      </c>
      <c r="P891">
        <f>$C891*P890</f>
        <v/>
      </c>
      <c r="Q891">
        <f>$C891*Q890</f>
        <v/>
      </c>
      <c r="R891">
        <f>$C891*R890</f>
        <v/>
      </c>
      <c r="S891">
        <f>$C891*S890</f>
        <v/>
      </c>
      <c r="T891">
        <f>$C891*T890</f>
        <v/>
      </c>
      <c r="U891">
        <f>$C891*U890</f>
        <v/>
      </c>
      <c r="V891">
        <f>$C891*V890</f>
        <v/>
      </c>
      <c r="W891">
        <f>$C891*W890</f>
        <v/>
      </c>
      <c r="X891">
        <f>$C891*X890</f>
        <v/>
      </c>
      <c r="Y891">
        <f>$C891*Y890</f>
        <v/>
      </c>
      <c r="Z891">
        <f>$C891*Z890</f>
        <v/>
      </c>
      <c r="AA891">
        <f>$C891*AA890</f>
        <v/>
      </c>
      <c r="AB891">
        <f>$C891*AB890</f>
        <v/>
      </c>
      <c r="AC891">
        <f>$C891*AC890</f>
        <v/>
      </c>
      <c r="AD891">
        <f>$C891*AD890</f>
        <v/>
      </c>
      <c r="AE891">
        <f>$C891*AE890</f>
        <v/>
      </c>
      <c r="AF891">
        <f>$C891*AF890</f>
        <v/>
      </c>
      <c r="AG891">
        <f>$C891*AG890</f>
        <v/>
      </c>
      <c r="AH891">
        <f>$C891*AH890</f>
        <v/>
      </c>
      <c r="AI891">
        <f>$C891*AI890</f>
        <v/>
      </c>
      <c r="AJ891">
        <f>$C891*AJ890</f>
        <v/>
      </c>
      <c r="AK891">
        <f>$C891*AK890</f>
        <v/>
      </c>
      <c r="AL891">
        <f>$C891*AL890</f>
        <v/>
      </c>
      <c r="AM891">
        <f>$C891*AM890</f>
        <v/>
      </c>
      <c r="AN891">
        <f>$C891*AN890</f>
        <v/>
      </c>
      <c r="AO891">
        <f>$C891*AO890</f>
        <v/>
      </c>
      <c r="AP891">
        <f>$C891*AP890</f>
        <v/>
      </c>
      <c r="AQ891">
        <f>$C891*AQ890</f>
        <v/>
      </c>
      <c r="AR891">
        <f>$C891*AR890</f>
        <v/>
      </c>
      <c r="AS891">
        <f>$C891*AS890</f>
        <v/>
      </c>
      <c r="AT891">
        <f>$C891*AT890</f>
        <v/>
      </c>
      <c r="AU891">
        <f>$C891*AU890</f>
        <v/>
      </c>
      <c r="AV891">
        <f>$C891*AV890</f>
        <v/>
      </c>
      <c r="AW891">
        <f>$C891*AW890</f>
        <v/>
      </c>
      <c r="AX891">
        <f>$C891*AX890</f>
        <v/>
      </c>
      <c r="AY891">
        <f>$C891*AY890</f>
        <v/>
      </c>
      <c r="AZ891">
        <f>$C891*AZ890</f>
        <v/>
      </c>
      <c r="BA891">
        <f>$C891*BA890</f>
        <v/>
      </c>
      <c r="BB891">
        <f>$C891*BB890</f>
        <v/>
      </c>
      <c r="BC891">
        <f>$C891*BC890</f>
        <v/>
      </c>
      <c r="BD891">
        <f>$C891*BD890</f>
        <v/>
      </c>
      <c r="BE891">
        <f>$C891*BE890</f>
        <v/>
      </c>
      <c r="BF891">
        <f>$C891*BF890</f>
        <v/>
      </c>
      <c r="BG891">
        <f>$C891*BG890</f>
        <v/>
      </c>
      <c r="BH891">
        <f>$C891*BH890</f>
        <v/>
      </c>
      <c r="BI891">
        <f>$C891*BI890</f>
        <v/>
      </c>
      <c r="BJ891">
        <f>$C891*BJ890</f>
        <v/>
      </c>
      <c r="BK891">
        <f>$C891*BK890</f>
        <v/>
      </c>
      <c r="BL891">
        <f>$C891*BL890</f>
        <v/>
      </c>
      <c r="BM891">
        <f>$C891*BM890</f>
        <v/>
      </c>
      <c r="BN891">
        <f>$C891*BN890</f>
        <v/>
      </c>
      <c r="BO891">
        <f>$C891*BO890</f>
        <v/>
      </c>
      <c r="BP891">
        <f>$C891*BP890</f>
        <v/>
      </c>
      <c r="BQ891">
        <f>$C891*BQ890</f>
        <v/>
      </c>
      <c r="BR891">
        <f>$C891*BR890</f>
        <v/>
      </c>
      <c r="BS891">
        <f>$C891*BS890</f>
        <v/>
      </c>
      <c r="BT891">
        <f>$C891*BT890</f>
        <v/>
      </c>
      <c r="BU891">
        <f>$C891*BU890</f>
        <v/>
      </c>
      <c r="BV891">
        <f>$C891*BV890</f>
        <v/>
      </c>
      <c r="BW891">
        <f>$C891*BW890</f>
        <v/>
      </c>
      <c r="BX891">
        <f>$C891*BX890</f>
        <v/>
      </c>
      <c r="BY891">
        <f>$C891*BY890</f>
        <v/>
      </c>
      <c r="BZ891">
        <f>$C891*BZ890</f>
        <v/>
      </c>
      <c r="CA891">
        <f>$C891*CA890</f>
        <v/>
      </c>
      <c r="CB891">
        <f>$C891*CB890</f>
        <v/>
      </c>
      <c r="CC891">
        <f>$C891*CC890</f>
        <v/>
      </c>
      <c r="CD891">
        <f>$C891*CD890</f>
        <v/>
      </c>
      <c r="CE891">
        <f>$C891*CE890</f>
        <v/>
      </c>
      <c r="CF891">
        <f>$C891*CF890</f>
        <v/>
      </c>
      <c r="CG891">
        <f>$C891*CG890</f>
        <v/>
      </c>
      <c r="CH891">
        <f>$C891*CH890</f>
        <v/>
      </c>
      <c r="CI891">
        <f>$C891*CI890</f>
        <v/>
      </c>
      <c r="CJ891">
        <f>$C891*CJ890</f>
        <v/>
      </c>
      <c r="CK891">
        <f>$C891*CK890</f>
        <v/>
      </c>
      <c r="CL891">
        <f>$C891*CL890</f>
        <v/>
      </c>
      <c r="CM891">
        <f>$C891*CM890</f>
        <v/>
      </c>
      <c r="CN891">
        <f>$C891*CN890</f>
        <v/>
      </c>
      <c r="CO891">
        <f>$C891*CO890</f>
        <v/>
      </c>
      <c r="CP891">
        <f>$C891*CP890</f>
        <v/>
      </c>
      <c r="CQ891">
        <f>$C891*CQ890</f>
        <v/>
      </c>
      <c r="CR891">
        <f>$C891*CR890</f>
        <v/>
      </c>
      <c r="CS891">
        <f>$C891*CS890</f>
        <v/>
      </c>
      <c r="CT891">
        <f>$C891*CT890</f>
        <v/>
      </c>
      <c r="CU891">
        <f>$C891*CU890</f>
        <v/>
      </c>
      <c r="CV891">
        <f>$C891*CV890</f>
        <v/>
      </c>
      <c r="CW891">
        <f>$C891*CW890</f>
        <v/>
      </c>
      <c r="CX891">
        <f>$C891*CX890</f>
        <v/>
      </c>
      <c r="CY891">
        <f>$C891*CY890</f>
        <v/>
      </c>
      <c r="CZ891">
        <f>$C891*CZ890</f>
        <v/>
      </c>
      <c r="DA891">
        <f>$C891*DA890</f>
        <v/>
      </c>
      <c r="DB891">
        <f>$C891*DB890</f>
        <v/>
      </c>
      <c r="DC891">
        <f>$C891*DC890</f>
        <v/>
      </c>
    </row>
    <row r="892">
      <c r="B892" t="inlineStr">
        <is>
          <t>VSP-820</t>
        </is>
      </c>
      <c r="C892" t="inlineStr">
        <is>
          <t>No. of batches</t>
        </is>
      </c>
      <c r="D892">
        <f>IFERROR(INDEX(PP_Grid[#Data],$DD892,2),0)</f>
        <v/>
      </c>
      <c r="E892">
        <f>IFERROR(INDEX(PP_Grid[#Data],$DD892,3),0)</f>
        <v/>
      </c>
      <c r="F892">
        <f>IFERROR(INDEX(PP_Grid[#Data],$DD892,4),0)</f>
        <v/>
      </c>
      <c r="G892">
        <f>IFERROR(INDEX(PP_Grid[#Data],$DD892,5),0)</f>
        <v/>
      </c>
      <c r="H892">
        <f>IFERROR(INDEX(PP_Grid[#Data],$DD892,6),0)</f>
        <v/>
      </c>
      <c r="I892">
        <f>IFERROR(INDEX(PP_Grid[#Data],$DD892,7),0)</f>
        <v/>
      </c>
      <c r="J892">
        <f>IFERROR(INDEX(PP_Grid[#Data],$DD892,8),0)</f>
        <v/>
      </c>
      <c r="K892">
        <f>IFERROR(INDEX(PP_Grid[#Data],$DD892,9),0)</f>
        <v/>
      </c>
      <c r="L892">
        <f>IFERROR(INDEX(PP_Grid[#Data],$DD892,10),0)</f>
        <v/>
      </c>
      <c r="M892">
        <f>IFERROR(INDEX(PP_Grid[#Data],$DD892,11),0)</f>
        <v/>
      </c>
      <c r="N892">
        <f>IFERROR(INDEX(PP_Grid[#Data],$DD892,12),0)</f>
        <v/>
      </c>
      <c r="O892">
        <f>IFERROR(INDEX(PP_Grid[#Data],$DD892,13),0)</f>
        <v/>
      </c>
      <c r="P892">
        <f>IFERROR(INDEX(PP_Grid[#Data],$DD892,14),0)</f>
        <v/>
      </c>
      <c r="Q892">
        <f>IFERROR(INDEX(PP_Grid[#Data],$DD892,15),0)</f>
        <v/>
      </c>
      <c r="R892">
        <f>IFERROR(INDEX(PP_Grid[#Data],$DD892,16),0)</f>
        <v/>
      </c>
      <c r="S892">
        <f>IFERROR(INDEX(PP_Grid[#Data],$DD892,17),0)</f>
        <v/>
      </c>
      <c r="T892">
        <f>IFERROR(INDEX(PP_Grid[#Data],$DD892,18),0)</f>
        <v/>
      </c>
      <c r="U892">
        <f>IFERROR(INDEX(PP_Grid[#Data],$DD892,19),0)</f>
        <v/>
      </c>
      <c r="V892">
        <f>IFERROR(INDEX(PP_Grid[#Data],$DD892,20),0)</f>
        <v/>
      </c>
      <c r="W892">
        <f>IFERROR(INDEX(PP_Grid[#Data],$DD892,21),0)</f>
        <v/>
      </c>
      <c r="X892">
        <f>IFERROR(INDEX(PP_Grid[#Data],$DD892,22),0)</f>
        <v/>
      </c>
      <c r="Y892">
        <f>IFERROR(INDEX(PP_Grid[#Data],$DD892,23),0)</f>
        <v/>
      </c>
      <c r="Z892">
        <f>IFERROR(INDEX(PP_Grid[#Data],$DD892,24),0)</f>
        <v/>
      </c>
      <c r="AA892">
        <f>IFERROR(INDEX(PP_Grid[#Data],$DD892,25),0)</f>
        <v/>
      </c>
      <c r="AB892">
        <f>IFERROR(INDEX(PP_Grid[#Data],$DD892,26),0)</f>
        <v/>
      </c>
      <c r="AC892">
        <f>IFERROR(INDEX(PP_Grid[#Data],$DD892,27),0)</f>
        <v/>
      </c>
      <c r="AD892">
        <f>IFERROR(INDEX(PP_Grid[#Data],$DD892,28),0)</f>
        <v/>
      </c>
      <c r="AE892">
        <f>IFERROR(INDEX(PP_Grid[#Data],$DD892,29),0)</f>
        <v/>
      </c>
      <c r="AF892">
        <f>IFERROR(INDEX(PP_Grid[#Data],$DD892,30),0)</f>
        <v/>
      </c>
      <c r="AG892">
        <f>IFERROR(INDEX(PP_Grid[#Data],$DD892,31),0)</f>
        <v/>
      </c>
      <c r="AH892">
        <f>IFERROR(INDEX(PP_Grid[#Data],$DD892,32),0)</f>
        <v/>
      </c>
      <c r="AI892">
        <f>IFERROR(INDEX(PP_Grid[#Data],$DD892,33),0)</f>
        <v/>
      </c>
      <c r="AJ892">
        <f>IFERROR(INDEX(PP_Grid[#Data],$DD892,34),0)</f>
        <v/>
      </c>
      <c r="AK892">
        <f>IFERROR(INDEX(PP_Grid[#Data],$DD892,35),0)</f>
        <v/>
      </c>
      <c r="AL892">
        <f>IFERROR(INDEX(PP_Grid[#Data],$DD892,36),0)</f>
        <v/>
      </c>
      <c r="AM892">
        <f>IFERROR(INDEX(PP_Grid[#Data],$DD892,37),0)</f>
        <v/>
      </c>
      <c r="AN892">
        <f>IFERROR(INDEX(PP_Grid[#Data],$DD892,38),0)</f>
        <v/>
      </c>
      <c r="AO892">
        <f>IFERROR(INDEX(PP_Grid[#Data],$DD892,39),0)</f>
        <v/>
      </c>
      <c r="AP892">
        <f>IFERROR(INDEX(PP_Grid[#Data],$DD892,40),0)</f>
        <v/>
      </c>
      <c r="AQ892">
        <f>IFERROR(INDEX(PP_Grid[#Data],$DD892,41),0)</f>
        <v/>
      </c>
      <c r="AR892">
        <f>IFERROR(INDEX(PP_Grid[#Data],$DD892,42),0)</f>
        <v/>
      </c>
      <c r="AS892">
        <f>IFERROR(INDEX(PP_Grid[#Data],$DD892,43),0)</f>
        <v/>
      </c>
      <c r="AT892">
        <f>IFERROR(INDEX(PP_Grid[#Data],$DD892,44),0)</f>
        <v/>
      </c>
      <c r="AU892">
        <f>IFERROR(INDEX(PP_Grid[#Data],$DD892,45),0)</f>
        <v/>
      </c>
      <c r="AV892">
        <f>IFERROR(INDEX(PP_Grid[#Data],$DD892,46),0)</f>
        <v/>
      </c>
      <c r="AW892">
        <f>IFERROR(INDEX(PP_Grid[#Data],$DD892,47),0)</f>
        <v/>
      </c>
      <c r="AX892">
        <f>IFERROR(INDEX(PP_Grid[#Data],$DD892,48),0)</f>
        <v/>
      </c>
      <c r="AY892">
        <f>IFERROR(INDEX(PP_Grid[#Data],$DD892,49),0)</f>
        <v/>
      </c>
      <c r="AZ892">
        <f>IFERROR(INDEX(PP_Grid[#Data],$DD892,50),0)</f>
        <v/>
      </c>
      <c r="BA892">
        <f>IFERROR(INDEX(PP_Grid[#Data],$DD892,51),0)</f>
        <v/>
      </c>
      <c r="BB892">
        <f>IFERROR(INDEX(PP_Grid[#Data],$DD892,52),0)</f>
        <v/>
      </c>
      <c r="BC892">
        <f>IFERROR(INDEX(PP_Grid[#Data],$DD892,53),0)</f>
        <v/>
      </c>
      <c r="BD892">
        <f>IFERROR(INDEX(PP_Grid[#Data],$DD892,54),0)</f>
        <v/>
      </c>
      <c r="BE892">
        <f>IFERROR(INDEX(PP_Grid[#Data],$DD892,55),0)</f>
        <v/>
      </c>
      <c r="BF892">
        <f>IFERROR(INDEX(PP_Grid[#Data],$DD892,56),0)</f>
        <v/>
      </c>
      <c r="BG892">
        <f>IFERROR(INDEX(PP_Grid[#Data],$DD892,57),0)</f>
        <v/>
      </c>
      <c r="BH892">
        <f>IFERROR(INDEX(PP_Grid[#Data],$DD892,58),0)</f>
        <v/>
      </c>
      <c r="BI892">
        <f>IFERROR(INDEX(PP_Grid[#Data],$DD892,59),0)</f>
        <v/>
      </c>
      <c r="BJ892">
        <f>IFERROR(INDEX(PP_Grid[#Data],$DD892,60),0)</f>
        <v/>
      </c>
      <c r="BK892">
        <f>IFERROR(INDEX(PP_Grid[#Data],$DD892,61),0)</f>
        <v/>
      </c>
      <c r="BL892">
        <f>IFERROR(INDEX(PP_Grid[#Data],$DD892,62),0)</f>
        <v/>
      </c>
      <c r="BM892">
        <f>IFERROR(INDEX(PP_Grid[#Data],$DD892,63),0)</f>
        <v/>
      </c>
      <c r="BN892">
        <f>IFERROR(INDEX(PP_Grid[#Data],$DD892,64),0)</f>
        <v/>
      </c>
      <c r="BO892">
        <f>IFERROR(INDEX(PP_Grid[#Data],$DD892,65),0)</f>
        <v/>
      </c>
      <c r="BP892">
        <f>IFERROR(INDEX(PP_Grid[#Data],$DD892,66),0)</f>
        <v/>
      </c>
      <c r="BQ892">
        <f>IFERROR(INDEX(PP_Grid[#Data],$DD892,67),0)</f>
        <v/>
      </c>
      <c r="BR892">
        <f>IFERROR(INDEX(PP_Grid[#Data],$DD892,68),0)</f>
        <v/>
      </c>
      <c r="BS892">
        <f>IFERROR(INDEX(PP_Grid[#Data],$DD892,69),0)</f>
        <v/>
      </c>
      <c r="BT892">
        <f>IFERROR(INDEX(PP_Grid[#Data],$DD892,70),0)</f>
        <v/>
      </c>
      <c r="BU892">
        <f>IFERROR(INDEX(PP_Grid[#Data],$DD892,71),0)</f>
        <v/>
      </c>
      <c r="BV892">
        <f>IFERROR(INDEX(PP_Grid[#Data],$DD892,72),0)</f>
        <v/>
      </c>
      <c r="BW892">
        <f>IFERROR(INDEX(PP_Grid[#Data],$DD892,73),0)</f>
        <v/>
      </c>
      <c r="BX892">
        <f>IFERROR(INDEX(PP_Grid[#Data],$DD892,74),0)</f>
        <v/>
      </c>
      <c r="BY892">
        <f>IFERROR(INDEX(PP_Grid[#Data],$DD892,75),0)</f>
        <v/>
      </c>
      <c r="BZ892">
        <f>IFERROR(INDEX(PP_Grid[#Data],$DD892,76),0)</f>
        <v/>
      </c>
      <c r="CA892">
        <f>IFERROR(INDEX(PP_Grid[#Data],$DD892,77),0)</f>
        <v/>
      </c>
      <c r="CB892">
        <f>IFERROR(INDEX(PP_Grid[#Data],$DD892,78),0)</f>
        <v/>
      </c>
      <c r="CC892">
        <f>IFERROR(INDEX(PP_Grid[#Data],$DD892,79),0)</f>
        <v/>
      </c>
      <c r="CD892">
        <f>IFERROR(INDEX(PP_Grid[#Data],$DD892,80),0)</f>
        <v/>
      </c>
      <c r="CE892">
        <f>IFERROR(INDEX(PP_Grid[#Data],$DD892,81),0)</f>
        <v/>
      </c>
      <c r="CF892">
        <f>IFERROR(INDEX(PP_Grid[#Data],$DD892,82),0)</f>
        <v/>
      </c>
      <c r="CG892">
        <f>IFERROR(INDEX(PP_Grid[#Data],$DD892,83),0)</f>
        <v/>
      </c>
      <c r="CH892">
        <f>IFERROR(INDEX(PP_Grid[#Data],$DD892,84),0)</f>
        <v/>
      </c>
      <c r="CI892">
        <f>IFERROR(INDEX(PP_Grid[#Data],$DD892,85),0)</f>
        <v/>
      </c>
      <c r="CJ892">
        <f>IFERROR(INDEX(PP_Grid[#Data],$DD892,86),0)</f>
        <v/>
      </c>
      <c r="CK892">
        <f>IFERROR(INDEX(PP_Grid[#Data],$DD892,87),0)</f>
        <v/>
      </c>
      <c r="CL892">
        <f>IFERROR(INDEX(PP_Grid[#Data],$DD892,88),0)</f>
        <v/>
      </c>
      <c r="CM892">
        <f>IFERROR(INDEX(PP_Grid[#Data],$DD892,89),0)</f>
        <v/>
      </c>
      <c r="CN892">
        <f>IFERROR(INDEX(PP_Grid[#Data],$DD892,90),0)</f>
        <v/>
      </c>
      <c r="CO892">
        <f>IFERROR(INDEX(PP_Grid[#Data],$DD892,91),0)</f>
        <v/>
      </c>
      <c r="CP892">
        <f>IFERROR(INDEX(PP_Grid[#Data],$DD892,92),0)</f>
        <v/>
      </c>
      <c r="CQ892">
        <f>IFERROR(INDEX(PP_Grid[#Data],$DD892,93),0)</f>
        <v/>
      </c>
      <c r="CR892">
        <f>IFERROR(INDEX(PP_Grid[#Data],$DD892,94),0)</f>
        <v/>
      </c>
      <c r="CS892">
        <f>IFERROR(INDEX(PP_Grid[#Data],$DD892,95),0)</f>
        <v/>
      </c>
      <c r="CT892">
        <f>IFERROR(INDEX(PP_Grid[#Data],$DD892,96),0)</f>
        <v/>
      </c>
      <c r="CU892">
        <f>IFERROR(INDEX(PP_Grid[#Data],$DD892,97),0)</f>
        <v/>
      </c>
      <c r="CV892">
        <f>IFERROR(INDEX(PP_Grid[#Data],$DD892,98),0)</f>
        <v/>
      </c>
      <c r="CW892">
        <f>IFERROR(INDEX(PP_Grid[#Data],$DD892,99),0)</f>
        <v/>
      </c>
      <c r="CX892">
        <f>IFERROR(INDEX(PP_Grid[#Data],$DD892,100),0)</f>
        <v/>
      </c>
      <c r="CY892">
        <f>IFERROR(INDEX(PP_Grid[#Data],$DD892,101),0)</f>
        <v/>
      </c>
      <c r="CZ892">
        <f>IFERROR(INDEX(PP_Grid[#Data],$DD892,102),0)</f>
        <v/>
      </c>
      <c r="DA892">
        <f>IFERROR(INDEX(PP_Grid[#Data],$DD892,103),0)</f>
        <v/>
      </c>
      <c r="DB892">
        <f>IFERROR(INDEX(PP_Grid[#Data],$DD892,104),0)</f>
        <v/>
      </c>
      <c r="DC892">
        <f>IFERROR(INDEX(PP_Grid[#Data],$DD892,105),0)</f>
        <v/>
      </c>
      <c r="DD892" s="12">
        <f>IFERROR(MATCH($B892,PP_Grid[Intermediate],0),99999)</f>
        <v/>
      </c>
    </row>
    <row r="893">
      <c r="B893" t="inlineStr">
        <is>
          <t>使用量(kg)</t>
        </is>
      </c>
      <c r="C893">
        <f>SUMIFS(M_BOM[RM_Qty_Per_Batch],M_BOM[Intermediate],$B892,M_BOM[Part Name],$A875)</f>
        <v/>
      </c>
      <c r="D893">
        <f>$C893*D892</f>
        <v/>
      </c>
      <c r="E893">
        <f>$C893*E892</f>
        <v/>
      </c>
      <c r="F893">
        <f>$C893*F892</f>
        <v/>
      </c>
      <c r="G893">
        <f>$C893*G892</f>
        <v/>
      </c>
      <c r="H893">
        <f>$C893*H892</f>
        <v/>
      </c>
      <c r="I893">
        <f>$C893*I892</f>
        <v/>
      </c>
      <c r="J893">
        <f>$C893*J892</f>
        <v/>
      </c>
      <c r="K893">
        <f>$C893*K892</f>
        <v/>
      </c>
      <c r="L893">
        <f>$C893*L892</f>
        <v/>
      </c>
      <c r="M893">
        <f>$C893*M892</f>
        <v/>
      </c>
      <c r="N893">
        <f>$C893*N892</f>
        <v/>
      </c>
      <c r="O893">
        <f>$C893*O892</f>
        <v/>
      </c>
      <c r="P893">
        <f>$C893*P892</f>
        <v/>
      </c>
      <c r="Q893">
        <f>$C893*Q892</f>
        <v/>
      </c>
      <c r="R893">
        <f>$C893*R892</f>
        <v/>
      </c>
      <c r="S893">
        <f>$C893*S892</f>
        <v/>
      </c>
      <c r="T893">
        <f>$C893*T892</f>
        <v/>
      </c>
      <c r="U893">
        <f>$C893*U892</f>
        <v/>
      </c>
      <c r="V893">
        <f>$C893*V892</f>
        <v/>
      </c>
      <c r="W893">
        <f>$C893*W892</f>
        <v/>
      </c>
      <c r="X893">
        <f>$C893*X892</f>
        <v/>
      </c>
      <c r="Y893">
        <f>$C893*Y892</f>
        <v/>
      </c>
      <c r="Z893">
        <f>$C893*Z892</f>
        <v/>
      </c>
      <c r="AA893">
        <f>$C893*AA892</f>
        <v/>
      </c>
      <c r="AB893">
        <f>$C893*AB892</f>
        <v/>
      </c>
      <c r="AC893">
        <f>$C893*AC892</f>
        <v/>
      </c>
      <c r="AD893">
        <f>$C893*AD892</f>
        <v/>
      </c>
      <c r="AE893">
        <f>$C893*AE892</f>
        <v/>
      </c>
      <c r="AF893">
        <f>$C893*AF892</f>
        <v/>
      </c>
      <c r="AG893">
        <f>$C893*AG892</f>
        <v/>
      </c>
      <c r="AH893">
        <f>$C893*AH892</f>
        <v/>
      </c>
      <c r="AI893">
        <f>$C893*AI892</f>
        <v/>
      </c>
      <c r="AJ893">
        <f>$C893*AJ892</f>
        <v/>
      </c>
      <c r="AK893">
        <f>$C893*AK892</f>
        <v/>
      </c>
      <c r="AL893">
        <f>$C893*AL892</f>
        <v/>
      </c>
      <c r="AM893">
        <f>$C893*AM892</f>
        <v/>
      </c>
      <c r="AN893">
        <f>$C893*AN892</f>
        <v/>
      </c>
      <c r="AO893">
        <f>$C893*AO892</f>
        <v/>
      </c>
      <c r="AP893">
        <f>$C893*AP892</f>
        <v/>
      </c>
      <c r="AQ893">
        <f>$C893*AQ892</f>
        <v/>
      </c>
      <c r="AR893">
        <f>$C893*AR892</f>
        <v/>
      </c>
      <c r="AS893">
        <f>$C893*AS892</f>
        <v/>
      </c>
      <c r="AT893">
        <f>$C893*AT892</f>
        <v/>
      </c>
      <c r="AU893">
        <f>$C893*AU892</f>
        <v/>
      </c>
      <c r="AV893">
        <f>$C893*AV892</f>
        <v/>
      </c>
      <c r="AW893">
        <f>$C893*AW892</f>
        <v/>
      </c>
      <c r="AX893">
        <f>$C893*AX892</f>
        <v/>
      </c>
      <c r="AY893">
        <f>$C893*AY892</f>
        <v/>
      </c>
      <c r="AZ893">
        <f>$C893*AZ892</f>
        <v/>
      </c>
      <c r="BA893">
        <f>$C893*BA892</f>
        <v/>
      </c>
      <c r="BB893">
        <f>$C893*BB892</f>
        <v/>
      </c>
      <c r="BC893">
        <f>$C893*BC892</f>
        <v/>
      </c>
      <c r="BD893">
        <f>$C893*BD892</f>
        <v/>
      </c>
      <c r="BE893">
        <f>$C893*BE892</f>
        <v/>
      </c>
      <c r="BF893">
        <f>$C893*BF892</f>
        <v/>
      </c>
      <c r="BG893">
        <f>$C893*BG892</f>
        <v/>
      </c>
      <c r="BH893">
        <f>$C893*BH892</f>
        <v/>
      </c>
      <c r="BI893">
        <f>$C893*BI892</f>
        <v/>
      </c>
      <c r="BJ893">
        <f>$C893*BJ892</f>
        <v/>
      </c>
      <c r="BK893">
        <f>$C893*BK892</f>
        <v/>
      </c>
      <c r="BL893">
        <f>$C893*BL892</f>
        <v/>
      </c>
      <c r="BM893">
        <f>$C893*BM892</f>
        <v/>
      </c>
      <c r="BN893">
        <f>$C893*BN892</f>
        <v/>
      </c>
      <c r="BO893">
        <f>$C893*BO892</f>
        <v/>
      </c>
      <c r="BP893">
        <f>$C893*BP892</f>
        <v/>
      </c>
      <c r="BQ893">
        <f>$C893*BQ892</f>
        <v/>
      </c>
      <c r="BR893">
        <f>$C893*BR892</f>
        <v/>
      </c>
      <c r="BS893">
        <f>$C893*BS892</f>
        <v/>
      </c>
      <c r="BT893">
        <f>$C893*BT892</f>
        <v/>
      </c>
      <c r="BU893">
        <f>$C893*BU892</f>
        <v/>
      </c>
      <c r="BV893">
        <f>$C893*BV892</f>
        <v/>
      </c>
      <c r="BW893">
        <f>$C893*BW892</f>
        <v/>
      </c>
      <c r="BX893">
        <f>$C893*BX892</f>
        <v/>
      </c>
      <c r="BY893">
        <f>$C893*BY892</f>
        <v/>
      </c>
      <c r="BZ893">
        <f>$C893*BZ892</f>
        <v/>
      </c>
      <c r="CA893">
        <f>$C893*CA892</f>
        <v/>
      </c>
      <c r="CB893">
        <f>$C893*CB892</f>
        <v/>
      </c>
      <c r="CC893">
        <f>$C893*CC892</f>
        <v/>
      </c>
      <c r="CD893">
        <f>$C893*CD892</f>
        <v/>
      </c>
      <c r="CE893">
        <f>$C893*CE892</f>
        <v/>
      </c>
      <c r="CF893">
        <f>$C893*CF892</f>
        <v/>
      </c>
      <c r="CG893">
        <f>$C893*CG892</f>
        <v/>
      </c>
      <c r="CH893">
        <f>$C893*CH892</f>
        <v/>
      </c>
      <c r="CI893">
        <f>$C893*CI892</f>
        <v/>
      </c>
      <c r="CJ893">
        <f>$C893*CJ892</f>
        <v/>
      </c>
      <c r="CK893">
        <f>$C893*CK892</f>
        <v/>
      </c>
      <c r="CL893">
        <f>$C893*CL892</f>
        <v/>
      </c>
      <c r="CM893">
        <f>$C893*CM892</f>
        <v/>
      </c>
      <c r="CN893">
        <f>$C893*CN892</f>
        <v/>
      </c>
      <c r="CO893">
        <f>$C893*CO892</f>
        <v/>
      </c>
      <c r="CP893">
        <f>$C893*CP892</f>
        <v/>
      </c>
      <c r="CQ893">
        <f>$C893*CQ892</f>
        <v/>
      </c>
      <c r="CR893">
        <f>$C893*CR892</f>
        <v/>
      </c>
      <c r="CS893">
        <f>$C893*CS892</f>
        <v/>
      </c>
      <c r="CT893">
        <f>$C893*CT892</f>
        <v/>
      </c>
      <c r="CU893">
        <f>$C893*CU892</f>
        <v/>
      </c>
      <c r="CV893">
        <f>$C893*CV892</f>
        <v/>
      </c>
      <c r="CW893">
        <f>$C893*CW892</f>
        <v/>
      </c>
      <c r="CX893">
        <f>$C893*CX892</f>
        <v/>
      </c>
      <c r="CY893">
        <f>$C893*CY892</f>
        <v/>
      </c>
      <c r="CZ893">
        <f>$C893*CZ892</f>
        <v/>
      </c>
      <c r="DA893">
        <f>$C893*DA892</f>
        <v/>
      </c>
      <c r="DB893">
        <f>$C893*DB892</f>
        <v/>
      </c>
      <c r="DC893">
        <f>$C893*DC892</f>
        <v/>
      </c>
    </row>
    <row r="894">
      <c r="B894" t="inlineStr">
        <is>
          <t>VSP-989</t>
        </is>
      </c>
      <c r="C894" t="inlineStr">
        <is>
          <t>No. of batches</t>
        </is>
      </c>
      <c r="D894">
        <f>IFERROR(INDEX(PP_Grid[#Data],$DD894,2),0)</f>
        <v/>
      </c>
      <c r="E894">
        <f>IFERROR(INDEX(PP_Grid[#Data],$DD894,3),0)</f>
        <v/>
      </c>
      <c r="F894">
        <f>IFERROR(INDEX(PP_Grid[#Data],$DD894,4),0)</f>
        <v/>
      </c>
      <c r="G894">
        <f>IFERROR(INDEX(PP_Grid[#Data],$DD894,5),0)</f>
        <v/>
      </c>
      <c r="H894">
        <f>IFERROR(INDEX(PP_Grid[#Data],$DD894,6),0)</f>
        <v/>
      </c>
      <c r="I894">
        <f>IFERROR(INDEX(PP_Grid[#Data],$DD894,7),0)</f>
        <v/>
      </c>
      <c r="J894">
        <f>IFERROR(INDEX(PP_Grid[#Data],$DD894,8),0)</f>
        <v/>
      </c>
      <c r="K894">
        <f>IFERROR(INDEX(PP_Grid[#Data],$DD894,9),0)</f>
        <v/>
      </c>
      <c r="L894">
        <f>IFERROR(INDEX(PP_Grid[#Data],$DD894,10),0)</f>
        <v/>
      </c>
      <c r="M894">
        <f>IFERROR(INDEX(PP_Grid[#Data],$DD894,11),0)</f>
        <v/>
      </c>
      <c r="N894">
        <f>IFERROR(INDEX(PP_Grid[#Data],$DD894,12),0)</f>
        <v/>
      </c>
      <c r="O894">
        <f>IFERROR(INDEX(PP_Grid[#Data],$DD894,13),0)</f>
        <v/>
      </c>
      <c r="P894">
        <f>IFERROR(INDEX(PP_Grid[#Data],$DD894,14),0)</f>
        <v/>
      </c>
      <c r="Q894">
        <f>IFERROR(INDEX(PP_Grid[#Data],$DD894,15),0)</f>
        <v/>
      </c>
      <c r="R894">
        <f>IFERROR(INDEX(PP_Grid[#Data],$DD894,16),0)</f>
        <v/>
      </c>
      <c r="S894">
        <f>IFERROR(INDEX(PP_Grid[#Data],$DD894,17),0)</f>
        <v/>
      </c>
      <c r="T894">
        <f>IFERROR(INDEX(PP_Grid[#Data],$DD894,18),0)</f>
        <v/>
      </c>
      <c r="U894">
        <f>IFERROR(INDEX(PP_Grid[#Data],$DD894,19),0)</f>
        <v/>
      </c>
      <c r="V894">
        <f>IFERROR(INDEX(PP_Grid[#Data],$DD894,20),0)</f>
        <v/>
      </c>
      <c r="W894">
        <f>IFERROR(INDEX(PP_Grid[#Data],$DD894,21),0)</f>
        <v/>
      </c>
      <c r="X894">
        <f>IFERROR(INDEX(PP_Grid[#Data],$DD894,22),0)</f>
        <v/>
      </c>
      <c r="Y894">
        <f>IFERROR(INDEX(PP_Grid[#Data],$DD894,23),0)</f>
        <v/>
      </c>
      <c r="Z894">
        <f>IFERROR(INDEX(PP_Grid[#Data],$DD894,24),0)</f>
        <v/>
      </c>
      <c r="AA894">
        <f>IFERROR(INDEX(PP_Grid[#Data],$DD894,25),0)</f>
        <v/>
      </c>
      <c r="AB894">
        <f>IFERROR(INDEX(PP_Grid[#Data],$DD894,26),0)</f>
        <v/>
      </c>
      <c r="AC894">
        <f>IFERROR(INDEX(PP_Grid[#Data],$DD894,27),0)</f>
        <v/>
      </c>
      <c r="AD894">
        <f>IFERROR(INDEX(PP_Grid[#Data],$DD894,28),0)</f>
        <v/>
      </c>
      <c r="AE894">
        <f>IFERROR(INDEX(PP_Grid[#Data],$DD894,29),0)</f>
        <v/>
      </c>
      <c r="AF894">
        <f>IFERROR(INDEX(PP_Grid[#Data],$DD894,30),0)</f>
        <v/>
      </c>
      <c r="AG894">
        <f>IFERROR(INDEX(PP_Grid[#Data],$DD894,31),0)</f>
        <v/>
      </c>
      <c r="AH894">
        <f>IFERROR(INDEX(PP_Grid[#Data],$DD894,32),0)</f>
        <v/>
      </c>
      <c r="AI894">
        <f>IFERROR(INDEX(PP_Grid[#Data],$DD894,33),0)</f>
        <v/>
      </c>
      <c r="AJ894">
        <f>IFERROR(INDEX(PP_Grid[#Data],$DD894,34),0)</f>
        <v/>
      </c>
      <c r="AK894">
        <f>IFERROR(INDEX(PP_Grid[#Data],$DD894,35),0)</f>
        <v/>
      </c>
      <c r="AL894">
        <f>IFERROR(INDEX(PP_Grid[#Data],$DD894,36),0)</f>
        <v/>
      </c>
      <c r="AM894">
        <f>IFERROR(INDEX(PP_Grid[#Data],$DD894,37),0)</f>
        <v/>
      </c>
      <c r="AN894">
        <f>IFERROR(INDEX(PP_Grid[#Data],$DD894,38),0)</f>
        <v/>
      </c>
      <c r="AO894">
        <f>IFERROR(INDEX(PP_Grid[#Data],$DD894,39),0)</f>
        <v/>
      </c>
      <c r="AP894">
        <f>IFERROR(INDEX(PP_Grid[#Data],$DD894,40),0)</f>
        <v/>
      </c>
      <c r="AQ894">
        <f>IFERROR(INDEX(PP_Grid[#Data],$DD894,41),0)</f>
        <v/>
      </c>
      <c r="AR894">
        <f>IFERROR(INDEX(PP_Grid[#Data],$DD894,42),0)</f>
        <v/>
      </c>
      <c r="AS894">
        <f>IFERROR(INDEX(PP_Grid[#Data],$DD894,43),0)</f>
        <v/>
      </c>
      <c r="AT894">
        <f>IFERROR(INDEX(PP_Grid[#Data],$DD894,44),0)</f>
        <v/>
      </c>
      <c r="AU894">
        <f>IFERROR(INDEX(PP_Grid[#Data],$DD894,45),0)</f>
        <v/>
      </c>
      <c r="AV894">
        <f>IFERROR(INDEX(PP_Grid[#Data],$DD894,46),0)</f>
        <v/>
      </c>
      <c r="AW894">
        <f>IFERROR(INDEX(PP_Grid[#Data],$DD894,47),0)</f>
        <v/>
      </c>
      <c r="AX894">
        <f>IFERROR(INDEX(PP_Grid[#Data],$DD894,48),0)</f>
        <v/>
      </c>
      <c r="AY894">
        <f>IFERROR(INDEX(PP_Grid[#Data],$DD894,49),0)</f>
        <v/>
      </c>
      <c r="AZ894">
        <f>IFERROR(INDEX(PP_Grid[#Data],$DD894,50),0)</f>
        <v/>
      </c>
      <c r="BA894">
        <f>IFERROR(INDEX(PP_Grid[#Data],$DD894,51),0)</f>
        <v/>
      </c>
      <c r="BB894">
        <f>IFERROR(INDEX(PP_Grid[#Data],$DD894,52),0)</f>
        <v/>
      </c>
      <c r="BC894">
        <f>IFERROR(INDEX(PP_Grid[#Data],$DD894,53),0)</f>
        <v/>
      </c>
      <c r="BD894">
        <f>IFERROR(INDEX(PP_Grid[#Data],$DD894,54),0)</f>
        <v/>
      </c>
      <c r="BE894">
        <f>IFERROR(INDEX(PP_Grid[#Data],$DD894,55),0)</f>
        <v/>
      </c>
      <c r="BF894">
        <f>IFERROR(INDEX(PP_Grid[#Data],$DD894,56),0)</f>
        <v/>
      </c>
      <c r="BG894">
        <f>IFERROR(INDEX(PP_Grid[#Data],$DD894,57),0)</f>
        <v/>
      </c>
      <c r="BH894">
        <f>IFERROR(INDEX(PP_Grid[#Data],$DD894,58),0)</f>
        <v/>
      </c>
      <c r="BI894">
        <f>IFERROR(INDEX(PP_Grid[#Data],$DD894,59),0)</f>
        <v/>
      </c>
      <c r="BJ894">
        <f>IFERROR(INDEX(PP_Grid[#Data],$DD894,60),0)</f>
        <v/>
      </c>
      <c r="BK894">
        <f>IFERROR(INDEX(PP_Grid[#Data],$DD894,61),0)</f>
        <v/>
      </c>
      <c r="BL894">
        <f>IFERROR(INDEX(PP_Grid[#Data],$DD894,62),0)</f>
        <v/>
      </c>
      <c r="BM894">
        <f>IFERROR(INDEX(PP_Grid[#Data],$DD894,63),0)</f>
        <v/>
      </c>
      <c r="BN894">
        <f>IFERROR(INDEX(PP_Grid[#Data],$DD894,64),0)</f>
        <v/>
      </c>
      <c r="BO894">
        <f>IFERROR(INDEX(PP_Grid[#Data],$DD894,65),0)</f>
        <v/>
      </c>
      <c r="BP894">
        <f>IFERROR(INDEX(PP_Grid[#Data],$DD894,66),0)</f>
        <v/>
      </c>
      <c r="BQ894">
        <f>IFERROR(INDEX(PP_Grid[#Data],$DD894,67),0)</f>
        <v/>
      </c>
      <c r="BR894">
        <f>IFERROR(INDEX(PP_Grid[#Data],$DD894,68),0)</f>
        <v/>
      </c>
      <c r="BS894">
        <f>IFERROR(INDEX(PP_Grid[#Data],$DD894,69),0)</f>
        <v/>
      </c>
      <c r="BT894">
        <f>IFERROR(INDEX(PP_Grid[#Data],$DD894,70),0)</f>
        <v/>
      </c>
      <c r="BU894">
        <f>IFERROR(INDEX(PP_Grid[#Data],$DD894,71),0)</f>
        <v/>
      </c>
      <c r="BV894">
        <f>IFERROR(INDEX(PP_Grid[#Data],$DD894,72),0)</f>
        <v/>
      </c>
      <c r="BW894">
        <f>IFERROR(INDEX(PP_Grid[#Data],$DD894,73),0)</f>
        <v/>
      </c>
      <c r="BX894">
        <f>IFERROR(INDEX(PP_Grid[#Data],$DD894,74),0)</f>
        <v/>
      </c>
      <c r="BY894">
        <f>IFERROR(INDEX(PP_Grid[#Data],$DD894,75),0)</f>
        <v/>
      </c>
      <c r="BZ894">
        <f>IFERROR(INDEX(PP_Grid[#Data],$DD894,76),0)</f>
        <v/>
      </c>
      <c r="CA894">
        <f>IFERROR(INDEX(PP_Grid[#Data],$DD894,77),0)</f>
        <v/>
      </c>
      <c r="CB894">
        <f>IFERROR(INDEX(PP_Grid[#Data],$DD894,78),0)</f>
        <v/>
      </c>
      <c r="CC894">
        <f>IFERROR(INDEX(PP_Grid[#Data],$DD894,79),0)</f>
        <v/>
      </c>
      <c r="CD894">
        <f>IFERROR(INDEX(PP_Grid[#Data],$DD894,80),0)</f>
        <v/>
      </c>
      <c r="CE894">
        <f>IFERROR(INDEX(PP_Grid[#Data],$DD894,81),0)</f>
        <v/>
      </c>
      <c r="CF894">
        <f>IFERROR(INDEX(PP_Grid[#Data],$DD894,82),0)</f>
        <v/>
      </c>
      <c r="CG894">
        <f>IFERROR(INDEX(PP_Grid[#Data],$DD894,83),0)</f>
        <v/>
      </c>
      <c r="CH894">
        <f>IFERROR(INDEX(PP_Grid[#Data],$DD894,84),0)</f>
        <v/>
      </c>
      <c r="CI894">
        <f>IFERROR(INDEX(PP_Grid[#Data],$DD894,85),0)</f>
        <v/>
      </c>
      <c r="CJ894">
        <f>IFERROR(INDEX(PP_Grid[#Data],$DD894,86),0)</f>
        <v/>
      </c>
      <c r="CK894">
        <f>IFERROR(INDEX(PP_Grid[#Data],$DD894,87),0)</f>
        <v/>
      </c>
      <c r="CL894">
        <f>IFERROR(INDEX(PP_Grid[#Data],$DD894,88),0)</f>
        <v/>
      </c>
      <c r="CM894">
        <f>IFERROR(INDEX(PP_Grid[#Data],$DD894,89),0)</f>
        <v/>
      </c>
      <c r="CN894">
        <f>IFERROR(INDEX(PP_Grid[#Data],$DD894,90),0)</f>
        <v/>
      </c>
      <c r="CO894">
        <f>IFERROR(INDEX(PP_Grid[#Data],$DD894,91),0)</f>
        <v/>
      </c>
      <c r="CP894">
        <f>IFERROR(INDEX(PP_Grid[#Data],$DD894,92),0)</f>
        <v/>
      </c>
      <c r="CQ894">
        <f>IFERROR(INDEX(PP_Grid[#Data],$DD894,93),0)</f>
        <v/>
      </c>
      <c r="CR894">
        <f>IFERROR(INDEX(PP_Grid[#Data],$DD894,94),0)</f>
        <v/>
      </c>
      <c r="CS894">
        <f>IFERROR(INDEX(PP_Grid[#Data],$DD894,95),0)</f>
        <v/>
      </c>
      <c r="CT894">
        <f>IFERROR(INDEX(PP_Grid[#Data],$DD894,96),0)</f>
        <v/>
      </c>
      <c r="CU894">
        <f>IFERROR(INDEX(PP_Grid[#Data],$DD894,97),0)</f>
        <v/>
      </c>
      <c r="CV894">
        <f>IFERROR(INDEX(PP_Grid[#Data],$DD894,98),0)</f>
        <v/>
      </c>
      <c r="CW894">
        <f>IFERROR(INDEX(PP_Grid[#Data],$DD894,99),0)</f>
        <v/>
      </c>
      <c r="CX894">
        <f>IFERROR(INDEX(PP_Grid[#Data],$DD894,100),0)</f>
        <v/>
      </c>
      <c r="CY894">
        <f>IFERROR(INDEX(PP_Grid[#Data],$DD894,101),0)</f>
        <v/>
      </c>
      <c r="CZ894">
        <f>IFERROR(INDEX(PP_Grid[#Data],$DD894,102),0)</f>
        <v/>
      </c>
      <c r="DA894">
        <f>IFERROR(INDEX(PP_Grid[#Data],$DD894,103),0)</f>
        <v/>
      </c>
      <c r="DB894">
        <f>IFERROR(INDEX(PP_Grid[#Data],$DD894,104),0)</f>
        <v/>
      </c>
      <c r="DC894">
        <f>IFERROR(INDEX(PP_Grid[#Data],$DD894,105),0)</f>
        <v/>
      </c>
      <c r="DD894" s="12">
        <f>IFERROR(MATCH($B894,PP_Grid[Intermediate],0),99999)</f>
        <v/>
      </c>
    </row>
    <row r="895">
      <c r="B895" t="inlineStr">
        <is>
          <t>使用量(kg)</t>
        </is>
      </c>
      <c r="C895">
        <f>SUMIFS(M_BOM[RM_Qty_Per_Batch],M_BOM[Intermediate],$B894,M_BOM[Part Name],$A875)</f>
        <v/>
      </c>
      <c r="D895">
        <f>$C895*D894</f>
        <v/>
      </c>
      <c r="E895">
        <f>$C895*E894</f>
        <v/>
      </c>
      <c r="F895">
        <f>$C895*F894</f>
        <v/>
      </c>
      <c r="G895">
        <f>$C895*G894</f>
        <v/>
      </c>
      <c r="H895">
        <f>$C895*H894</f>
        <v/>
      </c>
      <c r="I895">
        <f>$C895*I894</f>
        <v/>
      </c>
      <c r="J895">
        <f>$C895*J894</f>
        <v/>
      </c>
      <c r="K895">
        <f>$C895*K894</f>
        <v/>
      </c>
      <c r="L895">
        <f>$C895*L894</f>
        <v/>
      </c>
      <c r="M895">
        <f>$C895*M894</f>
        <v/>
      </c>
      <c r="N895">
        <f>$C895*N894</f>
        <v/>
      </c>
      <c r="O895">
        <f>$C895*O894</f>
        <v/>
      </c>
      <c r="P895">
        <f>$C895*P894</f>
        <v/>
      </c>
      <c r="Q895">
        <f>$C895*Q894</f>
        <v/>
      </c>
      <c r="R895">
        <f>$C895*R894</f>
        <v/>
      </c>
      <c r="S895">
        <f>$C895*S894</f>
        <v/>
      </c>
      <c r="T895">
        <f>$C895*T894</f>
        <v/>
      </c>
      <c r="U895">
        <f>$C895*U894</f>
        <v/>
      </c>
      <c r="V895">
        <f>$C895*V894</f>
        <v/>
      </c>
      <c r="W895">
        <f>$C895*W894</f>
        <v/>
      </c>
      <c r="X895">
        <f>$C895*X894</f>
        <v/>
      </c>
      <c r="Y895">
        <f>$C895*Y894</f>
        <v/>
      </c>
      <c r="Z895">
        <f>$C895*Z894</f>
        <v/>
      </c>
      <c r="AA895">
        <f>$C895*AA894</f>
        <v/>
      </c>
      <c r="AB895">
        <f>$C895*AB894</f>
        <v/>
      </c>
      <c r="AC895">
        <f>$C895*AC894</f>
        <v/>
      </c>
      <c r="AD895">
        <f>$C895*AD894</f>
        <v/>
      </c>
      <c r="AE895">
        <f>$C895*AE894</f>
        <v/>
      </c>
      <c r="AF895">
        <f>$C895*AF894</f>
        <v/>
      </c>
      <c r="AG895">
        <f>$C895*AG894</f>
        <v/>
      </c>
      <c r="AH895">
        <f>$C895*AH894</f>
        <v/>
      </c>
      <c r="AI895">
        <f>$C895*AI894</f>
        <v/>
      </c>
      <c r="AJ895">
        <f>$C895*AJ894</f>
        <v/>
      </c>
      <c r="AK895">
        <f>$C895*AK894</f>
        <v/>
      </c>
      <c r="AL895">
        <f>$C895*AL894</f>
        <v/>
      </c>
      <c r="AM895">
        <f>$C895*AM894</f>
        <v/>
      </c>
      <c r="AN895">
        <f>$C895*AN894</f>
        <v/>
      </c>
      <c r="AO895">
        <f>$C895*AO894</f>
        <v/>
      </c>
      <c r="AP895">
        <f>$C895*AP894</f>
        <v/>
      </c>
      <c r="AQ895">
        <f>$C895*AQ894</f>
        <v/>
      </c>
      <c r="AR895">
        <f>$C895*AR894</f>
        <v/>
      </c>
      <c r="AS895">
        <f>$C895*AS894</f>
        <v/>
      </c>
      <c r="AT895">
        <f>$C895*AT894</f>
        <v/>
      </c>
      <c r="AU895">
        <f>$C895*AU894</f>
        <v/>
      </c>
      <c r="AV895">
        <f>$C895*AV894</f>
        <v/>
      </c>
      <c r="AW895">
        <f>$C895*AW894</f>
        <v/>
      </c>
      <c r="AX895">
        <f>$C895*AX894</f>
        <v/>
      </c>
      <c r="AY895">
        <f>$C895*AY894</f>
        <v/>
      </c>
      <c r="AZ895">
        <f>$C895*AZ894</f>
        <v/>
      </c>
      <c r="BA895">
        <f>$C895*BA894</f>
        <v/>
      </c>
      <c r="BB895">
        <f>$C895*BB894</f>
        <v/>
      </c>
      <c r="BC895">
        <f>$C895*BC894</f>
        <v/>
      </c>
      <c r="BD895">
        <f>$C895*BD894</f>
        <v/>
      </c>
      <c r="BE895">
        <f>$C895*BE894</f>
        <v/>
      </c>
      <c r="BF895">
        <f>$C895*BF894</f>
        <v/>
      </c>
      <c r="BG895">
        <f>$C895*BG894</f>
        <v/>
      </c>
      <c r="BH895">
        <f>$C895*BH894</f>
        <v/>
      </c>
      <c r="BI895">
        <f>$C895*BI894</f>
        <v/>
      </c>
      <c r="BJ895">
        <f>$C895*BJ894</f>
        <v/>
      </c>
      <c r="BK895">
        <f>$C895*BK894</f>
        <v/>
      </c>
      <c r="BL895">
        <f>$C895*BL894</f>
        <v/>
      </c>
      <c r="BM895">
        <f>$C895*BM894</f>
        <v/>
      </c>
      <c r="BN895">
        <f>$C895*BN894</f>
        <v/>
      </c>
      <c r="BO895">
        <f>$C895*BO894</f>
        <v/>
      </c>
      <c r="BP895">
        <f>$C895*BP894</f>
        <v/>
      </c>
      <c r="BQ895">
        <f>$C895*BQ894</f>
        <v/>
      </c>
      <c r="BR895">
        <f>$C895*BR894</f>
        <v/>
      </c>
      <c r="BS895">
        <f>$C895*BS894</f>
        <v/>
      </c>
      <c r="BT895">
        <f>$C895*BT894</f>
        <v/>
      </c>
      <c r="BU895">
        <f>$C895*BU894</f>
        <v/>
      </c>
      <c r="BV895">
        <f>$C895*BV894</f>
        <v/>
      </c>
      <c r="BW895">
        <f>$C895*BW894</f>
        <v/>
      </c>
      <c r="BX895">
        <f>$C895*BX894</f>
        <v/>
      </c>
      <c r="BY895">
        <f>$C895*BY894</f>
        <v/>
      </c>
      <c r="BZ895">
        <f>$C895*BZ894</f>
        <v/>
      </c>
      <c r="CA895">
        <f>$C895*CA894</f>
        <v/>
      </c>
      <c r="CB895">
        <f>$C895*CB894</f>
        <v/>
      </c>
      <c r="CC895">
        <f>$C895*CC894</f>
        <v/>
      </c>
      <c r="CD895">
        <f>$C895*CD894</f>
        <v/>
      </c>
      <c r="CE895">
        <f>$C895*CE894</f>
        <v/>
      </c>
      <c r="CF895">
        <f>$C895*CF894</f>
        <v/>
      </c>
      <c r="CG895">
        <f>$C895*CG894</f>
        <v/>
      </c>
      <c r="CH895">
        <f>$C895*CH894</f>
        <v/>
      </c>
      <c r="CI895">
        <f>$C895*CI894</f>
        <v/>
      </c>
      <c r="CJ895">
        <f>$C895*CJ894</f>
        <v/>
      </c>
      <c r="CK895">
        <f>$C895*CK894</f>
        <v/>
      </c>
      <c r="CL895">
        <f>$C895*CL894</f>
        <v/>
      </c>
      <c r="CM895">
        <f>$C895*CM894</f>
        <v/>
      </c>
      <c r="CN895">
        <f>$C895*CN894</f>
        <v/>
      </c>
      <c r="CO895">
        <f>$C895*CO894</f>
        <v/>
      </c>
      <c r="CP895">
        <f>$C895*CP894</f>
        <v/>
      </c>
      <c r="CQ895">
        <f>$C895*CQ894</f>
        <v/>
      </c>
      <c r="CR895">
        <f>$C895*CR894</f>
        <v/>
      </c>
      <c r="CS895">
        <f>$C895*CS894</f>
        <v/>
      </c>
      <c r="CT895">
        <f>$C895*CT894</f>
        <v/>
      </c>
      <c r="CU895">
        <f>$C895*CU894</f>
        <v/>
      </c>
      <c r="CV895">
        <f>$C895*CV894</f>
        <v/>
      </c>
      <c r="CW895">
        <f>$C895*CW894</f>
        <v/>
      </c>
      <c r="CX895">
        <f>$C895*CX894</f>
        <v/>
      </c>
      <c r="CY895">
        <f>$C895*CY894</f>
        <v/>
      </c>
      <c r="CZ895">
        <f>$C895*CZ894</f>
        <v/>
      </c>
      <c r="DA895">
        <f>$C895*DA894</f>
        <v/>
      </c>
      <c r="DB895">
        <f>$C895*DB894</f>
        <v/>
      </c>
      <c r="DC895">
        <f>$C895*DC894</f>
        <v/>
      </c>
    </row>
    <row r="896">
      <c r="B896" s="5" t="inlineStr">
        <is>
          <t>合計使用量(kg)/週</t>
        </is>
      </c>
      <c r="D896">
        <f>'Grid_Requirement'!B28</f>
        <v/>
      </c>
      <c r="E896">
        <f>'Grid_Requirement'!C28</f>
        <v/>
      </c>
      <c r="F896">
        <f>'Grid_Requirement'!D28</f>
        <v/>
      </c>
      <c r="G896">
        <f>'Grid_Requirement'!E28</f>
        <v/>
      </c>
      <c r="H896">
        <f>'Grid_Requirement'!F28</f>
        <v/>
      </c>
      <c r="I896">
        <f>'Grid_Requirement'!G28</f>
        <v/>
      </c>
      <c r="J896">
        <f>'Grid_Requirement'!H28</f>
        <v/>
      </c>
      <c r="K896">
        <f>'Grid_Requirement'!I28</f>
        <v/>
      </c>
      <c r="L896">
        <f>'Grid_Requirement'!J28</f>
        <v/>
      </c>
      <c r="M896">
        <f>'Grid_Requirement'!K28</f>
        <v/>
      </c>
      <c r="N896">
        <f>'Grid_Requirement'!L28</f>
        <v/>
      </c>
      <c r="O896">
        <f>'Grid_Requirement'!M28</f>
        <v/>
      </c>
      <c r="P896">
        <f>'Grid_Requirement'!N28</f>
        <v/>
      </c>
      <c r="Q896">
        <f>'Grid_Requirement'!O28</f>
        <v/>
      </c>
      <c r="R896">
        <f>'Grid_Requirement'!P28</f>
        <v/>
      </c>
      <c r="S896">
        <f>'Grid_Requirement'!Q28</f>
        <v/>
      </c>
      <c r="T896">
        <f>'Grid_Requirement'!R28</f>
        <v/>
      </c>
      <c r="U896">
        <f>'Grid_Requirement'!S28</f>
        <v/>
      </c>
      <c r="V896">
        <f>'Grid_Requirement'!T28</f>
        <v/>
      </c>
      <c r="W896">
        <f>'Grid_Requirement'!U28</f>
        <v/>
      </c>
      <c r="X896">
        <f>'Grid_Requirement'!V28</f>
        <v/>
      </c>
      <c r="Y896">
        <f>'Grid_Requirement'!W28</f>
        <v/>
      </c>
      <c r="Z896">
        <f>'Grid_Requirement'!X28</f>
        <v/>
      </c>
      <c r="AA896">
        <f>'Grid_Requirement'!Y28</f>
        <v/>
      </c>
      <c r="AB896">
        <f>'Grid_Requirement'!Z28</f>
        <v/>
      </c>
      <c r="AC896">
        <f>'Grid_Requirement'!AA28</f>
        <v/>
      </c>
      <c r="AD896">
        <f>'Grid_Requirement'!AB28</f>
        <v/>
      </c>
      <c r="AE896">
        <f>'Grid_Requirement'!AC28</f>
        <v/>
      </c>
      <c r="AF896">
        <f>'Grid_Requirement'!AD28</f>
        <v/>
      </c>
      <c r="AG896">
        <f>'Grid_Requirement'!AE28</f>
        <v/>
      </c>
      <c r="AH896">
        <f>'Grid_Requirement'!AF28</f>
        <v/>
      </c>
      <c r="AI896">
        <f>'Grid_Requirement'!AG28</f>
        <v/>
      </c>
      <c r="AJ896">
        <f>'Grid_Requirement'!AH28</f>
        <v/>
      </c>
      <c r="AK896">
        <f>'Grid_Requirement'!AI28</f>
        <v/>
      </c>
      <c r="AL896">
        <f>'Grid_Requirement'!AJ28</f>
        <v/>
      </c>
      <c r="AM896">
        <f>'Grid_Requirement'!AK28</f>
        <v/>
      </c>
      <c r="AN896">
        <f>'Grid_Requirement'!AL28</f>
        <v/>
      </c>
      <c r="AO896">
        <f>'Grid_Requirement'!AM28</f>
        <v/>
      </c>
      <c r="AP896">
        <f>'Grid_Requirement'!AN28</f>
        <v/>
      </c>
      <c r="AQ896">
        <f>'Grid_Requirement'!AO28</f>
        <v/>
      </c>
      <c r="AR896">
        <f>'Grid_Requirement'!AP28</f>
        <v/>
      </c>
      <c r="AS896">
        <f>'Grid_Requirement'!AQ28</f>
        <v/>
      </c>
      <c r="AT896">
        <f>'Grid_Requirement'!AR28</f>
        <v/>
      </c>
      <c r="AU896">
        <f>'Grid_Requirement'!AS28</f>
        <v/>
      </c>
      <c r="AV896">
        <f>'Grid_Requirement'!AT28</f>
        <v/>
      </c>
      <c r="AW896">
        <f>'Grid_Requirement'!AU28</f>
        <v/>
      </c>
      <c r="AX896">
        <f>'Grid_Requirement'!AV28</f>
        <v/>
      </c>
      <c r="AY896">
        <f>'Grid_Requirement'!AW28</f>
        <v/>
      </c>
      <c r="AZ896">
        <f>'Grid_Requirement'!AX28</f>
        <v/>
      </c>
      <c r="BA896">
        <f>'Grid_Requirement'!AY28</f>
        <v/>
      </c>
      <c r="BB896">
        <f>'Grid_Requirement'!AZ28</f>
        <v/>
      </c>
      <c r="BC896">
        <f>'Grid_Requirement'!BA28</f>
        <v/>
      </c>
      <c r="BD896">
        <f>'Grid_Requirement'!BB28</f>
        <v/>
      </c>
      <c r="BE896">
        <f>'Grid_Requirement'!BC28</f>
        <v/>
      </c>
      <c r="BF896">
        <f>'Grid_Requirement'!BD28</f>
        <v/>
      </c>
      <c r="BG896">
        <f>'Grid_Requirement'!BE28</f>
        <v/>
      </c>
      <c r="BH896">
        <f>'Grid_Requirement'!BF28</f>
        <v/>
      </c>
      <c r="BI896">
        <f>'Grid_Requirement'!BG28</f>
        <v/>
      </c>
      <c r="BJ896">
        <f>'Grid_Requirement'!BH28</f>
        <v/>
      </c>
      <c r="BK896">
        <f>'Grid_Requirement'!BI28</f>
        <v/>
      </c>
      <c r="BL896">
        <f>'Grid_Requirement'!BJ28</f>
        <v/>
      </c>
      <c r="BM896">
        <f>'Grid_Requirement'!BK28</f>
        <v/>
      </c>
      <c r="BN896">
        <f>'Grid_Requirement'!BL28</f>
        <v/>
      </c>
      <c r="BO896">
        <f>'Grid_Requirement'!BM28</f>
        <v/>
      </c>
      <c r="BP896">
        <f>'Grid_Requirement'!BN28</f>
        <v/>
      </c>
      <c r="BQ896">
        <f>'Grid_Requirement'!BO28</f>
        <v/>
      </c>
      <c r="BR896">
        <f>'Grid_Requirement'!BP28</f>
        <v/>
      </c>
      <c r="BS896">
        <f>'Grid_Requirement'!BQ28</f>
        <v/>
      </c>
      <c r="BT896">
        <f>'Grid_Requirement'!BR28</f>
        <v/>
      </c>
      <c r="BU896">
        <f>'Grid_Requirement'!BS28</f>
        <v/>
      </c>
      <c r="BV896">
        <f>'Grid_Requirement'!BT28</f>
        <v/>
      </c>
      <c r="BW896">
        <f>'Grid_Requirement'!BU28</f>
        <v/>
      </c>
      <c r="BX896">
        <f>'Grid_Requirement'!BV28</f>
        <v/>
      </c>
      <c r="BY896">
        <f>'Grid_Requirement'!BW28</f>
        <v/>
      </c>
      <c r="BZ896">
        <f>'Grid_Requirement'!BX28</f>
        <v/>
      </c>
      <c r="CA896">
        <f>'Grid_Requirement'!BY28</f>
        <v/>
      </c>
      <c r="CB896">
        <f>'Grid_Requirement'!BZ28</f>
        <v/>
      </c>
      <c r="CC896">
        <f>'Grid_Requirement'!CA28</f>
        <v/>
      </c>
      <c r="CD896">
        <f>'Grid_Requirement'!CB28</f>
        <v/>
      </c>
      <c r="CE896">
        <f>'Grid_Requirement'!CC28</f>
        <v/>
      </c>
      <c r="CF896">
        <f>'Grid_Requirement'!CD28</f>
        <v/>
      </c>
      <c r="CG896">
        <f>'Grid_Requirement'!CE28</f>
        <v/>
      </c>
      <c r="CH896">
        <f>'Grid_Requirement'!CF28</f>
        <v/>
      </c>
      <c r="CI896">
        <f>'Grid_Requirement'!CG28</f>
        <v/>
      </c>
      <c r="CJ896">
        <f>'Grid_Requirement'!CH28</f>
        <v/>
      </c>
      <c r="CK896">
        <f>'Grid_Requirement'!CI28</f>
        <v/>
      </c>
      <c r="CL896">
        <f>'Grid_Requirement'!CJ28</f>
        <v/>
      </c>
      <c r="CM896">
        <f>'Grid_Requirement'!CK28</f>
        <v/>
      </c>
      <c r="CN896">
        <f>'Grid_Requirement'!CL28</f>
        <v/>
      </c>
      <c r="CO896">
        <f>'Grid_Requirement'!CM28</f>
        <v/>
      </c>
      <c r="CP896">
        <f>'Grid_Requirement'!CN28</f>
        <v/>
      </c>
      <c r="CQ896">
        <f>'Grid_Requirement'!CO28</f>
        <v/>
      </c>
      <c r="CR896">
        <f>'Grid_Requirement'!CP28</f>
        <v/>
      </c>
      <c r="CS896">
        <f>'Grid_Requirement'!CQ28</f>
        <v/>
      </c>
      <c r="CT896">
        <f>'Grid_Requirement'!CR28</f>
        <v/>
      </c>
      <c r="CU896">
        <f>'Grid_Requirement'!CS28</f>
        <v/>
      </c>
      <c r="CV896">
        <f>'Grid_Requirement'!CT28</f>
        <v/>
      </c>
      <c r="CW896">
        <f>'Grid_Requirement'!CU28</f>
        <v/>
      </c>
      <c r="CX896">
        <f>'Grid_Requirement'!CV28</f>
        <v/>
      </c>
      <c r="CY896">
        <f>'Grid_Requirement'!CW28</f>
        <v/>
      </c>
      <c r="CZ896">
        <f>'Grid_Requirement'!CX28</f>
        <v/>
      </c>
      <c r="DA896">
        <f>'Grid_Requirement'!CY28</f>
        <v/>
      </c>
      <c r="DB896">
        <f>'Grid_Requirement'!CZ28</f>
        <v/>
      </c>
      <c r="DC896">
        <f>'Grid_Requirement'!DA28</f>
        <v/>
      </c>
    </row>
    <row r="897">
      <c r="B897" t="inlineStr">
        <is>
          <t>TTAF在庫(実績,kg)</t>
        </is>
      </c>
      <c r="D897">
        <f>'T_TTAFStock'!B32</f>
        <v/>
      </c>
      <c r="E897">
        <f>'T_TTAFStock'!C32</f>
        <v/>
      </c>
      <c r="F897">
        <f>'T_TTAFStock'!D32</f>
        <v/>
      </c>
      <c r="G897">
        <f>'T_TTAFStock'!E32</f>
        <v/>
      </c>
      <c r="H897">
        <f>'T_TTAFStock'!F32</f>
        <v/>
      </c>
      <c r="I897">
        <f>'T_TTAFStock'!G32</f>
        <v/>
      </c>
      <c r="J897">
        <f>'T_TTAFStock'!H32</f>
        <v/>
      </c>
      <c r="K897">
        <f>'T_TTAFStock'!I32</f>
        <v/>
      </c>
      <c r="L897">
        <f>'T_TTAFStock'!J32</f>
        <v/>
      </c>
      <c r="M897">
        <f>'T_TTAFStock'!K32</f>
        <v/>
      </c>
      <c r="N897">
        <f>'T_TTAFStock'!L32</f>
        <v/>
      </c>
      <c r="O897">
        <f>'T_TTAFStock'!M32</f>
        <v/>
      </c>
      <c r="P897">
        <f>'T_TTAFStock'!N32</f>
        <v/>
      </c>
      <c r="Q897">
        <f>'T_TTAFStock'!O32</f>
        <v/>
      </c>
      <c r="R897">
        <f>'T_TTAFStock'!P32</f>
        <v/>
      </c>
      <c r="S897">
        <f>'T_TTAFStock'!Q32</f>
        <v/>
      </c>
      <c r="T897">
        <f>'T_TTAFStock'!R32</f>
        <v/>
      </c>
      <c r="U897">
        <f>'T_TTAFStock'!S32</f>
        <v/>
      </c>
      <c r="V897">
        <f>'T_TTAFStock'!T32</f>
        <v/>
      </c>
      <c r="W897">
        <f>'T_TTAFStock'!U32</f>
        <v/>
      </c>
      <c r="X897">
        <f>'T_TTAFStock'!V32</f>
        <v/>
      </c>
      <c r="Y897">
        <f>'T_TTAFStock'!W32</f>
        <v/>
      </c>
      <c r="Z897">
        <f>'T_TTAFStock'!X32</f>
        <v/>
      </c>
      <c r="AA897">
        <f>'T_TTAFStock'!Y32</f>
        <v/>
      </c>
      <c r="AB897">
        <f>'T_TTAFStock'!Z32</f>
        <v/>
      </c>
      <c r="AC897">
        <f>'T_TTAFStock'!AA32</f>
        <v/>
      </c>
      <c r="AD897">
        <f>'T_TTAFStock'!AB32</f>
        <v/>
      </c>
      <c r="AE897">
        <f>'T_TTAFStock'!AC32</f>
        <v/>
      </c>
      <c r="AF897">
        <f>'T_TTAFStock'!AD32</f>
        <v/>
      </c>
      <c r="AG897">
        <f>'T_TTAFStock'!AE32</f>
        <v/>
      </c>
      <c r="AH897">
        <f>'T_TTAFStock'!AF32</f>
        <v/>
      </c>
      <c r="AI897">
        <f>'T_TTAFStock'!AG32</f>
        <v/>
      </c>
      <c r="AJ897">
        <f>'T_TTAFStock'!AH32</f>
        <v/>
      </c>
      <c r="AK897">
        <f>'T_TTAFStock'!AI32</f>
        <v/>
      </c>
      <c r="AL897">
        <f>'T_TTAFStock'!AJ32</f>
        <v/>
      </c>
      <c r="AM897">
        <f>'T_TTAFStock'!AK32</f>
        <v/>
      </c>
      <c r="AN897">
        <f>'T_TTAFStock'!AL32</f>
        <v/>
      </c>
      <c r="AO897">
        <f>'T_TTAFStock'!AM32</f>
        <v/>
      </c>
      <c r="AP897">
        <f>'T_TTAFStock'!AN32</f>
        <v/>
      </c>
      <c r="AQ897">
        <f>'T_TTAFStock'!AO32</f>
        <v/>
      </c>
      <c r="AR897">
        <f>'T_TTAFStock'!AP32</f>
        <v/>
      </c>
      <c r="AS897">
        <f>'T_TTAFStock'!AQ32</f>
        <v/>
      </c>
      <c r="AT897">
        <f>'T_TTAFStock'!AR32</f>
        <v/>
      </c>
      <c r="AU897">
        <f>'T_TTAFStock'!AS32</f>
        <v/>
      </c>
      <c r="AV897">
        <f>'T_TTAFStock'!AT32</f>
        <v/>
      </c>
      <c r="AW897">
        <f>'T_TTAFStock'!AU32</f>
        <v/>
      </c>
      <c r="AX897">
        <f>'T_TTAFStock'!AV32</f>
        <v/>
      </c>
      <c r="AY897">
        <f>'T_TTAFStock'!AW32</f>
        <v/>
      </c>
      <c r="AZ897">
        <f>'T_TTAFStock'!AX32</f>
        <v/>
      </c>
      <c r="BA897">
        <f>'T_TTAFStock'!AY32</f>
        <v/>
      </c>
      <c r="BB897">
        <f>'T_TTAFStock'!AZ32</f>
        <v/>
      </c>
      <c r="BC897">
        <f>'T_TTAFStock'!BA32</f>
        <v/>
      </c>
      <c r="BD897">
        <f>'T_TTAFStock'!BB32</f>
        <v/>
      </c>
      <c r="BE897">
        <f>'T_TTAFStock'!BC32</f>
        <v/>
      </c>
      <c r="BF897">
        <f>'T_TTAFStock'!BD32</f>
        <v/>
      </c>
      <c r="BG897">
        <f>'T_TTAFStock'!BE32</f>
        <v/>
      </c>
      <c r="BH897">
        <f>'T_TTAFStock'!BF32</f>
        <v/>
      </c>
      <c r="BI897">
        <f>'T_TTAFStock'!BG32</f>
        <v/>
      </c>
      <c r="BJ897">
        <f>'T_TTAFStock'!BH32</f>
        <v/>
      </c>
      <c r="BK897">
        <f>'T_TTAFStock'!BI32</f>
        <v/>
      </c>
      <c r="BL897">
        <f>'T_TTAFStock'!BJ32</f>
        <v/>
      </c>
      <c r="BM897">
        <f>'T_TTAFStock'!BK32</f>
        <v/>
      </c>
      <c r="BN897">
        <f>'T_TTAFStock'!BL32</f>
        <v/>
      </c>
      <c r="BO897">
        <f>'T_TTAFStock'!BM32</f>
        <v/>
      </c>
      <c r="BP897">
        <f>'T_TTAFStock'!BN32</f>
        <v/>
      </c>
      <c r="BQ897">
        <f>'T_TTAFStock'!BO32</f>
        <v/>
      </c>
      <c r="BR897">
        <f>'T_TTAFStock'!BP32</f>
        <v/>
      </c>
      <c r="BS897">
        <f>'T_TTAFStock'!BQ32</f>
        <v/>
      </c>
      <c r="BT897">
        <f>'T_TTAFStock'!BR32</f>
        <v/>
      </c>
      <c r="BU897">
        <f>'T_TTAFStock'!BS32</f>
        <v/>
      </c>
      <c r="BV897">
        <f>'T_TTAFStock'!BT32</f>
        <v/>
      </c>
      <c r="BW897">
        <f>'T_TTAFStock'!BU32</f>
        <v/>
      </c>
      <c r="BX897">
        <f>'T_TTAFStock'!BV32</f>
        <v/>
      </c>
      <c r="BY897">
        <f>'T_TTAFStock'!BW32</f>
        <v/>
      </c>
      <c r="BZ897">
        <f>'T_TTAFStock'!BX32</f>
        <v/>
      </c>
      <c r="CA897">
        <f>'T_TTAFStock'!BY32</f>
        <v/>
      </c>
      <c r="CB897">
        <f>'T_TTAFStock'!BZ32</f>
        <v/>
      </c>
      <c r="CC897">
        <f>'T_TTAFStock'!CA32</f>
        <v/>
      </c>
      <c r="CD897">
        <f>'T_TTAFStock'!CB32</f>
        <v/>
      </c>
      <c r="CE897">
        <f>'T_TTAFStock'!CC32</f>
        <v/>
      </c>
      <c r="CF897">
        <f>'T_TTAFStock'!CD32</f>
        <v/>
      </c>
      <c r="CG897">
        <f>'T_TTAFStock'!CE32</f>
        <v/>
      </c>
      <c r="CH897">
        <f>'T_TTAFStock'!CF32</f>
        <v/>
      </c>
      <c r="CI897">
        <f>'T_TTAFStock'!CG32</f>
        <v/>
      </c>
      <c r="CJ897">
        <f>'T_TTAFStock'!CH32</f>
        <v/>
      </c>
      <c r="CK897">
        <f>'T_TTAFStock'!CI32</f>
        <v/>
      </c>
      <c r="CL897">
        <f>'T_TTAFStock'!CJ32</f>
        <v/>
      </c>
      <c r="CM897">
        <f>'T_TTAFStock'!CK32</f>
        <v/>
      </c>
      <c r="CN897">
        <f>'T_TTAFStock'!CL32</f>
        <v/>
      </c>
      <c r="CO897">
        <f>'T_TTAFStock'!CM32</f>
        <v/>
      </c>
      <c r="CP897">
        <f>'T_TTAFStock'!CN32</f>
        <v/>
      </c>
      <c r="CQ897">
        <f>'T_TTAFStock'!CO32</f>
        <v/>
      </c>
      <c r="CR897">
        <f>'T_TTAFStock'!CP32</f>
        <v/>
      </c>
      <c r="CS897">
        <f>'T_TTAFStock'!CQ32</f>
        <v/>
      </c>
      <c r="CT897">
        <f>'T_TTAFStock'!CR32</f>
        <v/>
      </c>
      <c r="CU897">
        <f>'T_TTAFStock'!CS32</f>
        <v/>
      </c>
      <c r="CV897">
        <f>'T_TTAFStock'!CT32</f>
        <v/>
      </c>
      <c r="CW897">
        <f>'T_TTAFStock'!CU32</f>
        <v/>
      </c>
      <c r="CX897">
        <f>'T_TTAFStock'!CV32</f>
        <v/>
      </c>
      <c r="CY897">
        <f>'T_TTAFStock'!CW32</f>
        <v/>
      </c>
      <c r="CZ897">
        <f>'T_TTAFStock'!CX32</f>
        <v/>
      </c>
      <c r="DA897">
        <f>'T_TTAFStock'!CY32</f>
        <v/>
      </c>
      <c r="DB897">
        <f>'T_TTAFStock'!CZ32</f>
        <v/>
      </c>
      <c r="DC897">
        <f>'T_TTAFStock'!DA32</f>
        <v/>
      </c>
    </row>
    <row r="898">
      <c r="B898" t="inlineStr">
        <is>
          <t>自社在庫(実績,kg)</t>
        </is>
      </c>
      <c r="D898">
        <f>'T_SelfStock'!B32</f>
        <v/>
      </c>
      <c r="E898">
        <f>'T_SelfStock'!C32</f>
        <v/>
      </c>
      <c r="F898">
        <f>'T_SelfStock'!D32</f>
        <v/>
      </c>
      <c r="G898">
        <f>'T_SelfStock'!E32</f>
        <v/>
      </c>
      <c r="H898">
        <f>'T_SelfStock'!F32</f>
        <v/>
      </c>
      <c r="I898">
        <f>'T_SelfStock'!G32</f>
        <v/>
      </c>
      <c r="J898">
        <f>'T_SelfStock'!H32</f>
        <v/>
      </c>
      <c r="K898">
        <f>'T_SelfStock'!I32</f>
        <v/>
      </c>
      <c r="L898">
        <f>'T_SelfStock'!J32</f>
        <v/>
      </c>
      <c r="M898">
        <f>'T_SelfStock'!K32</f>
        <v/>
      </c>
      <c r="N898">
        <f>'T_SelfStock'!L32</f>
        <v/>
      </c>
      <c r="O898">
        <f>'T_SelfStock'!M32</f>
        <v/>
      </c>
      <c r="P898">
        <f>'T_SelfStock'!N32</f>
        <v/>
      </c>
      <c r="Q898">
        <f>'T_SelfStock'!O32</f>
        <v/>
      </c>
      <c r="R898">
        <f>'T_SelfStock'!P32</f>
        <v/>
      </c>
      <c r="S898">
        <f>'T_SelfStock'!Q32</f>
        <v/>
      </c>
      <c r="T898">
        <f>'T_SelfStock'!R32</f>
        <v/>
      </c>
      <c r="U898">
        <f>'T_SelfStock'!S32</f>
        <v/>
      </c>
      <c r="V898">
        <f>'T_SelfStock'!T32</f>
        <v/>
      </c>
      <c r="W898">
        <f>'T_SelfStock'!U32</f>
        <v/>
      </c>
      <c r="X898">
        <f>'T_SelfStock'!V32</f>
        <v/>
      </c>
      <c r="Y898">
        <f>'T_SelfStock'!W32</f>
        <v/>
      </c>
      <c r="Z898">
        <f>'T_SelfStock'!X32</f>
        <v/>
      </c>
      <c r="AA898">
        <f>'T_SelfStock'!Y32</f>
        <v/>
      </c>
      <c r="AB898">
        <f>'T_SelfStock'!Z32</f>
        <v/>
      </c>
      <c r="AC898">
        <f>'T_SelfStock'!AA32</f>
        <v/>
      </c>
      <c r="AD898">
        <f>'T_SelfStock'!AB32</f>
        <v/>
      </c>
      <c r="AE898">
        <f>'T_SelfStock'!AC32</f>
        <v/>
      </c>
      <c r="AF898">
        <f>'T_SelfStock'!AD32</f>
        <v/>
      </c>
      <c r="AG898">
        <f>'T_SelfStock'!AE32</f>
        <v/>
      </c>
      <c r="AH898">
        <f>'T_SelfStock'!AF32</f>
        <v/>
      </c>
      <c r="AI898">
        <f>'T_SelfStock'!AG32</f>
        <v/>
      </c>
      <c r="AJ898">
        <f>'T_SelfStock'!AH32</f>
        <v/>
      </c>
      <c r="AK898">
        <f>'T_SelfStock'!AI32</f>
        <v/>
      </c>
      <c r="AL898">
        <f>'T_SelfStock'!AJ32</f>
        <v/>
      </c>
      <c r="AM898">
        <f>'T_SelfStock'!AK32</f>
        <v/>
      </c>
      <c r="AN898">
        <f>'T_SelfStock'!AL32</f>
        <v/>
      </c>
      <c r="AO898">
        <f>'T_SelfStock'!AM32</f>
        <v/>
      </c>
      <c r="AP898">
        <f>'T_SelfStock'!AN32</f>
        <v/>
      </c>
      <c r="AQ898">
        <f>'T_SelfStock'!AO32</f>
        <v/>
      </c>
      <c r="AR898">
        <f>'T_SelfStock'!AP32</f>
        <v/>
      </c>
      <c r="AS898">
        <f>'T_SelfStock'!AQ32</f>
        <v/>
      </c>
      <c r="AT898">
        <f>'T_SelfStock'!AR32</f>
        <v/>
      </c>
      <c r="AU898">
        <f>'T_SelfStock'!AS32</f>
        <v/>
      </c>
      <c r="AV898">
        <f>'T_SelfStock'!AT32</f>
        <v/>
      </c>
      <c r="AW898">
        <f>'T_SelfStock'!AU32</f>
        <v/>
      </c>
      <c r="AX898">
        <f>'T_SelfStock'!AV32</f>
        <v/>
      </c>
      <c r="AY898">
        <f>'T_SelfStock'!AW32</f>
        <v/>
      </c>
      <c r="AZ898">
        <f>'T_SelfStock'!AX32</f>
        <v/>
      </c>
      <c r="BA898">
        <f>'T_SelfStock'!AY32</f>
        <v/>
      </c>
      <c r="BB898">
        <f>'T_SelfStock'!AZ32</f>
        <v/>
      </c>
      <c r="BC898">
        <f>'T_SelfStock'!BA32</f>
        <v/>
      </c>
      <c r="BD898">
        <f>'T_SelfStock'!BB32</f>
        <v/>
      </c>
      <c r="BE898">
        <f>'T_SelfStock'!BC32</f>
        <v/>
      </c>
      <c r="BF898">
        <f>'T_SelfStock'!BD32</f>
        <v/>
      </c>
      <c r="BG898">
        <f>'T_SelfStock'!BE32</f>
        <v/>
      </c>
      <c r="BH898">
        <f>'T_SelfStock'!BF32</f>
        <v/>
      </c>
      <c r="BI898">
        <f>'T_SelfStock'!BG32</f>
        <v/>
      </c>
      <c r="BJ898">
        <f>'T_SelfStock'!BH32</f>
        <v/>
      </c>
      <c r="BK898">
        <f>'T_SelfStock'!BI32</f>
        <v/>
      </c>
      <c r="BL898">
        <f>'T_SelfStock'!BJ32</f>
        <v/>
      </c>
      <c r="BM898">
        <f>'T_SelfStock'!BK32</f>
        <v/>
      </c>
      <c r="BN898">
        <f>'T_SelfStock'!BL32</f>
        <v/>
      </c>
      <c r="BO898">
        <f>'T_SelfStock'!BM32</f>
        <v/>
      </c>
      <c r="BP898">
        <f>'T_SelfStock'!BN32</f>
        <v/>
      </c>
      <c r="BQ898">
        <f>'T_SelfStock'!BO32</f>
        <v/>
      </c>
      <c r="BR898">
        <f>'T_SelfStock'!BP32</f>
        <v/>
      </c>
      <c r="BS898">
        <f>'T_SelfStock'!BQ32</f>
        <v/>
      </c>
      <c r="BT898">
        <f>'T_SelfStock'!BR32</f>
        <v/>
      </c>
      <c r="BU898">
        <f>'T_SelfStock'!BS32</f>
        <v/>
      </c>
      <c r="BV898">
        <f>'T_SelfStock'!BT32</f>
        <v/>
      </c>
      <c r="BW898">
        <f>'T_SelfStock'!BU32</f>
        <v/>
      </c>
      <c r="BX898">
        <f>'T_SelfStock'!BV32</f>
        <v/>
      </c>
      <c r="BY898">
        <f>'T_SelfStock'!BW32</f>
        <v/>
      </c>
      <c r="BZ898">
        <f>'T_SelfStock'!BX32</f>
        <v/>
      </c>
      <c r="CA898">
        <f>'T_SelfStock'!BY32</f>
        <v/>
      </c>
      <c r="CB898">
        <f>'T_SelfStock'!BZ32</f>
        <v/>
      </c>
      <c r="CC898">
        <f>'T_SelfStock'!CA32</f>
        <v/>
      </c>
      <c r="CD898">
        <f>'T_SelfStock'!CB32</f>
        <v/>
      </c>
      <c r="CE898">
        <f>'T_SelfStock'!CC32</f>
        <v/>
      </c>
      <c r="CF898">
        <f>'T_SelfStock'!CD32</f>
        <v/>
      </c>
      <c r="CG898">
        <f>'T_SelfStock'!CE32</f>
        <v/>
      </c>
      <c r="CH898">
        <f>'T_SelfStock'!CF32</f>
        <v/>
      </c>
      <c r="CI898">
        <f>'T_SelfStock'!CG32</f>
        <v/>
      </c>
      <c r="CJ898">
        <f>'T_SelfStock'!CH32</f>
        <v/>
      </c>
      <c r="CK898">
        <f>'T_SelfStock'!CI32</f>
        <v/>
      </c>
      <c r="CL898">
        <f>'T_SelfStock'!CJ32</f>
        <v/>
      </c>
      <c r="CM898">
        <f>'T_SelfStock'!CK32</f>
        <v/>
      </c>
      <c r="CN898">
        <f>'T_SelfStock'!CL32</f>
        <v/>
      </c>
      <c r="CO898">
        <f>'T_SelfStock'!CM32</f>
        <v/>
      </c>
      <c r="CP898">
        <f>'T_SelfStock'!CN32</f>
        <v/>
      </c>
      <c r="CQ898">
        <f>'T_SelfStock'!CO32</f>
        <v/>
      </c>
      <c r="CR898">
        <f>'T_SelfStock'!CP32</f>
        <v/>
      </c>
      <c r="CS898">
        <f>'T_SelfStock'!CQ32</f>
        <v/>
      </c>
      <c r="CT898">
        <f>'T_SelfStock'!CR32</f>
        <v/>
      </c>
      <c r="CU898">
        <f>'T_SelfStock'!CS32</f>
        <v/>
      </c>
      <c r="CV898">
        <f>'T_SelfStock'!CT32</f>
        <v/>
      </c>
      <c r="CW898">
        <f>'T_SelfStock'!CU32</f>
        <v/>
      </c>
      <c r="CX898">
        <f>'T_SelfStock'!CV32</f>
        <v/>
      </c>
      <c r="CY898">
        <f>'T_SelfStock'!CW32</f>
        <v/>
      </c>
      <c r="CZ898">
        <f>'T_SelfStock'!CX32</f>
        <v/>
      </c>
      <c r="DA898">
        <f>'T_SelfStock'!CY32</f>
        <v/>
      </c>
      <c r="DB898">
        <f>'T_SelfStock'!CZ32</f>
        <v/>
      </c>
      <c r="DC898">
        <f>'T_SelfStock'!DA32</f>
        <v/>
      </c>
    </row>
    <row r="899">
      <c r="B899" t="inlineStr">
        <is>
          <t>Order(発注予定,kg)</t>
        </is>
      </c>
      <c r="D899">
        <f>IF(SUMIFS(T_PlannedOrders[EffectiveQty],T_PlannedOrders[Part Name],$A875,T_PlannedOrders[WeekIndex],1)=0,"",SUMIFS(T_PlannedOrders[EffectiveQty],T_PlannedOrders[Part Name],$A875,T_PlannedOrders[WeekIndex],1)&amp;" ("&amp;TEXT(SUMPRODUCT(MAX((T_PlannedOrders[Part Name]=$A875)*(T_PlannedOrders[WeekIndex]=1)*(T_PlannedOrders[EffectiveQty]&gt;0)*T_PlannedOrders[Order_Month])),"m月")&amp;"発注)")</f>
        <v/>
      </c>
      <c r="E899">
        <f>IF(SUMIFS(T_PlannedOrders[EffectiveQty],T_PlannedOrders[Part Name],$A875,T_PlannedOrders[WeekIndex],2)=0,"",SUMIFS(T_PlannedOrders[EffectiveQty],T_PlannedOrders[Part Name],$A875,T_PlannedOrders[WeekIndex],2)&amp;" ("&amp;TEXT(SUMPRODUCT(MAX((T_PlannedOrders[Part Name]=$A875)*(T_PlannedOrders[WeekIndex]=2)*(T_PlannedOrders[EffectiveQty]&gt;0)*T_PlannedOrders[Order_Month])),"m月")&amp;"発注)")</f>
        <v/>
      </c>
      <c r="F899">
        <f>IF(SUMIFS(T_PlannedOrders[EffectiveQty],T_PlannedOrders[Part Name],$A875,T_PlannedOrders[WeekIndex],3)=0,"",SUMIFS(T_PlannedOrders[EffectiveQty],T_PlannedOrders[Part Name],$A875,T_PlannedOrders[WeekIndex],3)&amp;" ("&amp;TEXT(SUMPRODUCT(MAX((T_PlannedOrders[Part Name]=$A875)*(T_PlannedOrders[WeekIndex]=3)*(T_PlannedOrders[EffectiveQty]&gt;0)*T_PlannedOrders[Order_Month])),"m月")&amp;"発注)")</f>
        <v/>
      </c>
      <c r="G899">
        <f>IF(SUMIFS(T_PlannedOrders[EffectiveQty],T_PlannedOrders[Part Name],$A875,T_PlannedOrders[WeekIndex],4)=0,"",SUMIFS(T_PlannedOrders[EffectiveQty],T_PlannedOrders[Part Name],$A875,T_PlannedOrders[WeekIndex],4)&amp;" ("&amp;TEXT(SUMPRODUCT(MAX((T_PlannedOrders[Part Name]=$A875)*(T_PlannedOrders[WeekIndex]=4)*(T_PlannedOrders[EffectiveQty]&gt;0)*T_PlannedOrders[Order_Month])),"m月")&amp;"発注)")</f>
        <v/>
      </c>
      <c r="H899">
        <f>IF(SUMIFS(T_PlannedOrders[EffectiveQty],T_PlannedOrders[Part Name],$A875,T_PlannedOrders[WeekIndex],5)=0,"",SUMIFS(T_PlannedOrders[EffectiveQty],T_PlannedOrders[Part Name],$A875,T_PlannedOrders[WeekIndex],5)&amp;" ("&amp;TEXT(SUMPRODUCT(MAX((T_PlannedOrders[Part Name]=$A875)*(T_PlannedOrders[WeekIndex]=5)*(T_PlannedOrders[EffectiveQty]&gt;0)*T_PlannedOrders[Order_Month])),"m月")&amp;"発注)")</f>
        <v/>
      </c>
      <c r="I899">
        <f>IF(SUMIFS(T_PlannedOrders[EffectiveQty],T_PlannedOrders[Part Name],$A875,T_PlannedOrders[WeekIndex],6)=0,"",SUMIFS(T_PlannedOrders[EffectiveQty],T_PlannedOrders[Part Name],$A875,T_PlannedOrders[WeekIndex],6)&amp;" ("&amp;TEXT(SUMPRODUCT(MAX((T_PlannedOrders[Part Name]=$A875)*(T_PlannedOrders[WeekIndex]=6)*(T_PlannedOrders[EffectiveQty]&gt;0)*T_PlannedOrders[Order_Month])),"m月")&amp;"発注)")</f>
        <v/>
      </c>
      <c r="J899">
        <f>IF(SUMIFS(T_PlannedOrders[EffectiveQty],T_PlannedOrders[Part Name],$A875,T_PlannedOrders[WeekIndex],7)=0,"",SUMIFS(T_PlannedOrders[EffectiveQty],T_PlannedOrders[Part Name],$A875,T_PlannedOrders[WeekIndex],7)&amp;" ("&amp;TEXT(SUMPRODUCT(MAX((T_PlannedOrders[Part Name]=$A875)*(T_PlannedOrders[WeekIndex]=7)*(T_PlannedOrders[EffectiveQty]&gt;0)*T_PlannedOrders[Order_Month])),"m月")&amp;"発注)")</f>
        <v/>
      </c>
      <c r="K899">
        <f>IF(SUMIFS(T_PlannedOrders[EffectiveQty],T_PlannedOrders[Part Name],$A875,T_PlannedOrders[WeekIndex],8)=0,"",SUMIFS(T_PlannedOrders[EffectiveQty],T_PlannedOrders[Part Name],$A875,T_PlannedOrders[WeekIndex],8)&amp;" ("&amp;TEXT(SUMPRODUCT(MAX((T_PlannedOrders[Part Name]=$A875)*(T_PlannedOrders[WeekIndex]=8)*(T_PlannedOrders[EffectiveQty]&gt;0)*T_PlannedOrders[Order_Month])),"m月")&amp;"発注)")</f>
        <v/>
      </c>
      <c r="L899">
        <f>IF(SUMIFS(T_PlannedOrders[EffectiveQty],T_PlannedOrders[Part Name],$A875,T_PlannedOrders[WeekIndex],9)=0,"",SUMIFS(T_PlannedOrders[EffectiveQty],T_PlannedOrders[Part Name],$A875,T_PlannedOrders[WeekIndex],9)&amp;" ("&amp;TEXT(SUMPRODUCT(MAX((T_PlannedOrders[Part Name]=$A875)*(T_PlannedOrders[WeekIndex]=9)*(T_PlannedOrders[EffectiveQty]&gt;0)*T_PlannedOrders[Order_Month])),"m月")&amp;"発注)")</f>
        <v/>
      </c>
      <c r="M899">
        <f>IF(SUMIFS(T_PlannedOrders[EffectiveQty],T_PlannedOrders[Part Name],$A875,T_PlannedOrders[WeekIndex],10)=0,"",SUMIFS(T_PlannedOrders[EffectiveQty],T_PlannedOrders[Part Name],$A875,T_PlannedOrders[WeekIndex],10)&amp;" ("&amp;TEXT(SUMPRODUCT(MAX((T_PlannedOrders[Part Name]=$A875)*(T_PlannedOrders[WeekIndex]=10)*(T_PlannedOrders[EffectiveQty]&gt;0)*T_PlannedOrders[Order_Month])),"m月")&amp;"発注)")</f>
        <v/>
      </c>
      <c r="N899">
        <f>IF(SUMIFS(T_PlannedOrders[EffectiveQty],T_PlannedOrders[Part Name],$A875,T_PlannedOrders[WeekIndex],11)=0,"",SUMIFS(T_PlannedOrders[EffectiveQty],T_PlannedOrders[Part Name],$A875,T_PlannedOrders[WeekIndex],11)&amp;" ("&amp;TEXT(SUMPRODUCT(MAX((T_PlannedOrders[Part Name]=$A875)*(T_PlannedOrders[WeekIndex]=11)*(T_PlannedOrders[EffectiveQty]&gt;0)*T_PlannedOrders[Order_Month])),"m月")&amp;"発注)")</f>
        <v/>
      </c>
      <c r="O899">
        <f>IF(SUMIFS(T_PlannedOrders[EffectiveQty],T_PlannedOrders[Part Name],$A875,T_PlannedOrders[WeekIndex],12)=0,"",SUMIFS(T_PlannedOrders[EffectiveQty],T_PlannedOrders[Part Name],$A875,T_PlannedOrders[WeekIndex],12)&amp;" ("&amp;TEXT(SUMPRODUCT(MAX((T_PlannedOrders[Part Name]=$A875)*(T_PlannedOrders[WeekIndex]=12)*(T_PlannedOrders[EffectiveQty]&gt;0)*T_PlannedOrders[Order_Month])),"m月")&amp;"発注)")</f>
        <v/>
      </c>
      <c r="P899">
        <f>IF(SUMIFS(T_PlannedOrders[EffectiveQty],T_PlannedOrders[Part Name],$A875,T_PlannedOrders[WeekIndex],13)=0,"",SUMIFS(T_PlannedOrders[EffectiveQty],T_PlannedOrders[Part Name],$A875,T_PlannedOrders[WeekIndex],13)&amp;" ("&amp;TEXT(SUMPRODUCT(MAX((T_PlannedOrders[Part Name]=$A875)*(T_PlannedOrders[WeekIndex]=13)*(T_PlannedOrders[EffectiveQty]&gt;0)*T_PlannedOrders[Order_Month])),"m月")&amp;"発注)")</f>
        <v/>
      </c>
      <c r="Q899">
        <f>IF(SUMIFS(T_PlannedOrders[EffectiveQty],T_PlannedOrders[Part Name],$A875,T_PlannedOrders[WeekIndex],14)=0,"",SUMIFS(T_PlannedOrders[EffectiveQty],T_PlannedOrders[Part Name],$A875,T_PlannedOrders[WeekIndex],14)&amp;" ("&amp;TEXT(SUMPRODUCT(MAX((T_PlannedOrders[Part Name]=$A875)*(T_PlannedOrders[WeekIndex]=14)*(T_PlannedOrders[EffectiveQty]&gt;0)*T_PlannedOrders[Order_Month])),"m月")&amp;"発注)")</f>
        <v/>
      </c>
      <c r="R899">
        <f>IF(SUMIFS(T_PlannedOrders[EffectiveQty],T_PlannedOrders[Part Name],$A875,T_PlannedOrders[WeekIndex],15)=0,"",SUMIFS(T_PlannedOrders[EffectiveQty],T_PlannedOrders[Part Name],$A875,T_PlannedOrders[WeekIndex],15)&amp;" ("&amp;TEXT(SUMPRODUCT(MAX((T_PlannedOrders[Part Name]=$A875)*(T_PlannedOrders[WeekIndex]=15)*(T_PlannedOrders[EffectiveQty]&gt;0)*T_PlannedOrders[Order_Month])),"m月")&amp;"発注)")</f>
        <v/>
      </c>
      <c r="S899">
        <f>IF(SUMIFS(T_PlannedOrders[EffectiveQty],T_PlannedOrders[Part Name],$A875,T_PlannedOrders[WeekIndex],16)=0,"",SUMIFS(T_PlannedOrders[EffectiveQty],T_PlannedOrders[Part Name],$A875,T_PlannedOrders[WeekIndex],16)&amp;" ("&amp;TEXT(SUMPRODUCT(MAX((T_PlannedOrders[Part Name]=$A875)*(T_PlannedOrders[WeekIndex]=16)*(T_PlannedOrders[EffectiveQty]&gt;0)*T_PlannedOrders[Order_Month])),"m月")&amp;"発注)")</f>
        <v/>
      </c>
      <c r="T899">
        <f>IF(SUMIFS(T_PlannedOrders[EffectiveQty],T_PlannedOrders[Part Name],$A875,T_PlannedOrders[WeekIndex],17)=0,"",SUMIFS(T_PlannedOrders[EffectiveQty],T_PlannedOrders[Part Name],$A875,T_PlannedOrders[WeekIndex],17)&amp;" ("&amp;TEXT(SUMPRODUCT(MAX((T_PlannedOrders[Part Name]=$A875)*(T_PlannedOrders[WeekIndex]=17)*(T_PlannedOrders[EffectiveQty]&gt;0)*T_PlannedOrders[Order_Month])),"m月")&amp;"発注)")</f>
        <v/>
      </c>
      <c r="U899">
        <f>IF(SUMIFS(T_PlannedOrders[EffectiveQty],T_PlannedOrders[Part Name],$A875,T_PlannedOrders[WeekIndex],18)=0,"",SUMIFS(T_PlannedOrders[EffectiveQty],T_PlannedOrders[Part Name],$A875,T_PlannedOrders[WeekIndex],18)&amp;" ("&amp;TEXT(SUMPRODUCT(MAX((T_PlannedOrders[Part Name]=$A875)*(T_PlannedOrders[WeekIndex]=18)*(T_PlannedOrders[EffectiveQty]&gt;0)*T_PlannedOrders[Order_Month])),"m月")&amp;"発注)")</f>
        <v/>
      </c>
      <c r="V899">
        <f>IF(SUMIFS(T_PlannedOrders[EffectiveQty],T_PlannedOrders[Part Name],$A875,T_PlannedOrders[WeekIndex],19)=0,"",SUMIFS(T_PlannedOrders[EffectiveQty],T_PlannedOrders[Part Name],$A875,T_PlannedOrders[WeekIndex],19)&amp;" ("&amp;TEXT(SUMPRODUCT(MAX((T_PlannedOrders[Part Name]=$A875)*(T_PlannedOrders[WeekIndex]=19)*(T_PlannedOrders[EffectiveQty]&gt;0)*T_PlannedOrders[Order_Month])),"m月")&amp;"発注)")</f>
        <v/>
      </c>
      <c r="W899">
        <f>IF(SUMIFS(T_PlannedOrders[EffectiveQty],T_PlannedOrders[Part Name],$A875,T_PlannedOrders[WeekIndex],20)=0,"",SUMIFS(T_PlannedOrders[EffectiveQty],T_PlannedOrders[Part Name],$A875,T_PlannedOrders[WeekIndex],20)&amp;" ("&amp;TEXT(SUMPRODUCT(MAX((T_PlannedOrders[Part Name]=$A875)*(T_PlannedOrders[WeekIndex]=20)*(T_PlannedOrders[EffectiveQty]&gt;0)*T_PlannedOrders[Order_Month])),"m月")&amp;"発注)")</f>
        <v/>
      </c>
      <c r="X899">
        <f>IF(SUMIFS(T_PlannedOrders[EffectiveQty],T_PlannedOrders[Part Name],$A875,T_PlannedOrders[WeekIndex],21)=0,"",SUMIFS(T_PlannedOrders[EffectiveQty],T_PlannedOrders[Part Name],$A875,T_PlannedOrders[WeekIndex],21)&amp;" ("&amp;TEXT(SUMPRODUCT(MAX((T_PlannedOrders[Part Name]=$A875)*(T_PlannedOrders[WeekIndex]=21)*(T_PlannedOrders[EffectiveQty]&gt;0)*T_PlannedOrders[Order_Month])),"m月")&amp;"発注)")</f>
        <v/>
      </c>
      <c r="Y899">
        <f>IF(SUMIFS(T_PlannedOrders[EffectiveQty],T_PlannedOrders[Part Name],$A875,T_PlannedOrders[WeekIndex],22)=0,"",SUMIFS(T_PlannedOrders[EffectiveQty],T_PlannedOrders[Part Name],$A875,T_PlannedOrders[WeekIndex],22)&amp;" ("&amp;TEXT(SUMPRODUCT(MAX((T_PlannedOrders[Part Name]=$A875)*(T_PlannedOrders[WeekIndex]=22)*(T_PlannedOrders[EffectiveQty]&gt;0)*T_PlannedOrders[Order_Month])),"m月")&amp;"発注)")</f>
        <v/>
      </c>
      <c r="Z899">
        <f>IF(SUMIFS(T_PlannedOrders[EffectiveQty],T_PlannedOrders[Part Name],$A875,T_PlannedOrders[WeekIndex],23)=0,"",SUMIFS(T_PlannedOrders[EffectiveQty],T_PlannedOrders[Part Name],$A875,T_PlannedOrders[WeekIndex],23)&amp;" ("&amp;TEXT(SUMPRODUCT(MAX((T_PlannedOrders[Part Name]=$A875)*(T_PlannedOrders[WeekIndex]=23)*(T_PlannedOrders[EffectiveQty]&gt;0)*T_PlannedOrders[Order_Month])),"m月")&amp;"発注)")</f>
        <v/>
      </c>
      <c r="AA899">
        <f>IF(SUMIFS(T_PlannedOrders[EffectiveQty],T_PlannedOrders[Part Name],$A875,T_PlannedOrders[WeekIndex],24)=0,"",SUMIFS(T_PlannedOrders[EffectiveQty],T_PlannedOrders[Part Name],$A875,T_PlannedOrders[WeekIndex],24)&amp;" ("&amp;TEXT(SUMPRODUCT(MAX((T_PlannedOrders[Part Name]=$A875)*(T_PlannedOrders[WeekIndex]=24)*(T_PlannedOrders[EffectiveQty]&gt;0)*T_PlannedOrders[Order_Month])),"m月")&amp;"発注)")</f>
        <v/>
      </c>
      <c r="AB899">
        <f>IF(SUMIFS(T_PlannedOrders[EffectiveQty],T_PlannedOrders[Part Name],$A875,T_PlannedOrders[WeekIndex],25)=0,"",SUMIFS(T_PlannedOrders[EffectiveQty],T_PlannedOrders[Part Name],$A875,T_PlannedOrders[WeekIndex],25)&amp;" ("&amp;TEXT(SUMPRODUCT(MAX((T_PlannedOrders[Part Name]=$A875)*(T_PlannedOrders[WeekIndex]=25)*(T_PlannedOrders[EffectiveQty]&gt;0)*T_PlannedOrders[Order_Month])),"m月")&amp;"発注)")</f>
        <v/>
      </c>
      <c r="AC899">
        <f>IF(SUMIFS(T_PlannedOrders[EffectiveQty],T_PlannedOrders[Part Name],$A875,T_PlannedOrders[WeekIndex],26)=0,"",SUMIFS(T_PlannedOrders[EffectiveQty],T_PlannedOrders[Part Name],$A875,T_PlannedOrders[WeekIndex],26)&amp;" ("&amp;TEXT(SUMPRODUCT(MAX((T_PlannedOrders[Part Name]=$A875)*(T_PlannedOrders[WeekIndex]=26)*(T_PlannedOrders[EffectiveQty]&gt;0)*T_PlannedOrders[Order_Month])),"m月")&amp;"発注)")</f>
        <v/>
      </c>
      <c r="AD899">
        <f>IF(SUMIFS(T_PlannedOrders[EffectiveQty],T_PlannedOrders[Part Name],$A875,T_PlannedOrders[WeekIndex],27)=0,"",SUMIFS(T_PlannedOrders[EffectiveQty],T_PlannedOrders[Part Name],$A875,T_PlannedOrders[WeekIndex],27)&amp;" ("&amp;TEXT(SUMPRODUCT(MAX((T_PlannedOrders[Part Name]=$A875)*(T_PlannedOrders[WeekIndex]=27)*(T_PlannedOrders[EffectiveQty]&gt;0)*T_PlannedOrders[Order_Month])),"m月")&amp;"発注)")</f>
        <v/>
      </c>
      <c r="AE899">
        <f>IF(SUMIFS(T_PlannedOrders[EffectiveQty],T_PlannedOrders[Part Name],$A875,T_PlannedOrders[WeekIndex],28)=0,"",SUMIFS(T_PlannedOrders[EffectiveQty],T_PlannedOrders[Part Name],$A875,T_PlannedOrders[WeekIndex],28)&amp;" ("&amp;TEXT(SUMPRODUCT(MAX((T_PlannedOrders[Part Name]=$A875)*(T_PlannedOrders[WeekIndex]=28)*(T_PlannedOrders[EffectiveQty]&gt;0)*T_PlannedOrders[Order_Month])),"m月")&amp;"発注)")</f>
        <v/>
      </c>
      <c r="AF899">
        <f>IF(SUMIFS(T_PlannedOrders[EffectiveQty],T_PlannedOrders[Part Name],$A875,T_PlannedOrders[WeekIndex],29)=0,"",SUMIFS(T_PlannedOrders[EffectiveQty],T_PlannedOrders[Part Name],$A875,T_PlannedOrders[WeekIndex],29)&amp;" ("&amp;TEXT(SUMPRODUCT(MAX((T_PlannedOrders[Part Name]=$A875)*(T_PlannedOrders[WeekIndex]=29)*(T_PlannedOrders[EffectiveQty]&gt;0)*T_PlannedOrders[Order_Month])),"m月")&amp;"発注)")</f>
        <v/>
      </c>
      <c r="AG899">
        <f>IF(SUMIFS(T_PlannedOrders[EffectiveQty],T_PlannedOrders[Part Name],$A875,T_PlannedOrders[WeekIndex],30)=0,"",SUMIFS(T_PlannedOrders[EffectiveQty],T_PlannedOrders[Part Name],$A875,T_PlannedOrders[WeekIndex],30)&amp;" ("&amp;TEXT(SUMPRODUCT(MAX((T_PlannedOrders[Part Name]=$A875)*(T_PlannedOrders[WeekIndex]=30)*(T_PlannedOrders[EffectiveQty]&gt;0)*T_PlannedOrders[Order_Month])),"m月")&amp;"発注)")</f>
        <v/>
      </c>
      <c r="AH899">
        <f>IF(SUMIFS(T_PlannedOrders[EffectiveQty],T_PlannedOrders[Part Name],$A875,T_PlannedOrders[WeekIndex],31)=0,"",SUMIFS(T_PlannedOrders[EffectiveQty],T_PlannedOrders[Part Name],$A875,T_PlannedOrders[WeekIndex],31)&amp;" ("&amp;TEXT(SUMPRODUCT(MAX((T_PlannedOrders[Part Name]=$A875)*(T_PlannedOrders[WeekIndex]=31)*(T_PlannedOrders[EffectiveQty]&gt;0)*T_PlannedOrders[Order_Month])),"m月")&amp;"発注)")</f>
        <v/>
      </c>
      <c r="AI899">
        <f>IF(SUMIFS(T_PlannedOrders[EffectiveQty],T_PlannedOrders[Part Name],$A875,T_PlannedOrders[WeekIndex],32)=0,"",SUMIFS(T_PlannedOrders[EffectiveQty],T_PlannedOrders[Part Name],$A875,T_PlannedOrders[WeekIndex],32)&amp;" ("&amp;TEXT(SUMPRODUCT(MAX((T_PlannedOrders[Part Name]=$A875)*(T_PlannedOrders[WeekIndex]=32)*(T_PlannedOrders[EffectiveQty]&gt;0)*T_PlannedOrders[Order_Month])),"m月")&amp;"発注)")</f>
        <v/>
      </c>
      <c r="AJ899">
        <f>IF(SUMIFS(T_PlannedOrders[EffectiveQty],T_PlannedOrders[Part Name],$A875,T_PlannedOrders[WeekIndex],33)=0,"",SUMIFS(T_PlannedOrders[EffectiveQty],T_PlannedOrders[Part Name],$A875,T_PlannedOrders[WeekIndex],33)&amp;" ("&amp;TEXT(SUMPRODUCT(MAX((T_PlannedOrders[Part Name]=$A875)*(T_PlannedOrders[WeekIndex]=33)*(T_PlannedOrders[EffectiveQty]&gt;0)*T_PlannedOrders[Order_Month])),"m月")&amp;"発注)")</f>
        <v/>
      </c>
      <c r="AK899">
        <f>IF(SUMIFS(T_PlannedOrders[EffectiveQty],T_PlannedOrders[Part Name],$A875,T_PlannedOrders[WeekIndex],34)=0,"",SUMIFS(T_PlannedOrders[EffectiveQty],T_PlannedOrders[Part Name],$A875,T_PlannedOrders[WeekIndex],34)&amp;" ("&amp;TEXT(SUMPRODUCT(MAX((T_PlannedOrders[Part Name]=$A875)*(T_PlannedOrders[WeekIndex]=34)*(T_PlannedOrders[EffectiveQty]&gt;0)*T_PlannedOrders[Order_Month])),"m月")&amp;"発注)")</f>
        <v/>
      </c>
      <c r="AL899">
        <f>IF(SUMIFS(T_PlannedOrders[EffectiveQty],T_PlannedOrders[Part Name],$A875,T_PlannedOrders[WeekIndex],35)=0,"",SUMIFS(T_PlannedOrders[EffectiveQty],T_PlannedOrders[Part Name],$A875,T_PlannedOrders[WeekIndex],35)&amp;" ("&amp;TEXT(SUMPRODUCT(MAX((T_PlannedOrders[Part Name]=$A875)*(T_PlannedOrders[WeekIndex]=35)*(T_PlannedOrders[EffectiveQty]&gt;0)*T_PlannedOrders[Order_Month])),"m月")&amp;"発注)")</f>
        <v/>
      </c>
      <c r="AM899">
        <f>IF(SUMIFS(T_PlannedOrders[EffectiveQty],T_PlannedOrders[Part Name],$A875,T_PlannedOrders[WeekIndex],36)=0,"",SUMIFS(T_PlannedOrders[EffectiveQty],T_PlannedOrders[Part Name],$A875,T_PlannedOrders[WeekIndex],36)&amp;" ("&amp;TEXT(SUMPRODUCT(MAX((T_PlannedOrders[Part Name]=$A875)*(T_PlannedOrders[WeekIndex]=36)*(T_PlannedOrders[EffectiveQty]&gt;0)*T_PlannedOrders[Order_Month])),"m月")&amp;"発注)")</f>
        <v/>
      </c>
      <c r="AN899">
        <f>IF(SUMIFS(T_PlannedOrders[EffectiveQty],T_PlannedOrders[Part Name],$A875,T_PlannedOrders[WeekIndex],37)=0,"",SUMIFS(T_PlannedOrders[EffectiveQty],T_PlannedOrders[Part Name],$A875,T_PlannedOrders[WeekIndex],37)&amp;" ("&amp;TEXT(SUMPRODUCT(MAX((T_PlannedOrders[Part Name]=$A875)*(T_PlannedOrders[WeekIndex]=37)*(T_PlannedOrders[EffectiveQty]&gt;0)*T_PlannedOrders[Order_Month])),"m月")&amp;"発注)")</f>
        <v/>
      </c>
      <c r="AO899">
        <f>IF(SUMIFS(T_PlannedOrders[EffectiveQty],T_PlannedOrders[Part Name],$A875,T_PlannedOrders[WeekIndex],38)=0,"",SUMIFS(T_PlannedOrders[EffectiveQty],T_PlannedOrders[Part Name],$A875,T_PlannedOrders[WeekIndex],38)&amp;" ("&amp;TEXT(SUMPRODUCT(MAX((T_PlannedOrders[Part Name]=$A875)*(T_PlannedOrders[WeekIndex]=38)*(T_PlannedOrders[EffectiveQty]&gt;0)*T_PlannedOrders[Order_Month])),"m月")&amp;"発注)")</f>
        <v/>
      </c>
      <c r="AP899">
        <f>IF(SUMIFS(T_PlannedOrders[EffectiveQty],T_PlannedOrders[Part Name],$A875,T_PlannedOrders[WeekIndex],39)=0,"",SUMIFS(T_PlannedOrders[EffectiveQty],T_PlannedOrders[Part Name],$A875,T_PlannedOrders[WeekIndex],39)&amp;" ("&amp;TEXT(SUMPRODUCT(MAX((T_PlannedOrders[Part Name]=$A875)*(T_PlannedOrders[WeekIndex]=39)*(T_PlannedOrders[EffectiveQty]&gt;0)*T_PlannedOrders[Order_Month])),"m月")&amp;"発注)")</f>
        <v/>
      </c>
      <c r="AQ899">
        <f>IF(SUMIFS(T_PlannedOrders[EffectiveQty],T_PlannedOrders[Part Name],$A875,T_PlannedOrders[WeekIndex],40)=0,"",SUMIFS(T_PlannedOrders[EffectiveQty],T_PlannedOrders[Part Name],$A875,T_PlannedOrders[WeekIndex],40)&amp;" ("&amp;TEXT(SUMPRODUCT(MAX((T_PlannedOrders[Part Name]=$A875)*(T_PlannedOrders[WeekIndex]=40)*(T_PlannedOrders[EffectiveQty]&gt;0)*T_PlannedOrders[Order_Month])),"m月")&amp;"発注)")</f>
        <v/>
      </c>
      <c r="AR899">
        <f>IF(SUMIFS(T_PlannedOrders[EffectiveQty],T_PlannedOrders[Part Name],$A875,T_PlannedOrders[WeekIndex],41)=0,"",SUMIFS(T_PlannedOrders[EffectiveQty],T_PlannedOrders[Part Name],$A875,T_PlannedOrders[WeekIndex],41)&amp;" ("&amp;TEXT(SUMPRODUCT(MAX((T_PlannedOrders[Part Name]=$A875)*(T_PlannedOrders[WeekIndex]=41)*(T_PlannedOrders[EffectiveQty]&gt;0)*T_PlannedOrders[Order_Month])),"m月")&amp;"発注)")</f>
        <v/>
      </c>
      <c r="AS899">
        <f>IF(SUMIFS(T_PlannedOrders[EffectiveQty],T_PlannedOrders[Part Name],$A875,T_PlannedOrders[WeekIndex],42)=0,"",SUMIFS(T_PlannedOrders[EffectiveQty],T_PlannedOrders[Part Name],$A875,T_PlannedOrders[WeekIndex],42)&amp;" ("&amp;TEXT(SUMPRODUCT(MAX((T_PlannedOrders[Part Name]=$A875)*(T_PlannedOrders[WeekIndex]=42)*(T_PlannedOrders[EffectiveQty]&gt;0)*T_PlannedOrders[Order_Month])),"m月")&amp;"発注)")</f>
        <v/>
      </c>
      <c r="AT899">
        <f>IF(SUMIFS(T_PlannedOrders[EffectiveQty],T_PlannedOrders[Part Name],$A875,T_PlannedOrders[WeekIndex],43)=0,"",SUMIFS(T_PlannedOrders[EffectiveQty],T_PlannedOrders[Part Name],$A875,T_PlannedOrders[WeekIndex],43)&amp;" ("&amp;TEXT(SUMPRODUCT(MAX((T_PlannedOrders[Part Name]=$A875)*(T_PlannedOrders[WeekIndex]=43)*(T_PlannedOrders[EffectiveQty]&gt;0)*T_PlannedOrders[Order_Month])),"m月")&amp;"発注)")</f>
        <v/>
      </c>
      <c r="AU899">
        <f>IF(SUMIFS(T_PlannedOrders[EffectiveQty],T_PlannedOrders[Part Name],$A875,T_PlannedOrders[WeekIndex],44)=0,"",SUMIFS(T_PlannedOrders[EffectiveQty],T_PlannedOrders[Part Name],$A875,T_PlannedOrders[WeekIndex],44)&amp;" ("&amp;TEXT(SUMPRODUCT(MAX((T_PlannedOrders[Part Name]=$A875)*(T_PlannedOrders[WeekIndex]=44)*(T_PlannedOrders[EffectiveQty]&gt;0)*T_PlannedOrders[Order_Month])),"m月")&amp;"発注)")</f>
        <v/>
      </c>
      <c r="AV899">
        <f>IF(SUMIFS(T_PlannedOrders[EffectiveQty],T_PlannedOrders[Part Name],$A875,T_PlannedOrders[WeekIndex],45)=0,"",SUMIFS(T_PlannedOrders[EffectiveQty],T_PlannedOrders[Part Name],$A875,T_PlannedOrders[WeekIndex],45)&amp;" ("&amp;TEXT(SUMPRODUCT(MAX((T_PlannedOrders[Part Name]=$A875)*(T_PlannedOrders[WeekIndex]=45)*(T_PlannedOrders[EffectiveQty]&gt;0)*T_PlannedOrders[Order_Month])),"m月")&amp;"発注)")</f>
        <v/>
      </c>
      <c r="AW899">
        <f>IF(SUMIFS(T_PlannedOrders[EffectiveQty],T_PlannedOrders[Part Name],$A875,T_PlannedOrders[WeekIndex],46)=0,"",SUMIFS(T_PlannedOrders[EffectiveQty],T_PlannedOrders[Part Name],$A875,T_PlannedOrders[WeekIndex],46)&amp;" ("&amp;TEXT(SUMPRODUCT(MAX((T_PlannedOrders[Part Name]=$A875)*(T_PlannedOrders[WeekIndex]=46)*(T_PlannedOrders[EffectiveQty]&gt;0)*T_PlannedOrders[Order_Month])),"m月")&amp;"発注)")</f>
        <v/>
      </c>
      <c r="AX899">
        <f>IF(SUMIFS(T_PlannedOrders[EffectiveQty],T_PlannedOrders[Part Name],$A875,T_PlannedOrders[WeekIndex],47)=0,"",SUMIFS(T_PlannedOrders[EffectiveQty],T_PlannedOrders[Part Name],$A875,T_PlannedOrders[WeekIndex],47)&amp;" ("&amp;TEXT(SUMPRODUCT(MAX((T_PlannedOrders[Part Name]=$A875)*(T_PlannedOrders[WeekIndex]=47)*(T_PlannedOrders[EffectiveQty]&gt;0)*T_PlannedOrders[Order_Month])),"m月")&amp;"発注)")</f>
        <v/>
      </c>
      <c r="AY899">
        <f>IF(SUMIFS(T_PlannedOrders[EffectiveQty],T_PlannedOrders[Part Name],$A875,T_PlannedOrders[WeekIndex],48)=0,"",SUMIFS(T_PlannedOrders[EffectiveQty],T_PlannedOrders[Part Name],$A875,T_PlannedOrders[WeekIndex],48)&amp;" ("&amp;TEXT(SUMPRODUCT(MAX((T_PlannedOrders[Part Name]=$A875)*(T_PlannedOrders[WeekIndex]=48)*(T_PlannedOrders[EffectiveQty]&gt;0)*T_PlannedOrders[Order_Month])),"m月")&amp;"発注)")</f>
        <v/>
      </c>
      <c r="AZ899">
        <f>IF(SUMIFS(T_PlannedOrders[EffectiveQty],T_PlannedOrders[Part Name],$A875,T_PlannedOrders[WeekIndex],49)=0,"",SUMIFS(T_PlannedOrders[EffectiveQty],T_PlannedOrders[Part Name],$A875,T_PlannedOrders[WeekIndex],49)&amp;" ("&amp;TEXT(SUMPRODUCT(MAX((T_PlannedOrders[Part Name]=$A875)*(T_PlannedOrders[WeekIndex]=49)*(T_PlannedOrders[EffectiveQty]&gt;0)*T_PlannedOrders[Order_Month])),"m月")&amp;"発注)")</f>
        <v/>
      </c>
      <c r="BA899">
        <f>IF(SUMIFS(T_PlannedOrders[EffectiveQty],T_PlannedOrders[Part Name],$A875,T_PlannedOrders[WeekIndex],50)=0,"",SUMIFS(T_PlannedOrders[EffectiveQty],T_PlannedOrders[Part Name],$A875,T_PlannedOrders[WeekIndex],50)&amp;" ("&amp;TEXT(SUMPRODUCT(MAX((T_PlannedOrders[Part Name]=$A875)*(T_PlannedOrders[WeekIndex]=50)*(T_PlannedOrders[EffectiveQty]&gt;0)*T_PlannedOrders[Order_Month])),"m月")&amp;"発注)")</f>
        <v/>
      </c>
      <c r="BB899">
        <f>IF(SUMIFS(T_PlannedOrders[EffectiveQty],T_PlannedOrders[Part Name],$A875,T_PlannedOrders[WeekIndex],51)=0,"",SUMIFS(T_PlannedOrders[EffectiveQty],T_PlannedOrders[Part Name],$A875,T_PlannedOrders[WeekIndex],51)&amp;" ("&amp;TEXT(SUMPRODUCT(MAX((T_PlannedOrders[Part Name]=$A875)*(T_PlannedOrders[WeekIndex]=51)*(T_PlannedOrders[EffectiveQty]&gt;0)*T_PlannedOrders[Order_Month])),"m月")&amp;"発注)")</f>
        <v/>
      </c>
      <c r="BC899">
        <f>IF(SUMIFS(T_PlannedOrders[EffectiveQty],T_PlannedOrders[Part Name],$A875,T_PlannedOrders[WeekIndex],52)=0,"",SUMIFS(T_PlannedOrders[EffectiveQty],T_PlannedOrders[Part Name],$A875,T_PlannedOrders[WeekIndex],52)&amp;" ("&amp;TEXT(SUMPRODUCT(MAX((T_PlannedOrders[Part Name]=$A875)*(T_PlannedOrders[WeekIndex]=52)*(T_PlannedOrders[EffectiveQty]&gt;0)*T_PlannedOrders[Order_Month])),"m月")&amp;"発注)")</f>
        <v/>
      </c>
      <c r="BD899">
        <f>IF(SUMIFS(T_PlannedOrders[EffectiveQty],T_PlannedOrders[Part Name],$A875,T_PlannedOrders[WeekIndex],53)=0,"",SUMIFS(T_PlannedOrders[EffectiveQty],T_PlannedOrders[Part Name],$A875,T_PlannedOrders[WeekIndex],53)&amp;" ("&amp;TEXT(SUMPRODUCT(MAX((T_PlannedOrders[Part Name]=$A875)*(T_PlannedOrders[WeekIndex]=53)*(T_PlannedOrders[EffectiveQty]&gt;0)*T_PlannedOrders[Order_Month])),"m月")&amp;"発注)")</f>
        <v/>
      </c>
      <c r="BE899">
        <f>IF(SUMIFS(T_PlannedOrders[EffectiveQty],T_PlannedOrders[Part Name],$A875,T_PlannedOrders[WeekIndex],54)=0,"",SUMIFS(T_PlannedOrders[EffectiveQty],T_PlannedOrders[Part Name],$A875,T_PlannedOrders[WeekIndex],54)&amp;" ("&amp;TEXT(SUMPRODUCT(MAX((T_PlannedOrders[Part Name]=$A875)*(T_PlannedOrders[WeekIndex]=54)*(T_PlannedOrders[EffectiveQty]&gt;0)*T_PlannedOrders[Order_Month])),"m月")&amp;"発注)")</f>
        <v/>
      </c>
      <c r="BF899">
        <f>IF(SUMIFS(T_PlannedOrders[EffectiveQty],T_PlannedOrders[Part Name],$A875,T_PlannedOrders[WeekIndex],55)=0,"",SUMIFS(T_PlannedOrders[EffectiveQty],T_PlannedOrders[Part Name],$A875,T_PlannedOrders[WeekIndex],55)&amp;" ("&amp;TEXT(SUMPRODUCT(MAX((T_PlannedOrders[Part Name]=$A875)*(T_PlannedOrders[WeekIndex]=55)*(T_PlannedOrders[EffectiveQty]&gt;0)*T_PlannedOrders[Order_Month])),"m月")&amp;"発注)")</f>
        <v/>
      </c>
      <c r="BG899">
        <f>IF(SUMIFS(T_PlannedOrders[EffectiveQty],T_PlannedOrders[Part Name],$A875,T_PlannedOrders[WeekIndex],56)=0,"",SUMIFS(T_PlannedOrders[EffectiveQty],T_PlannedOrders[Part Name],$A875,T_PlannedOrders[WeekIndex],56)&amp;" ("&amp;TEXT(SUMPRODUCT(MAX((T_PlannedOrders[Part Name]=$A875)*(T_PlannedOrders[WeekIndex]=56)*(T_PlannedOrders[EffectiveQty]&gt;0)*T_PlannedOrders[Order_Month])),"m月")&amp;"発注)")</f>
        <v/>
      </c>
      <c r="BH899">
        <f>IF(SUMIFS(T_PlannedOrders[EffectiveQty],T_PlannedOrders[Part Name],$A875,T_PlannedOrders[WeekIndex],57)=0,"",SUMIFS(T_PlannedOrders[EffectiveQty],T_PlannedOrders[Part Name],$A875,T_PlannedOrders[WeekIndex],57)&amp;" ("&amp;TEXT(SUMPRODUCT(MAX((T_PlannedOrders[Part Name]=$A875)*(T_PlannedOrders[WeekIndex]=57)*(T_PlannedOrders[EffectiveQty]&gt;0)*T_PlannedOrders[Order_Month])),"m月")&amp;"発注)")</f>
        <v/>
      </c>
      <c r="BI899">
        <f>IF(SUMIFS(T_PlannedOrders[EffectiveQty],T_PlannedOrders[Part Name],$A875,T_PlannedOrders[WeekIndex],58)=0,"",SUMIFS(T_PlannedOrders[EffectiveQty],T_PlannedOrders[Part Name],$A875,T_PlannedOrders[WeekIndex],58)&amp;" ("&amp;TEXT(SUMPRODUCT(MAX((T_PlannedOrders[Part Name]=$A875)*(T_PlannedOrders[WeekIndex]=58)*(T_PlannedOrders[EffectiveQty]&gt;0)*T_PlannedOrders[Order_Month])),"m月")&amp;"発注)")</f>
        <v/>
      </c>
      <c r="BJ899">
        <f>IF(SUMIFS(T_PlannedOrders[EffectiveQty],T_PlannedOrders[Part Name],$A875,T_PlannedOrders[WeekIndex],59)=0,"",SUMIFS(T_PlannedOrders[EffectiveQty],T_PlannedOrders[Part Name],$A875,T_PlannedOrders[WeekIndex],59)&amp;" ("&amp;TEXT(SUMPRODUCT(MAX((T_PlannedOrders[Part Name]=$A875)*(T_PlannedOrders[WeekIndex]=59)*(T_PlannedOrders[EffectiveQty]&gt;0)*T_PlannedOrders[Order_Month])),"m月")&amp;"発注)")</f>
        <v/>
      </c>
      <c r="BK899">
        <f>IF(SUMIFS(T_PlannedOrders[EffectiveQty],T_PlannedOrders[Part Name],$A875,T_PlannedOrders[WeekIndex],60)=0,"",SUMIFS(T_PlannedOrders[EffectiveQty],T_PlannedOrders[Part Name],$A875,T_PlannedOrders[WeekIndex],60)&amp;" ("&amp;TEXT(SUMPRODUCT(MAX((T_PlannedOrders[Part Name]=$A875)*(T_PlannedOrders[WeekIndex]=60)*(T_PlannedOrders[EffectiveQty]&gt;0)*T_PlannedOrders[Order_Month])),"m月")&amp;"発注)")</f>
        <v/>
      </c>
      <c r="BL899">
        <f>IF(SUMIFS(T_PlannedOrders[EffectiveQty],T_PlannedOrders[Part Name],$A875,T_PlannedOrders[WeekIndex],61)=0,"",SUMIFS(T_PlannedOrders[EffectiveQty],T_PlannedOrders[Part Name],$A875,T_PlannedOrders[WeekIndex],61)&amp;" ("&amp;TEXT(SUMPRODUCT(MAX((T_PlannedOrders[Part Name]=$A875)*(T_PlannedOrders[WeekIndex]=61)*(T_PlannedOrders[EffectiveQty]&gt;0)*T_PlannedOrders[Order_Month])),"m月")&amp;"発注)")</f>
        <v/>
      </c>
      <c r="BM899">
        <f>IF(SUMIFS(T_PlannedOrders[EffectiveQty],T_PlannedOrders[Part Name],$A875,T_PlannedOrders[WeekIndex],62)=0,"",SUMIFS(T_PlannedOrders[EffectiveQty],T_PlannedOrders[Part Name],$A875,T_PlannedOrders[WeekIndex],62)&amp;" ("&amp;TEXT(SUMPRODUCT(MAX((T_PlannedOrders[Part Name]=$A875)*(T_PlannedOrders[WeekIndex]=62)*(T_PlannedOrders[EffectiveQty]&gt;0)*T_PlannedOrders[Order_Month])),"m月")&amp;"発注)")</f>
        <v/>
      </c>
      <c r="BN899">
        <f>IF(SUMIFS(T_PlannedOrders[EffectiveQty],T_PlannedOrders[Part Name],$A875,T_PlannedOrders[WeekIndex],63)=0,"",SUMIFS(T_PlannedOrders[EffectiveQty],T_PlannedOrders[Part Name],$A875,T_PlannedOrders[WeekIndex],63)&amp;" ("&amp;TEXT(SUMPRODUCT(MAX((T_PlannedOrders[Part Name]=$A875)*(T_PlannedOrders[WeekIndex]=63)*(T_PlannedOrders[EffectiveQty]&gt;0)*T_PlannedOrders[Order_Month])),"m月")&amp;"発注)")</f>
        <v/>
      </c>
      <c r="BO899">
        <f>IF(SUMIFS(T_PlannedOrders[EffectiveQty],T_PlannedOrders[Part Name],$A875,T_PlannedOrders[WeekIndex],64)=0,"",SUMIFS(T_PlannedOrders[EffectiveQty],T_PlannedOrders[Part Name],$A875,T_PlannedOrders[WeekIndex],64)&amp;" ("&amp;TEXT(SUMPRODUCT(MAX((T_PlannedOrders[Part Name]=$A875)*(T_PlannedOrders[WeekIndex]=64)*(T_PlannedOrders[EffectiveQty]&gt;0)*T_PlannedOrders[Order_Month])),"m月")&amp;"発注)")</f>
        <v/>
      </c>
      <c r="BP899">
        <f>IF(SUMIFS(T_PlannedOrders[EffectiveQty],T_PlannedOrders[Part Name],$A875,T_PlannedOrders[WeekIndex],65)=0,"",SUMIFS(T_PlannedOrders[EffectiveQty],T_PlannedOrders[Part Name],$A875,T_PlannedOrders[WeekIndex],65)&amp;" ("&amp;TEXT(SUMPRODUCT(MAX((T_PlannedOrders[Part Name]=$A875)*(T_PlannedOrders[WeekIndex]=65)*(T_PlannedOrders[EffectiveQty]&gt;0)*T_PlannedOrders[Order_Month])),"m月")&amp;"発注)")</f>
        <v/>
      </c>
      <c r="BQ899">
        <f>IF(SUMIFS(T_PlannedOrders[EffectiveQty],T_PlannedOrders[Part Name],$A875,T_PlannedOrders[WeekIndex],66)=0,"",SUMIFS(T_PlannedOrders[EffectiveQty],T_PlannedOrders[Part Name],$A875,T_PlannedOrders[WeekIndex],66)&amp;" ("&amp;TEXT(SUMPRODUCT(MAX((T_PlannedOrders[Part Name]=$A875)*(T_PlannedOrders[WeekIndex]=66)*(T_PlannedOrders[EffectiveQty]&gt;0)*T_PlannedOrders[Order_Month])),"m月")&amp;"発注)")</f>
        <v/>
      </c>
      <c r="BR899">
        <f>IF(SUMIFS(T_PlannedOrders[EffectiveQty],T_PlannedOrders[Part Name],$A875,T_PlannedOrders[WeekIndex],67)=0,"",SUMIFS(T_PlannedOrders[EffectiveQty],T_PlannedOrders[Part Name],$A875,T_PlannedOrders[WeekIndex],67)&amp;" ("&amp;TEXT(SUMPRODUCT(MAX((T_PlannedOrders[Part Name]=$A875)*(T_PlannedOrders[WeekIndex]=67)*(T_PlannedOrders[EffectiveQty]&gt;0)*T_PlannedOrders[Order_Month])),"m月")&amp;"発注)")</f>
        <v/>
      </c>
      <c r="BS899">
        <f>IF(SUMIFS(T_PlannedOrders[EffectiveQty],T_PlannedOrders[Part Name],$A875,T_PlannedOrders[WeekIndex],68)=0,"",SUMIFS(T_PlannedOrders[EffectiveQty],T_PlannedOrders[Part Name],$A875,T_PlannedOrders[WeekIndex],68)&amp;" ("&amp;TEXT(SUMPRODUCT(MAX((T_PlannedOrders[Part Name]=$A875)*(T_PlannedOrders[WeekIndex]=68)*(T_PlannedOrders[EffectiveQty]&gt;0)*T_PlannedOrders[Order_Month])),"m月")&amp;"発注)")</f>
        <v/>
      </c>
      <c r="BT899">
        <f>IF(SUMIFS(T_PlannedOrders[EffectiveQty],T_PlannedOrders[Part Name],$A875,T_PlannedOrders[WeekIndex],69)=0,"",SUMIFS(T_PlannedOrders[EffectiveQty],T_PlannedOrders[Part Name],$A875,T_PlannedOrders[WeekIndex],69)&amp;" ("&amp;TEXT(SUMPRODUCT(MAX((T_PlannedOrders[Part Name]=$A875)*(T_PlannedOrders[WeekIndex]=69)*(T_PlannedOrders[EffectiveQty]&gt;0)*T_PlannedOrders[Order_Month])),"m月")&amp;"発注)")</f>
        <v/>
      </c>
      <c r="BU899">
        <f>IF(SUMIFS(T_PlannedOrders[EffectiveQty],T_PlannedOrders[Part Name],$A875,T_PlannedOrders[WeekIndex],70)=0,"",SUMIFS(T_PlannedOrders[EffectiveQty],T_PlannedOrders[Part Name],$A875,T_PlannedOrders[WeekIndex],70)&amp;" ("&amp;TEXT(SUMPRODUCT(MAX((T_PlannedOrders[Part Name]=$A875)*(T_PlannedOrders[WeekIndex]=70)*(T_PlannedOrders[EffectiveQty]&gt;0)*T_PlannedOrders[Order_Month])),"m月")&amp;"発注)")</f>
        <v/>
      </c>
      <c r="BV899">
        <f>IF(SUMIFS(T_PlannedOrders[EffectiveQty],T_PlannedOrders[Part Name],$A875,T_PlannedOrders[WeekIndex],71)=0,"",SUMIFS(T_PlannedOrders[EffectiveQty],T_PlannedOrders[Part Name],$A875,T_PlannedOrders[WeekIndex],71)&amp;" ("&amp;TEXT(SUMPRODUCT(MAX((T_PlannedOrders[Part Name]=$A875)*(T_PlannedOrders[WeekIndex]=71)*(T_PlannedOrders[EffectiveQty]&gt;0)*T_PlannedOrders[Order_Month])),"m月")&amp;"発注)")</f>
        <v/>
      </c>
      <c r="BW899">
        <f>IF(SUMIFS(T_PlannedOrders[EffectiveQty],T_PlannedOrders[Part Name],$A875,T_PlannedOrders[WeekIndex],72)=0,"",SUMIFS(T_PlannedOrders[EffectiveQty],T_PlannedOrders[Part Name],$A875,T_PlannedOrders[WeekIndex],72)&amp;" ("&amp;TEXT(SUMPRODUCT(MAX((T_PlannedOrders[Part Name]=$A875)*(T_PlannedOrders[WeekIndex]=72)*(T_PlannedOrders[EffectiveQty]&gt;0)*T_PlannedOrders[Order_Month])),"m月")&amp;"発注)")</f>
        <v/>
      </c>
      <c r="BX899">
        <f>IF(SUMIFS(T_PlannedOrders[EffectiveQty],T_PlannedOrders[Part Name],$A875,T_PlannedOrders[WeekIndex],73)=0,"",SUMIFS(T_PlannedOrders[EffectiveQty],T_PlannedOrders[Part Name],$A875,T_PlannedOrders[WeekIndex],73)&amp;" ("&amp;TEXT(SUMPRODUCT(MAX((T_PlannedOrders[Part Name]=$A875)*(T_PlannedOrders[WeekIndex]=73)*(T_PlannedOrders[EffectiveQty]&gt;0)*T_PlannedOrders[Order_Month])),"m月")&amp;"発注)")</f>
        <v/>
      </c>
      <c r="BY899">
        <f>IF(SUMIFS(T_PlannedOrders[EffectiveQty],T_PlannedOrders[Part Name],$A875,T_PlannedOrders[WeekIndex],74)=0,"",SUMIFS(T_PlannedOrders[EffectiveQty],T_PlannedOrders[Part Name],$A875,T_PlannedOrders[WeekIndex],74)&amp;" ("&amp;TEXT(SUMPRODUCT(MAX((T_PlannedOrders[Part Name]=$A875)*(T_PlannedOrders[WeekIndex]=74)*(T_PlannedOrders[EffectiveQty]&gt;0)*T_PlannedOrders[Order_Month])),"m月")&amp;"発注)")</f>
        <v/>
      </c>
      <c r="BZ899">
        <f>IF(SUMIFS(T_PlannedOrders[EffectiveQty],T_PlannedOrders[Part Name],$A875,T_PlannedOrders[WeekIndex],75)=0,"",SUMIFS(T_PlannedOrders[EffectiveQty],T_PlannedOrders[Part Name],$A875,T_PlannedOrders[WeekIndex],75)&amp;" ("&amp;TEXT(SUMPRODUCT(MAX((T_PlannedOrders[Part Name]=$A875)*(T_PlannedOrders[WeekIndex]=75)*(T_PlannedOrders[EffectiveQty]&gt;0)*T_PlannedOrders[Order_Month])),"m月")&amp;"発注)")</f>
        <v/>
      </c>
      <c r="CA899">
        <f>IF(SUMIFS(T_PlannedOrders[EffectiveQty],T_PlannedOrders[Part Name],$A875,T_PlannedOrders[WeekIndex],76)=0,"",SUMIFS(T_PlannedOrders[EffectiveQty],T_PlannedOrders[Part Name],$A875,T_PlannedOrders[WeekIndex],76)&amp;" ("&amp;TEXT(SUMPRODUCT(MAX((T_PlannedOrders[Part Name]=$A875)*(T_PlannedOrders[WeekIndex]=76)*(T_PlannedOrders[EffectiveQty]&gt;0)*T_PlannedOrders[Order_Month])),"m月")&amp;"発注)")</f>
        <v/>
      </c>
      <c r="CB899">
        <f>IF(SUMIFS(T_PlannedOrders[EffectiveQty],T_PlannedOrders[Part Name],$A875,T_PlannedOrders[WeekIndex],77)=0,"",SUMIFS(T_PlannedOrders[EffectiveQty],T_PlannedOrders[Part Name],$A875,T_PlannedOrders[WeekIndex],77)&amp;" ("&amp;TEXT(SUMPRODUCT(MAX((T_PlannedOrders[Part Name]=$A875)*(T_PlannedOrders[WeekIndex]=77)*(T_PlannedOrders[EffectiveQty]&gt;0)*T_PlannedOrders[Order_Month])),"m月")&amp;"発注)")</f>
        <v/>
      </c>
      <c r="CC899">
        <f>IF(SUMIFS(T_PlannedOrders[EffectiveQty],T_PlannedOrders[Part Name],$A875,T_PlannedOrders[WeekIndex],78)=0,"",SUMIFS(T_PlannedOrders[EffectiveQty],T_PlannedOrders[Part Name],$A875,T_PlannedOrders[WeekIndex],78)&amp;" ("&amp;TEXT(SUMPRODUCT(MAX((T_PlannedOrders[Part Name]=$A875)*(T_PlannedOrders[WeekIndex]=78)*(T_PlannedOrders[EffectiveQty]&gt;0)*T_PlannedOrders[Order_Month])),"m月")&amp;"発注)")</f>
        <v/>
      </c>
      <c r="CD899">
        <f>IF(SUMIFS(T_PlannedOrders[EffectiveQty],T_PlannedOrders[Part Name],$A875,T_PlannedOrders[WeekIndex],79)=0,"",SUMIFS(T_PlannedOrders[EffectiveQty],T_PlannedOrders[Part Name],$A875,T_PlannedOrders[WeekIndex],79)&amp;" ("&amp;TEXT(SUMPRODUCT(MAX((T_PlannedOrders[Part Name]=$A875)*(T_PlannedOrders[WeekIndex]=79)*(T_PlannedOrders[EffectiveQty]&gt;0)*T_PlannedOrders[Order_Month])),"m月")&amp;"発注)")</f>
        <v/>
      </c>
      <c r="CE899">
        <f>IF(SUMIFS(T_PlannedOrders[EffectiveQty],T_PlannedOrders[Part Name],$A875,T_PlannedOrders[WeekIndex],80)=0,"",SUMIFS(T_PlannedOrders[EffectiveQty],T_PlannedOrders[Part Name],$A875,T_PlannedOrders[WeekIndex],80)&amp;" ("&amp;TEXT(SUMPRODUCT(MAX((T_PlannedOrders[Part Name]=$A875)*(T_PlannedOrders[WeekIndex]=80)*(T_PlannedOrders[EffectiveQty]&gt;0)*T_PlannedOrders[Order_Month])),"m月")&amp;"発注)")</f>
        <v/>
      </c>
      <c r="CF899">
        <f>IF(SUMIFS(T_PlannedOrders[EffectiveQty],T_PlannedOrders[Part Name],$A875,T_PlannedOrders[WeekIndex],81)=0,"",SUMIFS(T_PlannedOrders[EffectiveQty],T_PlannedOrders[Part Name],$A875,T_PlannedOrders[WeekIndex],81)&amp;" ("&amp;TEXT(SUMPRODUCT(MAX((T_PlannedOrders[Part Name]=$A875)*(T_PlannedOrders[WeekIndex]=81)*(T_PlannedOrders[EffectiveQty]&gt;0)*T_PlannedOrders[Order_Month])),"m月")&amp;"発注)")</f>
        <v/>
      </c>
      <c r="CG899">
        <f>IF(SUMIFS(T_PlannedOrders[EffectiveQty],T_PlannedOrders[Part Name],$A875,T_PlannedOrders[WeekIndex],82)=0,"",SUMIFS(T_PlannedOrders[EffectiveQty],T_PlannedOrders[Part Name],$A875,T_PlannedOrders[WeekIndex],82)&amp;" ("&amp;TEXT(SUMPRODUCT(MAX((T_PlannedOrders[Part Name]=$A875)*(T_PlannedOrders[WeekIndex]=82)*(T_PlannedOrders[EffectiveQty]&gt;0)*T_PlannedOrders[Order_Month])),"m月")&amp;"発注)")</f>
        <v/>
      </c>
      <c r="CH899">
        <f>IF(SUMIFS(T_PlannedOrders[EffectiveQty],T_PlannedOrders[Part Name],$A875,T_PlannedOrders[WeekIndex],83)=0,"",SUMIFS(T_PlannedOrders[EffectiveQty],T_PlannedOrders[Part Name],$A875,T_PlannedOrders[WeekIndex],83)&amp;" ("&amp;TEXT(SUMPRODUCT(MAX((T_PlannedOrders[Part Name]=$A875)*(T_PlannedOrders[WeekIndex]=83)*(T_PlannedOrders[EffectiveQty]&gt;0)*T_PlannedOrders[Order_Month])),"m月")&amp;"発注)")</f>
        <v/>
      </c>
      <c r="CI899">
        <f>IF(SUMIFS(T_PlannedOrders[EffectiveQty],T_PlannedOrders[Part Name],$A875,T_PlannedOrders[WeekIndex],84)=0,"",SUMIFS(T_PlannedOrders[EffectiveQty],T_PlannedOrders[Part Name],$A875,T_PlannedOrders[WeekIndex],84)&amp;" ("&amp;TEXT(SUMPRODUCT(MAX((T_PlannedOrders[Part Name]=$A875)*(T_PlannedOrders[WeekIndex]=84)*(T_PlannedOrders[EffectiveQty]&gt;0)*T_PlannedOrders[Order_Month])),"m月")&amp;"発注)")</f>
        <v/>
      </c>
      <c r="CJ899">
        <f>IF(SUMIFS(T_PlannedOrders[EffectiveQty],T_PlannedOrders[Part Name],$A875,T_PlannedOrders[WeekIndex],85)=0,"",SUMIFS(T_PlannedOrders[EffectiveQty],T_PlannedOrders[Part Name],$A875,T_PlannedOrders[WeekIndex],85)&amp;" ("&amp;TEXT(SUMPRODUCT(MAX((T_PlannedOrders[Part Name]=$A875)*(T_PlannedOrders[WeekIndex]=85)*(T_PlannedOrders[EffectiveQty]&gt;0)*T_PlannedOrders[Order_Month])),"m月")&amp;"発注)")</f>
        <v/>
      </c>
      <c r="CK899">
        <f>IF(SUMIFS(T_PlannedOrders[EffectiveQty],T_PlannedOrders[Part Name],$A875,T_PlannedOrders[WeekIndex],86)=0,"",SUMIFS(T_PlannedOrders[EffectiveQty],T_PlannedOrders[Part Name],$A875,T_PlannedOrders[WeekIndex],86)&amp;" ("&amp;TEXT(SUMPRODUCT(MAX((T_PlannedOrders[Part Name]=$A875)*(T_PlannedOrders[WeekIndex]=86)*(T_PlannedOrders[EffectiveQty]&gt;0)*T_PlannedOrders[Order_Month])),"m月")&amp;"発注)")</f>
        <v/>
      </c>
      <c r="CL899">
        <f>IF(SUMIFS(T_PlannedOrders[EffectiveQty],T_PlannedOrders[Part Name],$A875,T_PlannedOrders[WeekIndex],87)=0,"",SUMIFS(T_PlannedOrders[EffectiveQty],T_PlannedOrders[Part Name],$A875,T_PlannedOrders[WeekIndex],87)&amp;" ("&amp;TEXT(SUMPRODUCT(MAX((T_PlannedOrders[Part Name]=$A875)*(T_PlannedOrders[WeekIndex]=87)*(T_PlannedOrders[EffectiveQty]&gt;0)*T_PlannedOrders[Order_Month])),"m月")&amp;"発注)")</f>
        <v/>
      </c>
      <c r="CM899">
        <f>IF(SUMIFS(T_PlannedOrders[EffectiveQty],T_PlannedOrders[Part Name],$A875,T_PlannedOrders[WeekIndex],88)=0,"",SUMIFS(T_PlannedOrders[EffectiveQty],T_PlannedOrders[Part Name],$A875,T_PlannedOrders[WeekIndex],88)&amp;" ("&amp;TEXT(SUMPRODUCT(MAX((T_PlannedOrders[Part Name]=$A875)*(T_PlannedOrders[WeekIndex]=88)*(T_PlannedOrders[EffectiveQty]&gt;0)*T_PlannedOrders[Order_Month])),"m月")&amp;"発注)")</f>
        <v/>
      </c>
      <c r="CN899">
        <f>IF(SUMIFS(T_PlannedOrders[EffectiveQty],T_PlannedOrders[Part Name],$A875,T_PlannedOrders[WeekIndex],89)=0,"",SUMIFS(T_PlannedOrders[EffectiveQty],T_PlannedOrders[Part Name],$A875,T_PlannedOrders[WeekIndex],89)&amp;" ("&amp;TEXT(SUMPRODUCT(MAX((T_PlannedOrders[Part Name]=$A875)*(T_PlannedOrders[WeekIndex]=89)*(T_PlannedOrders[EffectiveQty]&gt;0)*T_PlannedOrders[Order_Month])),"m月")&amp;"発注)")</f>
        <v/>
      </c>
      <c r="CO899">
        <f>IF(SUMIFS(T_PlannedOrders[EffectiveQty],T_PlannedOrders[Part Name],$A875,T_PlannedOrders[WeekIndex],90)=0,"",SUMIFS(T_PlannedOrders[EffectiveQty],T_PlannedOrders[Part Name],$A875,T_PlannedOrders[WeekIndex],90)&amp;" ("&amp;TEXT(SUMPRODUCT(MAX((T_PlannedOrders[Part Name]=$A875)*(T_PlannedOrders[WeekIndex]=90)*(T_PlannedOrders[EffectiveQty]&gt;0)*T_PlannedOrders[Order_Month])),"m月")&amp;"発注)")</f>
        <v/>
      </c>
      <c r="CP899">
        <f>IF(SUMIFS(T_PlannedOrders[EffectiveQty],T_PlannedOrders[Part Name],$A875,T_PlannedOrders[WeekIndex],91)=0,"",SUMIFS(T_PlannedOrders[EffectiveQty],T_PlannedOrders[Part Name],$A875,T_PlannedOrders[WeekIndex],91)&amp;" ("&amp;TEXT(SUMPRODUCT(MAX((T_PlannedOrders[Part Name]=$A875)*(T_PlannedOrders[WeekIndex]=91)*(T_PlannedOrders[EffectiveQty]&gt;0)*T_PlannedOrders[Order_Month])),"m月")&amp;"発注)")</f>
        <v/>
      </c>
      <c r="CQ899">
        <f>IF(SUMIFS(T_PlannedOrders[EffectiveQty],T_PlannedOrders[Part Name],$A875,T_PlannedOrders[WeekIndex],92)=0,"",SUMIFS(T_PlannedOrders[EffectiveQty],T_PlannedOrders[Part Name],$A875,T_PlannedOrders[WeekIndex],92)&amp;" ("&amp;TEXT(SUMPRODUCT(MAX((T_PlannedOrders[Part Name]=$A875)*(T_PlannedOrders[WeekIndex]=92)*(T_PlannedOrders[EffectiveQty]&gt;0)*T_PlannedOrders[Order_Month])),"m月")&amp;"発注)")</f>
        <v/>
      </c>
      <c r="CR899">
        <f>IF(SUMIFS(T_PlannedOrders[EffectiveQty],T_PlannedOrders[Part Name],$A875,T_PlannedOrders[WeekIndex],93)=0,"",SUMIFS(T_PlannedOrders[EffectiveQty],T_PlannedOrders[Part Name],$A875,T_PlannedOrders[WeekIndex],93)&amp;" ("&amp;TEXT(SUMPRODUCT(MAX((T_PlannedOrders[Part Name]=$A875)*(T_PlannedOrders[WeekIndex]=93)*(T_PlannedOrders[EffectiveQty]&gt;0)*T_PlannedOrders[Order_Month])),"m月")&amp;"発注)")</f>
        <v/>
      </c>
      <c r="CS899">
        <f>IF(SUMIFS(T_PlannedOrders[EffectiveQty],T_PlannedOrders[Part Name],$A875,T_PlannedOrders[WeekIndex],94)=0,"",SUMIFS(T_PlannedOrders[EffectiveQty],T_PlannedOrders[Part Name],$A875,T_PlannedOrders[WeekIndex],94)&amp;" ("&amp;TEXT(SUMPRODUCT(MAX((T_PlannedOrders[Part Name]=$A875)*(T_PlannedOrders[WeekIndex]=94)*(T_PlannedOrders[EffectiveQty]&gt;0)*T_PlannedOrders[Order_Month])),"m月")&amp;"発注)")</f>
        <v/>
      </c>
      <c r="CT899">
        <f>IF(SUMIFS(T_PlannedOrders[EffectiveQty],T_PlannedOrders[Part Name],$A875,T_PlannedOrders[WeekIndex],95)=0,"",SUMIFS(T_PlannedOrders[EffectiveQty],T_PlannedOrders[Part Name],$A875,T_PlannedOrders[WeekIndex],95)&amp;" ("&amp;TEXT(SUMPRODUCT(MAX((T_PlannedOrders[Part Name]=$A875)*(T_PlannedOrders[WeekIndex]=95)*(T_PlannedOrders[EffectiveQty]&gt;0)*T_PlannedOrders[Order_Month])),"m月")&amp;"発注)")</f>
        <v/>
      </c>
      <c r="CU899">
        <f>IF(SUMIFS(T_PlannedOrders[EffectiveQty],T_PlannedOrders[Part Name],$A875,T_PlannedOrders[WeekIndex],96)=0,"",SUMIFS(T_PlannedOrders[EffectiveQty],T_PlannedOrders[Part Name],$A875,T_PlannedOrders[WeekIndex],96)&amp;" ("&amp;TEXT(SUMPRODUCT(MAX((T_PlannedOrders[Part Name]=$A875)*(T_PlannedOrders[WeekIndex]=96)*(T_PlannedOrders[EffectiveQty]&gt;0)*T_PlannedOrders[Order_Month])),"m月")&amp;"発注)")</f>
        <v/>
      </c>
      <c r="CV899">
        <f>IF(SUMIFS(T_PlannedOrders[EffectiveQty],T_PlannedOrders[Part Name],$A875,T_PlannedOrders[WeekIndex],97)=0,"",SUMIFS(T_PlannedOrders[EffectiveQty],T_PlannedOrders[Part Name],$A875,T_PlannedOrders[WeekIndex],97)&amp;" ("&amp;TEXT(SUMPRODUCT(MAX((T_PlannedOrders[Part Name]=$A875)*(T_PlannedOrders[WeekIndex]=97)*(T_PlannedOrders[EffectiveQty]&gt;0)*T_PlannedOrders[Order_Month])),"m月")&amp;"発注)")</f>
        <v/>
      </c>
      <c r="CW899">
        <f>IF(SUMIFS(T_PlannedOrders[EffectiveQty],T_PlannedOrders[Part Name],$A875,T_PlannedOrders[WeekIndex],98)=0,"",SUMIFS(T_PlannedOrders[EffectiveQty],T_PlannedOrders[Part Name],$A875,T_PlannedOrders[WeekIndex],98)&amp;" ("&amp;TEXT(SUMPRODUCT(MAX((T_PlannedOrders[Part Name]=$A875)*(T_PlannedOrders[WeekIndex]=98)*(T_PlannedOrders[EffectiveQty]&gt;0)*T_PlannedOrders[Order_Month])),"m月")&amp;"発注)")</f>
        <v/>
      </c>
      <c r="CX899">
        <f>IF(SUMIFS(T_PlannedOrders[EffectiveQty],T_PlannedOrders[Part Name],$A875,T_PlannedOrders[WeekIndex],99)=0,"",SUMIFS(T_PlannedOrders[EffectiveQty],T_PlannedOrders[Part Name],$A875,T_PlannedOrders[WeekIndex],99)&amp;" ("&amp;TEXT(SUMPRODUCT(MAX((T_PlannedOrders[Part Name]=$A875)*(T_PlannedOrders[WeekIndex]=99)*(T_PlannedOrders[EffectiveQty]&gt;0)*T_PlannedOrders[Order_Month])),"m月")&amp;"発注)")</f>
        <v/>
      </c>
      <c r="CY899">
        <f>IF(SUMIFS(T_PlannedOrders[EffectiveQty],T_PlannedOrders[Part Name],$A875,T_PlannedOrders[WeekIndex],100)=0,"",SUMIFS(T_PlannedOrders[EffectiveQty],T_PlannedOrders[Part Name],$A875,T_PlannedOrders[WeekIndex],100)&amp;" ("&amp;TEXT(SUMPRODUCT(MAX((T_PlannedOrders[Part Name]=$A875)*(T_PlannedOrders[WeekIndex]=100)*(T_PlannedOrders[EffectiveQty]&gt;0)*T_PlannedOrders[Order_Month])),"m月")&amp;"発注)")</f>
        <v/>
      </c>
      <c r="CZ899">
        <f>IF(SUMIFS(T_PlannedOrders[EffectiveQty],T_PlannedOrders[Part Name],$A875,T_PlannedOrders[WeekIndex],101)=0,"",SUMIFS(T_PlannedOrders[EffectiveQty],T_PlannedOrders[Part Name],$A875,T_PlannedOrders[WeekIndex],101)&amp;" ("&amp;TEXT(SUMPRODUCT(MAX((T_PlannedOrders[Part Name]=$A875)*(T_PlannedOrders[WeekIndex]=101)*(T_PlannedOrders[EffectiveQty]&gt;0)*T_PlannedOrders[Order_Month])),"m月")&amp;"発注)")</f>
        <v/>
      </c>
      <c r="DA899">
        <f>IF(SUMIFS(T_PlannedOrders[EffectiveQty],T_PlannedOrders[Part Name],$A875,T_PlannedOrders[WeekIndex],102)=0,"",SUMIFS(T_PlannedOrders[EffectiveQty],T_PlannedOrders[Part Name],$A875,T_PlannedOrders[WeekIndex],102)&amp;" ("&amp;TEXT(SUMPRODUCT(MAX((T_PlannedOrders[Part Name]=$A875)*(T_PlannedOrders[WeekIndex]=102)*(T_PlannedOrders[EffectiveQty]&gt;0)*T_PlannedOrders[Order_Month])),"m月")&amp;"発注)")</f>
        <v/>
      </c>
      <c r="DB899">
        <f>IF(SUMIFS(T_PlannedOrders[EffectiveQty],T_PlannedOrders[Part Name],$A875,T_PlannedOrders[WeekIndex],103)=0,"",SUMIFS(T_PlannedOrders[EffectiveQty],T_PlannedOrders[Part Name],$A875,T_PlannedOrders[WeekIndex],103)&amp;" ("&amp;TEXT(SUMPRODUCT(MAX((T_PlannedOrders[Part Name]=$A875)*(T_PlannedOrders[WeekIndex]=103)*(T_PlannedOrders[EffectiveQty]&gt;0)*T_PlannedOrders[Order_Month])),"m月")&amp;"発注)")</f>
        <v/>
      </c>
      <c r="DC899">
        <f>IF(SUMIFS(T_PlannedOrders[EffectiveQty],T_PlannedOrders[Part Name],$A875,T_PlannedOrders[WeekIndex],104)=0,"",SUMIFS(T_PlannedOrders[EffectiveQty],T_PlannedOrders[Part Name],$A875,T_PlannedOrders[WeekIndex],104)&amp;" ("&amp;TEXT(SUMPRODUCT(MAX((T_PlannedOrders[Part Name]=$A875)*(T_PlannedOrders[WeekIndex]=104)*(T_PlannedOrders[EffectiveQty]&gt;0)*T_PlannedOrders[Order_Month])),"m月")&amp;"発注)")</f>
        <v/>
      </c>
    </row>
    <row r="900">
      <c r="B900" s="5" t="inlineStr">
        <is>
          <t>合計在庫(週末時点,kg)</t>
        </is>
      </c>
      <c r="D900">
        <f>'Grid_Stock'!B28</f>
        <v/>
      </c>
      <c r="E900">
        <f>'Grid_Stock'!C28</f>
        <v/>
      </c>
      <c r="F900">
        <f>'Grid_Stock'!D28</f>
        <v/>
      </c>
      <c r="G900">
        <f>'Grid_Stock'!E28</f>
        <v/>
      </c>
      <c r="H900">
        <f>'Grid_Stock'!F28</f>
        <v/>
      </c>
      <c r="I900">
        <f>'Grid_Stock'!G28</f>
        <v/>
      </c>
      <c r="J900">
        <f>'Grid_Stock'!H28</f>
        <v/>
      </c>
      <c r="K900">
        <f>'Grid_Stock'!I28</f>
        <v/>
      </c>
      <c r="L900">
        <f>'Grid_Stock'!J28</f>
        <v/>
      </c>
      <c r="M900">
        <f>'Grid_Stock'!K28</f>
        <v/>
      </c>
      <c r="N900">
        <f>'Grid_Stock'!L28</f>
        <v/>
      </c>
      <c r="O900">
        <f>'Grid_Stock'!M28</f>
        <v/>
      </c>
      <c r="P900">
        <f>'Grid_Stock'!N28</f>
        <v/>
      </c>
      <c r="Q900">
        <f>'Grid_Stock'!O28</f>
        <v/>
      </c>
      <c r="R900">
        <f>'Grid_Stock'!P28</f>
        <v/>
      </c>
      <c r="S900">
        <f>'Grid_Stock'!Q28</f>
        <v/>
      </c>
      <c r="T900">
        <f>'Grid_Stock'!R28</f>
        <v/>
      </c>
      <c r="U900">
        <f>'Grid_Stock'!S28</f>
        <v/>
      </c>
      <c r="V900">
        <f>'Grid_Stock'!T28</f>
        <v/>
      </c>
      <c r="W900">
        <f>'Grid_Stock'!U28</f>
        <v/>
      </c>
      <c r="X900">
        <f>'Grid_Stock'!V28</f>
        <v/>
      </c>
      <c r="Y900">
        <f>'Grid_Stock'!W28</f>
        <v/>
      </c>
      <c r="Z900">
        <f>'Grid_Stock'!X28</f>
        <v/>
      </c>
      <c r="AA900">
        <f>'Grid_Stock'!Y28</f>
        <v/>
      </c>
      <c r="AB900">
        <f>'Grid_Stock'!Z28</f>
        <v/>
      </c>
      <c r="AC900">
        <f>'Grid_Stock'!AA28</f>
        <v/>
      </c>
      <c r="AD900">
        <f>'Grid_Stock'!AB28</f>
        <v/>
      </c>
      <c r="AE900">
        <f>'Grid_Stock'!AC28</f>
        <v/>
      </c>
      <c r="AF900">
        <f>'Grid_Stock'!AD28</f>
        <v/>
      </c>
      <c r="AG900">
        <f>'Grid_Stock'!AE28</f>
        <v/>
      </c>
      <c r="AH900">
        <f>'Grid_Stock'!AF28</f>
        <v/>
      </c>
      <c r="AI900">
        <f>'Grid_Stock'!AG28</f>
        <v/>
      </c>
      <c r="AJ900">
        <f>'Grid_Stock'!AH28</f>
        <v/>
      </c>
      <c r="AK900">
        <f>'Grid_Stock'!AI28</f>
        <v/>
      </c>
      <c r="AL900">
        <f>'Grid_Stock'!AJ28</f>
        <v/>
      </c>
      <c r="AM900">
        <f>'Grid_Stock'!AK28</f>
        <v/>
      </c>
      <c r="AN900">
        <f>'Grid_Stock'!AL28</f>
        <v/>
      </c>
      <c r="AO900">
        <f>'Grid_Stock'!AM28</f>
        <v/>
      </c>
      <c r="AP900">
        <f>'Grid_Stock'!AN28</f>
        <v/>
      </c>
      <c r="AQ900">
        <f>'Grid_Stock'!AO28</f>
        <v/>
      </c>
      <c r="AR900">
        <f>'Grid_Stock'!AP28</f>
        <v/>
      </c>
      <c r="AS900">
        <f>'Grid_Stock'!AQ28</f>
        <v/>
      </c>
      <c r="AT900">
        <f>'Grid_Stock'!AR28</f>
        <v/>
      </c>
      <c r="AU900">
        <f>'Grid_Stock'!AS28</f>
        <v/>
      </c>
      <c r="AV900">
        <f>'Grid_Stock'!AT28</f>
        <v/>
      </c>
      <c r="AW900">
        <f>'Grid_Stock'!AU28</f>
        <v/>
      </c>
      <c r="AX900">
        <f>'Grid_Stock'!AV28</f>
        <v/>
      </c>
      <c r="AY900">
        <f>'Grid_Stock'!AW28</f>
        <v/>
      </c>
      <c r="AZ900">
        <f>'Grid_Stock'!AX28</f>
        <v/>
      </c>
      <c r="BA900">
        <f>'Grid_Stock'!AY28</f>
        <v/>
      </c>
      <c r="BB900">
        <f>'Grid_Stock'!AZ28</f>
        <v/>
      </c>
      <c r="BC900">
        <f>'Grid_Stock'!BA28</f>
        <v/>
      </c>
      <c r="BD900">
        <f>'Grid_Stock'!BB28</f>
        <v/>
      </c>
      <c r="BE900">
        <f>'Grid_Stock'!BC28</f>
        <v/>
      </c>
      <c r="BF900">
        <f>'Grid_Stock'!BD28</f>
        <v/>
      </c>
      <c r="BG900">
        <f>'Grid_Stock'!BE28</f>
        <v/>
      </c>
      <c r="BH900">
        <f>'Grid_Stock'!BF28</f>
        <v/>
      </c>
      <c r="BI900">
        <f>'Grid_Stock'!BG28</f>
        <v/>
      </c>
      <c r="BJ900">
        <f>'Grid_Stock'!BH28</f>
        <v/>
      </c>
      <c r="BK900">
        <f>'Grid_Stock'!BI28</f>
        <v/>
      </c>
      <c r="BL900">
        <f>'Grid_Stock'!BJ28</f>
        <v/>
      </c>
      <c r="BM900">
        <f>'Grid_Stock'!BK28</f>
        <v/>
      </c>
      <c r="BN900">
        <f>'Grid_Stock'!BL28</f>
        <v/>
      </c>
      <c r="BO900">
        <f>'Grid_Stock'!BM28</f>
        <v/>
      </c>
      <c r="BP900">
        <f>'Grid_Stock'!BN28</f>
        <v/>
      </c>
      <c r="BQ900">
        <f>'Grid_Stock'!BO28</f>
        <v/>
      </c>
      <c r="BR900">
        <f>'Grid_Stock'!BP28</f>
        <v/>
      </c>
      <c r="BS900">
        <f>'Grid_Stock'!BQ28</f>
        <v/>
      </c>
      <c r="BT900">
        <f>'Grid_Stock'!BR28</f>
        <v/>
      </c>
      <c r="BU900">
        <f>'Grid_Stock'!BS28</f>
        <v/>
      </c>
      <c r="BV900">
        <f>'Grid_Stock'!BT28</f>
        <v/>
      </c>
      <c r="BW900">
        <f>'Grid_Stock'!BU28</f>
        <v/>
      </c>
      <c r="BX900">
        <f>'Grid_Stock'!BV28</f>
        <v/>
      </c>
      <c r="BY900">
        <f>'Grid_Stock'!BW28</f>
        <v/>
      </c>
      <c r="BZ900">
        <f>'Grid_Stock'!BX28</f>
        <v/>
      </c>
      <c r="CA900">
        <f>'Grid_Stock'!BY28</f>
        <v/>
      </c>
      <c r="CB900">
        <f>'Grid_Stock'!BZ28</f>
        <v/>
      </c>
      <c r="CC900">
        <f>'Grid_Stock'!CA28</f>
        <v/>
      </c>
      <c r="CD900">
        <f>'Grid_Stock'!CB28</f>
        <v/>
      </c>
      <c r="CE900">
        <f>'Grid_Stock'!CC28</f>
        <v/>
      </c>
      <c r="CF900">
        <f>'Grid_Stock'!CD28</f>
        <v/>
      </c>
      <c r="CG900">
        <f>'Grid_Stock'!CE28</f>
        <v/>
      </c>
      <c r="CH900">
        <f>'Grid_Stock'!CF28</f>
        <v/>
      </c>
      <c r="CI900">
        <f>'Grid_Stock'!CG28</f>
        <v/>
      </c>
      <c r="CJ900">
        <f>'Grid_Stock'!CH28</f>
        <v/>
      </c>
      <c r="CK900">
        <f>'Grid_Stock'!CI28</f>
        <v/>
      </c>
      <c r="CL900">
        <f>'Grid_Stock'!CJ28</f>
        <v/>
      </c>
      <c r="CM900">
        <f>'Grid_Stock'!CK28</f>
        <v/>
      </c>
      <c r="CN900">
        <f>'Grid_Stock'!CL28</f>
        <v/>
      </c>
      <c r="CO900">
        <f>'Grid_Stock'!CM28</f>
        <v/>
      </c>
      <c r="CP900">
        <f>'Grid_Stock'!CN28</f>
        <v/>
      </c>
      <c r="CQ900">
        <f>'Grid_Stock'!CO28</f>
        <v/>
      </c>
      <c r="CR900">
        <f>'Grid_Stock'!CP28</f>
        <v/>
      </c>
      <c r="CS900">
        <f>'Grid_Stock'!CQ28</f>
        <v/>
      </c>
      <c r="CT900">
        <f>'Grid_Stock'!CR28</f>
        <v/>
      </c>
      <c r="CU900">
        <f>'Grid_Stock'!CS28</f>
        <v/>
      </c>
      <c r="CV900">
        <f>'Grid_Stock'!CT28</f>
        <v/>
      </c>
      <c r="CW900">
        <f>'Grid_Stock'!CU28</f>
        <v/>
      </c>
      <c r="CX900">
        <f>'Grid_Stock'!CV28</f>
        <v/>
      </c>
      <c r="CY900">
        <f>'Grid_Stock'!CW28</f>
        <v/>
      </c>
      <c r="CZ900">
        <f>'Grid_Stock'!CX28</f>
        <v/>
      </c>
      <c r="DA900">
        <f>'Grid_Stock'!CY28</f>
        <v/>
      </c>
      <c r="DB900">
        <f>'Grid_Stock'!CZ28</f>
        <v/>
      </c>
      <c r="DC900">
        <f>'Grid_Stock'!DA28</f>
        <v/>
      </c>
    </row>
    <row r="901">
      <c r="B901" s="23" t="inlineStr">
        <is>
          <t>（発注の目安はDashboardの基準在庫[下限/上限]と色分けを参照）</t>
        </is>
      </c>
    </row>
    <row r="903">
      <c r="A903" s="21" t="inlineStr">
        <is>
          <t>CHEM-1650</t>
        </is>
      </c>
      <c r="B903" s="21" t="inlineStr">
        <is>
          <t>Duasyn Acid Blue</t>
        </is>
      </c>
      <c r="C903" s="22" t="n"/>
      <c r="D903" s="21" t="n"/>
      <c r="E903" s="21" t="n"/>
      <c r="F903" s="21" t="n"/>
      <c r="G903" s="21" t="n"/>
      <c r="H903" s="21" t="n"/>
      <c r="I903" s="21" t="n"/>
      <c r="J903" s="21" t="n"/>
      <c r="K903" s="21" t="n"/>
      <c r="L903" s="21" t="n"/>
      <c r="M903" s="21" t="n"/>
      <c r="N903" s="21" t="n"/>
      <c r="O903" s="21" t="n"/>
      <c r="P903" s="21" t="n"/>
      <c r="Q903" s="21" t="n"/>
      <c r="R903" s="21" t="n"/>
      <c r="S903" s="21" t="n"/>
      <c r="T903" s="21" t="n"/>
      <c r="U903" s="21" t="n"/>
      <c r="V903" s="21" t="n"/>
      <c r="W903" s="21" t="n"/>
      <c r="X903" s="21" t="n"/>
      <c r="Y903" s="21" t="n"/>
      <c r="Z903" s="21" t="n"/>
      <c r="AA903" s="21" t="n"/>
      <c r="AB903" s="21" t="n"/>
      <c r="AC903" s="21" t="n"/>
      <c r="AD903" s="21" t="n"/>
      <c r="AE903" s="21" t="n"/>
      <c r="AF903" s="21" t="n"/>
      <c r="AG903" s="21" t="n"/>
      <c r="AH903" s="21" t="n"/>
      <c r="AI903" s="21" t="n"/>
      <c r="AJ903" s="21" t="n"/>
      <c r="AK903" s="21" t="n"/>
      <c r="AL903" s="21" t="n"/>
      <c r="AM903" s="21" t="n"/>
      <c r="AN903" s="21" t="n"/>
      <c r="AO903" s="21" t="n"/>
      <c r="AP903" s="21" t="n"/>
      <c r="AQ903" s="21" t="n"/>
      <c r="AR903" s="21" t="n"/>
      <c r="AS903" s="21" t="n"/>
      <c r="AT903" s="21" t="n"/>
      <c r="AU903" s="21" t="n"/>
      <c r="AV903" s="21" t="n"/>
      <c r="AW903" s="21" t="n"/>
      <c r="AX903" s="21" t="n"/>
      <c r="AY903" s="21" t="n"/>
      <c r="AZ903" s="21" t="n"/>
      <c r="BA903" s="21" t="n"/>
      <c r="BB903" s="21" t="n"/>
      <c r="BC903" s="21" t="n"/>
      <c r="BD903" s="21" t="n"/>
      <c r="BE903" s="21" t="n"/>
      <c r="BF903" s="21" t="n"/>
      <c r="BG903" s="21" t="n"/>
      <c r="BH903" s="21" t="n"/>
      <c r="BI903" s="21" t="n"/>
      <c r="BJ903" s="21" t="n"/>
      <c r="BK903" s="21" t="n"/>
      <c r="BL903" s="21" t="n"/>
      <c r="BM903" s="21" t="n"/>
      <c r="BN903" s="21" t="n"/>
      <c r="BO903" s="21" t="n"/>
      <c r="BP903" s="21" t="n"/>
      <c r="BQ903" s="21" t="n"/>
      <c r="BR903" s="21" t="n"/>
      <c r="BS903" s="21" t="n"/>
      <c r="BT903" s="21" t="n"/>
      <c r="BU903" s="21" t="n"/>
      <c r="BV903" s="21" t="n"/>
      <c r="BW903" s="21" t="n"/>
      <c r="BX903" s="21" t="n"/>
      <c r="BY903" s="21" t="n"/>
      <c r="BZ903" s="21" t="n"/>
      <c r="CA903" s="21" t="n"/>
      <c r="CB903" s="21" t="n"/>
      <c r="CC903" s="21" t="n"/>
      <c r="CD903" s="21" t="n"/>
      <c r="CE903" s="21" t="n"/>
      <c r="CF903" s="21" t="n"/>
      <c r="CG903" s="21" t="n"/>
      <c r="CH903" s="21" t="n"/>
      <c r="CI903" s="21" t="n"/>
      <c r="CJ903" s="21" t="n"/>
      <c r="CK903" s="21" t="n"/>
      <c r="CL903" s="21" t="n"/>
      <c r="CM903" s="21" t="n"/>
      <c r="CN903" s="21" t="n"/>
      <c r="CO903" s="21" t="n"/>
      <c r="CP903" s="21" t="n"/>
      <c r="CQ903" s="21" t="n"/>
      <c r="CR903" s="21" t="n"/>
      <c r="CS903" s="21" t="n"/>
      <c r="CT903" s="21" t="n"/>
      <c r="CU903" s="21" t="n"/>
      <c r="CV903" s="21" t="n"/>
      <c r="CW903" s="21" t="n"/>
      <c r="CX903" s="21" t="n"/>
      <c r="CY903" s="21" t="n"/>
      <c r="CZ903" s="21" t="n"/>
      <c r="DA903" s="21" t="n"/>
      <c r="DB903" s="21" t="n"/>
      <c r="DC903" s="21" t="n"/>
    </row>
    <row r="904">
      <c r="B904" t="inlineStr">
        <is>
          <t>TSP-1388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12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Name],$A903)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TSP-402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12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Name],$A903)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TSP-403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12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Name],$A903)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TSP-404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Name],$A903)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TSP-405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Name],$A903)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TSP-620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Name],$A903)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TSP-623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Name],$A903)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t="inlineStr">
        <is>
          <t>TSP-655</t>
        </is>
      </c>
      <c r="C918" t="inlineStr">
        <is>
          <t>No. of batches</t>
        </is>
      </c>
      <c r="D918">
        <f>IFERROR(INDEX(PP_Grid[#Data],$DD918,2),0)</f>
        <v/>
      </c>
      <c r="E918">
        <f>IFERROR(INDEX(PP_Grid[#Data],$DD918,3),0)</f>
        <v/>
      </c>
      <c r="F918">
        <f>IFERROR(INDEX(PP_Grid[#Data],$DD918,4),0)</f>
        <v/>
      </c>
      <c r="G918">
        <f>IFERROR(INDEX(PP_Grid[#Data],$DD918,5),0)</f>
        <v/>
      </c>
      <c r="H918">
        <f>IFERROR(INDEX(PP_Grid[#Data],$DD918,6),0)</f>
        <v/>
      </c>
      <c r="I918">
        <f>IFERROR(INDEX(PP_Grid[#Data],$DD918,7),0)</f>
        <v/>
      </c>
      <c r="J918">
        <f>IFERROR(INDEX(PP_Grid[#Data],$DD918,8),0)</f>
        <v/>
      </c>
      <c r="K918">
        <f>IFERROR(INDEX(PP_Grid[#Data],$DD918,9),0)</f>
        <v/>
      </c>
      <c r="L918">
        <f>IFERROR(INDEX(PP_Grid[#Data],$DD918,10),0)</f>
        <v/>
      </c>
      <c r="M918">
        <f>IFERROR(INDEX(PP_Grid[#Data],$DD918,11),0)</f>
        <v/>
      </c>
      <c r="N918">
        <f>IFERROR(INDEX(PP_Grid[#Data],$DD918,12),0)</f>
        <v/>
      </c>
      <c r="O918">
        <f>IFERROR(INDEX(PP_Grid[#Data],$DD918,13),0)</f>
        <v/>
      </c>
      <c r="P918">
        <f>IFERROR(INDEX(PP_Grid[#Data],$DD918,14),0)</f>
        <v/>
      </c>
      <c r="Q918">
        <f>IFERROR(INDEX(PP_Grid[#Data],$DD918,15),0)</f>
        <v/>
      </c>
      <c r="R918">
        <f>IFERROR(INDEX(PP_Grid[#Data],$DD918,16),0)</f>
        <v/>
      </c>
      <c r="S918">
        <f>IFERROR(INDEX(PP_Grid[#Data],$DD918,17),0)</f>
        <v/>
      </c>
      <c r="T918">
        <f>IFERROR(INDEX(PP_Grid[#Data],$DD918,18),0)</f>
        <v/>
      </c>
      <c r="U918">
        <f>IFERROR(INDEX(PP_Grid[#Data],$DD918,19),0)</f>
        <v/>
      </c>
      <c r="V918">
        <f>IFERROR(INDEX(PP_Grid[#Data],$DD918,20),0)</f>
        <v/>
      </c>
      <c r="W918">
        <f>IFERROR(INDEX(PP_Grid[#Data],$DD918,21),0)</f>
        <v/>
      </c>
      <c r="X918">
        <f>IFERROR(INDEX(PP_Grid[#Data],$DD918,22),0)</f>
        <v/>
      </c>
      <c r="Y918">
        <f>IFERROR(INDEX(PP_Grid[#Data],$DD918,23),0)</f>
        <v/>
      </c>
      <c r="Z918">
        <f>IFERROR(INDEX(PP_Grid[#Data],$DD918,24),0)</f>
        <v/>
      </c>
      <c r="AA918">
        <f>IFERROR(INDEX(PP_Grid[#Data],$DD918,25),0)</f>
        <v/>
      </c>
      <c r="AB918">
        <f>IFERROR(INDEX(PP_Grid[#Data],$DD918,26),0)</f>
        <v/>
      </c>
      <c r="AC918">
        <f>IFERROR(INDEX(PP_Grid[#Data],$DD918,27),0)</f>
        <v/>
      </c>
      <c r="AD918">
        <f>IFERROR(INDEX(PP_Grid[#Data],$DD918,28),0)</f>
        <v/>
      </c>
      <c r="AE918">
        <f>IFERROR(INDEX(PP_Grid[#Data],$DD918,29),0)</f>
        <v/>
      </c>
      <c r="AF918">
        <f>IFERROR(INDEX(PP_Grid[#Data],$DD918,30),0)</f>
        <v/>
      </c>
      <c r="AG918">
        <f>IFERROR(INDEX(PP_Grid[#Data],$DD918,31),0)</f>
        <v/>
      </c>
      <c r="AH918">
        <f>IFERROR(INDEX(PP_Grid[#Data],$DD918,32),0)</f>
        <v/>
      </c>
      <c r="AI918">
        <f>IFERROR(INDEX(PP_Grid[#Data],$DD918,33),0)</f>
        <v/>
      </c>
      <c r="AJ918">
        <f>IFERROR(INDEX(PP_Grid[#Data],$DD918,34),0)</f>
        <v/>
      </c>
      <c r="AK918">
        <f>IFERROR(INDEX(PP_Grid[#Data],$DD918,35),0)</f>
        <v/>
      </c>
      <c r="AL918">
        <f>IFERROR(INDEX(PP_Grid[#Data],$DD918,36),0)</f>
        <v/>
      </c>
      <c r="AM918">
        <f>IFERROR(INDEX(PP_Grid[#Data],$DD918,37),0)</f>
        <v/>
      </c>
      <c r="AN918">
        <f>IFERROR(INDEX(PP_Grid[#Data],$DD918,38),0)</f>
        <v/>
      </c>
      <c r="AO918">
        <f>IFERROR(INDEX(PP_Grid[#Data],$DD918,39),0)</f>
        <v/>
      </c>
      <c r="AP918">
        <f>IFERROR(INDEX(PP_Grid[#Data],$DD918,40),0)</f>
        <v/>
      </c>
      <c r="AQ918">
        <f>IFERROR(INDEX(PP_Grid[#Data],$DD918,41),0)</f>
        <v/>
      </c>
      <c r="AR918">
        <f>IFERROR(INDEX(PP_Grid[#Data],$DD918,42),0)</f>
        <v/>
      </c>
      <c r="AS918">
        <f>IFERROR(INDEX(PP_Grid[#Data],$DD918,43),0)</f>
        <v/>
      </c>
      <c r="AT918">
        <f>IFERROR(INDEX(PP_Grid[#Data],$DD918,44),0)</f>
        <v/>
      </c>
      <c r="AU918">
        <f>IFERROR(INDEX(PP_Grid[#Data],$DD918,45),0)</f>
        <v/>
      </c>
      <c r="AV918">
        <f>IFERROR(INDEX(PP_Grid[#Data],$DD918,46),0)</f>
        <v/>
      </c>
      <c r="AW918">
        <f>IFERROR(INDEX(PP_Grid[#Data],$DD918,47),0)</f>
        <v/>
      </c>
      <c r="AX918">
        <f>IFERROR(INDEX(PP_Grid[#Data],$DD918,48),0)</f>
        <v/>
      </c>
      <c r="AY918">
        <f>IFERROR(INDEX(PP_Grid[#Data],$DD918,49),0)</f>
        <v/>
      </c>
      <c r="AZ918">
        <f>IFERROR(INDEX(PP_Grid[#Data],$DD918,50),0)</f>
        <v/>
      </c>
      <c r="BA918">
        <f>IFERROR(INDEX(PP_Grid[#Data],$DD918,51),0)</f>
        <v/>
      </c>
      <c r="BB918">
        <f>IFERROR(INDEX(PP_Grid[#Data],$DD918,52),0)</f>
        <v/>
      </c>
      <c r="BC918">
        <f>IFERROR(INDEX(PP_Grid[#Data],$DD918,53),0)</f>
        <v/>
      </c>
      <c r="BD918">
        <f>IFERROR(INDEX(PP_Grid[#Data],$DD918,54),0)</f>
        <v/>
      </c>
      <c r="BE918">
        <f>IFERROR(INDEX(PP_Grid[#Data],$DD918,55),0)</f>
        <v/>
      </c>
      <c r="BF918">
        <f>IFERROR(INDEX(PP_Grid[#Data],$DD918,56),0)</f>
        <v/>
      </c>
      <c r="BG918">
        <f>IFERROR(INDEX(PP_Grid[#Data],$DD918,57),0)</f>
        <v/>
      </c>
      <c r="BH918">
        <f>IFERROR(INDEX(PP_Grid[#Data],$DD918,58),0)</f>
        <v/>
      </c>
      <c r="BI918">
        <f>IFERROR(INDEX(PP_Grid[#Data],$DD918,59),0)</f>
        <v/>
      </c>
      <c r="BJ918">
        <f>IFERROR(INDEX(PP_Grid[#Data],$DD918,60),0)</f>
        <v/>
      </c>
      <c r="BK918">
        <f>IFERROR(INDEX(PP_Grid[#Data],$DD918,61),0)</f>
        <v/>
      </c>
      <c r="BL918">
        <f>IFERROR(INDEX(PP_Grid[#Data],$DD918,62),0)</f>
        <v/>
      </c>
      <c r="BM918">
        <f>IFERROR(INDEX(PP_Grid[#Data],$DD918,63),0)</f>
        <v/>
      </c>
      <c r="BN918">
        <f>IFERROR(INDEX(PP_Grid[#Data],$DD918,64),0)</f>
        <v/>
      </c>
      <c r="BO918">
        <f>IFERROR(INDEX(PP_Grid[#Data],$DD918,65),0)</f>
        <v/>
      </c>
      <c r="BP918">
        <f>IFERROR(INDEX(PP_Grid[#Data],$DD918,66),0)</f>
        <v/>
      </c>
      <c r="BQ918">
        <f>IFERROR(INDEX(PP_Grid[#Data],$DD918,67),0)</f>
        <v/>
      </c>
      <c r="BR918">
        <f>IFERROR(INDEX(PP_Grid[#Data],$DD918,68),0)</f>
        <v/>
      </c>
      <c r="BS918">
        <f>IFERROR(INDEX(PP_Grid[#Data],$DD918,69),0)</f>
        <v/>
      </c>
      <c r="BT918">
        <f>IFERROR(INDEX(PP_Grid[#Data],$DD918,70),0)</f>
        <v/>
      </c>
      <c r="BU918">
        <f>IFERROR(INDEX(PP_Grid[#Data],$DD918,71),0)</f>
        <v/>
      </c>
      <c r="BV918">
        <f>IFERROR(INDEX(PP_Grid[#Data],$DD918,72),0)</f>
        <v/>
      </c>
      <c r="BW918">
        <f>IFERROR(INDEX(PP_Grid[#Data],$DD918,73),0)</f>
        <v/>
      </c>
      <c r="BX918">
        <f>IFERROR(INDEX(PP_Grid[#Data],$DD918,74),0)</f>
        <v/>
      </c>
      <c r="BY918">
        <f>IFERROR(INDEX(PP_Grid[#Data],$DD918,75),0)</f>
        <v/>
      </c>
      <c r="BZ918">
        <f>IFERROR(INDEX(PP_Grid[#Data],$DD918,76),0)</f>
        <v/>
      </c>
      <c r="CA918">
        <f>IFERROR(INDEX(PP_Grid[#Data],$DD918,77),0)</f>
        <v/>
      </c>
      <c r="CB918">
        <f>IFERROR(INDEX(PP_Grid[#Data],$DD918,78),0)</f>
        <v/>
      </c>
      <c r="CC918">
        <f>IFERROR(INDEX(PP_Grid[#Data],$DD918,79),0)</f>
        <v/>
      </c>
      <c r="CD918">
        <f>IFERROR(INDEX(PP_Grid[#Data],$DD918,80),0)</f>
        <v/>
      </c>
      <c r="CE918">
        <f>IFERROR(INDEX(PP_Grid[#Data],$DD918,81),0)</f>
        <v/>
      </c>
      <c r="CF918">
        <f>IFERROR(INDEX(PP_Grid[#Data],$DD918,82),0)</f>
        <v/>
      </c>
      <c r="CG918">
        <f>IFERROR(INDEX(PP_Grid[#Data],$DD918,83),0)</f>
        <v/>
      </c>
      <c r="CH918">
        <f>IFERROR(INDEX(PP_Grid[#Data],$DD918,84),0)</f>
        <v/>
      </c>
      <c r="CI918">
        <f>IFERROR(INDEX(PP_Grid[#Data],$DD918,85),0)</f>
        <v/>
      </c>
      <c r="CJ918">
        <f>IFERROR(INDEX(PP_Grid[#Data],$DD918,86),0)</f>
        <v/>
      </c>
      <c r="CK918">
        <f>IFERROR(INDEX(PP_Grid[#Data],$DD918,87),0)</f>
        <v/>
      </c>
      <c r="CL918">
        <f>IFERROR(INDEX(PP_Grid[#Data],$DD918,88),0)</f>
        <v/>
      </c>
      <c r="CM918">
        <f>IFERROR(INDEX(PP_Grid[#Data],$DD918,89),0)</f>
        <v/>
      </c>
      <c r="CN918">
        <f>IFERROR(INDEX(PP_Grid[#Data],$DD918,90),0)</f>
        <v/>
      </c>
      <c r="CO918">
        <f>IFERROR(INDEX(PP_Grid[#Data],$DD918,91),0)</f>
        <v/>
      </c>
      <c r="CP918">
        <f>IFERROR(INDEX(PP_Grid[#Data],$DD918,92),0)</f>
        <v/>
      </c>
      <c r="CQ918">
        <f>IFERROR(INDEX(PP_Grid[#Data],$DD918,93),0)</f>
        <v/>
      </c>
      <c r="CR918">
        <f>IFERROR(INDEX(PP_Grid[#Data],$DD918,94),0)</f>
        <v/>
      </c>
      <c r="CS918">
        <f>IFERROR(INDEX(PP_Grid[#Data],$DD918,95),0)</f>
        <v/>
      </c>
      <c r="CT918">
        <f>IFERROR(INDEX(PP_Grid[#Data],$DD918,96),0)</f>
        <v/>
      </c>
      <c r="CU918">
        <f>IFERROR(INDEX(PP_Grid[#Data],$DD918,97),0)</f>
        <v/>
      </c>
      <c r="CV918">
        <f>IFERROR(INDEX(PP_Grid[#Data],$DD918,98),0)</f>
        <v/>
      </c>
      <c r="CW918">
        <f>IFERROR(INDEX(PP_Grid[#Data],$DD918,99),0)</f>
        <v/>
      </c>
      <c r="CX918">
        <f>IFERROR(INDEX(PP_Grid[#Data],$DD918,100),0)</f>
        <v/>
      </c>
      <c r="CY918">
        <f>IFERROR(INDEX(PP_Grid[#Data],$DD918,101),0)</f>
        <v/>
      </c>
      <c r="CZ918">
        <f>IFERROR(INDEX(PP_Grid[#Data],$DD918,102),0)</f>
        <v/>
      </c>
      <c r="DA918">
        <f>IFERROR(INDEX(PP_Grid[#Data],$DD918,103),0)</f>
        <v/>
      </c>
      <c r="DB918">
        <f>IFERROR(INDEX(PP_Grid[#Data],$DD918,104),0)</f>
        <v/>
      </c>
      <c r="DC918">
        <f>IFERROR(INDEX(PP_Grid[#Data],$DD918,105),0)</f>
        <v/>
      </c>
      <c r="DD918" s="12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SUMIFS(M_BOM[RM_Qty_Per_Batch],M_BOM[Intermediate],$B918,M_BOM[Part Name],$A903)</f>
        <v/>
      </c>
      <c r="D919">
        <f>$C919*D918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</row>
    <row r="920">
      <c r="B920" t="inlineStr">
        <is>
          <t>TSP-903</t>
        </is>
      </c>
      <c r="C920" t="inlineStr">
        <is>
          <t>No. of batches</t>
        </is>
      </c>
      <c r="D920">
        <f>IFERROR(INDEX(PP_Grid[#Data],$DD920,2),0)</f>
        <v/>
      </c>
      <c r="E920">
        <f>IFERROR(INDEX(PP_Grid[#Data],$DD920,3),0)</f>
        <v/>
      </c>
      <c r="F920">
        <f>IFERROR(INDEX(PP_Grid[#Data],$DD920,4),0)</f>
        <v/>
      </c>
      <c r="G920">
        <f>IFERROR(INDEX(PP_Grid[#Data],$DD920,5),0)</f>
        <v/>
      </c>
      <c r="H920">
        <f>IFERROR(INDEX(PP_Grid[#Data],$DD920,6),0)</f>
        <v/>
      </c>
      <c r="I920">
        <f>IFERROR(INDEX(PP_Grid[#Data],$DD920,7),0)</f>
        <v/>
      </c>
      <c r="J920">
        <f>IFERROR(INDEX(PP_Grid[#Data],$DD920,8),0)</f>
        <v/>
      </c>
      <c r="K920">
        <f>IFERROR(INDEX(PP_Grid[#Data],$DD920,9),0)</f>
        <v/>
      </c>
      <c r="L920">
        <f>IFERROR(INDEX(PP_Grid[#Data],$DD920,10),0)</f>
        <v/>
      </c>
      <c r="M920">
        <f>IFERROR(INDEX(PP_Grid[#Data],$DD920,11),0)</f>
        <v/>
      </c>
      <c r="N920">
        <f>IFERROR(INDEX(PP_Grid[#Data],$DD920,12),0)</f>
        <v/>
      </c>
      <c r="O920">
        <f>IFERROR(INDEX(PP_Grid[#Data],$DD920,13),0)</f>
        <v/>
      </c>
      <c r="P920">
        <f>IFERROR(INDEX(PP_Grid[#Data],$DD920,14),0)</f>
        <v/>
      </c>
      <c r="Q920">
        <f>IFERROR(INDEX(PP_Grid[#Data],$DD920,15),0)</f>
        <v/>
      </c>
      <c r="R920">
        <f>IFERROR(INDEX(PP_Grid[#Data],$DD920,16),0)</f>
        <v/>
      </c>
      <c r="S920">
        <f>IFERROR(INDEX(PP_Grid[#Data],$DD920,17),0)</f>
        <v/>
      </c>
      <c r="T920">
        <f>IFERROR(INDEX(PP_Grid[#Data],$DD920,18),0)</f>
        <v/>
      </c>
      <c r="U920">
        <f>IFERROR(INDEX(PP_Grid[#Data],$DD920,19),0)</f>
        <v/>
      </c>
      <c r="V920">
        <f>IFERROR(INDEX(PP_Grid[#Data],$DD920,20),0)</f>
        <v/>
      </c>
      <c r="W920">
        <f>IFERROR(INDEX(PP_Grid[#Data],$DD920,21),0)</f>
        <v/>
      </c>
      <c r="X920">
        <f>IFERROR(INDEX(PP_Grid[#Data],$DD920,22),0)</f>
        <v/>
      </c>
      <c r="Y920">
        <f>IFERROR(INDEX(PP_Grid[#Data],$DD920,23),0)</f>
        <v/>
      </c>
      <c r="Z920">
        <f>IFERROR(INDEX(PP_Grid[#Data],$DD920,24),0)</f>
        <v/>
      </c>
      <c r="AA920">
        <f>IFERROR(INDEX(PP_Grid[#Data],$DD920,25),0)</f>
        <v/>
      </c>
      <c r="AB920">
        <f>IFERROR(INDEX(PP_Grid[#Data],$DD920,26),0)</f>
        <v/>
      </c>
      <c r="AC920">
        <f>IFERROR(INDEX(PP_Grid[#Data],$DD920,27),0)</f>
        <v/>
      </c>
      <c r="AD920">
        <f>IFERROR(INDEX(PP_Grid[#Data],$DD920,28),0)</f>
        <v/>
      </c>
      <c r="AE920">
        <f>IFERROR(INDEX(PP_Grid[#Data],$DD920,29),0)</f>
        <v/>
      </c>
      <c r="AF920">
        <f>IFERROR(INDEX(PP_Grid[#Data],$DD920,30),0)</f>
        <v/>
      </c>
      <c r="AG920">
        <f>IFERROR(INDEX(PP_Grid[#Data],$DD920,31),0)</f>
        <v/>
      </c>
      <c r="AH920">
        <f>IFERROR(INDEX(PP_Grid[#Data],$DD920,32),0)</f>
        <v/>
      </c>
      <c r="AI920">
        <f>IFERROR(INDEX(PP_Grid[#Data],$DD920,33),0)</f>
        <v/>
      </c>
      <c r="AJ920">
        <f>IFERROR(INDEX(PP_Grid[#Data],$DD920,34),0)</f>
        <v/>
      </c>
      <c r="AK920">
        <f>IFERROR(INDEX(PP_Grid[#Data],$DD920,35),0)</f>
        <v/>
      </c>
      <c r="AL920">
        <f>IFERROR(INDEX(PP_Grid[#Data],$DD920,36),0)</f>
        <v/>
      </c>
      <c r="AM920">
        <f>IFERROR(INDEX(PP_Grid[#Data],$DD920,37),0)</f>
        <v/>
      </c>
      <c r="AN920">
        <f>IFERROR(INDEX(PP_Grid[#Data],$DD920,38),0)</f>
        <v/>
      </c>
      <c r="AO920">
        <f>IFERROR(INDEX(PP_Grid[#Data],$DD920,39),0)</f>
        <v/>
      </c>
      <c r="AP920">
        <f>IFERROR(INDEX(PP_Grid[#Data],$DD920,40),0)</f>
        <v/>
      </c>
      <c r="AQ920">
        <f>IFERROR(INDEX(PP_Grid[#Data],$DD920,41),0)</f>
        <v/>
      </c>
      <c r="AR920">
        <f>IFERROR(INDEX(PP_Grid[#Data],$DD920,42),0)</f>
        <v/>
      </c>
      <c r="AS920">
        <f>IFERROR(INDEX(PP_Grid[#Data],$DD920,43),0)</f>
        <v/>
      </c>
      <c r="AT920">
        <f>IFERROR(INDEX(PP_Grid[#Data],$DD920,44),0)</f>
        <v/>
      </c>
      <c r="AU920">
        <f>IFERROR(INDEX(PP_Grid[#Data],$DD920,45),0)</f>
        <v/>
      </c>
      <c r="AV920">
        <f>IFERROR(INDEX(PP_Grid[#Data],$DD920,46),0)</f>
        <v/>
      </c>
      <c r="AW920">
        <f>IFERROR(INDEX(PP_Grid[#Data],$DD920,47),0)</f>
        <v/>
      </c>
      <c r="AX920">
        <f>IFERROR(INDEX(PP_Grid[#Data],$DD920,48),0)</f>
        <v/>
      </c>
      <c r="AY920">
        <f>IFERROR(INDEX(PP_Grid[#Data],$DD920,49),0)</f>
        <v/>
      </c>
      <c r="AZ920">
        <f>IFERROR(INDEX(PP_Grid[#Data],$DD920,50),0)</f>
        <v/>
      </c>
      <c r="BA920">
        <f>IFERROR(INDEX(PP_Grid[#Data],$DD920,51),0)</f>
        <v/>
      </c>
      <c r="BB920">
        <f>IFERROR(INDEX(PP_Grid[#Data],$DD920,52),0)</f>
        <v/>
      </c>
      <c r="BC920">
        <f>IFERROR(INDEX(PP_Grid[#Data],$DD920,53),0)</f>
        <v/>
      </c>
      <c r="BD920">
        <f>IFERROR(INDEX(PP_Grid[#Data],$DD920,54),0)</f>
        <v/>
      </c>
      <c r="BE920">
        <f>IFERROR(INDEX(PP_Grid[#Data],$DD920,55),0)</f>
        <v/>
      </c>
      <c r="BF920">
        <f>IFERROR(INDEX(PP_Grid[#Data],$DD920,56),0)</f>
        <v/>
      </c>
      <c r="BG920">
        <f>IFERROR(INDEX(PP_Grid[#Data],$DD920,57),0)</f>
        <v/>
      </c>
      <c r="BH920">
        <f>IFERROR(INDEX(PP_Grid[#Data],$DD920,58),0)</f>
        <v/>
      </c>
      <c r="BI920">
        <f>IFERROR(INDEX(PP_Grid[#Data],$DD920,59),0)</f>
        <v/>
      </c>
      <c r="BJ920">
        <f>IFERROR(INDEX(PP_Grid[#Data],$DD920,60),0)</f>
        <v/>
      </c>
      <c r="BK920">
        <f>IFERROR(INDEX(PP_Grid[#Data],$DD920,61),0)</f>
        <v/>
      </c>
      <c r="BL920">
        <f>IFERROR(INDEX(PP_Grid[#Data],$DD920,62),0)</f>
        <v/>
      </c>
      <c r="BM920">
        <f>IFERROR(INDEX(PP_Grid[#Data],$DD920,63),0)</f>
        <v/>
      </c>
      <c r="BN920">
        <f>IFERROR(INDEX(PP_Grid[#Data],$DD920,64),0)</f>
        <v/>
      </c>
      <c r="BO920">
        <f>IFERROR(INDEX(PP_Grid[#Data],$DD920,65),0)</f>
        <v/>
      </c>
      <c r="BP920">
        <f>IFERROR(INDEX(PP_Grid[#Data],$DD920,66),0)</f>
        <v/>
      </c>
      <c r="BQ920">
        <f>IFERROR(INDEX(PP_Grid[#Data],$DD920,67),0)</f>
        <v/>
      </c>
      <c r="BR920">
        <f>IFERROR(INDEX(PP_Grid[#Data],$DD920,68),0)</f>
        <v/>
      </c>
      <c r="BS920">
        <f>IFERROR(INDEX(PP_Grid[#Data],$DD920,69),0)</f>
        <v/>
      </c>
      <c r="BT920">
        <f>IFERROR(INDEX(PP_Grid[#Data],$DD920,70),0)</f>
        <v/>
      </c>
      <c r="BU920">
        <f>IFERROR(INDEX(PP_Grid[#Data],$DD920,71),0)</f>
        <v/>
      </c>
      <c r="BV920">
        <f>IFERROR(INDEX(PP_Grid[#Data],$DD920,72),0)</f>
        <v/>
      </c>
      <c r="BW920">
        <f>IFERROR(INDEX(PP_Grid[#Data],$DD920,73),0)</f>
        <v/>
      </c>
      <c r="BX920">
        <f>IFERROR(INDEX(PP_Grid[#Data],$DD920,74),0)</f>
        <v/>
      </c>
      <c r="BY920">
        <f>IFERROR(INDEX(PP_Grid[#Data],$DD920,75),0)</f>
        <v/>
      </c>
      <c r="BZ920">
        <f>IFERROR(INDEX(PP_Grid[#Data],$DD920,76),0)</f>
        <v/>
      </c>
      <c r="CA920">
        <f>IFERROR(INDEX(PP_Grid[#Data],$DD920,77),0)</f>
        <v/>
      </c>
      <c r="CB920">
        <f>IFERROR(INDEX(PP_Grid[#Data],$DD920,78),0)</f>
        <v/>
      </c>
      <c r="CC920">
        <f>IFERROR(INDEX(PP_Grid[#Data],$DD920,79),0)</f>
        <v/>
      </c>
      <c r="CD920">
        <f>IFERROR(INDEX(PP_Grid[#Data],$DD920,80),0)</f>
        <v/>
      </c>
      <c r="CE920">
        <f>IFERROR(INDEX(PP_Grid[#Data],$DD920,81),0)</f>
        <v/>
      </c>
      <c r="CF920">
        <f>IFERROR(INDEX(PP_Grid[#Data],$DD920,82),0)</f>
        <v/>
      </c>
      <c r="CG920">
        <f>IFERROR(INDEX(PP_Grid[#Data],$DD920,83),0)</f>
        <v/>
      </c>
      <c r="CH920">
        <f>IFERROR(INDEX(PP_Grid[#Data],$DD920,84),0)</f>
        <v/>
      </c>
      <c r="CI920">
        <f>IFERROR(INDEX(PP_Grid[#Data],$DD920,85),0)</f>
        <v/>
      </c>
      <c r="CJ920">
        <f>IFERROR(INDEX(PP_Grid[#Data],$DD920,86),0)</f>
        <v/>
      </c>
      <c r="CK920">
        <f>IFERROR(INDEX(PP_Grid[#Data],$DD920,87),0)</f>
        <v/>
      </c>
      <c r="CL920">
        <f>IFERROR(INDEX(PP_Grid[#Data],$DD920,88),0)</f>
        <v/>
      </c>
      <c r="CM920">
        <f>IFERROR(INDEX(PP_Grid[#Data],$DD920,89),0)</f>
        <v/>
      </c>
      <c r="CN920">
        <f>IFERROR(INDEX(PP_Grid[#Data],$DD920,90),0)</f>
        <v/>
      </c>
      <c r="CO920">
        <f>IFERROR(INDEX(PP_Grid[#Data],$DD920,91),0)</f>
        <v/>
      </c>
      <c r="CP920">
        <f>IFERROR(INDEX(PP_Grid[#Data],$DD920,92),0)</f>
        <v/>
      </c>
      <c r="CQ920">
        <f>IFERROR(INDEX(PP_Grid[#Data],$DD920,93),0)</f>
        <v/>
      </c>
      <c r="CR920">
        <f>IFERROR(INDEX(PP_Grid[#Data],$DD920,94),0)</f>
        <v/>
      </c>
      <c r="CS920">
        <f>IFERROR(INDEX(PP_Grid[#Data],$DD920,95),0)</f>
        <v/>
      </c>
      <c r="CT920">
        <f>IFERROR(INDEX(PP_Grid[#Data],$DD920,96),0)</f>
        <v/>
      </c>
      <c r="CU920">
        <f>IFERROR(INDEX(PP_Grid[#Data],$DD920,97),0)</f>
        <v/>
      </c>
      <c r="CV920">
        <f>IFERROR(INDEX(PP_Grid[#Data],$DD920,98),0)</f>
        <v/>
      </c>
      <c r="CW920">
        <f>IFERROR(INDEX(PP_Grid[#Data],$DD920,99),0)</f>
        <v/>
      </c>
      <c r="CX920">
        <f>IFERROR(INDEX(PP_Grid[#Data],$DD920,100),0)</f>
        <v/>
      </c>
      <c r="CY920">
        <f>IFERROR(INDEX(PP_Grid[#Data],$DD920,101),0)</f>
        <v/>
      </c>
      <c r="CZ920">
        <f>IFERROR(INDEX(PP_Grid[#Data],$DD920,102),0)</f>
        <v/>
      </c>
      <c r="DA920">
        <f>IFERROR(INDEX(PP_Grid[#Data],$DD920,103),0)</f>
        <v/>
      </c>
      <c r="DB920">
        <f>IFERROR(INDEX(PP_Grid[#Data],$DD920,104),0)</f>
        <v/>
      </c>
      <c r="DC920">
        <f>IFERROR(INDEX(PP_Grid[#Data],$DD920,105),0)</f>
        <v/>
      </c>
      <c r="DD920" s="12">
        <f>IFERROR(MATCH($B920,PP_Grid[Intermediate],0),99999)</f>
        <v/>
      </c>
    </row>
    <row r="921">
      <c r="B921" t="inlineStr">
        <is>
          <t>使用量(kg)</t>
        </is>
      </c>
      <c r="C921">
        <f>SUMIFS(M_BOM[RM_Qty_Per_Batch],M_BOM[Intermediate],$B920,M_BOM[Part Name],$A903)</f>
        <v/>
      </c>
      <c r="D921">
        <f>$C921*D920</f>
        <v/>
      </c>
      <c r="E921">
        <f>$C921*E920</f>
        <v/>
      </c>
      <c r="F921">
        <f>$C921*F920</f>
        <v/>
      </c>
      <c r="G921">
        <f>$C921*G920</f>
        <v/>
      </c>
      <c r="H921">
        <f>$C921*H920</f>
        <v/>
      </c>
      <c r="I921">
        <f>$C921*I920</f>
        <v/>
      </c>
      <c r="J921">
        <f>$C921*J920</f>
        <v/>
      </c>
      <c r="K921">
        <f>$C921*K920</f>
        <v/>
      </c>
      <c r="L921">
        <f>$C921*L920</f>
        <v/>
      </c>
      <c r="M921">
        <f>$C921*M920</f>
        <v/>
      </c>
      <c r="N921">
        <f>$C921*N920</f>
        <v/>
      </c>
      <c r="O921">
        <f>$C921*O920</f>
        <v/>
      </c>
      <c r="P921">
        <f>$C921*P920</f>
        <v/>
      </c>
      <c r="Q921">
        <f>$C921*Q920</f>
        <v/>
      </c>
      <c r="R921">
        <f>$C921*R920</f>
        <v/>
      </c>
      <c r="S921">
        <f>$C921*S920</f>
        <v/>
      </c>
      <c r="T921">
        <f>$C921*T920</f>
        <v/>
      </c>
      <c r="U921">
        <f>$C921*U920</f>
        <v/>
      </c>
      <c r="V921">
        <f>$C921*V920</f>
        <v/>
      </c>
      <c r="W921">
        <f>$C921*W920</f>
        <v/>
      </c>
      <c r="X921">
        <f>$C921*X920</f>
        <v/>
      </c>
      <c r="Y921">
        <f>$C921*Y920</f>
        <v/>
      </c>
      <c r="Z921">
        <f>$C921*Z920</f>
        <v/>
      </c>
      <c r="AA921">
        <f>$C921*AA920</f>
        <v/>
      </c>
      <c r="AB921">
        <f>$C921*AB920</f>
        <v/>
      </c>
      <c r="AC921">
        <f>$C921*AC920</f>
        <v/>
      </c>
      <c r="AD921">
        <f>$C921*AD920</f>
        <v/>
      </c>
      <c r="AE921">
        <f>$C921*AE920</f>
        <v/>
      </c>
      <c r="AF921">
        <f>$C921*AF920</f>
        <v/>
      </c>
      <c r="AG921">
        <f>$C921*AG920</f>
        <v/>
      </c>
      <c r="AH921">
        <f>$C921*AH920</f>
        <v/>
      </c>
      <c r="AI921">
        <f>$C921*AI920</f>
        <v/>
      </c>
      <c r="AJ921">
        <f>$C921*AJ920</f>
        <v/>
      </c>
      <c r="AK921">
        <f>$C921*AK920</f>
        <v/>
      </c>
      <c r="AL921">
        <f>$C921*AL920</f>
        <v/>
      </c>
      <c r="AM921">
        <f>$C921*AM920</f>
        <v/>
      </c>
      <c r="AN921">
        <f>$C921*AN920</f>
        <v/>
      </c>
      <c r="AO921">
        <f>$C921*AO920</f>
        <v/>
      </c>
      <c r="AP921">
        <f>$C921*AP920</f>
        <v/>
      </c>
      <c r="AQ921">
        <f>$C921*AQ920</f>
        <v/>
      </c>
      <c r="AR921">
        <f>$C921*AR920</f>
        <v/>
      </c>
      <c r="AS921">
        <f>$C921*AS920</f>
        <v/>
      </c>
      <c r="AT921">
        <f>$C921*AT920</f>
        <v/>
      </c>
      <c r="AU921">
        <f>$C921*AU920</f>
        <v/>
      </c>
      <c r="AV921">
        <f>$C921*AV920</f>
        <v/>
      </c>
      <c r="AW921">
        <f>$C921*AW920</f>
        <v/>
      </c>
      <c r="AX921">
        <f>$C921*AX920</f>
        <v/>
      </c>
      <c r="AY921">
        <f>$C921*AY920</f>
        <v/>
      </c>
      <c r="AZ921">
        <f>$C921*AZ920</f>
        <v/>
      </c>
      <c r="BA921">
        <f>$C921*BA920</f>
        <v/>
      </c>
      <c r="BB921">
        <f>$C921*BB920</f>
        <v/>
      </c>
      <c r="BC921">
        <f>$C921*BC920</f>
        <v/>
      </c>
      <c r="BD921">
        <f>$C921*BD920</f>
        <v/>
      </c>
      <c r="BE921">
        <f>$C921*BE920</f>
        <v/>
      </c>
      <c r="BF921">
        <f>$C921*BF920</f>
        <v/>
      </c>
      <c r="BG921">
        <f>$C921*BG920</f>
        <v/>
      </c>
      <c r="BH921">
        <f>$C921*BH920</f>
        <v/>
      </c>
      <c r="BI921">
        <f>$C921*BI920</f>
        <v/>
      </c>
      <c r="BJ921">
        <f>$C921*BJ920</f>
        <v/>
      </c>
      <c r="BK921">
        <f>$C921*BK920</f>
        <v/>
      </c>
      <c r="BL921">
        <f>$C921*BL920</f>
        <v/>
      </c>
      <c r="BM921">
        <f>$C921*BM920</f>
        <v/>
      </c>
      <c r="BN921">
        <f>$C921*BN920</f>
        <v/>
      </c>
      <c r="BO921">
        <f>$C921*BO920</f>
        <v/>
      </c>
      <c r="BP921">
        <f>$C921*BP920</f>
        <v/>
      </c>
      <c r="BQ921">
        <f>$C921*BQ920</f>
        <v/>
      </c>
      <c r="BR921">
        <f>$C921*BR920</f>
        <v/>
      </c>
      <c r="BS921">
        <f>$C921*BS920</f>
        <v/>
      </c>
      <c r="BT921">
        <f>$C921*BT920</f>
        <v/>
      </c>
      <c r="BU921">
        <f>$C921*BU920</f>
        <v/>
      </c>
      <c r="BV921">
        <f>$C921*BV920</f>
        <v/>
      </c>
      <c r="BW921">
        <f>$C921*BW920</f>
        <v/>
      </c>
      <c r="BX921">
        <f>$C921*BX920</f>
        <v/>
      </c>
      <c r="BY921">
        <f>$C921*BY920</f>
        <v/>
      </c>
      <c r="BZ921">
        <f>$C921*BZ920</f>
        <v/>
      </c>
      <c r="CA921">
        <f>$C921*CA920</f>
        <v/>
      </c>
      <c r="CB921">
        <f>$C921*CB920</f>
        <v/>
      </c>
      <c r="CC921">
        <f>$C921*CC920</f>
        <v/>
      </c>
      <c r="CD921">
        <f>$C921*CD920</f>
        <v/>
      </c>
      <c r="CE921">
        <f>$C921*CE920</f>
        <v/>
      </c>
      <c r="CF921">
        <f>$C921*CF920</f>
        <v/>
      </c>
      <c r="CG921">
        <f>$C921*CG920</f>
        <v/>
      </c>
      <c r="CH921">
        <f>$C921*CH920</f>
        <v/>
      </c>
      <c r="CI921">
        <f>$C921*CI920</f>
        <v/>
      </c>
      <c r="CJ921">
        <f>$C921*CJ920</f>
        <v/>
      </c>
      <c r="CK921">
        <f>$C921*CK920</f>
        <v/>
      </c>
      <c r="CL921">
        <f>$C921*CL920</f>
        <v/>
      </c>
      <c r="CM921">
        <f>$C921*CM920</f>
        <v/>
      </c>
      <c r="CN921">
        <f>$C921*CN920</f>
        <v/>
      </c>
      <c r="CO921">
        <f>$C921*CO920</f>
        <v/>
      </c>
      <c r="CP921">
        <f>$C921*CP920</f>
        <v/>
      </c>
      <c r="CQ921">
        <f>$C921*CQ920</f>
        <v/>
      </c>
      <c r="CR921">
        <f>$C921*CR920</f>
        <v/>
      </c>
      <c r="CS921">
        <f>$C921*CS920</f>
        <v/>
      </c>
      <c r="CT921">
        <f>$C921*CT920</f>
        <v/>
      </c>
      <c r="CU921">
        <f>$C921*CU920</f>
        <v/>
      </c>
      <c r="CV921">
        <f>$C921*CV920</f>
        <v/>
      </c>
      <c r="CW921">
        <f>$C921*CW920</f>
        <v/>
      </c>
      <c r="CX921">
        <f>$C921*CX920</f>
        <v/>
      </c>
      <c r="CY921">
        <f>$C921*CY920</f>
        <v/>
      </c>
      <c r="CZ921">
        <f>$C921*CZ920</f>
        <v/>
      </c>
      <c r="DA921">
        <f>$C921*DA920</f>
        <v/>
      </c>
      <c r="DB921">
        <f>$C921*DB920</f>
        <v/>
      </c>
      <c r="DC921">
        <f>$C921*DC920</f>
        <v/>
      </c>
    </row>
    <row r="922">
      <c r="B922" t="inlineStr">
        <is>
          <t>TSP-934</t>
        </is>
      </c>
      <c r="C922" t="inlineStr">
        <is>
          <t>No. of batches</t>
        </is>
      </c>
      <c r="D922">
        <f>IFERROR(INDEX(PP_Grid[#Data],$DD922,2),0)</f>
        <v/>
      </c>
      <c r="E922">
        <f>IFERROR(INDEX(PP_Grid[#Data],$DD922,3),0)</f>
        <v/>
      </c>
      <c r="F922">
        <f>IFERROR(INDEX(PP_Grid[#Data],$DD922,4),0)</f>
        <v/>
      </c>
      <c r="G922">
        <f>IFERROR(INDEX(PP_Grid[#Data],$DD922,5),0)</f>
        <v/>
      </c>
      <c r="H922">
        <f>IFERROR(INDEX(PP_Grid[#Data],$DD922,6),0)</f>
        <v/>
      </c>
      <c r="I922">
        <f>IFERROR(INDEX(PP_Grid[#Data],$DD922,7),0)</f>
        <v/>
      </c>
      <c r="J922">
        <f>IFERROR(INDEX(PP_Grid[#Data],$DD922,8),0)</f>
        <v/>
      </c>
      <c r="K922">
        <f>IFERROR(INDEX(PP_Grid[#Data],$DD922,9),0)</f>
        <v/>
      </c>
      <c r="L922">
        <f>IFERROR(INDEX(PP_Grid[#Data],$DD922,10),0)</f>
        <v/>
      </c>
      <c r="M922">
        <f>IFERROR(INDEX(PP_Grid[#Data],$DD922,11),0)</f>
        <v/>
      </c>
      <c r="N922">
        <f>IFERROR(INDEX(PP_Grid[#Data],$DD922,12),0)</f>
        <v/>
      </c>
      <c r="O922">
        <f>IFERROR(INDEX(PP_Grid[#Data],$DD922,13),0)</f>
        <v/>
      </c>
      <c r="P922">
        <f>IFERROR(INDEX(PP_Grid[#Data],$DD922,14),0)</f>
        <v/>
      </c>
      <c r="Q922">
        <f>IFERROR(INDEX(PP_Grid[#Data],$DD922,15),0)</f>
        <v/>
      </c>
      <c r="R922">
        <f>IFERROR(INDEX(PP_Grid[#Data],$DD922,16),0)</f>
        <v/>
      </c>
      <c r="S922">
        <f>IFERROR(INDEX(PP_Grid[#Data],$DD922,17),0)</f>
        <v/>
      </c>
      <c r="T922">
        <f>IFERROR(INDEX(PP_Grid[#Data],$DD922,18),0)</f>
        <v/>
      </c>
      <c r="U922">
        <f>IFERROR(INDEX(PP_Grid[#Data],$DD922,19),0)</f>
        <v/>
      </c>
      <c r="V922">
        <f>IFERROR(INDEX(PP_Grid[#Data],$DD922,20),0)</f>
        <v/>
      </c>
      <c r="W922">
        <f>IFERROR(INDEX(PP_Grid[#Data],$DD922,21),0)</f>
        <v/>
      </c>
      <c r="X922">
        <f>IFERROR(INDEX(PP_Grid[#Data],$DD922,22),0)</f>
        <v/>
      </c>
      <c r="Y922">
        <f>IFERROR(INDEX(PP_Grid[#Data],$DD922,23),0)</f>
        <v/>
      </c>
      <c r="Z922">
        <f>IFERROR(INDEX(PP_Grid[#Data],$DD922,24),0)</f>
        <v/>
      </c>
      <c r="AA922">
        <f>IFERROR(INDEX(PP_Grid[#Data],$DD922,25),0)</f>
        <v/>
      </c>
      <c r="AB922">
        <f>IFERROR(INDEX(PP_Grid[#Data],$DD922,26),0)</f>
        <v/>
      </c>
      <c r="AC922">
        <f>IFERROR(INDEX(PP_Grid[#Data],$DD922,27),0)</f>
        <v/>
      </c>
      <c r="AD922">
        <f>IFERROR(INDEX(PP_Grid[#Data],$DD922,28),0)</f>
        <v/>
      </c>
      <c r="AE922">
        <f>IFERROR(INDEX(PP_Grid[#Data],$DD922,29),0)</f>
        <v/>
      </c>
      <c r="AF922">
        <f>IFERROR(INDEX(PP_Grid[#Data],$DD922,30),0)</f>
        <v/>
      </c>
      <c r="AG922">
        <f>IFERROR(INDEX(PP_Grid[#Data],$DD922,31),0)</f>
        <v/>
      </c>
      <c r="AH922">
        <f>IFERROR(INDEX(PP_Grid[#Data],$DD922,32),0)</f>
        <v/>
      </c>
      <c r="AI922">
        <f>IFERROR(INDEX(PP_Grid[#Data],$DD922,33),0)</f>
        <v/>
      </c>
      <c r="AJ922">
        <f>IFERROR(INDEX(PP_Grid[#Data],$DD922,34),0)</f>
        <v/>
      </c>
      <c r="AK922">
        <f>IFERROR(INDEX(PP_Grid[#Data],$DD922,35),0)</f>
        <v/>
      </c>
      <c r="AL922">
        <f>IFERROR(INDEX(PP_Grid[#Data],$DD922,36),0)</f>
        <v/>
      </c>
      <c r="AM922">
        <f>IFERROR(INDEX(PP_Grid[#Data],$DD922,37),0)</f>
        <v/>
      </c>
      <c r="AN922">
        <f>IFERROR(INDEX(PP_Grid[#Data],$DD922,38),0)</f>
        <v/>
      </c>
      <c r="AO922">
        <f>IFERROR(INDEX(PP_Grid[#Data],$DD922,39),0)</f>
        <v/>
      </c>
      <c r="AP922">
        <f>IFERROR(INDEX(PP_Grid[#Data],$DD922,40),0)</f>
        <v/>
      </c>
      <c r="AQ922">
        <f>IFERROR(INDEX(PP_Grid[#Data],$DD922,41),0)</f>
        <v/>
      </c>
      <c r="AR922">
        <f>IFERROR(INDEX(PP_Grid[#Data],$DD922,42),0)</f>
        <v/>
      </c>
      <c r="AS922">
        <f>IFERROR(INDEX(PP_Grid[#Data],$DD922,43),0)</f>
        <v/>
      </c>
      <c r="AT922">
        <f>IFERROR(INDEX(PP_Grid[#Data],$DD922,44),0)</f>
        <v/>
      </c>
      <c r="AU922">
        <f>IFERROR(INDEX(PP_Grid[#Data],$DD922,45),0)</f>
        <v/>
      </c>
      <c r="AV922">
        <f>IFERROR(INDEX(PP_Grid[#Data],$DD922,46),0)</f>
        <v/>
      </c>
      <c r="AW922">
        <f>IFERROR(INDEX(PP_Grid[#Data],$DD922,47),0)</f>
        <v/>
      </c>
      <c r="AX922">
        <f>IFERROR(INDEX(PP_Grid[#Data],$DD922,48),0)</f>
        <v/>
      </c>
      <c r="AY922">
        <f>IFERROR(INDEX(PP_Grid[#Data],$DD922,49),0)</f>
        <v/>
      </c>
      <c r="AZ922">
        <f>IFERROR(INDEX(PP_Grid[#Data],$DD922,50),0)</f>
        <v/>
      </c>
      <c r="BA922">
        <f>IFERROR(INDEX(PP_Grid[#Data],$DD922,51),0)</f>
        <v/>
      </c>
      <c r="BB922">
        <f>IFERROR(INDEX(PP_Grid[#Data],$DD922,52),0)</f>
        <v/>
      </c>
      <c r="BC922">
        <f>IFERROR(INDEX(PP_Grid[#Data],$DD922,53),0)</f>
        <v/>
      </c>
      <c r="BD922">
        <f>IFERROR(INDEX(PP_Grid[#Data],$DD922,54),0)</f>
        <v/>
      </c>
      <c r="BE922">
        <f>IFERROR(INDEX(PP_Grid[#Data],$DD922,55),0)</f>
        <v/>
      </c>
      <c r="BF922">
        <f>IFERROR(INDEX(PP_Grid[#Data],$DD922,56),0)</f>
        <v/>
      </c>
      <c r="BG922">
        <f>IFERROR(INDEX(PP_Grid[#Data],$DD922,57),0)</f>
        <v/>
      </c>
      <c r="BH922">
        <f>IFERROR(INDEX(PP_Grid[#Data],$DD922,58),0)</f>
        <v/>
      </c>
      <c r="BI922">
        <f>IFERROR(INDEX(PP_Grid[#Data],$DD922,59),0)</f>
        <v/>
      </c>
      <c r="BJ922">
        <f>IFERROR(INDEX(PP_Grid[#Data],$DD922,60),0)</f>
        <v/>
      </c>
      <c r="BK922">
        <f>IFERROR(INDEX(PP_Grid[#Data],$DD922,61),0)</f>
        <v/>
      </c>
      <c r="BL922">
        <f>IFERROR(INDEX(PP_Grid[#Data],$DD922,62),0)</f>
        <v/>
      </c>
      <c r="BM922">
        <f>IFERROR(INDEX(PP_Grid[#Data],$DD922,63),0)</f>
        <v/>
      </c>
      <c r="BN922">
        <f>IFERROR(INDEX(PP_Grid[#Data],$DD922,64),0)</f>
        <v/>
      </c>
      <c r="BO922">
        <f>IFERROR(INDEX(PP_Grid[#Data],$DD922,65),0)</f>
        <v/>
      </c>
      <c r="BP922">
        <f>IFERROR(INDEX(PP_Grid[#Data],$DD922,66),0)</f>
        <v/>
      </c>
      <c r="BQ922">
        <f>IFERROR(INDEX(PP_Grid[#Data],$DD922,67),0)</f>
        <v/>
      </c>
      <c r="BR922">
        <f>IFERROR(INDEX(PP_Grid[#Data],$DD922,68),0)</f>
        <v/>
      </c>
      <c r="BS922">
        <f>IFERROR(INDEX(PP_Grid[#Data],$DD922,69),0)</f>
        <v/>
      </c>
      <c r="BT922">
        <f>IFERROR(INDEX(PP_Grid[#Data],$DD922,70),0)</f>
        <v/>
      </c>
      <c r="BU922">
        <f>IFERROR(INDEX(PP_Grid[#Data],$DD922,71),0)</f>
        <v/>
      </c>
      <c r="BV922">
        <f>IFERROR(INDEX(PP_Grid[#Data],$DD922,72),0)</f>
        <v/>
      </c>
      <c r="BW922">
        <f>IFERROR(INDEX(PP_Grid[#Data],$DD922,73),0)</f>
        <v/>
      </c>
      <c r="BX922">
        <f>IFERROR(INDEX(PP_Grid[#Data],$DD922,74),0)</f>
        <v/>
      </c>
      <c r="BY922">
        <f>IFERROR(INDEX(PP_Grid[#Data],$DD922,75),0)</f>
        <v/>
      </c>
      <c r="BZ922">
        <f>IFERROR(INDEX(PP_Grid[#Data],$DD922,76),0)</f>
        <v/>
      </c>
      <c r="CA922">
        <f>IFERROR(INDEX(PP_Grid[#Data],$DD922,77),0)</f>
        <v/>
      </c>
      <c r="CB922">
        <f>IFERROR(INDEX(PP_Grid[#Data],$DD922,78),0)</f>
        <v/>
      </c>
      <c r="CC922">
        <f>IFERROR(INDEX(PP_Grid[#Data],$DD922,79),0)</f>
        <v/>
      </c>
      <c r="CD922">
        <f>IFERROR(INDEX(PP_Grid[#Data],$DD922,80),0)</f>
        <v/>
      </c>
      <c r="CE922">
        <f>IFERROR(INDEX(PP_Grid[#Data],$DD922,81),0)</f>
        <v/>
      </c>
      <c r="CF922">
        <f>IFERROR(INDEX(PP_Grid[#Data],$DD922,82),0)</f>
        <v/>
      </c>
      <c r="CG922">
        <f>IFERROR(INDEX(PP_Grid[#Data],$DD922,83),0)</f>
        <v/>
      </c>
      <c r="CH922">
        <f>IFERROR(INDEX(PP_Grid[#Data],$DD922,84),0)</f>
        <v/>
      </c>
      <c r="CI922">
        <f>IFERROR(INDEX(PP_Grid[#Data],$DD922,85),0)</f>
        <v/>
      </c>
      <c r="CJ922">
        <f>IFERROR(INDEX(PP_Grid[#Data],$DD922,86),0)</f>
        <v/>
      </c>
      <c r="CK922">
        <f>IFERROR(INDEX(PP_Grid[#Data],$DD922,87),0)</f>
        <v/>
      </c>
      <c r="CL922">
        <f>IFERROR(INDEX(PP_Grid[#Data],$DD922,88),0)</f>
        <v/>
      </c>
      <c r="CM922">
        <f>IFERROR(INDEX(PP_Grid[#Data],$DD922,89),0)</f>
        <v/>
      </c>
      <c r="CN922">
        <f>IFERROR(INDEX(PP_Grid[#Data],$DD922,90),0)</f>
        <v/>
      </c>
      <c r="CO922">
        <f>IFERROR(INDEX(PP_Grid[#Data],$DD922,91),0)</f>
        <v/>
      </c>
      <c r="CP922">
        <f>IFERROR(INDEX(PP_Grid[#Data],$DD922,92),0)</f>
        <v/>
      </c>
      <c r="CQ922">
        <f>IFERROR(INDEX(PP_Grid[#Data],$DD922,93),0)</f>
        <v/>
      </c>
      <c r="CR922">
        <f>IFERROR(INDEX(PP_Grid[#Data],$DD922,94),0)</f>
        <v/>
      </c>
      <c r="CS922">
        <f>IFERROR(INDEX(PP_Grid[#Data],$DD922,95),0)</f>
        <v/>
      </c>
      <c r="CT922">
        <f>IFERROR(INDEX(PP_Grid[#Data],$DD922,96),0)</f>
        <v/>
      </c>
      <c r="CU922">
        <f>IFERROR(INDEX(PP_Grid[#Data],$DD922,97),0)</f>
        <v/>
      </c>
      <c r="CV922">
        <f>IFERROR(INDEX(PP_Grid[#Data],$DD922,98),0)</f>
        <v/>
      </c>
      <c r="CW922">
        <f>IFERROR(INDEX(PP_Grid[#Data],$DD922,99),0)</f>
        <v/>
      </c>
      <c r="CX922">
        <f>IFERROR(INDEX(PP_Grid[#Data],$DD922,100),0)</f>
        <v/>
      </c>
      <c r="CY922">
        <f>IFERROR(INDEX(PP_Grid[#Data],$DD922,101),0)</f>
        <v/>
      </c>
      <c r="CZ922">
        <f>IFERROR(INDEX(PP_Grid[#Data],$DD922,102),0)</f>
        <v/>
      </c>
      <c r="DA922">
        <f>IFERROR(INDEX(PP_Grid[#Data],$DD922,103),0)</f>
        <v/>
      </c>
      <c r="DB922">
        <f>IFERROR(INDEX(PP_Grid[#Data],$DD922,104),0)</f>
        <v/>
      </c>
      <c r="DC922">
        <f>IFERROR(INDEX(PP_Grid[#Data],$DD922,105),0)</f>
        <v/>
      </c>
      <c r="DD922" s="12">
        <f>IFERROR(MATCH($B922,PP_Grid[Intermediate],0),99999)</f>
        <v/>
      </c>
    </row>
    <row r="923">
      <c r="B923" t="inlineStr">
        <is>
          <t>使用量(kg)</t>
        </is>
      </c>
      <c r="C923">
        <f>SUMIFS(M_BOM[RM_Qty_Per_Batch],M_BOM[Intermediate],$B922,M_BOM[Part Name],$A903)</f>
        <v/>
      </c>
      <c r="D923">
        <f>$C923*D922</f>
        <v/>
      </c>
      <c r="E923">
        <f>$C923*E922</f>
        <v/>
      </c>
      <c r="F923">
        <f>$C923*F922</f>
        <v/>
      </c>
      <c r="G923">
        <f>$C923*G922</f>
        <v/>
      </c>
      <c r="H923">
        <f>$C923*H922</f>
        <v/>
      </c>
      <c r="I923">
        <f>$C923*I922</f>
        <v/>
      </c>
      <c r="J923">
        <f>$C923*J922</f>
        <v/>
      </c>
      <c r="K923">
        <f>$C923*K922</f>
        <v/>
      </c>
      <c r="L923">
        <f>$C923*L922</f>
        <v/>
      </c>
      <c r="M923">
        <f>$C923*M922</f>
        <v/>
      </c>
      <c r="N923">
        <f>$C923*N922</f>
        <v/>
      </c>
      <c r="O923">
        <f>$C923*O922</f>
        <v/>
      </c>
      <c r="P923">
        <f>$C923*P922</f>
        <v/>
      </c>
      <c r="Q923">
        <f>$C923*Q922</f>
        <v/>
      </c>
      <c r="R923">
        <f>$C923*R922</f>
        <v/>
      </c>
      <c r="S923">
        <f>$C923*S922</f>
        <v/>
      </c>
      <c r="T923">
        <f>$C923*T922</f>
        <v/>
      </c>
      <c r="U923">
        <f>$C923*U922</f>
        <v/>
      </c>
      <c r="V923">
        <f>$C923*V922</f>
        <v/>
      </c>
      <c r="W923">
        <f>$C923*W922</f>
        <v/>
      </c>
      <c r="X923">
        <f>$C923*X922</f>
        <v/>
      </c>
      <c r="Y923">
        <f>$C923*Y922</f>
        <v/>
      </c>
      <c r="Z923">
        <f>$C923*Z922</f>
        <v/>
      </c>
      <c r="AA923">
        <f>$C923*AA922</f>
        <v/>
      </c>
      <c r="AB923">
        <f>$C923*AB922</f>
        <v/>
      </c>
      <c r="AC923">
        <f>$C923*AC922</f>
        <v/>
      </c>
      <c r="AD923">
        <f>$C923*AD922</f>
        <v/>
      </c>
      <c r="AE923">
        <f>$C923*AE922</f>
        <v/>
      </c>
      <c r="AF923">
        <f>$C923*AF922</f>
        <v/>
      </c>
      <c r="AG923">
        <f>$C923*AG922</f>
        <v/>
      </c>
      <c r="AH923">
        <f>$C923*AH922</f>
        <v/>
      </c>
      <c r="AI923">
        <f>$C923*AI922</f>
        <v/>
      </c>
      <c r="AJ923">
        <f>$C923*AJ922</f>
        <v/>
      </c>
      <c r="AK923">
        <f>$C923*AK922</f>
        <v/>
      </c>
      <c r="AL923">
        <f>$C923*AL922</f>
        <v/>
      </c>
      <c r="AM923">
        <f>$C923*AM922</f>
        <v/>
      </c>
      <c r="AN923">
        <f>$C923*AN922</f>
        <v/>
      </c>
      <c r="AO923">
        <f>$C923*AO922</f>
        <v/>
      </c>
      <c r="AP923">
        <f>$C923*AP922</f>
        <v/>
      </c>
      <c r="AQ923">
        <f>$C923*AQ922</f>
        <v/>
      </c>
      <c r="AR923">
        <f>$C923*AR922</f>
        <v/>
      </c>
      <c r="AS923">
        <f>$C923*AS922</f>
        <v/>
      </c>
      <c r="AT923">
        <f>$C923*AT922</f>
        <v/>
      </c>
      <c r="AU923">
        <f>$C923*AU922</f>
        <v/>
      </c>
      <c r="AV923">
        <f>$C923*AV922</f>
        <v/>
      </c>
      <c r="AW923">
        <f>$C923*AW922</f>
        <v/>
      </c>
      <c r="AX923">
        <f>$C923*AX922</f>
        <v/>
      </c>
      <c r="AY923">
        <f>$C923*AY922</f>
        <v/>
      </c>
      <c r="AZ923">
        <f>$C923*AZ922</f>
        <v/>
      </c>
      <c r="BA923">
        <f>$C923*BA922</f>
        <v/>
      </c>
      <c r="BB923">
        <f>$C923*BB922</f>
        <v/>
      </c>
      <c r="BC923">
        <f>$C923*BC922</f>
        <v/>
      </c>
      <c r="BD923">
        <f>$C923*BD922</f>
        <v/>
      </c>
      <c r="BE923">
        <f>$C923*BE922</f>
        <v/>
      </c>
      <c r="BF923">
        <f>$C923*BF922</f>
        <v/>
      </c>
      <c r="BG923">
        <f>$C923*BG922</f>
        <v/>
      </c>
      <c r="BH923">
        <f>$C923*BH922</f>
        <v/>
      </c>
      <c r="BI923">
        <f>$C923*BI922</f>
        <v/>
      </c>
      <c r="BJ923">
        <f>$C923*BJ922</f>
        <v/>
      </c>
      <c r="BK923">
        <f>$C923*BK922</f>
        <v/>
      </c>
      <c r="BL923">
        <f>$C923*BL922</f>
        <v/>
      </c>
      <c r="BM923">
        <f>$C923*BM922</f>
        <v/>
      </c>
      <c r="BN923">
        <f>$C923*BN922</f>
        <v/>
      </c>
      <c r="BO923">
        <f>$C923*BO922</f>
        <v/>
      </c>
      <c r="BP923">
        <f>$C923*BP922</f>
        <v/>
      </c>
      <c r="BQ923">
        <f>$C923*BQ922</f>
        <v/>
      </c>
      <c r="BR923">
        <f>$C923*BR922</f>
        <v/>
      </c>
      <c r="BS923">
        <f>$C923*BS922</f>
        <v/>
      </c>
      <c r="BT923">
        <f>$C923*BT922</f>
        <v/>
      </c>
      <c r="BU923">
        <f>$C923*BU922</f>
        <v/>
      </c>
      <c r="BV923">
        <f>$C923*BV922</f>
        <v/>
      </c>
      <c r="BW923">
        <f>$C923*BW922</f>
        <v/>
      </c>
      <c r="BX923">
        <f>$C923*BX922</f>
        <v/>
      </c>
      <c r="BY923">
        <f>$C923*BY922</f>
        <v/>
      </c>
      <c r="BZ923">
        <f>$C923*BZ922</f>
        <v/>
      </c>
      <c r="CA923">
        <f>$C923*CA922</f>
        <v/>
      </c>
      <c r="CB923">
        <f>$C923*CB922</f>
        <v/>
      </c>
      <c r="CC923">
        <f>$C923*CC922</f>
        <v/>
      </c>
      <c r="CD923">
        <f>$C923*CD922</f>
        <v/>
      </c>
      <c r="CE923">
        <f>$C923*CE922</f>
        <v/>
      </c>
      <c r="CF923">
        <f>$C923*CF922</f>
        <v/>
      </c>
      <c r="CG923">
        <f>$C923*CG922</f>
        <v/>
      </c>
      <c r="CH923">
        <f>$C923*CH922</f>
        <v/>
      </c>
      <c r="CI923">
        <f>$C923*CI922</f>
        <v/>
      </c>
      <c r="CJ923">
        <f>$C923*CJ922</f>
        <v/>
      </c>
      <c r="CK923">
        <f>$C923*CK922</f>
        <v/>
      </c>
      <c r="CL923">
        <f>$C923*CL922</f>
        <v/>
      </c>
      <c r="CM923">
        <f>$C923*CM922</f>
        <v/>
      </c>
      <c r="CN923">
        <f>$C923*CN922</f>
        <v/>
      </c>
      <c r="CO923">
        <f>$C923*CO922</f>
        <v/>
      </c>
      <c r="CP923">
        <f>$C923*CP922</f>
        <v/>
      </c>
      <c r="CQ923">
        <f>$C923*CQ922</f>
        <v/>
      </c>
      <c r="CR923">
        <f>$C923*CR922</f>
        <v/>
      </c>
      <c r="CS923">
        <f>$C923*CS922</f>
        <v/>
      </c>
      <c r="CT923">
        <f>$C923*CT922</f>
        <v/>
      </c>
      <c r="CU923">
        <f>$C923*CU922</f>
        <v/>
      </c>
      <c r="CV923">
        <f>$C923*CV922</f>
        <v/>
      </c>
      <c r="CW923">
        <f>$C923*CW922</f>
        <v/>
      </c>
      <c r="CX923">
        <f>$C923*CX922</f>
        <v/>
      </c>
      <c r="CY923">
        <f>$C923*CY922</f>
        <v/>
      </c>
      <c r="CZ923">
        <f>$C923*CZ922</f>
        <v/>
      </c>
      <c r="DA923">
        <f>$C923*DA922</f>
        <v/>
      </c>
      <c r="DB923">
        <f>$C923*DB922</f>
        <v/>
      </c>
      <c r="DC923">
        <f>$C923*DC922</f>
        <v/>
      </c>
    </row>
    <row r="924">
      <c r="B924" t="inlineStr">
        <is>
          <t>TSP-935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12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Name],$A903)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TSP-936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Name],$A903)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TSP-937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Name],$A903)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TSP-959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Name],$A903)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VSP-600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Name],$A903)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t="inlineStr">
        <is>
          <t>VSP-822</t>
        </is>
      </c>
      <c r="C934" t="inlineStr">
        <is>
          <t>No. of batches</t>
        </is>
      </c>
      <c r="D934">
        <f>IFERROR(INDEX(PP_Grid[#Data],$DD934,2),0)</f>
        <v/>
      </c>
      <c r="E934">
        <f>IFERROR(INDEX(PP_Grid[#Data],$DD934,3),0)</f>
        <v/>
      </c>
      <c r="F934">
        <f>IFERROR(INDEX(PP_Grid[#Data],$DD934,4),0)</f>
        <v/>
      </c>
      <c r="G934">
        <f>IFERROR(INDEX(PP_Grid[#Data],$DD934,5),0)</f>
        <v/>
      </c>
      <c r="H934">
        <f>IFERROR(INDEX(PP_Grid[#Data],$DD934,6),0)</f>
        <v/>
      </c>
      <c r="I934">
        <f>IFERROR(INDEX(PP_Grid[#Data],$DD934,7),0)</f>
        <v/>
      </c>
      <c r="J934">
        <f>IFERROR(INDEX(PP_Grid[#Data],$DD934,8),0)</f>
        <v/>
      </c>
      <c r="K934">
        <f>IFERROR(INDEX(PP_Grid[#Data],$DD934,9),0)</f>
        <v/>
      </c>
      <c r="L934">
        <f>IFERROR(INDEX(PP_Grid[#Data],$DD934,10),0)</f>
        <v/>
      </c>
      <c r="M934">
        <f>IFERROR(INDEX(PP_Grid[#Data],$DD934,11),0)</f>
        <v/>
      </c>
      <c r="N934">
        <f>IFERROR(INDEX(PP_Grid[#Data],$DD934,12),0)</f>
        <v/>
      </c>
      <c r="O934">
        <f>IFERROR(INDEX(PP_Grid[#Data],$DD934,13),0)</f>
        <v/>
      </c>
      <c r="P934">
        <f>IFERROR(INDEX(PP_Grid[#Data],$DD934,14),0)</f>
        <v/>
      </c>
      <c r="Q934">
        <f>IFERROR(INDEX(PP_Grid[#Data],$DD934,15),0)</f>
        <v/>
      </c>
      <c r="R934">
        <f>IFERROR(INDEX(PP_Grid[#Data],$DD934,16),0)</f>
        <v/>
      </c>
      <c r="S934">
        <f>IFERROR(INDEX(PP_Grid[#Data],$DD934,17),0)</f>
        <v/>
      </c>
      <c r="T934">
        <f>IFERROR(INDEX(PP_Grid[#Data],$DD934,18),0)</f>
        <v/>
      </c>
      <c r="U934">
        <f>IFERROR(INDEX(PP_Grid[#Data],$DD934,19),0)</f>
        <v/>
      </c>
      <c r="V934">
        <f>IFERROR(INDEX(PP_Grid[#Data],$DD934,20),0)</f>
        <v/>
      </c>
      <c r="W934">
        <f>IFERROR(INDEX(PP_Grid[#Data],$DD934,21),0)</f>
        <v/>
      </c>
      <c r="X934">
        <f>IFERROR(INDEX(PP_Grid[#Data],$DD934,22),0)</f>
        <v/>
      </c>
      <c r="Y934">
        <f>IFERROR(INDEX(PP_Grid[#Data],$DD934,23),0)</f>
        <v/>
      </c>
      <c r="Z934">
        <f>IFERROR(INDEX(PP_Grid[#Data],$DD934,24),0)</f>
        <v/>
      </c>
      <c r="AA934">
        <f>IFERROR(INDEX(PP_Grid[#Data],$DD934,25),0)</f>
        <v/>
      </c>
      <c r="AB934">
        <f>IFERROR(INDEX(PP_Grid[#Data],$DD934,26),0)</f>
        <v/>
      </c>
      <c r="AC934">
        <f>IFERROR(INDEX(PP_Grid[#Data],$DD934,27),0)</f>
        <v/>
      </c>
      <c r="AD934">
        <f>IFERROR(INDEX(PP_Grid[#Data],$DD934,28),0)</f>
        <v/>
      </c>
      <c r="AE934">
        <f>IFERROR(INDEX(PP_Grid[#Data],$DD934,29),0)</f>
        <v/>
      </c>
      <c r="AF934">
        <f>IFERROR(INDEX(PP_Grid[#Data],$DD934,30),0)</f>
        <v/>
      </c>
      <c r="AG934">
        <f>IFERROR(INDEX(PP_Grid[#Data],$DD934,31),0)</f>
        <v/>
      </c>
      <c r="AH934">
        <f>IFERROR(INDEX(PP_Grid[#Data],$DD934,32),0)</f>
        <v/>
      </c>
      <c r="AI934">
        <f>IFERROR(INDEX(PP_Grid[#Data],$DD934,33),0)</f>
        <v/>
      </c>
      <c r="AJ934">
        <f>IFERROR(INDEX(PP_Grid[#Data],$DD934,34),0)</f>
        <v/>
      </c>
      <c r="AK934">
        <f>IFERROR(INDEX(PP_Grid[#Data],$DD934,35),0)</f>
        <v/>
      </c>
      <c r="AL934">
        <f>IFERROR(INDEX(PP_Grid[#Data],$DD934,36),0)</f>
        <v/>
      </c>
      <c r="AM934">
        <f>IFERROR(INDEX(PP_Grid[#Data],$DD934,37),0)</f>
        <v/>
      </c>
      <c r="AN934">
        <f>IFERROR(INDEX(PP_Grid[#Data],$DD934,38),0)</f>
        <v/>
      </c>
      <c r="AO934">
        <f>IFERROR(INDEX(PP_Grid[#Data],$DD934,39),0)</f>
        <v/>
      </c>
      <c r="AP934">
        <f>IFERROR(INDEX(PP_Grid[#Data],$DD934,40),0)</f>
        <v/>
      </c>
      <c r="AQ934">
        <f>IFERROR(INDEX(PP_Grid[#Data],$DD934,41),0)</f>
        <v/>
      </c>
      <c r="AR934">
        <f>IFERROR(INDEX(PP_Grid[#Data],$DD934,42),0)</f>
        <v/>
      </c>
      <c r="AS934">
        <f>IFERROR(INDEX(PP_Grid[#Data],$DD934,43),0)</f>
        <v/>
      </c>
      <c r="AT934">
        <f>IFERROR(INDEX(PP_Grid[#Data],$DD934,44),0)</f>
        <v/>
      </c>
      <c r="AU934">
        <f>IFERROR(INDEX(PP_Grid[#Data],$DD934,45),0)</f>
        <v/>
      </c>
      <c r="AV934">
        <f>IFERROR(INDEX(PP_Grid[#Data],$DD934,46),0)</f>
        <v/>
      </c>
      <c r="AW934">
        <f>IFERROR(INDEX(PP_Grid[#Data],$DD934,47),0)</f>
        <v/>
      </c>
      <c r="AX934">
        <f>IFERROR(INDEX(PP_Grid[#Data],$DD934,48),0)</f>
        <v/>
      </c>
      <c r="AY934">
        <f>IFERROR(INDEX(PP_Grid[#Data],$DD934,49),0)</f>
        <v/>
      </c>
      <c r="AZ934">
        <f>IFERROR(INDEX(PP_Grid[#Data],$DD934,50),0)</f>
        <v/>
      </c>
      <c r="BA934">
        <f>IFERROR(INDEX(PP_Grid[#Data],$DD934,51),0)</f>
        <v/>
      </c>
      <c r="BB934">
        <f>IFERROR(INDEX(PP_Grid[#Data],$DD934,52),0)</f>
        <v/>
      </c>
      <c r="BC934">
        <f>IFERROR(INDEX(PP_Grid[#Data],$DD934,53),0)</f>
        <v/>
      </c>
      <c r="BD934">
        <f>IFERROR(INDEX(PP_Grid[#Data],$DD934,54),0)</f>
        <v/>
      </c>
      <c r="BE934">
        <f>IFERROR(INDEX(PP_Grid[#Data],$DD934,55),0)</f>
        <v/>
      </c>
      <c r="BF934">
        <f>IFERROR(INDEX(PP_Grid[#Data],$DD934,56),0)</f>
        <v/>
      </c>
      <c r="BG934">
        <f>IFERROR(INDEX(PP_Grid[#Data],$DD934,57),0)</f>
        <v/>
      </c>
      <c r="BH934">
        <f>IFERROR(INDEX(PP_Grid[#Data],$DD934,58),0)</f>
        <v/>
      </c>
      <c r="BI934">
        <f>IFERROR(INDEX(PP_Grid[#Data],$DD934,59),0)</f>
        <v/>
      </c>
      <c r="BJ934">
        <f>IFERROR(INDEX(PP_Grid[#Data],$DD934,60),0)</f>
        <v/>
      </c>
      <c r="BK934">
        <f>IFERROR(INDEX(PP_Grid[#Data],$DD934,61),0)</f>
        <v/>
      </c>
      <c r="BL934">
        <f>IFERROR(INDEX(PP_Grid[#Data],$DD934,62),0)</f>
        <v/>
      </c>
      <c r="BM934">
        <f>IFERROR(INDEX(PP_Grid[#Data],$DD934,63),0)</f>
        <v/>
      </c>
      <c r="BN934">
        <f>IFERROR(INDEX(PP_Grid[#Data],$DD934,64),0)</f>
        <v/>
      </c>
      <c r="BO934">
        <f>IFERROR(INDEX(PP_Grid[#Data],$DD934,65),0)</f>
        <v/>
      </c>
      <c r="BP934">
        <f>IFERROR(INDEX(PP_Grid[#Data],$DD934,66),0)</f>
        <v/>
      </c>
      <c r="BQ934">
        <f>IFERROR(INDEX(PP_Grid[#Data],$DD934,67),0)</f>
        <v/>
      </c>
      <c r="BR934">
        <f>IFERROR(INDEX(PP_Grid[#Data],$DD934,68),0)</f>
        <v/>
      </c>
      <c r="BS934">
        <f>IFERROR(INDEX(PP_Grid[#Data],$DD934,69),0)</f>
        <v/>
      </c>
      <c r="BT934">
        <f>IFERROR(INDEX(PP_Grid[#Data],$DD934,70),0)</f>
        <v/>
      </c>
      <c r="BU934">
        <f>IFERROR(INDEX(PP_Grid[#Data],$DD934,71),0)</f>
        <v/>
      </c>
      <c r="BV934">
        <f>IFERROR(INDEX(PP_Grid[#Data],$DD934,72),0)</f>
        <v/>
      </c>
      <c r="BW934">
        <f>IFERROR(INDEX(PP_Grid[#Data],$DD934,73),0)</f>
        <v/>
      </c>
      <c r="BX934">
        <f>IFERROR(INDEX(PP_Grid[#Data],$DD934,74),0)</f>
        <v/>
      </c>
      <c r="BY934">
        <f>IFERROR(INDEX(PP_Grid[#Data],$DD934,75),0)</f>
        <v/>
      </c>
      <c r="BZ934">
        <f>IFERROR(INDEX(PP_Grid[#Data],$DD934,76),0)</f>
        <v/>
      </c>
      <c r="CA934">
        <f>IFERROR(INDEX(PP_Grid[#Data],$DD934,77),0)</f>
        <v/>
      </c>
      <c r="CB934">
        <f>IFERROR(INDEX(PP_Grid[#Data],$DD934,78),0)</f>
        <v/>
      </c>
      <c r="CC934">
        <f>IFERROR(INDEX(PP_Grid[#Data],$DD934,79),0)</f>
        <v/>
      </c>
      <c r="CD934">
        <f>IFERROR(INDEX(PP_Grid[#Data],$DD934,80),0)</f>
        <v/>
      </c>
      <c r="CE934">
        <f>IFERROR(INDEX(PP_Grid[#Data],$DD934,81),0)</f>
        <v/>
      </c>
      <c r="CF934">
        <f>IFERROR(INDEX(PP_Grid[#Data],$DD934,82),0)</f>
        <v/>
      </c>
      <c r="CG934">
        <f>IFERROR(INDEX(PP_Grid[#Data],$DD934,83),0)</f>
        <v/>
      </c>
      <c r="CH934">
        <f>IFERROR(INDEX(PP_Grid[#Data],$DD934,84),0)</f>
        <v/>
      </c>
      <c r="CI934">
        <f>IFERROR(INDEX(PP_Grid[#Data],$DD934,85),0)</f>
        <v/>
      </c>
      <c r="CJ934">
        <f>IFERROR(INDEX(PP_Grid[#Data],$DD934,86),0)</f>
        <v/>
      </c>
      <c r="CK934">
        <f>IFERROR(INDEX(PP_Grid[#Data],$DD934,87),0)</f>
        <v/>
      </c>
      <c r="CL934">
        <f>IFERROR(INDEX(PP_Grid[#Data],$DD934,88),0)</f>
        <v/>
      </c>
      <c r="CM934">
        <f>IFERROR(INDEX(PP_Grid[#Data],$DD934,89),0)</f>
        <v/>
      </c>
      <c r="CN934">
        <f>IFERROR(INDEX(PP_Grid[#Data],$DD934,90),0)</f>
        <v/>
      </c>
      <c r="CO934">
        <f>IFERROR(INDEX(PP_Grid[#Data],$DD934,91),0)</f>
        <v/>
      </c>
      <c r="CP934">
        <f>IFERROR(INDEX(PP_Grid[#Data],$DD934,92),0)</f>
        <v/>
      </c>
      <c r="CQ934">
        <f>IFERROR(INDEX(PP_Grid[#Data],$DD934,93),0)</f>
        <v/>
      </c>
      <c r="CR934">
        <f>IFERROR(INDEX(PP_Grid[#Data],$DD934,94),0)</f>
        <v/>
      </c>
      <c r="CS934">
        <f>IFERROR(INDEX(PP_Grid[#Data],$DD934,95),0)</f>
        <v/>
      </c>
      <c r="CT934">
        <f>IFERROR(INDEX(PP_Grid[#Data],$DD934,96),0)</f>
        <v/>
      </c>
      <c r="CU934">
        <f>IFERROR(INDEX(PP_Grid[#Data],$DD934,97),0)</f>
        <v/>
      </c>
      <c r="CV934">
        <f>IFERROR(INDEX(PP_Grid[#Data],$DD934,98),0)</f>
        <v/>
      </c>
      <c r="CW934">
        <f>IFERROR(INDEX(PP_Grid[#Data],$DD934,99),0)</f>
        <v/>
      </c>
      <c r="CX934">
        <f>IFERROR(INDEX(PP_Grid[#Data],$DD934,100),0)</f>
        <v/>
      </c>
      <c r="CY934">
        <f>IFERROR(INDEX(PP_Grid[#Data],$DD934,101),0)</f>
        <v/>
      </c>
      <c r="CZ934">
        <f>IFERROR(INDEX(PP_Grid[#Data],$DD934,102),0)</f>
        <v/>
      </c>
      <c r="DA934">
        <f>IFERROR(INDEX(PP_Grid[#Data],$DD934,103),0)</f>
        <v/>
      </c>
      <c r="DB934">
        <f>IFERROR(INDEX(PP_Grid[#Data],$DD934,104),0)</f>
        <v/>
      </c>
      <c r="DC934">
        <f>IFERROR(INDEX(PP_Grid[#Data],$DD934,105),0)</f>
        <v/>
      </c>
      <c r="DD934" s="12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SUMIFS(M_BOM[RM_Qty_Per_Batch],M_BOM[Intermediate],$B934,M_BOM[Part Name],$A903)</f>
        <v/>
      </c>
      <c r="D935">
        <f>$C935*D934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</row>
    <row r="936">
      <c r="B936" t="inlineStr">
        <is>
          <t>VSP-910</t>
        </is>
      </c>
      <c r="C936" t="inlineStr">
        <is>
          <t>No. of batches</t>
        </is>
      </c>
      <c r="D936">
        <f>IFERROR(INDEX(PP_Grid[#Data],$DD936,2),0)</f>
        <v/>
      </c>
      <c r="E936">
        <f>IFERROR(INDEX(PP_Grid[#Data],$DD936,3),0)</f>
        <v/>
      </c>
      <c r="F936">
        <f>IFERROR(INDEX(PP_Grid[#Data],$DD936,4),0)</f>
        <v/>
      </c>
      <c r="G936">
        <f>IFERROR(INDEX(PP_Grid[#Data],$DD936,5),0)</f>
        <v/>
      </c>
      <c r="H936">
        <f>IFERROR(INDEX(PP_Grid[#Data],$DD936,6),0)</f>
        <v/>
      </c>
      <c r="I936">
        <f>IFERROR(INDEX(PP_Grid[#Data],$DD936,7),0)</f>
        <v/>
      </c>
      <c r="J936">
        <f>IFERROR(INDEX(PP_Grid[#Data],$DD936,8),0)</f>
        <v/>
      </c>
      <c r="K936">
        <f>IFERROR(INDEX(PP_Grid[#Data],$DD936,9),0)</f>
        <v/>
      </c>
      <c r="L936">
        <f>IFERROR(INDEX(PP_Grid[#Data],$DD936,10),0)</f>
        <v/>
      </c>
      <c r="M936">
        <f>IFERROR(INDEX(PP_Grid[#Data],$DD936,11),0)</f>
        <v/>
      </c>
      <c r="N936">
        <f>IFERROR(INDEX(PP_Grid[#Data],$DD936,12),0)</f>
        <v/>
      </c>
      <c r="O936">
        <f>IFERROR(INDEX(PP_Grid[#Data],$DD936,13),0)</f>
        <v/>
      </c>
      <c r="P936">
        <f>IFERROR(INDEX(PP_Grid[#Data],$DD936,14),0)</f>
        <v/>
      </c>
      <c r="Q936">
        <f>IFERROR(INDEX(PP_Grid[#Data],$DD936,15),0)</f>
        <v/>
      </c>
      <c r="R936">
        <f>IFERROR(INDEX(PP_Grid[#Data],$DD936,16),0)</f>
        <v/>
      </c>
      <c r="S936">
        <f>IFERROR(INDEX(PP_Grid[#Data],$DD936,17),0)</f>
        <v/>
      </c>
      <c r="T936">
        <f>IFERROR(INDEX(PP_Grid[#Data],$DD936,18),0)</f>
        <v/>
      </c>
      <c r="U936">
        <f>IFERROR(INDEX(PP_Grid[#Data],$DD936,19),0)</f>
        <v/>
      </c>
      <c r="V936">
        <f>IFERROR(INDEX(PP_Grid[#Data],$DD936,20),0)</f>
        <v/>
      </c>
      <c r="W936">
        <f>IFERROR(INDEX(PP_Grid[#Data],$DD936,21),0)</f>
        <v/>
      </c>
      <c r="X936">
        <f>IFERROR(INDEX(PP_Grid[#Data],$DD936,22),0)</f>
        <v/>
      </c>
      <c r="Y936">
        <f>IFERROR(INDEX(PP_Grid[#Data],$DD936,23),0)</f>
        <v/>
      </c>
      <c r="Z936">
        <f>IFERROR(INDEX(PP_Grid[#Data],$DD936,24),0)</f>
        <v/>
      </c>
      <c r="AA936">
        <f>IFERROR(INDEX(PP_Grid[#Data],$DD936,25),0)</f>
        <v/>
      </c>
      <c r="AB936">
        <f>IFERROR(INDEX(PP_Grid[#Data],$DD936,26),0)</f>
        <v/>
      </c>
      <c r="AC936">
        <f>IFERROR(INDEX(PP_Grid[#Data],$DD936,27),0)</f>
        <v/>
      </c>
      <c r="AD936">
        <f>IFERROR(INDEX(PP_Grid[#Data],$DD936,28),0)</f>
        <v/>
      </c>
      <c r="AE936">
        <f>IFERROR(INDEX(PP_Grid[#Data],$DD936,29),0)</f>
        <v/>
      </c>
      <c r="AF936">
        <f>IFERROR(INDEX(PP_Grid[#Data],$DD936,30),0)</f>
        <v/>
      </c>
      <c r="AG936">
        <f>IFERROR(INDEX(PP_Grid[#Data],$DD936,31),0)</f>
        <v/>
      </c>
      <c r="AH936">
        <f>IFERROR(INDEX(PP_Grid[#Data],$DD936,32),0)</f>
        <v/>
      </c>
      <c r="AI936">
        <f>IFERROR(INDEX(PP_Grid[#Data],$DD936,33),0)</f>
        <v/>
      </c>
      <c r="AJ936">
        <f>IFERROR(INDEX(PP_Grid[#Data],$DD936,34),0)</f>
        <v/>
      </c>
      <c r="AK936">
        <f>IFERROR(INDEX(PP_Grid[#Data],$DD936,35),0)</f>
        <v/>
      </c>
      <c r="AL936">
        <f>IFERROR(INDEX(PP_Grid[#Data],$DD936,36),0)</f>
        <v/>
      </c>
      <c r="AM936">
        <f>IFERROR(INDEX(PP_Grid[#Data],$DD936,37),0)</f>
        <v/>
      </c>
      <c r="AN936">
        <f>IFERROR(INDEX(PP_Grid[#Data],$DD936,38),0)</f>
        <v/>
      </c>
      <c r="AO936">
        <f>IFERROR(INDEX(PP_Grid[#Data],$DD936,39),0)</f>
        <v/>
      </c>
      <c r="AP936">
        <f>IFERROR(INDEX(PP_Grid[#Data],$DD936,40),0)</f>
        <v/>
      </c>
      <c r="AQ936">
        <f>IFERROR(INDEX(PP_Grid[#Data],$DD936,41),0)</f>
        <v/>
      </c>
      <c r="AR936">
        <f>IFERROR(INDEX(PP_Grid[#Data],$DD936,42),0)</f>
        <v/>
      </c>
      <c r="AS936">
        <f>IFERROR(INDEX(PP_Grid[#Data],$DD936,43),0)</f>
        <v/>
      </c>
      <c r="AT936">
        <f>IFERROR(INDEX(PP_Grid[#Data],$DD936,44),0)</f>
        <v/>
      </c>
      <c r="AU936">
        <f>IFERROR(INDEX(PP_Grid[#Data],$DD936,45),0)</f>
        <v/>
      </c>
      <c r="AV936">
        <f>IFERROR(INDEX(PP_Grid[#Data],$DD936,46),0)</f>
        <v/>
      </c>
      <c r="AW936">
        <f>IFERROR(INDEX(PP_Grid[#Data],$DD936,47),0)</f>
        <v/>
      </c>
      <c r="AX936">
        <f>IFERROR(INDEX(PP_Grid[#Data],$DD936,48),0)</f>
        <v/>
      </c>
      <c r="AY936">
        <f>IFERROR(INDEX(PP_Grid[#Data],$DD936,49),0)</f>
        <v/>
      </c>
      <c r="AZ936">
        <f>IFERROR(INDEX(PP_Grid[#Data],$DD936,50),0)</f>
        <v/>
      </c>
      <c r="BA936">
        <f>IFERROR(INDEX(PP_Grid[#Data],$DD936,51),0)</f>
        <v/>
      </c>
      <c r="BB936">
        <f>IFERROR(INDEX(PP_Grid[#Data],$DD936,52),0)</f>
        <v/>
      </c>
      <c r="BC936">
        <f>IFERROR(INDEX(PP_Grid[#Data],$DD936,53),0)</f>
        <v/>
      </c>
      <c r="BD936">
        <f>IFERROR(INDEX(PP_Grid[#Data],$DD936,54),0)</f>
        <v/>
      </c>
      <c r="BE936">
        <f>IFERROR(INDEX(PP_Grid[#Data],$DD936,55),0)</f>
        <v/>
      </c>
      <c r="BF936">
        <f>IFERROR(INDEX(PP_Grid[#Data],$DD936,56),0)</f>
        <v/>
      </c>
      <c r="BG936">
        <f>IFERROR(INDEX(PP_Grid[#Data],$DD936,57),0)</f>
        <v/>
      </c>
      <c r="BH936">
        <f>IFERROR(INDEX(PP_Grid[#Data],$DD936,58),0)</f>
        <v/>
      </c>
      <c r="BI936">
        <f>IFERROR(INDEX(PP_Grid[#Data],$DD936,59),0)</f>
        <v/>
      </c>
      <c r="BJ936">
        <f>IFERROR(INDEX(PP_Grid[#Data],$DD936,60),0)</f>
        <v/>
      </c>
      <c r="BK936">
        <f>IFERROR(INDEX(PP_Grid[#Data],$DD936,61),0)</f>
        <v/>
      </c>
      <c r="BL936">
        <f>IFERROR(INDEX(PP_Grid[#Data],$DD936,62),0)</f>
        <v/>
      </c>
      <c r="BM936">
        <f>IFERROR(INDEX(PP_Grid[#Data],$DD936,63),0)</f>
        <v/>
      </c>
      <c r="BN936">
        <f>IFERROR(INDEX(PP_Grid[#Data],$DD936,64),0)</f>
        <v/>
      </c>
      <c r="BO936">
        <f>IFERROR(INDEX(PP_Grid[#Data],$DD936,65),0)</f>
        <v/>
      </c>
      <c r="BP936">
        <f>IFERROR(INDEX(PP_Grid[#Data],$DD936,66),0)</f>
        <v/>
      </c>
      <c r="BQ936">
        <f>IFERROR(INDEX(PP_Grid[#Data],$DD936,67),0)</f>
        <v/>
      </c>
      <c r="BR936">
        <f>IFERROR(INDEX(PP_Grid[#Data],$DD936,68),0)</f>
        <v/>
      </c>
      <c r="BS936">
        <f>IFERROR(INDEX(PP_Grid[#Data],$DD936,69),0)</f>
        <v/>
      </c>
      <c r="BT936">
        <f>IFERROR(INDEX(PP_Grid[#Data],$DD936,70),0)</f>
        <v/>
      </c>
      <c r="BU936">
        <f>IFERROR(INDEX(PP_Grid[#Data],$DD936,71),0)</f>
        <v/>
      </c>
      <c r="BV936">
        <f>IFERROR(INDEX(PP_Grid[#Data],$DD936,72),0)</f>
        <v/>
      </c>
      <c r="BW936">
        <f>IFERROR(INDEX(PP_Grid[#Data],$DD936,73),0)</f>
        <v/>
      </c>
      <c r="BX936">
        <f>IFERROR(INDEX(PP_Grid[#Data],$DD936,74),0)</f>
        <v/>
      </c>
      <c r="BY936">
        <f>IFERROR(INDEX(PP_Grid[#Data],$DD936,75),0)</f>
        <v/>
      </c>
      <c r="BZ936">
        <f>IFERROR(INDEX(PP_Grid[#Data],$DD936,76),0)</f>
        <v/>
      </c>
      <c r="CA936">
        <f>IFERROR(INDEX(PP_Grid[#Data],$DD936,77),0)</f>
        <v/>
      </c>
      <c r="CB936">
        <f>IFERROR(INDEX(PP_Grid[#Data],$DD936,78),0)</f>
        <v/>
      </c>
      <c r="CC936">
        <f>IFERROR(INDEX(PP_Grid[#Data],$DD936,79),0)</f>
        <v/>
      </c>
      <c r="CD936">
        <f>IFERROR(INDEX(PP_Grid[#Data],$DD936,80),0)</f>
        <v/>
      </c>
      <c r="CE936">
        <f>IFERROR(INDEX(PP_Grid[#Data],$DD936,81),0)</f>
        <v/>
      </c>
      <c r="CF936">
        <f>IFERROR(INDEX(PP_Grid[#Data],$DD936,82),0)</f>
        <v/>
      </c>
      <c r="CG936">
        <f>IFERROR(INDEX(PP_Grid[#Data],$DD936,83),0)</f>
        <v/>
      </c>
      <c r="CH936">
        <f>IFERROR(INDEX(PP_Grid[#Data],$DD936,84),0)</f>
        <v/>
      </c>
      <c r="CI936">
        <f>IFERROR(INDEX(PP_Grid[#Data],$DD936,85),0)</f>
        <v/>
      </c>
      <c r="CJ936">
        <f>IFERROR(INDEX(PP_Grid[#Data],$DD936,86),0)</f>
        <v/>
      </c>
      <c r="CK936">
        <f>IFERROR(INDEX(PP_Grid[#Data],$DD936,87),0)</f>
        <v/>
      </c>
      <c r="CL936">
        <f>IFERROR(INDEX(PP_Grid[#Data],$DD936,88),0)</f>
        <v/>
      </c>
      <c r="CM936">
        <f>IFERROR(INDEX(PP_Grid[#Data],$DD936,89),0)</f>
        <v/>
      </c>
      <c r="CN936">
        <f>IFERROR(INDEX(PP_Grid[#Data],$DD936,90),0)</f>
        <v/>
      </c>
      <c r="CO936">
        <f>IFERROR(INDEX(PP_Grid[#Data],$DD936,91),0)</f>
        <v/>
      </c>
      <c r="CP936">
        <f>IFERROR(INDEX(PP_Grid[#Data],$DD936,92),0)</f>
        <v/>
      </c>
      <c r="CQ936">
        <f>IFERROR(INDEX(PP_Grid[#Data],$DD936,93),0)</f>
        <v/>
      </c>
      <c r="CR936">
        <f>IFERROR(INDEX(PP_Grid[#Data],$DD936,94),0)</f>
        <v/>
      </c>
      <c r="CS936">
        <f>IFERROR(INDEX(PP_Grid[#Data],$DD936,95),0)</f>
        <v/>
      </c>
      <c r="CT936">
        <f>IFERROR(INDEX(PP_Grid[#Data],$DD936,96),0)</f>
        <v/>
      </c>
      <c r="CU936">
        <f>IFERROR(INDEX(PP_Grid[#Data],$DD936,97),0)</f>
        <v/>
      </c>
      <c r="CV936">
        <f>IFERROR(INDEX(PP_Grid[#Data],$DD936,98),0)</f>
        <v/>
      </c>
      <c r="CW936">
        <f>IFERROR(INDEX(PP_Grid[#Data],$DD936,99),0)</f>
        <v/>
      </c>
      <c r="CX936">
        <f>IFERROR(INDEX(PP_Grid[#Data],$DD936,100),0)</f>
        <v/>
      </c>
      <c r="CY936">
        <f>IFERROR(INDEX(PP_Grid[#Data],$DD936,101),0)</f>
        <v/>
      </c>
      <c r="CZ936">
        <f>IFERROR(INDEX(PP_Grid[#Data],$DD936,102),0)</f>
        <v/>
      </c>
      <c r="DA936">
        <f>IFERROR(INDEX(PP_Grid[#Data],$DD936,103),0)</f>
        <v/>
      </c>
      <c r="DB936">
        <f>IFERROR(INDEX(PP_Grid[#Data],$DD936,104),0)</f>
        <v/>
      </c>
      <c r="DC936">
        <f>IFERROR(INDEX(PP_Grid[#Data],$DD936,105),0)</f>
        <v/>
      </c>
      <c r="DD936" s="12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SUMIFS(M_BOM[RM_Qty_Per_Batch],M_BOM[Intermediate],$B936,M_BOM[Part Name],$A903)</f>
        <v/>
      </c>
      <c r="D937">
        <f>$C937*D936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</row>
    <row r="938">
      <c r="B938" t="inlineStr">
        <is>
          <t>VSP-990</t>
        </is>
      </c>
      <c r="C938" t="inlineStr">
        <is>
          <t>No. of batches</t>
        </is>
      </c>
      <c r="D938">
        <f>IFERROR(INDEX(PP_Grid[#Data],$DD938,2),0)</f>
        <v/>
      </c>
      <c r="E938">
        <f>IFERROR(INDEX(PP_Grid[#Data],$DD938,3),0)</f>
        <v/>
      </c>
      <c r="F938">
        <f>IFERROR(INDEX(PP_Grid[#Data],$DD938,4),0)</f>
        <v/>
      </c>
      <c r="G938">
        <f>IFERROR(INDEX(PP_Grid[#Data],$DD938,5),0)</f>
        <v/>
      </c>
      <c r="H938">
        <f>IFERROR(INDEX(PP_Grid[#Data],$DD938,6),0)</f>
        <v/>
      </c>
      <c r="I938">
        <f>IFERROR(INDEX(PP_Grid[#Data],$DD938,7),0)</f>
        <v/>
      </c>
      <c r="J938">
        <f>IFERROR(INDEX(PP_Grid[#Data],$DD938,8),0)</f>
        <v/>
      </c>
      <c r="K938">
        <f>IFERROR(INDEX(PP_Grid[#Data],$DD938,9),0)</f>
        <v/>
      </c>
      <c r="L938">
        <f>IFERROR(INDEX(PP_Grid[#Data],$DD938,10),0)</f>
        <v/>
      </c>
      <c r="M938">
        <f>IFERROR(INDEX(PP_Grid[#Data],$DD938,11),0)</f>
        <v/>
      </c>
      <c r="N938">
        <f>IFERROR(INDEX(PP_Grid[#Data],$DD938,12),0)</f>
        <v/>
      </c>
      <c r="O938">
        <f>IFERROR(INDEX(PP_Grid[#Data],$DD938,13),0)</f>
        <v/>
      </c>
      <c r="P938">
        <f>IFERROR(INDEX(PP_Grid[#Data],$DD938,14),0)</f>
        <v/>
      </c>
      <c r="Q938">
        <f>IFERROR(INDEX(PP_Grid[#Data],$DD938,15),0)</f>
        <v/>
      </c>
      <c r="R938">
        <f>IFERROR(INDEX(PP_Grid[#Data],$DD938,16),0)</f>
        <v/>
      </c>
      <c r="S938">
        <f>IFERROR(INDEX(PP_Grid[#Data],$DD938,17),0)</f>
        <v/>
      </c>
      <c r="T938">
        <f>IFERROR(INDEX(PP_Grid[#Data],$DD938,18),0)</f>
        <v/>
      </c>
      <c r="U938">
        <f>IFERROR(INDEX(PP_Grid[#Data],$DD938,19),0)</f>
        <v/>
      </c>
      <c r="V938">
        <f>IFERROR(INDEX(PP_Grid[#Data],$DD938,20),0)</f>
        <v/>
      </c>
      <c r="W938">
        <f>IFERROR(INDEX(PP_Grid[#Data],$DD938,21),0)</f>
        <v/>
      </c>
      <c r="X938">
        <f>IFERROR(INDEX(PP_Grid[#Data],$DD938,22),0)</f>
        <v/>
      </c>
      <c r="Y938">
        <f>IFERROR(INDEX(PP_Grid[#Data],$DD938,23),0)</f>
        <v/>
      </c>
      <c r="Z938">
        <f>IFERROR(INDEX(PP_Grid[#Data],$DD938,24),0)</f>
        <v/>
      </c>
      <c r="AA938">
        <f>IFERROR(INDEX(PP_Grid[#Data],$DD938,25),0)</f>
        <v/>
      </c>
      <c r="AB938">
        <f>IFERROR(INDEX(PP_Grid[#Data],$DD938,26),0)</f>
        <v/>
      </c>
      <c r="AC938">
        <f>IFERROR(INDEX(PP_Grid[#Data],$DD938,27),0)</f>
        <v/>
      </c>
      <c r="AD938">
        <f>IFERROR(INDEX(PP_Grid[#Data],$DD938,28),0)</f>
        <v/>
      </c>
      <c r="AE938">
        <f>IFERROR(INDEX(PP_Grid[#Data],$DD938,29),0)</f>
        <v/>
      </c>
      <c r="AF938">
        <f>IFERROR(INDEX(PP_Grid[#Data],$DD938,30),0)</f>
        <v/>
      </c>
      <c r="AG938">
        <f>IFERROR(INDEX(PP_Grid[#Data],$DD938,31),0)</f>
        <v/>
      </c>
      <c r="AH938">
        <f>IFERROR(INDEX(PP_Grid[#Data],$DD938,32),0)</f>
        <v/>
      </c>
      <c r="AI938">
        <f>IFERROR(INDEX(PP_Grid[#Data],$DD938,33),0)</f>
        <v/>
      </c>
      <c r="AJ938">
        <f>IFERROR(INDEX(PP_Grid[#Data],$DD938,34),0)</f>
        <v/>
      </c>
      <c r="AK938">
        <f>IFERROR(INDEX(PP_Grid[#Data],$DD938,35),0)</f>
        <v/>
      </c>
      <c r="AL938">
        <f>IFERROR(INDEX(PP_Grid[#Data],$DD938,36),0)</f>
        <v/>
      </c>
      <c r="AM938">
        <f>IFERROR(INDEX(PP_Grid[#Data],$DD938,37),0)</f>
        <v/>
      </c>
      <c r="AN938">
        <f>IFERROR(INDEX(PP_Grid[#Data],$DD938,38),0)</f>
        <v/>
      </c>
      <c r="AO938">
        <f>IFERROR(INDEX(PP_Grid[#Data],$DD938,39),0)</f>
        <v/>
      </c>
      <c r="AP938">
        <f>IFERROR(INDEX(PP_Grid[#Data],$DD938,40),0)</f>
        <v/>
      </c>
      <c r="AQ938">
        <f>IFERROR(INDEX(PP_Grid[#Data],$DD938,41),0)</f>
        <v/>
      </c>
      <c r="AR938">
        <f>IFERROR(INDEX(PP_Grid[#Data],$DD938,42),0)</f>
        <v/>
      </c>
      <c r="AS938">
        <f>IFERROR(INDEX(PP_Grid[#Data],$DD938,43),0)</f>
        <v/>
      </c>
      <c r="AT938">
        <f>IFERROR(INDEX(PP_Grid[#Data],$DD938,44),0)</f>
        <v/>
      </c>
      <c r="AU938">
        <f>IFERROR(INDEX(PP_Grid[#Data],$DD938,45),0)</f>
        <v/>
      </c>
      <c r="AV938">
        <f>IFERROR(INDEX(PP_Grid[#Data],$DD938,46),0)</f>
        <v/>
      </c>
      <c r="AW938">
        <f>IFERROR(INDEX(PP_Grid[#Data],$DD938,47),0)</f>
        <v/>
      </c>
      <c r="AX938">
        <f>IFERROR(INDEX(PP_Grid[#Data],$DD938,48),0)</f>
        <v/>
      </c>
      <c r="AY938">
        <f>IFERROR(INDEX(PP_Grid[#Data],$DD938,49),0)</f>
        <v/>
      </c>
      <c r="AZ938">
        <f>IFERROR(INDEX(PP_Grid[#Data],$DD938,50),0)</f>
        <v/>
      </c>
      <c r="BA938">
        <f>IFERROR(INDEX(PP_Grid[#Data],$DD938,51),0)</f>
        <v/>
      </c>
      <c r="BB938">
        <f>IFERROR(INDEX(PP_Grid[#Data],$DD938,52),0)</f>
        <v/>
      </c>
      <c r="BC938">
        <f>IFERROR(INDEX(PP_Grid[#Data],$DD938,53),0)</f>
        <v/>
      </c>
      <c r="BD938">
        <f>IFERROR(INDEX(PP_Grid[#Data],$DD938,54),0)</f>
        <v/>
      </c>
      <c r="BE938">
        <f>IFERROR(INDEX(PP_Grid[#Data],$DD938,55),0)</f>
        <v/>
      </c>
      <c r="BF938">
        <f>IFERROR(INDEX(PP_Grid[#Data],$DD938,56),0)</f>
        <v/>
      </c>
      <c r="BG938">
        <f>IFERROR(INDEX(PP_Grid[#Data],$DD938,57),0)</f>
        <v/>
      </c>
      <c r="BH938">
        <f>IFERROR(INDEX(PP_Grid[#Data],$DD938,58),0)</f>
        <v/>
      </c>
      <c r="BI938">
        <f>IFERROR(INDEX(PP_Grid[#Data],$DD938,59),0)</f>
        <v/>
      </c>
      <c r="BJ938">
        <f>IFERROR(INDEX(PP_Grid[#Data],$DD938,60),0)</f>
        <v/>
      </c>
      <c r="BK938">
        <f>IFERROR(INDEX(PP_Grid[#Data],$DD938,61),0)</f>
        <v/>
      </c>
      <c r="BL938">
        <f>IFERROR(INDEX(PP_Grid[#Data],$DD938,62),0)</f>
        <v/>
      </c>
      <c r="BM938">
        <f>IFERROR(INDEX(PP_Grid[#Data],$DD938,63),0)</f>
        <v/>
      </c>
      <c r="BN938">
        <f>IFERROR(INDEX(PP_Grid[#Data],$DD938,64),0)</f>
        <v/>
      </c>
      <c r="BO938">
        <f>IFERROR(INDEX(PP_Grid[#Data],$DD938,65),0)</f>
        <v/>
      </c>
      <c r="BP938">
        <f>IFERROR(INDEX(PP_Grid[#Data],$DD938,66),0)</f>
        <v/>
      </c>
      <c r="BQ938">
        <f>IFERROR(INDEX(PP_Grid[#Data],$DD938,67),0)</f>
        <v/>
      </c>
      <c r="BR938">
        <f>IFERROR(INDEX(PP_Grid[#Data],$DD938,68),0)</f>
        <v/>
      </c>
      <c r="BS938">
        <f>IFERROR(INDEX(PP_Grid[#Data],$DD938,69),0)</f>
        <v/>
      </c>
      <c r="BT938">
        <f>IFERROR(INDEX(PP_Grid[#Data],$DD938,70),0)</f>
        <v/>
      </c>
      <c r="BU938">
        <f>IFERROR(INDEX(PP_Grid[#Data],$DD938,71),0)</f>
        <v/>
      </c>
      <c r="BV938">
        <f>IFERROR(INDEX(PP_Grid[#Data],$DD938,72),0)</f>
        <v/>
      </c>
      <c r="BW938">
        <f>IFERROR(INDEX(PP_Grid[#Data],$DD938,73),0)</f>
        <v/>
      </c>
      <c r="BX938">
        <f>IFERROR(INDEX(PP_Grid[#Data],$DD938,74),0)</f>
        <v/>
      </c>
      <c r="BY938">
        <f>IFERROR(INDEX(PP_Grid[#Data],$DD938,75),0)</f>
        <v/>
      </c>
      <c r="BZ938">
        <f>IFERROR(INDEX(PP_Grid[#Data],$DD938,76),0)</f>
        <v/>
      </c>
      <c r="CA938">
        <f>IFERROR(INDEX(PP_Grid[#Data],$DD938,77),0)</f>
        <v/>
      </c>
      <c r="CB938">
        <f>IFERROR(INDEX(PP_Grid[#Data],$DD938,78),0)</f>
        <v/>
      </c>
      <c r="CC938">
        <f>IFERROR(INDEX(PP_Grid[#Data],$DD938,79),0)</f>
        <v/>
      </c>
      <c r="CD938">
        <f>IFERROR(INDEX(PP_Grid[#Data],$DD938,80),0)</f>
        <v/>
      </c>
      <c r="CE938">
        <f>IFERROR(INDEX(PP_Grid[#Data],$DD938,81),0)</f>
        <v/>
      </c>
      <c r="CF938">
        <f>IFERROR(INDEX(PP_Grid[#Data],$DD938,82),0)</f>
        <v/>
      </c>
      <c r="CG938">
        <f>IFERROR(INDEX(PP_Grid[#Data],$DD938,83),0)</f>
        <v/>
      </c>
      <c r="CH938">
        <f>IFERROR(INDEX(PP_Grid[#Data],$DD938,84),0)</f>
        <v/>
      </c>
      <c r="CI938">
        <f>IFERROR(INDEX(PP_Grid[#Data],$DD938,85),0)</f>
        <v/>
      </c>
      <c r="CJ938">
        <f>IFERROR(INDEX(PP_Grid[#Data],$DD938,86),0)</f>
        <v/>
      </c>
      <c r="CK938">
        <f>IFERROR(INDEX(PP_Grid[#Data],$DD938,87),0)</f>
        <v/>
      </c>
      <c r="CL938">
        <f>IFERROR(INDEX(PP_Grid[#Data],$DD938,88),0)</f>
        <v/>
      </c>
      <c r="CM938">
        <f>IFERROR(INDEX(PP_Grid[#Data],$DD938,89),0)</f>
        <v/>
      </c>
      <c r="CN938">
        <f>IFERROR(INDEX(PP_Grid[#Data],$DD938,90),0)</f>
        <v/>
      </c>
      <c r="CO938">
        <f>IFERROR(INDEX(PP_Grid[#Data],$DD938,91),0)</f>
        <v/>
      </c>
      <c r="CP938">
        <f>IFERROR(INDEX(PP_Grid[#Data],$DD938,92),0)</f>
        <v/>
      </c>
      <c r="CQ938">
        <f>IFERROR(INDEX(PP_Grid[#Data],$DD938,93),0)</f>
        <v/>
      </c>
      <c r="CR938">
        <f>IFERROR(INDEX(PP_Grid[#Data],$DD938,94),0)</f>
        <v/>
      </c>
      <c r="CS938">
        <f>IFERROR(INDEX(PP_Grid[#Data],$DD938,95),0)</f>
        <v/>
      </c>
      <c r="CT938">
        <f>IFERROR(INDEX(PP_Grid[#Data],$DD938,96),0)</f>
        <v/>
      </c>
      <c r="CU938">
        <f>IFERROR(INDEX(PP_Grid[#Data],$DD938,97),0)</f>
        <v/>
      </c>
      <c r="CV938">
        <f>IFERROR(INDEX(PP_Grid[#Data],$DD938,98),0)</f>
        <v/>
      </c>
      <c r="CW938">
        <f>IFERROR(INDEX(PP_Grid[#Data],$DD938,99),0)</f>
        <v/>
      </c>
      <c r="CX938">
        <f>IFERROR(INDEX(PP_Grid[#Data],$DD938,100),0)</f>
        <v/>
      </c>
      <c r="CY938">
        <f>IFERROR(INDEX(PP_Grid[#Data],$DD938,101),0)</f>
        <v/>
      </c>
      <c r="CZ938">
        <f>IFERROR(INDEX(PP_Grid[#Data],$DD938,102),0)</f>
        <v/>
      </c>
      <c r="DA938">
        <f>IFERROR(INDEX(PP_Grid[#Data],$DD938,103),0)</f>
        <v/>
      </c>
      <c r="DB938">
        <f>IFERROR(INDEX(PP_Grid[#Data],$DD938,104),0)</f>
        <v/>
      </c>
      <c r="DC938">
        <f>IFERROR(INDEX(PP_Grid[#Data],$DD938,105),0)</f>
        <v/>
      </c>
      <c r="DD938" s="12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SUMIFS(M_BOM[RM_Qty_Per_Batch],M_BOM[Intermediate],$B938,M_BOM[Part Name],$A903)</f>
        <v/>
      </c>
      <c r="D939">
        <f>$C939*D938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</row>
    <row r="940">
      <c r="B940" s="5" t="inlineStr">
        <is>
          <t>合計使用量(kg)/週</t>
        </is>
      </c>
      <c r="D940">
        <f>'Grid_Requirement'!B34</f>
        <v/>
      </c>
      <c r="E940">
        <f>'Grid_Requirement'!C34</f>
        <v/>
      </c>
      <c r="F940">
        <f>'Grid_Requirement'!D34</f>
        <v/>
      </c>
      <c r="G940">
        <f>'Grid_Requirement'!E34</f>
        <v/>
      </c>
      <c r="H940">
        <f>'Grid_Requirement'!F34</f>
        <v/>
      </c>
      <c r="I940">
        <f>'Grid_Requirement'!G34</f>
        <v/>
      </c>
      <c r="J940">
        <f>'Grid_Requirement'!H34</f>
        <v/>
      </c>
      <c r="K940">
        <f>'Grid_Requirement'!I34</f>
        <v/>
      </c>
      <c r="L940">
        <f>'Grid_Requirement'!J34</f>
        <v/>
      </c>
      <c r="M940">
        <f>'Grid_Requirement'!K34</f>
        <v/>
      </c>
      <c r="N940">
        <f>'Grid_Requirement'!L34</f>
        <v/>
      </c>
      <c r="O940">
        <f>'Grid_Requirement'!M34</f>
        <v/>
      </c>
      <c r="P940">
        <f>'Grid_Requirement'!N34</f>
        <v/>
      </c>
      <c r="Q940">
        <f>'Grid_Requirement'!O34</f>
        <v/>
      </c>
      <c r="R940">
        <f>'Grid_Requirement'!P34</f>
        <v/>
      </c>
      <c r="S940">
        <f>'Grid_Requirement'!Q34</f>
        <v/>
      </c>
      <c r="T940">
        <f>'Grid_Requirement'!R34</f>
        <v/>
      </c>
      <c r="U940">
        <f>'Grid_Requirement'!S34</f>
        <v/>
      </c>
      <c r="V940">
        <f>'Grid_Requirement'!T34</f>
        <v/>
      </c>
      <c r="W940">
        <f>'Grid_Requirement'!U34</f>
        <v/>
      </c>
      <c r="X940">
        <f>'Grid_Requirement'!V34</f>
        <v/>
      </c>
      <c r="Y940">
        <f>'Grid_Requirement'!W34</f>
        <v/>
      </c>
      <c r="Z940">
        <f>'Grid_Requirement'!X34</f>
        <v/>
      </c>
      <c r="AA940">
        <f>'Grid_Requirement'!Y34</f>
        <v/>
      </c>
      <c r="AB940">
        <f>'Grid_Requirement'!Z34</f>
        <v/>
      </c>
      <c r="AC940">
        <f>'Grid_Requirement'!AA34</f>
        <v/>
      </c>
      <c r="AD940">
        <f>'Grid_Requirement'!AB34</f>
        <v/>
      </c>
      <c r="AE940">
        <f>'Grid_Requirement'!AC34</f>
        <v/>
      </c>
      <c r="AF940">
        <f>'Grid_Requirement'!AD34</f>
        <v/>
      </c>
      <c r="AG940">
        <f>'Grid_Requirement'!AE34</f>
        <v/>
      </c>
      <c r="AH940">
        <f>'Grid_Requirement'!AF34</f>
        <v/>
      </c>
      <c r="AI940">
        <f>'Grid_Requirement'!AG34</f>
        <v/>
      </c>
      <c r="AJ940">
        <f>'Grid_Requirement'!AH34</f>
        <v/>
      </c>
      <c r="AK940">
        <f>'Grid_Requirement'!AI34</f>
        <v/>
      </c>
      <c r="AL940">
        <f>'Grid_Requirement'!AJ34</f>
        <v/>
      </c>
      <c r="AM940">
        <f>'Grid_Requirement'!AK34</f>
        <v/>
      </c>
      <c r="AN940">
        <f>'Grid_Requirement'!AL34</f>
        <v/>
      </c>
      <c r="AO940">
        <f>'Grid_Requirement'!AM34</f>
        <v/>
      </c>
      <c r="AP940">
        <f>'Grid_Requirement'!AN34</f>
        <v/>
      </c>
      <c r="AQ940">
        <f>'Grid_Requirement'!AO34</f>
        <v/>
      </c>
      <c r="AR940">
        <f>'Grid_Requirement'!AP34</f>
        <v/>
      </c>
      <c r="AS940">
        <f>'Grid_Requirement'!AQ34</f>
        <v/>
      </c>
      <c r="AT940">
        <f>'Grid_Requirement'!AR34</f>
        <v/>
      </c>
      <c r="AU940">
        <f>'Grid_Requirement'!AS34</f>
        <v/>
      </c>
      <c r="AV940">
        <f>'Grid_Requirement'!AT34</f>
        <v/>
      </c>
      <c r="AW940">
        <f>'Grid_Requirement'!AU34</f>
        <v/>
      </c>
      <c r="AX940">
        <f>'Grid_Requirement'!AV34</f>
        <v/>
      </c>
      <c r="AY940">
        <f>'Grid_Requirement'!AW34</f>
        <v/>
      </c>
      <c r="AZ940">
        <f>'Grid_Requirement'!AX34</f>
        <v/>
      </c>
      <c r="BA940">
        <f>'Grid_Requirement'!AY34</f>
        <v/>
      </c>
      <c r="BB940">
        <f>'Grid_Requirement'!AZ34</f>
        <v/>
      </c>
      <c r="BC940">
        <f>'Grid_Requirement'!BA34</f>
        <v/>
      </c>
      <c r="BD940">
        <f>'Grid_Requirement'!BB34</f>
        <v/>
      </c>
      <c r="BE940">
        <f>'Grid_Requirement'!BC34</f>
        <v/>
      </c>
      <c r="BF940">
        <f>'Grid_Requirement'!BD34</f>
        <v/>
      </c>
      <c r="BG940">
        <f>'Grid_Requirement'!BE34</f>
        <v/>
      </c>
      <c r="BH940">
        <f>'Grid_Requirement'!BF34</f>
        <v/>
      </c>
      <c r="BI940">
        <f>'Grid_Requirement'!BG34</f>
        <v/>
      </c>
      <c r="BJ940">
        <f>'Grid_Requirement'!BH34</f>
        <v/>
      </c>
      <c r="BK940">
        <f>'Grid_Requirement'!BI34</f>
        <v/>
      </c>
      <c r="BL940">
        <f>'Grid_Requirement'!BJ34</f>
        <v/>
      </c>
      <c r="BM940">
        <f>'Grid_Requirement'!BK34</f>
        <v/>
      </c>
      <c r="BN940">
        <f>'Grid_Requirement'!BL34</f>
        <v/>
      </c>
      <c r="BO940">
        <f>'Grid_Requirement'!BM34</f>
        <v/>
      </c>
      <c r="BP940">
        <f>'Grid_Requirement'!BN34</f>
        <v/>
      </c>
      <c r="BQ940">
        <f>'Grid_Requirement'!BO34</f>
        <v/>
      </c>
      <c r="BR940">
        <f>'Grid_Requirement'!BP34</f>
        <v/>
      </c>
      <c r="BS940">
        <f>'Grid_Requirement'!BQ34</f>
        <v/>
      </c>
      <c r="BT940">
        <f>'Grid_Requirement'!BR34</f>
        <v/>
      </c>
      <c r="BU940">
        <f>'Grid_Requirement'!BS34</f>
        <v/>
      </c>
      <c r="BV940">
        <f>'Grid_Requirement'!BT34</f>
        <v/>
      </c>
      <c r="BW940">
        <f>'Grid_Requirement'!BU34</f>
        <v/>
      </c>
      <c r="BX940">
        <f>'Grid_Requirement'!BV34</f>
        <v/>
      </c>
      <c r="BY940">
        <f>'Grid_Requirement'!BW34</f>
        <v/>
      </c>
      <c r="BZ940">
        <f>'Grid_Requirement'!BX34</f>
        <v/>
      </c>
      <c r="CA940">
        <f>'Grid_Requirement'!BY34</f>
        <v/>
      </c>
      <c r="CB940">
        <f>'Grid_Requirement'!BZ34</f>
        <v/>
      </c>
      <c r="CC940">
        <f>'Grid_Requirement'!CA34</f>
        <v/>
      </c>
      <c r="CD940">
        <f>'Grid_Requirement'!CB34</f>
        <v/>
      </c>
      <c r="CE940">
        <f>'Grid_Requirement'!CC34</f>
        <v/>
      </c>
      <c r="CF940">
        <f>'Grid_Requirement'!CD34</f>
        <v/>
      </c>
      <c r="CG940">
        <f>'Grid_Requirement'!CE34</f>
        <v/>
      </c>
      <c r="CH940">
        <f>'Grid_Requirement'!CF34</f>
        <v/>
      </c>
      <c r="CI940">
        <f>'Grid_Requirement'!CG34</f>
        <v/>
      </c>
      <c r="CJ940">
        <f>'Grid_Requirement'!CH34</f>
        <v/>
      </c>
      <c r="CK940">
        <f>'Grid_Requirement'!CI34</f>
        <v/>
      </c>
      <c r="CL940">
        <f>'Grid_Requirement'!CJ34</f>
        <v/>
      </c>
      <c r="CM940">
        <f>'Grid_Requirement'!CK34</f>
        <v/>
      </c>
      <c r="CN940">
        <f>'Grid_Requirement'!CL34</f>
        <v/>
      </c>
      <c r="CO940">
        <f>'Grid_Requirement'!CM34</f>
        <v/>
      </c>
      <c r="CP940">
        <f>'Grid_Requirement'!CN34</f>
        <v/>
      </c>
      <c r="CQ940">
        <f>'Grid_Requirement'!CO34</f>
        <v/>
      </c>
      <c r="CR940">
        <f>'Grid_Requirement'!CP34</f>
        <v/>
      </c>
      <c r="CS940">
        <f>'Grid_Requirement'!CQ34</f>
        <v/>
      </c>
      <c r="CT940">
        <f>'Grid_Requirement'!CR34</f>
        <v/>
      </c>
      <c r="CU940">
        <f>'Grid_Requirement'!CS34</f>
        <v/>
      </c>
      <c r="CV940">
        <f>'Grid_Requirement'!CT34</f>
        <v/>
      </c>
      <c r="CW940">
        <f>'Grid_Requirement'!CU34</f>
        <v/>
      </c>
      <c r="CX940">
        <f>'Grid_Requirement'!CV34</f>
        <v/>
      </c>
      <c r="CY940">
        <f>'Grid_Requirement'!CW34</f>
        <v/>
      </c>
      <c r="CZ940">
        <f>'Grid_Requirement'!CX34</f>
        <v/>
      </c>
      <c r="DA940">
        <f>'Grid_Requirement'!CY34</f>
        <v/>
      </c>
      <c r="DB940">
        <f>'Grid_Requirement'!CZ34</f>
        <v/>
      </c>
      <c r="DC940">
        <f>'Grid_Requirement'!DA34</f>
        <v/>
      </c>
    </row>
    <row r="941">
      <c r="B941" t="inlineStr">
        <is>
          <t>TTAF在庫(実績,kg)</t>
        </is>
      </c>
      <c r="D941">
        <f>'T_TTAFStock'!B38</f>
        <v/>
      </c>
      <c r="E941">
        <f>'T_TTAFStock'!C38</f>
        <v/>
      </c>
      <c r="F941">
        <f>'T_TTAFStock'!D38</f>
        <v/>
      </c>
      <c r="G941">
        <f>'T_TTAFStock'!E38</f>
        <v/>
      </c>
      <c r="H941">
        <f>'T_TTAFStock'!F38</f>
        <v/>
      </c>
      <c r="I941">
        <f>'T_TTAFStock'!G38</f>
        <v/>
      </c>
      <c r="J941">
        <f>'T_TTAFStock'!H38</f>
        <v/>
      </c>
      <c r="K941">
        <f>'T_TTAFStock'!I38</f>
        <v/>
      </c>
      <c r="L941">
        <f>'T_TTAFStock'!J38</f>
        <v/>
      </c>
      <c r="M941">
        <f>'T_TTAFStock'!K38</f>
        <v/>
      </c>
      <c r="N941">
        <f>'T_TTAFStock'!L38</f>
        <v/>
      </c>
      <c r="O941">
        <f>'T_TTAFStock'!M38</f>
        <v/>
      </c>
      <c r="P941">
        <f>'T_TTAFStock'!N38</f>
        <v/>
      </c>
      <c r="Q941">
        <f>'T_TTAFStock'!O38</f>
        <v/>
      </c>
      <c r="R941">
        <f>'T_TTAFStock'!P38</f>
        <v/>
      </c>
      <c r="S941">
        <f>'T_TTAFStock'!Q38</f>
        <v/>
      </c>
      <c r="T941">
        <f>'T_TTAFStock'!R38</f>
        <v/>
      </c>
      <c r="U941">
        <f>'T_TTAFStock'!S38</f>
        <v/>
      </c>
      <c r="V941">
        <f>'T_TTAFStock'!T38</f>
        <v/>
      </c>
      <c r="W941">
        <f>'T_TTAFStock'!U38</f>
        <v/>
      </c>
      <c r="X941">
        <f>'T_TTAFStock'!V38</f>
        <v/>
      </c>
      <c r="Y941">
        <f>'T_TTAFStock'!W38</f>
        <v/>
      </c>
      <c r="Z941">
        <f>'T_TTAFStock'!X38</f>
        <v/>
      </c>
      <c r="AA941">
        <f>'T_TTAFStock'!Y38</f>
        <v/>
      </c>
      <c r="AB941">
        <f>'T_TTAFStock'!Z38</f>
        <v/>
      </c>
      <c r="AC941">
        <f>'T_TTAFStock'!AA38</f>
        <v/>
      </c>
      <c r="AD941">
        <f>'T_TTAFStock'!AB38</f>
        <v/>
      </c>
      <c r="AE941">
        <f>'T_TTAFStock'!AC38</f>
        <v/>
      </c>
      <c r="AF941">
        <f>'T_TTAFStock'!AD38</f>
        <v/>
      </c>
      <c r="AG941">
        <f>'T_TTAFStock'!AE38</f>
        <v/>
      </c>
      <c r="AH941">
        <f>'T_TTAFStock'!AF38</f>
        <v/>
      </c>
      <c r="AI941">
        <f>'T_TTAFStock'!AG38</f>
        <v/>
      </c>
      <c r="AJ941">
        <f>'T_TTAFStock'!AH38</f>
        <v/>
      </c>
      <c r="AK941">
        <f>'T_TTAFStock'!AI38</f>
        <v/>
      </c>
      <c r="AL941">
        <f>'T_TTAFStock'!AJ38</f>
        <v/>
      </c>
      <c r="AM941">
        <f>'T_TTAFStock'!AK38</f>
        <v/>
      </c>
      <c r="AN941">
        <f>'T_TTAFStock'!AL38</f>
        <v/>
      </c>
      <c r="AO941">
        <f>'T_TTAFStock'!AM38</f>
        <v/>
      </c>
      <c r="AP941">
        <f>'T_TTAFStock'!AN38</f>
        <v/>
      </c>
      <c r="AQ941">
        <f>'T_TTAFStock'!AO38</f>
        <v/>
      </c>
      <c r="AR941">
        <f>'T_TTAFStock'!AP38</f>
        <v/>
      </c>
      <c r="AS941">
        <f>'T_TTAFStock'!AQ38</f>
        <v/>
      </c>
      <c r="AT941">
        <f>'T_TTAFStock'!AR38</f>
        <v/>
      </c>
      <c r="AU941">
        <f>'T_TTAFStock'!AS38</f>
        <v/>
      </c>
      <c r="AV941">
        <f>'T_TTAFStock'!AT38</f>
        <v/>
      </c>
      <c r="AW941">
        <f>'T_TTAFStock'!AU38</f>
        <v/>
      </c>
      <c r="AX941">
        <f>'T_TTAFStock'!AV38</f>
        <v/>
      </c>
      <c r="AY941">
        <f>'T_TTAFStock'!AW38</f>
        <v/>
      </c>
      <c r="AZ941">
        <f>'T_TTAFStock'!AX38</f>
        <v/>
      </c>
      <c r="BA941">
        <f>'T_TTAFStock'!AY38</f>
        <v/>
      </c>
      <c r="BB941">
        <f>'T_TTAFStock'!AZ38</f>
        <v/>
      </c>
      <c r="BC941">
        <f>'T_TTAFStock'!BA38</f>
        <v/>
      </c>
      <c r="BD941">
        <f>'T_TTAFStock'!BB38</f>
        <v/>
      </c>
      <c r="BE941">
        <f>'T_TTAFStock'!BC38</f>
        <v/>
      </c>
      <c r="BF941">
        <f>'T_TTAFStock'!BD38</f>
        <v/>
      </c>
      <c r="BG941">
        <f>'T_TTAFStock'!BE38</f>
        <v/>
      </c>
      <c r="BH941">
        <f>'T_TTAFStock'!BF38</f>
        <v/>
      </c>
      <c r="BI941">
        <f>'T_TTAFStock'!BG38</f>
        <v/>
      </c>
      <c r="BJ941">
        <f>'T_TTAFStock'!BH38</f>
        <v/>
      </c>
      <c r="BK941">
        <f>'T_TTAFStock'!BI38</f>
        <v/>
      </c>
      <c r="BL941">
        <f>'T_TTAFStock'!BJ38</f>
        <v/>
      </c>
      <c r="BM941">
        <f>'T_TTAFStock'!BK38</f>
        <v/>
      </c>
      <c r="BN941">
        <f>'T_TTAFStock'!BL38</f>
        <v/>
      </c>
      <c r="BO941">
        <f>'T_TTAFStock'!BM38</f>
        <v/>
      </c>
      <c r="BP941">
        <f>'T_TTAFStock'!BN38</f>
        <v/>
      </c>
      <c r="BQ941">
        <f>'T_TTAFStock'!BO38</f>
        <v/>
      </c>
      <c r="BR941">
        <f>'T_TTAFStock'!BP38</f>
        <v/>
      </c>
      <c r="BS941">
        <f>'T_TTAFStock'!BQ38</f>
        <v/>
      </c>
      <c r="BT941">
        <f>'T_TTAFStock'!BR38</f>
        <v/>
      </c>
      <c r="BU941">
        <f>'T_TTAFStock'!BS38</f>
        <v/>
      </c>
      <c r="BV941">
        <f>'T_TTAFStock'!BT38</f>
        <v/>
      </c>
      <c r="BW941">
        <f>'T_TTAFStock'!BU38</f>
        <v/>
      </c>
      <c r="BX941">
        <f>'T_TTAFStock'!BV38</f>
        <v/>
      </c>
      <c r="BY941">
        <f>'T_TTAFStock'!BW38</f>
        <v/>
      </c>
      <c r="BZ941">
        <f>'T_TTAFStock'!BX38</f>
        <v/>
      </c>
      <c r="CA941">
        <f>'T_TTAFStock'!BY38</f>
        <v/>
      </c>
      <c r="CB941">
        <f>'T_TTAFStock'!BZ38</f>
        <v/>
      </c>
      <c r="CC941">
        <f>'T_TTAFStock'!CA38</f>
        <v/>
      </c>
      <c r="CD941">
        <f>'T_TTAFStock'!CB38</f>
        <v/>
      </c>
      <c r="CE941">
        <f>'T_TTAFStock'!CC38</f>
        <v/>
      </c>
      <c r="CF941">
        <f>'T_TTAFStock'!CD38</f>
        <v/>
      </c>
      <c r="CG941">
        <f>'T_TTAFStock'!CE38</f>
        <v/>
      </c>
      <c r="CH941">
        <f>'T_TTAFStock'!CF38</f>
        <v/>
      </c>
      <c r="CI941">
        <f>'T_TTAFStock'!CG38</f>
        <v/>
      </c>
      <c r="CJ941">
        <f>'T_TTAFStock'!CH38</f>
        <v/>
      </c>
      <c r="CK941">
        <f>'T_TTAFStock'!CI38</f>
        <v/>
      </c>
      <c r="CL941">
        <f>'T_TTAFStock'!CJ38</f>
        <v/>
      </c>
      <c r="CM941">
        <f>'T_TTAFStock'!CK38</f>
        <v/>
      </c>
      <c r="CN941">
        <f>'T_TTAFStock'!CL38</f>
        <v/>
      </c>
      <c r="CO941">
        <f>'T_TTAFStock'!CM38</f>
        <v/>
      </c>
      <c r="CP941">
        <f>'T_TTAFStock'!CN38</f>
        <v/>
      </c>
      <c r="CQ941">
        <f>'T_TTAFStock'!CO38</f>
        <v/>
      </c>
      <c r="CR941">
        <f>'T_TTAFStock'!CP38</f>
        <v/>
      </c>
      <c r="CS941">
        <f>'T_TTAFStock'!CQ38</f>
        <v/>
      </c>
      <c r="CT941">
        <f>'T_TTAFStock'!CR38</f>
        <v/>
      </c>
      <c r="CU941">
        <f>'T_TTAFStock'!CS38</f>
        <v/>
      </c>
      <c r="CV941">
        <f>'T_TTAFStock'!CT38</f>
        <v/>
      </c>
      <c r="CW941">
        <f>'T_TTAFStock'!CU38</f>
        <v/>
      </c>
      <c r="CX941">
        <f>'T_TTAFStock'!CV38</f>
        <v/>
      </c>
      <c r="CY941">
        <f>'T_TTAFStock'!CW38</f>
        <v/>
      </c>
      <c r="CZ941">
        <f>'T_TTAFStock'!CX38</f>
        <v/>
      </c>
      <c r="DA941">
        <f>'T_TTAFStock'!CY38</f>
        <v/>
      </c>
      <c r="DB941">
        <f>'T_TTAFStock'!CZ38</f>
        <v/>
      </c>
      <c r="DC941">
        <f>'T_TTAFStock'!DA38</f>
        <v/>
      </c>
    </row>
    <row r="942">
      <c r="B942" t="inlineStr">
        <is>
          <t>自社在庫(実績,kg)</t>
        </is>
      </c>
      <c r="D942">
        <f>'T_SelfStock'!B38</f>
        <v/>
      </c>
      <c r="E942">
        <f>'T_SelfStock'!C38</f>
        <v/>
      </c>
      <c r="F942">
        <f>'T_SelfStock'!D38</f>
        <v/>
      </c>
      <c r="G942">
        <f>'T_SelfStock'!E38</f>
        <v/>
      </c>
      <c r="H942">
        <f>'T_SelfStock'!F38</f>
        <v/>
      </c>
      <c r="I942">
        <f>'T_SelfStock'!G38</f>
        <v/>
      </c>
      <c r="J942">
        <f>'T_SelfStock'!H38</f>
        <v/>
      </c>
      <c r="K942">
        <f>'T_SelfStock'!I38</f>
        <v/>
      </c>
      <c r="L942">
        <f>'T_SelfStock'!J38</f>
        <v/>
      </c>
      <c r="M942">
        <f>'T_SelfStock'!K38</f>
        <v/>
      </c>
      <c r="N942">
        <f>'T_SelfStock'!L38</f>
        <v/>
      </c>
      <c r="O942">
        <f>'T_SelfStock'!M38</f>
        <v/>
      </c>
      <c r="P942">
        <f>'T_SelfStock'!N38</f>
        <v/>
      </c>
      <c r="Q942">
        <f>'T_SelfStock'!O38</f>
        <v/>
      </c>
      <c r="R942">
        <f>'T_SelfStock'!P38</f>
        <v/>
      </c>
      <c r="S942">
        <f>'T_SelfStock'!Q38</f>
        <v/>
      </c>
      <c r="T942">
        <f>'T_SelfStock'!R38</f>
        <v/>
      </c>
      <c r="U942">
        <f>'T_SelfStock'!S38</f>
        <v/>
      </c>
      <c r="V942">
        <f>'T_SelfStock'!T38</f>
        <v/>
      </c>
      <c r="W942">
        <f>'T_SelfStock'!U38</f>
        <v/>
      </c>
      <c r="X942">
        <f>'T_SelfStock'!V38</f>
        <v/>
      </c>
      <c r="Y942">
        <f>'T_SelfStock'!W38</f>
        <v/>
      </c>
      <c r="Z942">
        <f>'T_SelfStock'!X38</f>
        <v/>
      </c>
      <c r="AA942">
        <f>'T_SelfStock'!Y38</f>
        <v/>
      </c>
      <c r="AB942">
        <f>'T_SelfStock'!Z38</f>
        <v/>
      </c>
      <c r="AC942">
        <f>'T_SelfStock'!AA38</f>
        <v/>
      </c>
      <c r="AD942">
        <f>'T_SelfStock'!AB38</f>
        <v/>
      </c>
      <c r="AE942">
        <f>'T_SelfStock'!AC38</f>
        <v/>
      </c>
      <c r="AF942">
        <f>'T_SelfStock'!AD38</f>
        <v/>
      </c>
      <c r="AG942">
        <f>'T_SelfStock'!AE38</f>
        <v/>
      </c>
      <c r="AH942">
        <f>'T_SelfStock'!AF38</f>
        <v/>
      </c>
      <c r="AI942">
        <f>'T_SelfStock'!AG38</f>
        <v/>
      </c>
      <c r="AJ942">
        <f>'T_SelfStock'!AH38</f>
        <v/>
      </c>
      <c r="AK942">
        <f>'T_SelfStock'!AI38</f>
        <v/>
      </c>
      <c r="AL942">
        <f>'T_SelfStock'!AJ38</f>
        <v/>
      </c>
      <c r="AM942">
        <f>'T_SelfStock'!AK38</f>
        <v/>
      </c>
      <c r="AN942">
        <f>'T_SelfStock'!AL38</f>
        <v/>
      </c>
      <c r="AO942">
        <f>'T_SelfStock'!AM38</f>
        <v/>
      </c>
      <c r="AP942">
        <f>'T_SelfStock'!AN38</f>
        <v/>
      </c>
      <c r="AQ942">
        <f>'T_SelfStock'!AO38</f>
        <v/>
      </c>
      <c r="AR942">
        <f>'T_SelfStock'!AP38</f>
        <v/>
      </c>
      <c r="AS942">
        <f>'T_SelfStock'!AQ38</f>
        <v/>
      </c>
      <c r="AT942">
        <f>'T_SelfStock'!AR38</f>
        <v/>
      </c>
      <c r="AU942">
        <f>'T_SelfStock'!AS38</f>
        <v/>
      </c>
      <c r="AV942">
        <f>'T_SelfStock'!AT38</f>
        <v/>
      </c>
      <c r="AW942">
        <f>'T_SelfStock'!AU38</f>
        <v/>
      </c>
      <c r="AX942">
        <f>'T_SelfStock'!AV38</f>
        <v/>
      </c>
      <c r="AY942">
        <f>'T_SelfStock'!AW38</f>
        <v/>
      </c>
      <c r="AZ942">
        <f>'T_SelfStock'!AX38</f>
        <v/>
      </c>
      <c r="BA942">
        <f>'T_SelfStock'!AY38</f>
        <v/>
      </c>
      <c r="BB942">
        <f>'T_SelfStock'!AZ38</f>
        <v/>
      </c>
      <c r="BC942">
        <f>'T_SelfStock'!BA38</f>
        <v/>
      </c>
      <c r="BD942">
        <f>'T_SelfStock'!BB38</f>
        <v/>
      </c>
      <c r="BE942">
        <f>'T_SelfStock'!BC38</f>
        <v/>
      </c>
      <c r="BF942">
        <f>'T_SelfStock'!BD38</f>
        <v/>
      </c>
      <c r="BG942">
        <f>'T_SelfStock'!BE38</f>
        <v/>
      </c>
      <c r="BH942">
        <f>'T_SelfStock'!BF38</f>
        <v/>
      </c>
      <c r="BI942">
        <f>'T_SelfStock'!BG38</f>
        <v/>
      </c>
      <c r="BJ942">
        <f>'T_SelfStock'!BH38</f>
        <v/>
      </c>
      <c r="BK942">
        <f>'T_SelfStock'!BI38</f>
        <v/>
      </c>
      <c r="BL942">
        <f>'T_SelfStock'!BJ38</f>
        <v/>
      </c>
      <c r="BM942">
        <f>'T_SelfStock'!BK38</f>
        <v/>
      </c>
      <c r="BN942">
        <f>'T_SelfStock'!BL38</f>
        <v/>
      </c>
      <c r="BO942">
        <f>'T_SelfStock'!BM38</f>
        <v/>
      </c>
      <c r="BP942">
        <f>'T_SelfStock'!BN38</f>
        <v/>
      </c>
      <c r="BQ942">
        <f>'T_SelfStock'!BO38</f>
        <v/>
      </c>
      <c r="BR942">
        <f>'T_SelfStock'!BP38</f>
        <v/>
      </c>
      <c r="BS942">
        <f>'T_SelfStock'!BQ38</f>
        <v/>
      </c>
      <c r="BT942">
        <f>'T_SelfStock'!BR38</f>
        <v/>
      </c>
      <c r="BU942">
        <f>'T_SelfStock'!BS38</f>
        <v/>
      </c>
      <c r="BV942">
        <f>'T_SelfStock'!BT38</f>
        <v/>
      </c>
      <c r="BW942">
        <f>'T_SelfStock'!BU38</f>
        <v/>
      </c>
      <c r="BX942">
        <f>'T_SelfStock'!BV38</f>
        <v/>
      </c>
      <c r="BY942">
        <f>'T_SelfStock'!BW38</f>
        <v/>
      </c>
      <c r="BZ942">
        <f>'T_SelfStock'!BX38</f>
        <v/>
      </c>
      <c r="CA942">
        <f>'T_SelfStock'!BY38</f>
        <v/>
      </c>
      <c r="CB942">
        <f>'T_SelfStock'!BZ38</f>
        <v/>
      </c>
      <c r="CC942">
        <f>'T_SelfStock'!CA38</f>
        <v/>
      </c>
      <c r="CD942">
        <f>'T_SelfStock'!CB38</f>
        <v/>
      </c>
      <c r="CE942">
        <f>'T_SelfStock'!CC38</f>
        <v/>
      </c>
      <c r="CF942">
        <f>'T_SelfStock'!CD38</f>
        <v/>
      </c>
      <c r="CG942">
        <f>'T_SelfStock'!CE38</f>
        <v/>
      </c>
      <c r="CH942">
        <f>'T_SelfStock'!CF38</f>
        <v/>
      </c>
      <c r="CI942">
        <f>'T_SelfStock'!CG38</f>
        <v/>
      </c>
      <c r="CJ942">
        <f>'T_SelfStock'!CH38</f>
        <v/>
      </c>
      <c r="CK942">
        <f>'T_SelfStock'!CI38</f>
        <v/>
      </c>
      <c r="CL942">
        <f>'T_SelfStock'!CJ38</f>
        <v/>
      </c>
      <c r="CM942">
        <f>'T_SelfStock'!CK38</f>
        <v/>
      </c>
      <c r="CN942">
        <f>'T_SelfStock'!CL38</f>
        <v/>
      </c>
      <c r="CO942">
        <f>'T_SelfStock'!CM38</f>
        <v/>
      </c>
      <c r="CP942">
        <f>'T_SelfStock'!CN38</f>
        <v/>
      </c>
      <c r="CQ942">
        <f>'T_SelfStock'!CO38</f>
        <v/>
      </c>
      <c r="CR942">
        <f>'T_SelfStock'!CP38</f>
        <v/>
      </c>
      <c r="CS942">
        <f>'T_SelfStock'!CQ38</f>
        <v/>
      </c>
      <c r="CT942">
        <f>'T_SelfStock'!CR38</f>
        <v/>
      </c>
      <c r="CU942">
        <f>'T_SelfStock'!CS38</f>
        <v/>
      </c>
      <c r="CV942">
        <f>'T_SelfStock'!CT38</f>
        <v/>
      </c>
      <c r="CW942">
        <f>'T_SelfStock'!CU38</f>
        <v/>
      </c>
      <c r="CX942">
        <f>'T_SelfStock'!CV38</f>
        <v/>
      </c>
      <c r="CY942">
        <f>'T_SelfStock'!CW38</f>
        <v/>
      </c>
      <c r="CZ942">
        <f>'T_SelfStock'!CX38</f>
        <v/>
      </c>
      <c r="DA942">
        <f>'T_SelfStock'!CY38</f>
        <v/>
      </c>
      <c r="DB942">
        <f>'T_SelfStock'!CZ38</f>
        <v/>
      </c>
      <c r="DC942">
        <f>'T_SelfStock'!DA38</f>
        <v/>
      </c>
    </row>
    <row r="943">
      <c r="B943" t="inlineStr">
        <is>
          <t>Order(発注予定,kg)</t>
        </is>
      </c>
      <c r="D943">
        <f>IF(SUMIFS(T_PlannedOrders[EffectiveQty],T_PlannedOrders[Part Name],$A903,T_PlannedOrders[WeekIndex],1)=0,"",SUMIFS(T_PlannedOrders[EffectiveQty],T_PlannedOrders[Part Name],$A903,T_PlannedOrders[WeekIndex],1)&amp;" ("&amp;TEXT(SUMPRODUCT(MAX((T_PlannedOrders[Part Name]=$A903)*(T_PlannedOrders[WeekIndex]=1)*(T_PlannedOrders[EffectiveQty]&gt;0)*T_PlannedOrders[Order_Month])),"m月")&amp;"発注)")</f>
        <v/>
      </c>
      <c r="E943">
        <f>IF(SUMIFS(T_PlannedOrders[EffectiveQty],T_PlannedOrders[Part Name],$A903,T_PlannedOrders[WeekIndex],2)=0,"",SUMIFS(T_PlannedOrders[EffectiveQty],T_PlannedOrders[Part Name],$A903,T_PlannedOrders[WeekIndex],2)&amp;" ("&amp;TEXT(SUMPRODUCT(MAX((T_PlannedOrders[Part Name]=$A903)*(T_PlannedOrders[WeekIndex]=2)*(T_PlannedOrders[EffectiveQty]&gt;0)*T_PlannedOrders[Order_Month])),"m月")&amp;"発注)")</f>
        <v/>
      </c>
      <c r="F943">
        <f>IF(SUMIFS(T_PlannedOrders[EffectiveQty],T_PlannedOrders[Part Name],$A903,T_PlannedOrders[WeekIndex],3)=0,"",SUMIFS(T_PlannedOrders[EffectiveQty],T_PlannedOrders[Part Name],$A903,T_PlannedOrders[WeekIndex],3)&amp;" ("&amp;TEXT(SUMPRODUCT(MAX((T_PlannedOrders[Part Name]=$A903)*(T_PlannedOrders[WeekIndex]=3)*(T_PlannedOrders[EffectiveQty]&gt;0)*T_PlannedOrders[Order_Month])),"m月")&amp;"発注)")</f>
        <v/>
      </c>
      <c r="G943">
        <f>IF(SUMIFS(T_PlannedOrders[EffectiveQty],T_PlannedOrders[Part Name],$A903,T_PlannedOrders[WeekIndex],4)=0,"",SUMIFS(T_PlannedOrders[EffectiveQty],T_PlannedOrders[Part Name],$A903,T_PlannedOrders[WeekIndex],4)&amp;" ("&amp;TEXT(SUMPRODUCT(MAX((T_PlannedOrders[Part Name]=$A903)*(T_PlannedOrders[WeekIndex]=4)*(T_PlannedOrders[EffectiveQty]&gt;0)*T_PlannedOrders[Order_Month])),"m月")&amp;"発注)")</f>
        <v/>
      </c>
      <c r="H943">
        <f>IF(SUMIFS(T_PlannedOrders[EffectiveQty],T_PlannedOrders[Part Name],$A903,T_PlannedOrders[WeekIndex],5)=0,"",SUMIFS(T_PlannedOrders[EffectiveQty],T_PlannedOrders[Part Name],$A903,T_PlannedOrders[WeekIndex],5)&amp;" ("&amp;TEXT(SUMPRODUCT(MAX((T_PlannedOrders[Part Name]=$A903)*(T_PlannedOrders[WeekIndex]=5)*(T_PlannedOrders[EffectiveQty]&gt;0)*T_PlannedOrders[Order_Month])),"m月")&amp;"発注)")</f>
        <v/>
      </c>
      <c r="I943">
        <f>IF(SUMIFS(T_PlannedOrders[EffectiveQty],T_PlannedOrders[Part Name],$A903,T_PlannedOrders[WeekIndex],6)=0,"",SUMIFS(T_PlannedOrders[EffectiveQty],T_PlannedOrders[Part Name],$A903,T_PlannedOrders[WeekIndex],6)&amp;" ("&amp;TEXT(SUMPRODUCT(MAX((T_PlannedOrders[Part Name]=$A903)*(T_PlannedOrders[WeekIndex]=6)*(T_PlannedOrders[EffectiveQty]&gt;0)*T_PlannedOrders[Order_Month])),"m月")&amp;"発注)")</f>
        <v/>
      </c>
      <c r="J943">
        <f>IF(SUMIFS(T_PlannedOrders[EffectiveQty],T_PlannedOrders[Part Name],$A903,T_PlannedOrders[WeekIndex],7)=0,"",SUMIFS(T_PlannedOrders[EffectiveQty],T_PlannedOrders[Part Name],$A903,T_PlannedOrders[WeekIndex],7)&amp;" ("&amp;TEXT(SUMPRODUCT(MAX((T_PlannedOrders[Part Name]=$A903)*(T_PlannedOrders[WeekIndex]=7)*(T_PlannedOrders[EffectiveQty]&gt;0)*T_PlannedOrders[Order_Month])),"m月")&amp;"発注)")</f>
        <v/>
      </c>
      <c r="K943">
        <f>IF(SUMIFS(T_PlannedOrders[EffectiveQty],T_PlannedOrders[Part Name],$A903,T_PlannedOrders[WeekIndex],8)=0,"",SUMIFS(T_PlannedOrders[EffectiveQty],T_PlannedOrders[Part Name],$A903,T_PlannedOrders[WeekIndex],8)&amp;" ("&amp;TEXT(SUMPRODUCT(MAX((T_PlannedOrders[Part Name]=$A903)*(T_PlannedOrders[WeekIndex]=8)*(T_PlannedOrders[EffectiveQty]&gt;0)*T_PlannedOrders[Order_Month])),"m月")&amp;"発注)")</f>
        <v/>
      </c>
      <c r="L943">
        <f>IF(SUMIFS(T_PlannedOrders[EffectiveQty],T_PlannedOrders[Part Name],$A903,T_PlannedOrders[WeekIndex],9)=0,"",SUMIFS(T_PlannedOrders[EffectiveQty],T_PlannedOrders[Part Name],$A903,T_PlannedOrders[WeekIndex],9)&amp;" ("&amp;TEXT(SUMPRODUCT(MAX((T_PlannedOrders[Part Name]=$A903)*(T_PlannedOrders[WeekIndex]=9)*(T_PlannedOrders[EffectiveQty]&gt;0)*T_PlannedOrders[Order_Month])),"m月")&amp;"発注)")</f>
        <v/>
      </c>
      <c r="M943">
        <f>IF(SUMIFS(T_PlannedOrders[EffectiveQty],T_PlannedOrders[Part Name],$A903,T_PlannedOrders[WeekIndex],10)=0,"",SUMIFS(T_PlannedOrders[EffectiveQty],T_PlannedOrders[Part Name],$A903,T_PlannedOrders[WeekIndex],10)&amp;" ("&amp;TEXT(SUMPRODUCT(MAX((T_PlannedOrders[Part Name]=$A903)*(T_PlannedOrders[WeekIndex]=10)*(T_PlannedOrders[EffectiveQty]&gt;0)*T_PlannedOrders[Order_Month])),"m月")&amp;"発注)")</f>
        <v/>
      </c>
      <c r="N943">
        <f>IF(SUMIFS(T_PlannedOrders[EffectiveQty],T_PlannedOrders[Part Name],$A903,T_PlannedOrders[WeekIndex],11)=0,"",SUMIFS(T_PlannedOrders[EffectiveQty],T_PlannedOrders[Part Name],$A903,T_PlannedOrders[WeekIndex],11)&amp;" ("&amp;TEXT(SUMPRODUCT(MAX((T_PlannedOrders[Part Name]=$A903)*(T_PlannedOrders[WeekIndex]=11)*(T_PlannedOrders[EffectiveQty]&gt;0)*T_PlannedOrders[Order_Month])),"m月")&amp;"発注)")</f>
        <v/>
      </c>
      <c r="O943">
        <f>IF(SUMIFS(T_PlannedOrders[EffectiveQty],T_PlannedOrders[Part Name],$A903,T_PlannedOrders[WeekIndex],12)=0,"",SUMIFS(T_PlannedOrders[EffectiveQty],T_PlannedOrders[Part Name],$A903,T_PlannedOrders[WeekIndex],12)&amp;" ("&amp;TEXT(SUMPRODUCT(MAX((T_PlannedOrders[Part Name]=$A903)*(T_PlannedOrders[WeekIndex]=12)*(T_PlannedOrders[EffectiveQty]&gt;0)*T_PlannedOrders[Order_Month])),"m月")&amp;"発注)")</f>
        <v/>
      </c>
      <c r="P943">
        <f>IF(SUMIFS(T_PlannedOrders[EffectiveQty],T_PlannedOrders[Part Name],$A903,T_PlannedOrders[WeekIndex],13)=0,"",SUMIFS(T_PlannedOrders[EffectiveQty],T_PlannedOrders[Part Name],$A903,T_PlannedOrders[WeekIndex],13)&amp;" ("&amp;TEXT(SUMPRODUCT(MAX((T_PlannedOrders[Part Name]=$A903)*(T_PlannedOrders[WeekIndex]=13)*(T_PlannedOrders[EffectiveQty]&gt;0)*T_PlannedOrders[Order_Month])),"m月")&amp;"発注)")</f>
        <v/>
      </c>
      <c r="Q943">
        <f>IF(SUMIFS(T_PlannedOrders[EffectiveQty],T_PlannedOrders[Part Name],$A903,T_PlannedOrders[WeekIndex],14)=0,"",SUMIFS(T_PlannedOrders[EffectiveQty],T_PlannedOrders[Part Name],$A903,T_PlannedOrders[WeekIndex],14)&amp;" ("&amp;TEXT(SUMPRODUCT(MAX((T_PlannedOrders[Part Name]=$A903)*(T_PlannedOrders[WeekIndex]=14)*(T_PlannedOrders[EffectiveQty]&gt;0)*T_PlannedOrders[Order_Month])),"m月")&amp;"発注)")</f>
        <v/>
      </c>
      <c r="R943">
        <f>IF(SUMIFS(T_PlannedOrders[EffectiveQty],T_PlannedOrders[Part Name],$A903,T_PlannedOrders[WeekIndex],15)=0,"",SUMIFS(T_PlannedOrders[EffectiveQty],T_PlannedOrders[Part Name],$A903,T_PlannedOrders[WeekIndex],15)&amp;" ("&amp;TEXT(SUMPRODUCT(MAX((T_PlannedOrders[Part Name]=$A903)*(T_PlannedOrders[WeekIndex]=15)*(T_PlannedOrders[EffectiveQty]&gt;0)*T_PlannedOrders[Order_Month])),"m月")&amp;"発注)")</f>
        <v/>
      </c>
      <c r="S943">
        <f>IF(SUMIFS(T_PlannedOrders[EffectiveQty],T_PlannedOrders[Part Name],$A903,T_PlannedOrders[WeekIndex],16)=0,"",SUMIFS(T_PlannedOrders[EffectiveQty],T_PlannedOrders[Part Name],$A903,T_PlannedOrders[WeekIndex],16)&amp;" ("&amp;TEXT(SUMPRODUCT(MAX((T_PlannedOrders[Part Name]=$A903)*(T_PlannedOrders[WeekIndex]=16)*(T_PlannedOrders[EffectiveQty]&gt;0)*T_PlannedOrders[Order_Month])),"m月")&amp;"発注)")</f>
        <v/>
      </c>
      <c r="T943">
        <f>IF(SUMIFS(T_PlannedOrders[EffectiveQty],T_PlannedOrders[Part Name],$A903,T_PlannedOrders[WeekIndex],17)=0,"",SUMIFS(T_PlannedOrders[EffectiveQty],T_PlannedOrders[Part Name],$A903,T_PlannedOrders[WeekIndex],17)&amp;" ("&amp;TEXT(SUMPRODUCT(MAX((T_PlannedOrders[Part Name]=$A903)*(T_PlannedOrders[WeekIndex]=17)*(T_PlannedOrders[EffectiveQty]&gt;0)*T_PlannedOrders[Order_Month])),"m月")&amp;"発注)")</f>
        <v/>
      </c>
      <c r="U943">
        <f>IF(SUMIFS(T_PlannedOrders[EffectiveQty],T_PlannedOrders[Part Name],$A903,T_PlannedOrders[WeekIndex],18)=0,"",SUMIFS(T_PlannedOrders[EffectiveQty],T_PlannedOrders[Part Name],$A903,T_PlannedOrders[WeekIndex],18)&amp;" ("&amp;TEXT(SUMPRODUCT(MAX((T_PlannedOrders[Part Name]=$A903)*(T_PlannedOrders[WeekIndex]=18)*(T_PlannedOrders[EffectiveQty]&gt;0)*T_PlannedOrders[Order_Month])),"m月")&amp;"発注)")</f>
        <v/>
      </c>
      <c r="V943">
        <f>IF(SUMIFS(T_PlannedOrders[EffectiveQty],T_PlannedOrders[Part Name],$A903,T_PlannedOrders[WeekIndex],19)=0,"",SUMIFS(T_PlannedOrders[EffectiveQty],T_PlannedOrders[Part Name],$A903,T_PlannedOrders[WeekIndex],19)&amp;" ("&amp;TEXT(SUMPRODUCT(MAX((T_PlannedOrders[Part Name]=$A903)*(T_PlannedOrders[WeekIndex]=19)*(T_PlannedOrders[EffectiveQty]&gt;0)*T_PlannedOrders[Order_Month])),"m月")&amp;"発注)")</f>
        <v/>
      </c>
      <c r="W943">
        <f>IF(SUMIFS(T_PlannedOrders[EffectiveQty],T_PlannedOrders[Part Name],$A903,T_PlannedOrders[WeekIndex],20)=0,"",SUMIFS(T_PlannedOrders[EffectiveQty],T_PlannedOrders[Part Name],$A903,T_PlannedOrders[WeekIndex],20)&amp;" ("&amp;TEXT(SUMPRODUCT(MAX((T_PlannedOrders[Part Name]=$A903)*(T_PlannedOrders[WeekIndex]=20)*(T_PlannedOrders[EffectiveQty]&gt;0)*T_PlannedOrders[Order_Month])),"m月")&amp;"発注)")</f>
        <v/>
      </c>
      <c r="X943">
        <f>IF(SUMIFS(T_PlannedOrders[EffectiveQty],T_PlannedOrders[Part Name],$A903,T_PlannedOrders[WeekIndex],21)=0,"",SUMIFS(T_PlannedOrders[EffectiveQty],T_PlannedOrders[Part Name],$A903,T_PlannedOrders[WeekIndex],21)&amp;" ("&amp;TEXT(SUMPRODUCT(MAX((T_PlannedOrders[Part Name]=$A903)*(T_PlannedOrders[WeekIndex]=21)*(T_PlannedOrders[EffectiveQty]&gt;0)*T_PlannedOrders[Order_Month])),"m月")&amp;"発注)")</f>
        <v/>
      </c>
      <c r="Y943">
        <f>IF(SUMIFS(T_PlannedOrders[EffectiveQty],T_PlannedOrders[Part Name],$A903,T_PlannedOrders[WeekIndex],22)=0,"",SUMIFS(T_PlannedOrders[EffectiveQty],T_PlannedOrders[Part Name],$A903,T_PlannedOrders[WeekIndex],22)&amp;" ("&amp;TEXT(SUMPRODUCT(MAX((T_PlannedOrders[Part Name]=$A903)*(T_PlannedOrders[WeekIndex]=22)*(T_PlannedOrders[EffectiveQty]&gt;0)*T_PlannedOrders[Order_Month])),"m月")&amp;"発注)")</f>
        <v/>
      </c>
      <c r="Z943">
        <f>IF(SUMIFS(T_PlannedOrders[EffectiveQty],T_PlannedOrders[Part Name],$A903,T_PlannedOrders[WeekIndex],23)=0,"",SUMIFS(T_PlannedOrders[EffectiveQty],T_PlannedOrders[Part Name],$A903,T_PlannedOrders[WeekIndex],23)&amp;" ("&amp;TEXT(SUMPRODUCT(MAX((T_PlannedOrders[Part Name]=$A903)*(T_PlannedOrders[WeekIndex]=23)*(T_PlannedOrders[EffectiveQty]&gt;0)*T_PlannedOrders[Order_Month])),"m月")&amp;"発注)")</f>
        <v/>
      </c>
      <c r="AA943">
        <f>IF(SUMIFS(T_PlannedOrders[EffectiveQty],T_PlannedOrders[Part Name],$A903,T_PlannedOrders[WeekIndex],24)=0,"",SUMIFS(T_PlannedOrders[EffectiveQty],T_PlannedOrders[Part Name],$A903,T_PlannedOrders[WeekIndex],24)&amp;" ("&amp;TEXT(SUMPRODUCT(MAX((T_PlannedOrders[Part Name]=$A903)*(T_PlannedOrders[WeekIndex]=24)*(T_PlannedOrders[EffectiveQty]&gt;0)*T_PlannedOrders[Order_Month])),"m月")&amp;"発注)")</f>
        <v/>
      </c>
      <c r="AB943">
        <f>IF(SUMIFS(T_PlannedOrders[EffectiveQty],T_PlannedOrders[Part Name],$A903,T_PlannedOrders[WeekIndex],25)=0,"",SUMIFS(T_PlannedOrders[EffectiveQty],T_PlannedOrders[Part Name],$A903,T_PlannedOrders[WeekIndex],25)&amp;" ("&amp;TEXT(SUMPRODUCT(MAX((T_PlannedOrders[Part Name]=$A903)*(T_PlannedOrders[WeekIndex]=25)*(T_PlannedOrders[EffectiveQty]&gt;0)*T_PlannedOrders[Order_Month])),"m月")&amp;"発注)")</f>
        <v/>
      </c>
      <c r="AC943">
        <f>IF(SUMIFS(T_PlannedOrders[EffectiveQty],T_PlannedOrders[Part Name],$A903,T_PlannedOrders[WeekIndex],26)=0,"",SUMIFS(T_PlannedOrders[EffectiveQty],T_PlannedOrders[Part Name],$A903,T_PlannedOrders[WeekIndex],26)&amp;" ("&amp;TEXT(SUMPRODUCT(MAX((T_PlannedOrders[Part Name]=$A903)*(T_PlannedOrders[WeekIndex]=26)*(T_PlannedOrders[EffectiveQty]&gt;0)*T_PlannedOrders[Order_Month])),"m月")&amp;"発注)")</f>
        <v/>
      </c>
      <c r="AD943">
        <f>IF(SUMIFS(T_PlannedOrders[EffectiveQty],T_PlannedOrders[Part Name],$A903,T_PlannedOrders[WeekIndex],27)=0,"",SUMIFS(T_PlannedOrders[EffectiveQty],T_PlannedOrders[Part Name],$A903,T_PlannedOrders[WeekIndex],27)&amp;" ("&amp;TEXT(SUMPRODUCT(MAX((T_PlannedOrders[Part Name]=$A903)*(T_PlannedOrders[WeekIndex]=27)*(T_PlannedOrders[EffectiveQty]&gt;0)*T_PlannedOrders[Order_Month])),"m月")&amp;"発注)")</f>
        <v/>
      </c>
      <c r="AE943">
        <f>IF(SUMIFS(T_PlannedOrders[EffectiveQty],T_PlannedOrders[Part Name],$A903,T_PlannedOrders[WeekIndex],28)=0,"",SUMIFS(T_PlannedOrders[EffectiveQty],T_PlannedOrders[Part Name],$A903,T_PlannedOrders[WeekIndex],28)&amp;" ("&amp;TEXT(SUMPRODUCT(MAX((T_PlannedOrders[Part Name]=$A903)*(T_PlannedOrders[WeekIndex]=28)*(T_PlannedOrders[EffectiveQty]&gt;0)*T_PlannedOrders[Order_Month])),"m月")&amp;"発注)")</f>
        <v/>
      </c>
      <c r="AF943">
        <f>IF(SUMIFS(T_PlannedOrders[EffectiveQty],T_PlannedOrders[Part Name],$A903,T_PlannedOrders[WeekIndex],29)=0,"",SUMIFS(T_PlannedOrders[EffectiveQty],T_PlannedOrders[Part Name],$A903,T_PlannedOrders[WeekIndex],29)&amp;" ("&amp;TEXT(SUMPRODUCT(MAX((T_PlannedOrders[Part Name]=$A903)*(T_PlannedOrders[WeekIndex]=29)*(T_PlannedOrders[EffectiveQty]&gt;0)*T_PlannedOrders[Order_Month])),"m月")&amp;"発注)")</f>
        <v/>
      </c>
      <c r="AG943">
        <f>IF(SUMIFS(T_PlannedOrders[EffectiveQty],T_PlannedOrders[Part Name],$A903,T_PlannedOrders[WeekIndex],30)=0,"",SUMIFS(T_PlannedOrders[EffectiveQty],T_PlannedOrders[Part Name],$A903,T_PlannedOrders[WeekIndex],30)&amp;" ("&amp;TEXT(SUMPRODUCT(MAX((T_PlannedOrders[Part Name]=$A903)*(T_PlannedOrders[WeekIndex]=30)*(T_PlannedOrders[EffectiveQty]&gt;0)*T_PlannedOrders[Order_Month])),"m月")&amp;"発注)")</f>
        <v/>
      </c>
      <c r="AH943">
        <f>IF(SUMIFS(T_PlannedOrders[EffectiveQty],T_PlannedOrders[Part Name],$A903,T_PlannedOrders[WeekIndex],31)=0,"",SUMIFS(T_PlannedOrders[EffectiveQty],T_PlannedOrders[Part Name],$A903,T_PlannedOrders[WeekIndex],31)&amp;" ("&amp;TEXT(SUMPRODUCT(MAX((T_PlannedOrders[Part Name]=$A903)*(T_PlannedOrders[WeekIndex]=31)*(T_PlannedOrders[EffectiveQty]&gt;0)*T_PlannedOrders[Order_Month])),"m月")&amp;"発注)")</f>
        <v/>
      </c>
      <c r="AI943">
        <f>IF(SUMIFS(T_PlannedOrders[EffectiveQty],T_PlannedOrders[Part Name],$A903,T_PlannedOrders[WeekIndex],32)=0,"",SUMIFS(T_PlannedOrders[EffectiveQty],T_PlannedOrders[Part Name],$A903,T_PlannedOrders[WeekIndex],32)&amp;" ("&amp;TEXT(SUMPRODUCT(MAX((T_PlannedOrders[Part Name]=$A903)*(T_PlannedOrders[WeekIndex]=32)*(T_PlannedOrders[EffectiveQty]&gt;0)*T_PlannedOrders[Order_Month])),"m月")&amp;"発注)")</f>
        <v/>
      </c>
      <c r="AJ943">
        <f>IF(SUMIFS(T_PlannedOrders[EffectiveQty],T_PlannedOrders[Part Name],$A903,T_PlannedOrders[WeekIndex],33)=0,"",SUMIFS(T_PlannedOrders[EffectiveQty],T_PlannedOrders[Part Name],$A903,T_PlannedOrders[WeekIndex],33)&amp;" ("&amp;TEXT(SUMPRODUCT(MAX((T_PlannedOrders[Part Name]=$A903)*(T_PlannedOrders[WeekIndex]=33)*(T_PlannedOrders[EffectiveQty]&gt;0)*T_PlannedOrders[Order_Month])),"m月")&amp;"発注)")</f>
        <v/>
      </c>
      <c r="AK943">
        <f>IF(SUMIFS(T_PlannedOrders[EffectiveQty],T_PlannedOrders[Part Name],$A903,T_PlannedOrders[WeekIndex],34)=0,"",SUMIFS(T_PlannedOrders[EffectiveQty],T_PlannedOrders[Part Name],$A903,T_PlannedOrders[WeekIndex],34)&amp;" ("&amp;TEXT(SUMPRODUCT(MAX((T_PlannedOrders[Part Name]=$A903)*(T_PlannedOrders[WeekIndex]=34)*(T_PlannedOrders[EffectiveQty]&gt;0)*T_PlannedOrders[Order_Month])),"m月")&amp;"発注)")</f>
        <v/>
      </c>
      <c r="AL943">
        <f>IF(SUMIFS(T_PlannedOrders[EffectiveQty],T_PlannedOrders[Part Name],$A903,T_PlannedOrders[WeekIndex],35)=0,"",SUMIFS(T_PlannedOrders[EffectiveQty],T_PlannedOrders[Part Name],$A903,T_PlannedOrders[WeekIndex],35)&amp;" ("&amp;TEXT(SUMPRODUCT(MAX((T_PlannedOrders[Part Name]=$A903)*(T_PlannedOrders[WeekIndex]=35)*(T_PlannedOrders[EffectiveQty]&gt;0)*T_PlannedOrders[Order_Month])),"m月")&amp;"発注)")</f>
        <v/>
      </c>
      <c r="AM943">
        <f>IF(SUMIFS(T_PlannedOrders[EffectiveQty],T_PlannedOrders[Part Name],$A903,T_PlannedOrders[WeekIndex],36)=0,"",SUMIFS(T_PlannedOrders[EffectiveQty],T_PlannedOrders[Part Name],$A903,T_PlannedOrders[WeekIndex],36)&amp;" ("&amp;TEXT(SUMPRODUCT(MAX((T_PlannedOrders[Part Name]=$A903)*(T_PlannedOrders[WeekIndex]=36)*(T_PlannedOrders[EffectiveQty]&gt;0)*T_PlannedOrders[Order_Month])),"m月")&amp;"発注)")</f>
        <v/>
      </c>
      <c r="AN943">
        <f>IF(SUMIFS(T_PlannedOrders[EffectiveQty],T_PlannedOrders[Part Name],$A903,T_PlannedOrders[WeekIndex],37)=0,"",SUMIFS(T_PlannedOrders[EffectiveQty],T_PlannedOrders[Part Name],$A903,T_PlannedOrders[WeekIndex],37)&amp;" ("&amp;TEXT(SUMPRODUCT(MAX((T_PlannedOrders[Part Name]=$A903)*(T_PlannedOrders[WeekIndex]=37)*(T_PlannedOrders[EffectiveQty]&gt;0)*T_PlannedOrders[Order_Month])),"m月")&amp;"発注)")</f>
        <v/>
      </c>
      <c r="AO943">
        <f>IF(SUMIFS(T_PlannedOrders[EffectiveQty],T_PlannedOrders[Part Name],$A903,T_PlannedOrders[WeekIndex],38)=0,"",SUMIFS(T_PlannedOrders[EffectiveQty],T_PlannedOrders[Part Name],$A903,T_PlannedOrders[WeekIndex],38)&amp;" ("&amp;TEXT(SUMPRODUCT(MAX((T_PlannedOrders[Part Name]=$A903)*(T_PlannedOrders[WeekIndex]=38)*(T_PlannedOrders[EffectiveQty]&gt;0)*T_PlannedOrders[Order_Month])),"m月")&amp;"発注)")</f>
        <v/>
      </c>
      <c r="AP943">
        <f>IF(SUMIFS(T_PlannedOrders[EffectiveQty],T_PlannedOrders[Part Name],$A903,T_PlannedOrders[WeekIndex],39)=0,"",SUMIFS(T_PlannedOrders[EffectiveQty],T_PlannedOrders[Part Name],$A903,T_PlannedOrders[WeekIndex],39)&amp;" ("&amp;TEXT(SUMPRODUCT(MAX((T_PlannedOrders[Part Name]=$A903)*(T_PlannedOrders[WeekIndex]=39)*(T_PlannedOrders[EffectiveQty]&gt;0)*T_PlannedOrders[Order_Month])),"m月")&amp;"発注)")</f>
        <v/>
      </c>
      <c r="AQ943">
        <f>IF(SUMIFS(T_PlannedOrders[EffectiveQty],T_PlannedOrders[Part Name],$A903,T_PlannedOrders[WeekIndex],40)=0,"",SUMIFS(T_PlannedOrders[EffectiveQty],T_PlannedOrders[Part Name],$A903,T_PlannedOrders[WeekIndex],40)&amp;" ("&amp;TEXT(SUMPRODUCT(MAX((T_PlannedOrders[Part Name]=$A903)*(T_PlannedOrders[WeekIndex]=40)*(T_PlannedOrders[EffectiveQty]&gt;0)*T_PlannedOrders[Order_Month])),"m月")&amp;"発注)")</f>
        <v/>
      </c>
      <c r="AR943">
        <f>IF(SUMIFS(T_PlannedOrders[EffectiveQty],T_PlannedOrders[Part Name],$A903,T_PlannedOrders[WeekIndex],41)=0,"",SUMIFS(T_PlannedOrders[EffectiveQty],T_PlannedOrders[Part Name],$A903,T_PlannedOrders[WeekIndex],41)&amp;" ("&amp;TEXT(SUMPRODUCT(MAX((T_PlannedOrders[Part Name]=$A903)*(T_PlannedOrders[WeekIndex]=41)*(T_PlannedOrders[EffectiveQty]&gt;0)*T_PlannedOrders[Order_Month])),"m月")&amp;"発注)")</f>
        <v/>
      </c>
      <c r="AS943">
        <f>IF(SUMIFS(T_PlannedOrders[EffectiveQty],T_PlannedOrders[Part Name],$A903,T_PlannedOrders[WeekIndex],42)=0,"",SUMIFS(T_PlannedOrders[EffectiveQty],T_PlannedOrders[Part Name],$A903,T_PlannedOrders[WeekIndex],42)&amp;" ("&amp;TEXT(SUMPRODUCT(MAX((T_PlannedOrders[Part Name]=$A903)*(T_PlannedOrders[WeekIndex]=42)*(T_PlannedOrders[EffectiveQty]&gt;0)*T_PlannedOrders[Order_Month])),"m月")&amp;"発注)")</f>
        <v/>
      </c>
      <c r="AT943">
        <f>IF(SUMIFS(T_PlannedOrders[EffectiveQty],T_PlannedOrders[Part Name],$A903,T_PlannedOrders[WeekIndex],43)=0,"",SUMIFS(T_PlannedOrders[EffectiveQty],T_PlannedOrders[Part Name],$A903,T_PlannedOrders[WeekIndex],43)&amp;" ("&amp;TEXT(SUMPRODUCT(MAX((T_PlannedOrders[Part Name]=$A903)*(T_PlannedOrders[WeekIndex]=43)*(T_PlannedOrders[EffectiveQty]&gt;0)*T_PlannedOrders[Order_Month])),"m月")&amp;"発注)")</f>
        <v/>
      </c>
      <c r="AU943">
        <f>IF(SUMIFS(T_PlannedOrders[EffectiveQty],T_PlannedOrders[Part Name],$A903,T_PlannedOrders[WeekIndex],44)=0,"",SUMIFS(T_PlannedOrders[EffectiveQty],T_PlannedOrders[Part Name],$A903,T_PlannedOrders[WeekIndex],44)&amp;" ("&amp;TEXT(SUMPRODUCT(MAX((T_PlannedOrders[Part Name]=$A903)*(T_PlannedOrders[WeekIndex]=44)*(T_PlannedOrders[EffectiveQty]&gt;0)*T_PlannedOrders[Order_Month])),"m月")&amp;"発注)")</f>
        <v/>
      </c>
      <c r="AV943">
        <f>IF(SUMIFS(T_PlannedOrders[EffectiveQty],T_PlannedOrders[Part Name],$A903,T_PlannedOrders[WeekIndex],45)=0,"",SUMIFS(T_PlannedOrders[EffectiveQty],T_PlannedOrders[Part Name],$A903,T_PlannedOrders[WeekIndex],45)&amp;" ("&amp;TEXT(SUMPRODUCT(MAX((T_PlannedOrders[Part Name]=$A903)*(T_PlannedOrders[WeekIndex]=45)*(T_PlannedOrders[EffectiveQty]&gt;0)*T_PlannedOrders[Order_Month])),"m月")&amp;"発注)")</f>
        <v/>
      </c>
      <c r="AW943">
        <f>IF(SUMIFS(T_PlannedOrders[EffectiveQty],T_PlannedOrders[Part Name],$A903,T_PlannedOrders[WeekIndex],46)=0,"",SUMIFS(T_PlannedOrders[EffectiveQty],T_PlannedOrders[Part Name],$A903,T_PlannedOrders[WeekIndex],46)&amp;" ("&amp;TEXT(SUMPRODUCT(MAX((T_PlannedOrders[Part Name]=$A903)*(T_PlannedOrders[WeekIndex]=46)*(T_PlannedOrders[EffectiveQty]&gt;0)*T_PlannedOrders[Order_Month])),"m月")&amp;"発注)")</f>
        <v/>
      </c>
      <c r="AX943">
        <f>IF(SUMIFS(T_PlannedOrders[EffectiveQty],T_PlannedOrders[Part Name],$A903,T_PlannedOrders[WeekIndex],47)=0,"",SUMIFS(T_PlannedOrders[EffectiveQty],T_PlannedOrders[Part Name],$A903,T_PlannedOrders[WeekIndex],47)&amp;" ("&amp;TEXT(SUMPRODUCT(MAX((T_PlannedOrders[Part Name]=$A903)*(T_PlannedOrders[WeekIndex]=47)*(T_PlannedOrders[EffectiveQty]&gt;0)*T_PlannedOrders[Order_Month])),"m月")&amp;"発注)")</f>
        <v/>
      </c>
      <c r="AY943">
        <f>IF(SUMIFS(T_PlannedOrders[EffectiveQty],T_PlannedOrders[Part Name],$A903,T_PlannedOrders[WeekIndex],48)=0,"",SUMIFS(T_PlannedOrders[EffectiveQty],T_PlannedOrders[Part Name],$A903,T_PlannedOrders[WeekIndex],48)&amp;" ("&amp;TEXT(SUMPRODUCT(MAX((T_PlannedOrders[Part Name]=$A903)*(T_PlannedOrders[WeekIndex]=48)*(T_PlannedOrders[EffectiveQty]&gt;0)*T_PlannedOrders[Order_Month])),"m月")&amp;"発注)")</f>
        <v/>
      </c>
      <c r="AZ943">
        <f>IF(SUMIFS(T_PlannedOrders[EffectiveQty],T_PlannedOrders[Part Name],$A903,T_PlannedOrders[WeekIndex],49)=0,"",SUMIFS(T_PlannedOrders[EffectiveQty],T_PlannedOrders[Part Name],$A903,T_PlannedOrders[WeekIndex],49)&amp;" ("&amp;TEXT(SUMPRODUCT(MAX((T_PlannedOrders[Part Name]=$A903)*(T_PlannedOrders[WeekIndex]=49)*(T_PlannedOrders[EffectiveQty]&gt;0)*T_PlannedOrders[Order_Month])),"m月")&amp;"発注)")</f>
        <v/>
      </c>
      <c r="BA943">
        <f>IF(SUMIFS(T_PlannedOrders[EffectiveQty],T_PlannedOrders[Part Name],$A903,T_PlannedOrders[WeekIndex],50)=0,"",SUMIFS(T_PlannedOrders[EffectiveQty],T_PlannedOrders[Part Name],$A903,T_PlannedOrders[WeekIndex],50)&amp;" ("&amp;TEXT(SUMPRODUCT(MAX((T_PlannedOrders[Part Name]=$A903)*(T_PlannedOrders[WeekIndex]=50)*(T_PlannedOrders[EffectiveQty]&gt;0)*T_PlannedOrders[Order_Month])),"m月")&amp;"発注)")</f>
        <v/>
      </c>
      <c r="BB943">
        <f>IF(SUMIFS(T_PlannedOrders[EffectiveQty],T_PlannedOrders[Part Name],$A903,T_PlannedOrders[WeekIndex],51)=0,"",SUMIFS(T_PlannedOrders[EffectiveQty],T_PlannedOrders[Part Name],$A903,T_PlannedOrders[WeekIndex],51)&amp;" ("&amp;TEXT(SUMPRODUCT(MAX((T_PlannedOrders[Part Name]=$A903)*(T_PlannedOrders[WeekIndex]=51)*(T_PlannedOrders[EffectiveQty]&gt;0)*T_PlannedOrders[Order_Month])),"m月")&amp;"発注)")</f>
        <v/>
      </c>
      <c r="BC943">
        <f>IF(SUMIFS(T_PlannedOrders[EffectiveQty],T_PlannedOrders[Part Name],$A903,T_PlannedOrders[WeekIndex],52)=0,"",SUMIFS(T_PlannedOrders[EffectiveQty],T_PlannedOrders[Part Name],$A903,T_PlannedOrders[WeekIndex],52)&amp;" ("&amp;TEXT(SUMPRODUCT(MAX((T_PlannedOrders[Part Name]=$A903)*(T_PlannedOrders[WeekIndex]=52)*(T_PlannedOrders[EffectiveQty]&gt;0)*T_PlannedOrders[Order_Month])),"m月")&amp;"発注)")</f>
        <v/>
      </c>
      <c r="BD943">
        <f>IF(SUMIFS(T_PlannedOrders[EffectiveQty],T_PlannedOrders[Part Name],$A903,T_PlannedOrders[WeekIndex],53)=0,"",SUMIFS(T_PlannedOrders[EffectiveQty],T_PlannedOrders[Part Name],$A903,T_PlannedOrders[WeekIndex],53)&amp;" ("&amp;TEXT(SUMPRODUCT(MAX((T_PlannedOrders[Part Name]=$A903)*(T_PlannedOrders[WeekIndex]=53)*(T_PlannedOrders[EffectiveQty]&gt;0)*T_PlannedOrders[Order_Month])),"m月")&amp;"発注)")</f>
        <v/>
      </c>
      <c r="BE943">
        <f>IF(SUMIFS(T_PlannedOrders[EffectiveQty],T_PlannedOrders[Part Name],$A903,T_PlannedOrders[WeekIndex],54)=0,"",SUMIFS(T_PlannedOrders[EffectiveQty],T_PlannedOrders[Part Name],$A903,T_PlannedOrders[WeekIndex],54)&amp;" ("&amp;TEXT(SUMPRODUCT(MAX((T_PlannedOrders[Part Name]=$A903)*(T_PlannedOrders[WeekIndex]=54)*(T_PlannedOrders[EffectiveQty]&gt;0)*T_PlannedOrders[Order_Month])),"m月")&amp;"発注)")</f>
        <v/>
      </c>
      <c r="BF943">
        <f>IF(SUMIFS(T_PlannedOrders[EffectiveQty],T_PlannedOrders[Part Name],$A903,T_PlannedOrders[WeekIndex],55)=0,"",SUMIFS(T_PlannedOrders[EffectiveQty],T_PlannedOrders[Part Name],$A903,T_PlannedOrders[WeekIndex],55)&amp;" ("&amp;TEXT(SUMPRODUCT(MAX((T_PlannedOrders[Part Name]=$A903)*(T_PlannedOrders[WeekIndex]=55)*(T_PlannedOrders[EffectiveQty]&gt;0)*T_PlannedOrders[Order_Month])),"m月")&amp;"発注)")</f>
        <v/>
      </c>
      <c r="BG943">
        <f>IF(SUMIFS(T_PlannedOrders[EffectiveQty],T_PlannedOrders[Part Name],$A903,T_PlannedOrders[WeekIndex],56)=0,"",SUMIFS(T_PlannedOrders[EffectiveQty],T_PlannedOrders[Part Name],$A903,T_PlannedOrders[WeekIndex],56)&amp;" ("&amp;TEXT(SUMPRODUCT(MAX((T_PlannedOrders[Part Name]=$A903)*(T_PlannedOrders[WeekIndex]=56)*(T_PlannedOrders[EffectiveQty]&gt;0)*T_PlannedOrders[Order_Month])),"m月")&amp;"発注)")</f>
        <v/>
      </c>
      <c r="BH943">
        <f>IF(SUMIFS(T_PlannedOrders[EffectiveQty],T_PlannedOrders[Part Name],$A903,T_PlannedOrders[WeekIndex],57)=0,"",SUMIFS(T_PlannedOrders[EffectiveQty],T_PlannedOrders[Part Name],$A903,T_PlannedOrders[WeekIndex],57)&amp;" ("&amp;TEXT(SUMPRODUCT(MAX((T_PlannedOrders[Part Name]=$A903)*(T_PlannedOrders[WeekIndex]=57)*(T_PlannedOrders[EffectiveQty]&gt;0)*T_PlannedOrders[Order_Month])),"m月")&amp;"発注)")</f>
        <v/>
      </c>
      <c r="BI943">
        <f>IF(SUMIFS(T_PlannedOrders[EffectiveQty],T_PlannedOrders[Part Name],$A903,T_PlannedOrders[WeekIndex],58)=0,"",SUMIFS(T_PlannedOrders[EffectiveQty],T_PlannedOrders[Part Name],$A903,T_PlannedOrders[WeekIndex],58)&amp;" ("&amp;TEXT(SUMPRODUCT(MAX((T_PlannedOrders[Part Name]=$A903)*(T_PlannedOrders[WeekIndex]=58)*(T_PlannedOrders[EffectiveQty]&gt;0)*T_PlannedOrders[Order_Month])),"m月")&amp;"発注)")</f>
        <v/>
      </c>
      <c r="BJ943">
        <f>IF(SUMIFS(T_PlannedOrders[EffectiveQty],T_PlannedOrders[Part Name],$A903,T_PlannedOrders[WeekIndex],59)=0,"",SUMIFS(T_PlannedOrders[EffectiveQty],T_PlannedOrders[Part Name],$A903,T_PlannedOrders[WeekIndex],59)&amp;" ("&amp;TEXT(SUMPRODUCT(MAX((T_PlannedOrders[Part Name]=$A903)*(T_PlannedOrders[WeekIndex]=59)*(T_PlannedOrders[EffectiveQty]&gt;0)*T_PlannedOrders[Order_Month])),"m月")&amp;"発注)")</f>
        <v/>
      </c>
      <c r="BK943">
        <f>IF(SUMIFS(T_PlannedOrders[EffectiveQty],T_PlannedOrders[Part Name],$A903,T_PlannedOrders[WeekIndex],60)=0,"",SUMIFS(T_PlannedOrders[EffectiveQty],T_PlannedOrders[Part Name],$A903,T_PlannedOrders[WeekIndex],60)&amp;" ("&amp;TEXT(SUMPRODUCT(MAX((T_PlannedOrders[Part Name]=$A903)*(T_PlannedOrders[WeekIndex]=60)*(T_PlannedOrders[EffectiveQty]&gt;0)*T_PlannedOrders[Order_Month])),"m月")&amp;"発注)")</f>
        <v/>
      </c>
      <c r="BL943">
        <f>IF(SUMIFS(T_PlannedOrders[EffectiveQty],T_PlannedOrders[Part Name],$A903,T_PlannedOrders[WeekIndex],61)=0,"",SUMIFS(T_PlannedOrders[EffectiveQty],T_PlannedOrders[Part Name],$A903,T_PlannedOrders[WeekIndex],61)&amp;" ("&amp;TEXT(SUMPRODUCT(MAX((T_PlannedOrders[Part Name]=$A903)*(T_PlannedOrders[WeekIndex]=61)*(T_PlannedOrders[EffectiveQty]&gt;0)*T_PlannedOrders[Order_Month])),"m月")&amp;"発注)")</f>
        <v/>
      </c>
      <c r="BM943">
        <f>IF(SUMIFS(T_PlannedOrders[EffectiveQty],T_PlannedOrders[Part Name],$A903,T_PlannedOrders[WeekIndex],62)=0,"",SUMIFS(T_PlannedOrders[EffectiveQty],T_PlannedOrders[Part Name],$A903,T_PlannedOrders[WeekIndex],62)&amp;" ("&amp;TEXT(SUMPRODUCT(MAX((T_PlannedOrders[Part Name]=$A903)*(T_PlannedOrders[WeekIndex]=62)*(T_PlannedOrders[EffectiveQty]&gt;0)*T_PlannedOrders[Order_Month])),"m月")&amp;"発注)")</f>
        <v/>
      </c>
      <c r="BN943">
        <f>IF(SUMIFS(T_PlannedOrders[EffectiveQty],T_PlannedOrders[Part Name],$A903,T_PlannedOrders[WeekIndex],63)=0,"",SUMIFS(T_PlannedOrders[EffectiveQty],T_PlannedOrders[Part Name],$A903,T_PlannedOrders[WeekIndex],63)&amp;" ("&amp;TEXT(SUMPRODUCT(MAX((T_PlannedOrders[Part Name]=$A903)*(T_PlannedOrders[WeekIndex]=63)*(T_PlannedOrders[EffectiveQty]&gt;0)*T_PlannedOrders[Order_Month])),"m月")&amp;"発注)")</f>
        <v/>
      </c>
      <c r="BO943">
        <f>IF(SUMIFS(T_PlannedOrders[EffectiveQty],T_PlannedOrders[Part Name],$A903,T_PlannedOrders[WeekIndex],64)=0,"",SUMIFS(T_PlannedOrders[EffectiveQty],T_PlannedOrders[Part Name],$A903,T_PlannedOrders[WeekIndex],64)&amp;" ("&amp;TEXT(SUMPRODUCT(MAX((T_PlannedOrders[Part Name]=$A903)*(T_PlannedOrders[WeekIndex]=64)*(T_PlannedOrders[EffectiveQty]&gt;0)*T_PlannedOrders[Order_Month])),"m月")&amp;"発注)")</f>
        <v/>
      </c>
      <c r="BP943">
        <f>IF(SUMIFS(T_PlannedOrders[EffectiveQty],T_PlannedOrders[Part Name],$A903,T_PlannedOrders[WeekIndex],65)=0,"",SUMIFS(T_PlannedOrders[EffectiveQty],T_PlannedOrders[Part Name],$A903,T_PlannedOrders[WeekIndex],65)&amp;" ("&amp;TEXT(SUMPRODUCT(MAX((T_PlannedOrders[Part Name]=$A903)*(T_PlannedOrders[WeekIndex]=65)*(T_PlannedOrders[EffectiveQty]&gt;0)*T_PlannedOrders[Order_Month])),"m月")&amp;"発注)")</f>
        <v/>
      </c>
      <c r="BQ943">
        <f>IF(SUMIFS(T_PlannedOrders[EffectiveQty],T_PlannedOrders[Part Name],$A903,T_PlannedOrders[WeekIndex],66)=0,"",SUMIFS(T_PlannedOrders[EffectiveQty],T_PlannedOrders[Part Name],$A903,T_PlannedOrders[WeekIndex],66)&amp;" ("&amp;TEXT(SUMPRODUCT(MAX((T_PlannedOrders[Part Name]=$A903)*(T_PlannedOrders[WeekIndex]=66)*(T_PlannedOrders[EffectiveQty]&gt;0)*T_PlannedOrders[Order_Month])),"m月")&amp;"発注)")</f>
        <v/>
      </c>
      <c r="BR943">
        <f>IF(SUMIFS(T_PlannedOrders[EffectiveQty],T_PlannedOrders[Part Name],$A903,T_PlannedOrders[WeekIndex],67)=0,"",SUMIFS(T_PlannedOrders[EffectiveQty],T_PlannedOrders[Part Name],$A903,T_PlannedOrders[WeekIndex],67)&amp;" ("&amp;TEXT(SUMPRODUCT(MAX((T_PlannedOrders[Part Name]=$A903)*(T_PlannedOrders[WeekIndex]=67)*(T_PlannedOrders[EffectiveQty]&gt;0)*T_PlannedOrders[Order_Month])),"m月")&amp;"発注)")</f>
        <v/>
      </c>
      <c r="BS943">
        <f>IF(SUMIFS(T_PlannedOrders[EffectiveQty],T_PlannedOrders[Part Name],$A903,T_PlannedOrders[WeekIndex],68)=0,"",SUMIFS(T_PlannedOrders[EffectiveQty],T_PlannedOrders[Part Name],$A903,T_PlannedOrders[WeekIndex],68)&amp;" ("&amp;TEXT(SUMPRODUCT(MAX((T_PlannedOrders[Part Name]=$A903)*(T_PlannedOrders[WeekIndex]=68)*(T_PlannedOrders[EffectiveQty]&gt;0)*T_PlannedOrders[Order_Month])),"m月")&amp;"発注)")</f>
        <v/>
      </c>
      <c r="BT943">
        <f>IF(SUMIFS(T_PlannedOrders[EffectiveQty],T_PlannedOrders[Part Name],$A903,T_PlannedOrders[WeekIndex],69)=0,"",SUMIFS(T_PlannedOrders[EffectiveQty],T_PlannedOrders[Part Name],$A903,T_PlannedOrders[WeekIndex],69)&amp;" ("&amp;TEXT(SUMPRODUCT(MAX((T_PlannedOrders[Part Name]=$A903)*(T_PlannedOrders[WeekIndex]=69)*(T_PlannedOrders[EffectiveQty]&gt;0)*T_PlannedOrders[Order_Month])),"m月")&amp;"発注)")</f>
        <v/>
      </c>
      <c r="BU943">
        <f>IF(SUMIFS(T_PlannedOrders[EffectiveQty],T_PlannedOrders[Part Name],$A903,T_PlannedOrders[WeekIndex],70)=0,"",SUMIFS(T_PlannedOrders[EffectiveQty],T_PlannedOrders[Part Name],$A903,T_PlannedOrders[WeekIndex],70)&amp;" ("&amp;TEXT(SUMPRODUCT(MAX((T_PlannedOrders[Part Name]=$A903)*(T_PlannedOrders[WeekIndex]=70)*(T_PlannedOrders[EffectiveQty]&gt;0)*T_PlannedOrders[Order_Month])),"m月")&amp;"発注)")</f>
        <v/>
      </c>
      <c r="BV943">
        <f>IF(SUMIFS(T_PlannedOrders[EffectiveQty],T_PlannedOrders[Part Name],$A903,T_PlannedOrders[WeekIndex],71)=0,"",SUMIFS(T_PlannedOrders[EffectiveQty],T_PlannedOrders[Part Name],$A903,T_PlannedOrders[WeekIndex],71)&amp;" ("&amp;TEXT(SUMPRODUCT(MAX((T_PlannedOrders[Part Name]=$A903)*(T_PlannedOrders[WeekIndex]=71)*(T_PlannedOrders[EffectiveQty]&gt;0)*T_PlannedOrders[Order_Month])),"m月")&amp;"発注)")</f>
        <v/>
      </c>
      <c r="BW943">
        <f>IF(SUMIFS(T_PlannedOrders[EffectiveQty],T_PlannedOrders[Part Name],$A903,T_PlannedOrders[WeekIndex],72)=0,"",SUMIFS(T_PlannedOrders[EffectiveQty],T_PlannedOrders[Part Name],$A903,T_PlannedOrders[WeekIndex],72)&amp;" ("&amp;TEXT(SUMPRODUCT(MAX((T_PlannedOrders[Part Name]=$A903)*(T_PlannedOrders[WeekIndex]=72)*(T_PlannedOrders[EffectiveQty]&gt;0)*T_PlannedOrders[Order_Month])),"m月")&amp;"発注)")</f>
        <v/>
      </c>
      <c r="BX943">
        <f>IF(SUMIFS(T_PlannedOrders[EffectiveQty],T_PlannedOrders[Part Name],$A903,T_PlannedOrders[WeekIndex],73)=0,"",SUMIFS(T_PlannedOrders[EffectiveQty],T_PlannedOrders[Part Name],$A903,T_PlannedOrders[WeekIndex],73)&amp;" ("&amp;TEXT(SUMPRODUCT(MAX((T_PlannedOrders[Part Name]=$A903)*(T_PlannedOrders[WeekIndex]=73)*(T_PlannedOrders[EffectiveQty]&gt;0)*T_PlannedOrders[Order_Month])),"m月")&amp;"発注)")</f>
        <v/>
      </c>
      <c r="BY943">
        <f>IF(SUMIFS(T_PlannedOrders[EffectiveQty],T_PlannedOrders[Part Name],$A903,T_PlannedOrders[WeekIndex],74)=0,"",SUMIFS(T_PlannedOrders[EffectiveQty],T_PlannedOrders[Part Name],$A903,T_PlannedOrders[WeekIndex],74)&amp;" ("&amp;TEXT(SUMPRODUCT(MAX((T_PlannedOrders[Part Name]=$A903)*(T_PlannedOrders[WeekIndex]=74)*(T_PlannedOrders[EffectiveQty]&gt;0)*T_PlannedOrders[Order_Month])),"m月")&amp;"発注)")</f>
        <v/>
      </c>
      <c r="BZ943">
        <f>IF(SUMIFS(T_PlannedOrders[EffectiveQty],T_PlannedOrders[Part Name],$A903,T_PlannedOrders[WeekIndex],75)=0,"",SUMIFS(T_PlannedOrders[EffectiveQty],T_PlannedOrders[Part Name],$A903,T_PlannedOrders[WeekIndex],75)&amp;" ("&amp;TEXT(SUMPRODUCT(MAX((T_PlannedOrders[Part Name]=$A903)*(T_PlannedOrders[WeekIndex]=75)*(T_PlannedOrders[EffectiveQty]&gt;0)*T_PlannedOrders[Order_Month])),"m月")&amp;"発注)")</f>
        <v/>
      </c>
      <c r="CA943">
        <f>IF(SUMIFS(T_PlannedOrders[EffectiveQty],T_PlannedOrders[Part Name],$A903,T_PlannedOrders[WeekIndex],76)=0,"",SUMIFS(T_PlannedOrders[EffectiveQty],T_PlannedOrders[Part Name],$A903,T_PlannedOrders[WeekIndex],76)&amp;" ("&amp;TEXT(SUMPRODUCT(MAX((T_PlannedOrders[Part Name]=$A903)*(T_PlannedOrders[WeekIndex]=76)*(T_PlannedOrders[EffectiveQty]&gt;0)*T_PlannedOrders[Order_Month])),"m月")&amp;"発注)")</f>
        <v/>
      </c>
      <c r="CB943">
        <f>IF(SUMIFS(T_PlannedOrders[EffectiveQty],T_PlannedOrders[Part Name],$A903,T_PlannedOrders[WeekIndex],77)=0,"",SUMIFS(T_PlannedOrders[EffectiveQty],T_PlannedOrders[Part Name],$A903,T_PlannedOrders[WeekIndex],77)&amp;" ("&amp;TEXT(SUMPRODUCT(MAX((T_PlannedOrders[Part Name]=$A903)*(T_PlannedOrders[WeekIndex]=77)*(T_PlannedOrders[EffectiveQty]&gt;0)*T_PlannedOrders[Order_Month])),"m月")&amp;"発注)")</f>
        <v/>
      </c>
      <c r="CC943">
        <f>IF(SUMIFS(T_PlannedOrders[EffectiveQty],T_PlannedOrders[Part Name],$A903,T_PlannedOrders[WeekIndex],78)=0,"",SUMIFS(T_PlannedOrders[EffectiveQty],T_PlannedOrders[Part Name],$A903,T_PlannedOrders[WeekIndex],78)&amp;" ("&amp;TEXT(SUMPRODUCT(MAX((T_PlannedOrders[Part Name]=$A903)*(T_PlannedOrders[WeekIndex]=78)*(T_PlannedOrders[EffectiveQty]&gt;0)*T_PlannedOrders[Order_Month])),"m月")&amp;"発注)")</f>
        <v/>
      </c>
      <c r="CD943">
        <f>IF(SUMIFS(T_PlannedOrders[EffectiveQty],T_PlannedOrders[Part Name],$A903,T_PlannedOrders[WeekIndex],79)=0,"",SUMIFS(T_PlannedOrders[EffectiveQty],T_PlannedOrders[Part Name],$A903,T_PlannedOrders[WeekIndex],79)&amp;" ("&amp;TEXT(SUMPRODUCT(MAX((T_PlannedOrders[Part Name]=$A903)*(T_PlannedOrders[WeekIndex]=79)*(T_PlannedOrders[EffectiveQty]&gt;0)*T_PlannedOrders[Order_Month])),"m月")&amp;"発注)")</f>
        <v/>
      </c>
      <c r="CE943">
        <f>IF(SUMIFS(T_PlannedOrders[EffectiveQty],T_PlannedOrders[Part Name],$A903,T_PlannedOrders[WeekIndex],80)=0,"",SUMIFS(T_PlannedOrders[EffectiveQty],T_PlannedOrders[Part Name],$A903,T_PlannedOrders[WeekIndex],80)&amp;" ("&amp;TEXT(SUMPRODUCT(MAX((T_PlannedOrders[Part Name]=$A903)*(T_PlannedOrders[WeekIndex]=80)*(T_PlannedOrders[EffectiveQty]&gt;0)*T_PlannedOrders[Order_Month])),"m月")&amp;"発注)")</f>
        <v/>
      </c>
      <c r="CF943">
        <f>IF(SUMIFS(T_PlannedOrders[EffectiveQty],T_PlannedOrders[Part Name],$A903,T_PlannedOrders[WeekIndex],81)=0,"",SUMIFS(T_PlannedOrders[EffectiveQty],T_PlannedOrders[Part Name],$A903,T_PlannedOrders[WeekIndex],81)&amp;" ("&amp;TEXT(SUMPRODUCT(MAX((T_PlannedOrders[Part Name]=$A903)*(T_PlannedOrders[WeekIndex]=81)*(T_PlannedOrders[EffectiveQty]&gt;0)*T_PlannedOrders[Order_Month])),"m月")&amp;"発注)")</f>
        <v/>
      </c>
      <c r="CG943">
        <f>IF(SUMIFS(T_PlannedOrders[EffectiveQty],T_PlannedOrders[Part Name],$A903,T_PlannedOrders[WeekIndex],82)=0,"",SUMIFS(T_PlannedOrders[EffectiveQty],T_PlannedOrders[Part Name],$A903,T_PlannedOrders[WeekIndex],82)&amp;" ("&amp;TEXT(SUMPRODUCT(MAX((T_PlannedOrders[Part Name]=$A903)*(T_PlannedOrders[WeekIndex]=82)*(T_PlannedOrders[EffectiveQty]&gt;0)*T_PlannedOrders[Order_Month])),"m月")&amp;"発注)")</f>
        <v/>
      </c>
      <c r="CH943">
        <f>IF(SUMIFS(T_PlannedOrders[EffectiveQty],T_PlannedOrders[Part Name],$A903,T_PlannedOrders[WeekIndex],83)=0,"",SUMIFS(T_PlannedOrders[EffectiveQty],T_PlannedOrders[Part Name],$A903,T_PlannedOrders[WeekIndex],83)&amp;" ("&amp;TEXT(SUMPRODUCT(MAX((T_PlannedOrders[Part Name]=$A903)*(T_PlannedOrders[WeekIndex]=83)*(T_PlannedOrders[EffectiveQty]&gt;0)*T_PlannedOrders[Order_Month])),"m月")&amp;"発注)")</f>
        <v/>
      </c>
      <c r="CI943">
        <f>IF(SUMIFS(T_PlannedOrders[EffectiveQty],T_PlannedOrders[Part Name],$A903,T_PlannedOrders[WeekIndex],84)=0,"",SUMIFS(T_PlannedOrders[EffectiveQty],T_PlannedOrders[Part Name],$A903,T_PlannedOrders[WeekIndex],84)&amp;" ("&amp;TEXT(SUMPRODUCT(MAX((T_PlannedOrders[Part Name]=$A903)*(T_PlannedOrders[WeekIndex]=84)*(T_PlannedOrders[EffectiveQty]&gt;0)*T_PlannedOrders[Order_Month])),"m月")&amp;"発注)")</f>
        <v/>
      </c>
      <c r="CJ943">
        <f>IF(SUMIFS(T_PlannedOrders[EffectiveQty],T_PlannedOrders[Part Name],$A903,T_PlannedOrders[WeekIndex],85)=0,"",SUMIFS(T_PlannedOrders[EffectiveQty],T_PlannedOrders[Part Name],$A903,T_PlannedOrders[WeekIndex],85)&amp;" ("&amp;TEXT(SUMPRODUCT(MAX((T_PlannedOrders[Part Name]=$A903)*(T_PlannedOrders[WeekIndex]=85)*(T_PlannedOrders[EffectiveQty]&gt;0)*T_PlannedOrders[Order_Month])),"m月")&amp;"発注)")</f>
        <v/>
      </c>
      <c r="CK943">
        <f>IF(SUMIFS(T_PlannedOrders[EffectiveQty],T_PlannedOrders[Part Name],$A903,T_PlannedOrders[WeekIndex],86)=0,"",SUMIFS(T_PlannedOrders[EffectiveQty],T_PlannedOrders[Part Name],$A903,T_PlannedOrders[WeekIndex],86)&amp;" ("&amp;TEXT(SUMPRODUCT(MAX((T_PlannedOrders[Part Name]=$A903)*(T_PlannedOrders[WeekIndex]=86)*(T_PlannedOrders[EffectiveQty]&gt;0)*T_PlannedOrders[Order_Month])),"m月")&amp;"発注)")</f>
        <v/>
      </c>
      <c r="CL943">
        <f>IF(SUMIFS(T_PlannedOrders[EffectiveQty],T_PlannedOrders[Part Name],$A903,T_PlannedOrders[WeekIndex],87)=0,"",SUMIFS(T_PlannedOrders[EffectiveQty],T_PlannedOrders[Part Name],$A903,T_PlannedOrders[WeekIndex],87)&amp;" ("&amp;TEXT(SUMPRODUCT(MAX((T_PlannedOrders[Part Name]=$A903)*(T_PlannedOrders[WeekIndex]=87)*(T_PlannedOrders[EffectiveQty]&gt;0)*T_PlannedOrders[Order_Month])),"m月")&amp;"発注)")</f>
        <v/>
      </c>
      <c r="CM943">
        <f>IF(SUMIFS(T_PlannedOrders[EffectiveQty],T_PlannedOrders[Part Name],$A903,T_PlannedOrders[WeekIndex],88)=0,"",SUMIFS(T_PlannedOrders[EffectiveQty],T_PlannedOrders[Part Name],$A903,T_PlannedOrders[WeekIndex],88)&amp;" ("&amp;TEXT(SUMPRODUCT(MAX((T_PlannedOrders[Part Name]=$A903)*(T_PlannedOrders[WeekIndex]=88)*(T_PlannedOrders[EffectiveQty]&gt;0)*T_PlannedOrders[Order_Month])),"m月")&amp;"発注)")</f>
        <v/>
      </c>
      <c r="CN943">
        <f>IF(SUMIFS(T_PlannedOrders[EffectiveQty],T_PlannedOrders[Part Name],$A903,T_PlannedOrders[WeekIndex],89)=0,"",SUMIFS(T_PlannedOrders[EffectiveQty],T_PlannedOrders[Part Name],$A903,T_PlannedOrders[WeekIndex],89)&amp;" ("&amp;TEXT(SUMPRODUCT(MAX((T_PlannedOrders[Part Name]=$A903)*(T_PlannedOrders[WeekIndex]=89)*(T_PlannedOrders[EffectiveQty]&gt;0)*T_PlannedOrders[Order_Month])),"m月")&amp;"発注)")</f>
        <v/>
      </c>
      <c r="CO943">
        <f>IF(SUMIFS(T_PlannedOrders[EffectiveQty],T_PlannedOrders[Part Name],$A903,T_PlannedOrders[WeekIndex],90)=0,"",SUMIFS(T_PlannedOrders[EffectiveQty],T_PlannedOrders[Part Name],$A903,T_PlannedOrders[WeekIndex],90)&amp;" ("&amp;TEXT(SUMPRODUCT(MAX((T_PlannedOrders[Part Name]=$A903)*(T_PlannedOrders[WeekIndex]=90)*(T_PlannedOrders[EffectiveQty]&gt;0)*T_PlannedOrders[Order_Month])),"m月")&amp;"発注)")</f>
        <v/>
      </c>
      <c r="CP943">
        <f>IF(SUMIFS(T_PlannedOrders[EffectiveQty],T_PlannedOrders[Part Name],$A903,T_PlannedOrders[WeekIndex],91)=0,"",SUMIFS(T_PlannedOrders[EffectiveQty],T_PlannedOrders[Part Name],$A903,T_PlannedOrders[WeekIndex],91)&amp;" ("&amp;TEXT(SUMPRODUCT(MAX((T_PlannedOrders[Part Name]=$A903)*(T_PlannedOrders[WeekIndex]=91)*(T_PlannedOrders[EffectiveQty]&gt;0)*T_PlannedOrders[Order_Month])),"m月")&amp;"発注)")</f>
        <v/>
      </c>
      <c r="CQ943">
        <f>IF(SUMIFS(T_PlannedOrders[EffectiveQty],T_PlannedOrders[Part Name],$A903,T_PlannedOrders[WeekIndex],92)=0,"",SUMIFS(T_PlannedOrders[EffectiveQty],T_PlannedOrders[Part Name],$A903,T_PlannedOrders[WeekIndex],92)&amp;" ("&amp;TEXT(SUMPRODUCT(MAX((T_PlannedOrders[Part Name]=$A903)*(T_PlannedOrders[WeekIndex]=92)*(T_PlannedOrders[EffectiveQty]&gt;0)*T_PlannedOrders[Order_Month])),"m月")&amp;"発注)")</f>
        <v/>
      </c>
      <c r="CR943">
        <f>IF(SUMIFS(T_PlannedOrders[EffectiveQty],T_PlannedOrders[Part Name],$A903,T_PlannedOrders[WeekIndex],93)=0,"",SUMIFS(T_PlannedOrders[EffectiveQty],T_PlannedOrders[Part Name],$A903,T_PlannedOrders[WeekIndex],93)&amp;" ("&amp;TEXT(SUMPRODUCT(MAX((T_PlannedOrders[Part Name]=$A903)*(T_PlannedOrders[WeekIndex]=93)*(T_PlannedOrders[EffectiveQty]&gt;0)*T_PlannedOrders[Order_Month])),"m月")&amp;"発注)")</f>
        <v/>
      </c>
      <c r="CS943">
        <f>IF(SUMIFS(T_PlannedOrders[EffectiveQty],T_PlannedOrders[Part Name],$A903,T_PlannedOrders[WeekIndex],94)=0,"",SUMIFS(T_PlannedOrders[EffectiveQty],T_PlannedOrders[Part Name],$A903,T_PlannedOrders[WeekIndex],94)&amp;" ("&amp;TEXT(SUMPRODUCT(MAX((T_PlannedOrders[Part Name]=$A903)*(T_PlannedOrders[WeekIndex]=94)*(T_PlannedOrders[EffectiveQty]&gt;0)*T_PlannedOrders[Order_Month])),"m月")&amp;"発注)")</f>
        <v/>
      </c>
      <c r="CT943">
        <f>IF(SUMIFS(T_PlannedOrders[EffectiveQty],T_PlannedOrders[Part Name],$A903,T_PlannedOrders[WeekIndex],95)=0,"",SUMIFS(T_PlannedOrders[EffectiveQty],T_PlannedOrders[Part Name],$A903,T_PlannedOrders[WeekIndex],95)&amp;" ("&amp;TEXT(SUMPRODUCT(MAX((T_PlannedOrders[Part Name]=$A903)*(T_PlannedOrders[WeekIndex]=95)*(T_PlannedOrders[EffectiveQty]&gt;0)*T_PlannedOrders[Order_Month])),"m月")&amp;"発注)")</f>
        <v/>
      </c>
      <c r="CU943">
        <f>IF(SUMIFS(T_PlannedOrders[EffectiveQty],T_PlannedOrders[Part Name],$A903,T_PlannedOrders[WeekIndex],96)=0,"",SUMIFS(T_PlannedOrders[EffectiveQty],T_PlannedOrders[Part Name],$A903,T_PlannedOrders[WeekIndex],96)&amp;" ("&amp;TEXT(SUMPRODUCT(MAX((T_PlannedOrders[Part Name]=$A903)*(T_PlannedOrders[WeekIndex]=96)*(T_PlannedOrders[EffectiveQty]&gt;0)*T_PlannedOrders[Order_Month])),"m月")&amp;"発注)")</f>
        <v/>
      </c>
      <c r="CV943">
        <f>IF(SUMIFS(T_PlannedOrders[EffectiveQty],T_PlannedOrders[Part Name],$A903,T_PlannedOrders[WeekIndex],97)=0,"",SUMIFS(T_PlannedOrders[EffectiveQty],T_PlannedOrders[Part Name],$A903,T_PlannedOrders[WeekIndex],97)&amp;" ("&amp;TEXT(SUMPRODUCT(MAX((T_PlannedOrders[Part Name]=$A903)*(T_PlannedOrders[WeekIndex]=97)*(T_PlannedOrders[EffectiveQty]&gt;0)*T_PlannedOrders[Order_Month])),"m月")&amp;"発注)")</f>
        <v/>
      </c>
      <c r="CW943">
        <f>IF(SUMIFS(T_PlannedOrders[EffectiveQty],T_PlannedOrders[Part Name],$A903,T_PlannedOrders[WeekIndex],98)=0,"",SUMIFS(T_PlannedOrders[EffectiveQty],T_PlannedOrders[Part Name],$A903,T_PlannedOrders[WeekIndex],98)&amp;" ("&amp;TEXT(SUMPRODUCT(MAX((T_PlannedOrders[Part Name]=$A903)*(T_PlannedOrders[WeekIndex]=98)*(T_PlannedOrders[EffectiveQty]&gt;0)*T_PlannedOrders[Order_Month])),"m月")&amp;"発注)")</f>
        <v/>
      </c>
      <c r="CX943">
        <f>IF(SUMIFS(T_PlannedOrders[EffectiveQty],T_PlannedOrders[Part Name],$A903,T_PlannedOrders[WeekIndex],99)=0,"",SUMIFS(T_PlannedOrders[EffectiveQty],T_PlannedOrders[Part Name],$A903,T_PlannedOrders[WeekIndex],99)&amp;" ("&amp;TEXT(SUMPRODUCT(MAX((T_PlannedOrders[Part Name]=$A903)*(T_PlannedOrders[WeekIndex]=99)*(T_PlannedOrders[EffectiveQty]&gt;0)*T_PlannedOrders[Order_Month])),"m月")&amp;"発注)")</f>
        <v/>
      </c>
      <c r="CY943">
        <f>IF(SUMIFS(T_PlannedOrders[EffectiveQty],T_PlannedOrders[Part Name],$A903,T_PlannedOrders[WeekIndex],100)=0,"",SUMIFS(T_PlannedOrders[EffectiveQty],T_PlannedOrders[Part Name],$A903,T_PlannedOrders[WeekIndex],100)&amp;" ("&amp;TEXT(SUMPRODUCT(MAX((T_PlannedOrders[Part Name]=$A903)*(T_PlannedOrders[WeekIndex]=100)*(T_PlannedOrders[EffectiveQty]&gt;0)*T_PlannedOrders[Order_Month])),"m月")&amp;"発注)")</f>
        <v/>
      </c>
      <c r="CZ943">
        <f>IF(SUMIFS(T_PlannedOrders[EffectiveQty],T_PlannedOrders[Part Name],$A903,T_PlannedOrders[WeekIndex],101)=0,"",SUMIFS(T_PlannedOrders[EffectiveQty],T_PlannedOrders[Part Name],$A903,T_PlannedOrders[WeekIndex],101)&amp;" ("&amp;TEXT(SUMPRODUCT(MAX((T_PlannedOrders[Part Name]=$A903)*(T_PlannedOrders[WeekIndex]=101)*(T_PlannedOrders[EffectiveQty]&gt;0)*T_PlannedOrders[Order_Month])),"m月")&amp;"発注)")</f>
        <v/>
      </c>
      <c r="DA943">
        <f>IF(SUMIFS(T_PlannedOrders[EffectiveQty],T_PlannedOrders[Part Name],$A903,T_PlannedOrders[WeekIndex],102)=0,"",SUMIFS(T_PlannedOrders[EffectiveQty],T_PlannedOrders[Part Name],$A903,T_PlannedOrders[WeekIndex],102)&amp;" ("&amp;TEXT(SUMPRODUCT(MAX((T_PlannedOrders[Part Name]=$A903)*(T_PlannedOrders[WeekIndex]=102)*(T_PlannedOrders[EffectiveQty]&gt;0)*T_PlannedOrders[Order_Month])),"m月")&amp;"発注)")</f>
        <v/>
      </c>
      <c r="DB943">
        <f>IF(SUMIFS(T_PlannedOrders[EffectiveQty],T_PlannedOrders[Part Name],$A903,T_PlannedOrders[WeekIndex],103)=0,"",SUMIFS(T_PlannedOrders[EffectiveQty],T_PlannedOrders[Part Name],$A903,T_PlannedOrders[WeekIndex],103)&amp;" ("&amp;TEXT(SUMPRODUCT(MAX((T_PlannedOrders[Part Name]=$A903)*(T_PlannedOrders[WeekIndex]=103)*(T_PlannedOrders[EffectiveQty]&gt;0)*T_PlannedOrders[Order_Month])),"m月")&amp;"発注)")</f>
        <v/>
      </c>
      <c r="DC943">
        <f>IF(SUMIFS(T_PlannedOrders[EffectiveQty],T_PlannedOrders[Part Name],$A903,T_PlannedOrders[WeekIndex],104)=0,"",SUMIFS(T_PlannedOrders[EffectiveQty],T_PlannedOrders[Part Name],$A903,T_PlannedOrders[WeekIndex],104)&amp;" ("&amp;TEXT(SUMPRODUCT(MAX((T_PlannedOrders[Part Name]=$A903)*(T_PlannedOrders[WeekIndex]=104)*(T_PlannedOrders[EffectiveQty]&gt;0)*T_PlannedOrders[Order_Month])),"m月")&amp;"発注)")</f>
        <v/>
      </c>
    </row>
    <row r="944">
      <c r="B944" s="5" t="inlineStr">
        <is>
          <t>合計在庫(週末時点,kg)</t>
        </is>
      </c>
      <c r="D944">
        <f>'Grid_Stock'!B34</f>
        <v/>
      </c>
      <c r="E944">
        <f>'Grid_Stock'!C34</f>
        <v/>
      </c>
      <c r="F944">
        <f>'Grid_Stock'!D34</f>
        <v/>
      </c>
      <c r="G944">
        <f>'Grid_Stock'!E34</f>
        <v/>
      </c>
      <c r="H944">
        <f>'Grid_Stock'!F34</f>
        <v/>
      </c>
      <c r="I944">
        <f>'Grid_Stock'!G34</f>
        <v/>
      </c>
      <c r="J944">
        <f>'Grid_Stock'!H34</f>
        <v/>
      </c>
      <c r="K944">
        <f>'Grid_Stock'!I34</f>
        <v/>
      </c>
      <c r="L944">
        <f>'Grid_Stock'!J34</f>
        <v/>
      </c>
      <c r="M944">
        <f>'Grid_Stock'!K34</f>
        <v/>
      </c>
      <c r="N944">
        <f>'Grid_Stock'!L34</f>
        <v/>
      </c>
      <c r="O944">
        <f>'Grid_Stock'!M34</f>
        <v/>
      </c>
      <c r="P944">
        <f>'Grid_Stock'!N34</f>
        <v/>
      </c>
      <c r="Q944">
        <f>'Grid_Stock'!O34</f>
        <v/>
      </c>
      <c r="R944">
        <f>'Grid_Stock'!P34</f>
        <v/>
      </c>
      <c r="S944">
        <f>'Grid_Stock'!Q34</f>
        <v/>
      </c>
      <c r="T944">
        <f>'Grid_Stock'!R34</f>
        <v/>
      </c>
      <c r="U944">
        <f>'Grid_Stock'!S34</f>
        <v/>
      </c>
      <c r="V944">
        <f>'Grid_Stock'!T34</f>
        <v/>
      </c>
      <c r="W944">
        <f>'Grid_Stock'!U34</f>
        <v/>
      </c>
      <c r="X944">
        <f>'Grid_Stock'!V34</f>
        <v/>
      </c>
      <c r="Y944">
        <f>'Grid_Stock'!W34</f>
        <v/>
      </c>
      <c r="Z944">
        <f>'Grid_Stock'!X34</f>
        <v/>
      </c>
      <c r="AA944">
        <f>'Grid_Stock'!Y34</f>
        <v/>
      </c>
      <c r="AB944">
        <f>'Grid_Stock'!Z34</f>
        <v/>
      </c>
      <c r="AC944">
        <f>'Grid_Stock'!AA34</f>
        <v/>
      </c>
      <c r="AD944">
        <f>'Grid_Stock'!AB34</f>
        <v/>
      </c>
      <c r="AE944">
        <f>'Grid_Stock'!AC34</f>
        <v/>
      </c>
      <c r="AF944">
        <f>'Grid_Stock'!AD34</f>
        <v/>
      </c>
      <c r="AG944">
        <f>'Grid_Stock'!AE34</f>
        <v/>
      </c>
      <c r="AH944">
        <f>'Grid_Stock'!AF34</f>
        <v/>
      </c>
      <c r="AI944">
        <f>'Grid_Stock'!AG34</f>
        <v/>
      </c>
      <c r="AJ944">
        <f>'Grid_Stock'!AH34</f>
        <v/>
      </c>
      <c r="AK944">
        <f>'Grid_Stock'!AI34</f>
        <v/>
      </c>
      <c r="AL944">
        <f>'Grid_Stock'!AJ34</f>
        <v/>
      </c>
      <c r="AM944">
        <f>'Grid_Stock'!AK34</f>
        <v/>
      </c>
      <c r="AN944">
        <f>'Grid_Stock'!AL34</f>
        <v/>
      </c>
      <c r="AO944">
        <f>'Grid_Stock'!AM34</f>
        <v/>
      </c>
      <c r="AP944">
        <f>'Grid_Stock'!AN34</f>
        <v/>
      </c>
      <c r="AQ944">
        <f>'Grid_Stock'!AO34</f>
        <v/>
      </c>
      <c r="AR944">
        <f>'Grid_Stock'!AP34</f>
        <v/>
      </c>
      <c r="AS944">
        <f>'Grid_Stock'!AQ34</f>
        <v/>
      </c>
      <c r="AT944">
        <f>'Grid_Stock'!AR34</f>
        <v/>
      </c>
      <c r="AU944">
        <f>'Grid_Stock'!AS34</f>
        <v/>
      </c>
      <c r="AV944">
        <f>'Grid_Stock'!AT34</f>
        <v/>
      </c>
      <c r="AW944">
        <f>'Grid_Stock'!AU34</f>
        <v/>
      </c>
      <c r="AX944">
        <f>'Grid_Stock'!AV34</f>
        <v/>
      </c>
      <c r="AY944">
        <f>'Grid_Stock'!AW34</f>
        <v/>
      </c>
      <c r="AZ944">
        <f>'Grid_Stock'!AX34</f>
        <v/>
      </c>
      <c r="BA944">
        <f>'Grid_Stock'!AY34</f>
        <v/>
      </c>
      <c r="BB944">
        <f>'Grid_Stock'!AZ34</f>
        <v/>
      </c>
      <c r="BC944">
        <f>'Grid_Stock'!BA34</f>
        <v/>
      </c>
      <c r="BD944">
        <f>'Grid_Stock'!BB34</f>
        <v/>
      </c>
      <c r="BE944">
        <f>'Grid_Stock'!BC34</f>
        <v/>
      </c>
      <c r="BF944">
        <f>'Grid_Stock'!BD34</f>
        <v/>
      </c>
      <c r="BG944">
        <f>'Grid_Stock'!BE34</f>
        <v/>
      </c>
      <c r="BH944">
        <f>'Grid_Stock'!BF34</f>
        <v/>
      </c>
      <c r="BI944">
        <f>'Grid_Stock'!BG34</f>
        <v/>
      </c>
      <c r="BJ944">
        <f>'Grid_Stock'!BH34</f>
        <v/>
      </c>
      <c r="BK944">
        <f>'Grid_Stock'!BI34</f>
        <v/>
      </c>
      <c r="BL944">
        <f>'Grid_Stock'!BJ34</f>
        <v/>
      </c>
      <c r="BM944">
        <f>'Grid_Stock'!BK34</f>
        <v/>
      </c>
      <c r="BN944">
        <f>'Grid_Stock'!BL34</f>
        <v/>
      </c>
      <c r="BO944">
        <f>'Grid_Stock'!BM34</f>
        <v/>
      </c>
      <c r="BP944">
        <f>'Grid_Stock'!BN34</f>
        <v/>
      </c>
      <c r="BQ944">
        <f>'Grid_Stock'!BO34</f>
        <v/>
      </c>
      <c r="BR944">
        <f>'Grid_Stock'!BP34</f>
        <v/>
      </c>
      <c r="BS944">
        <f>'Grid_Stock'!BQ34</f>
        <v/>
      </c>
      <c r="BT944">
        <f>'Grid_Stock'!BR34</f>
        <v/>
      </c>
      <c r="BU944">
        <f>'Grid_Stock'!BS34</f>
        <v/>
      </c>
      <c r="BV944">
        <f>'Grid_Stock'!BT34</f>
        <v/>
      </c>
      <c r="BW944">
        <f>'Grid_Stock'!BU34</f>
        <v/>
      </c>
      <c r="BX944">
        <f>'Grid_Stock'!BV34</f>
        <v/>
      </c>
      <c r="BY944">
        <f>'Grid_Stock'!BW34</f>
        <v/>
      </c>
      <c r="BZ944">
        <f>'Grid_Stock'!BX34</f>
        <v/>
      </c>
      <c r="CA944">
        <f>'Grid_Stock'!BY34</f>
        <v/>
      </c>
      <c r="CB944">
        <f>'Grid_Stock'!BZ34</f>
        <v/>
      </c>
      <c r="CC944">
        <f>'Grid_Stock'!CA34</f>
        <v/>
      </c>
      <c r="CD944">
        <f>'Grid_Stock'!CB34</f>
        <v/>
      </c>
      <c r="CE944">
        <f>'Grid_Stock'!CC34</f>
        <v/>
      </c>
      <c r="CF944">
        <f>'Grid_Stock'!CD34</f>
        <v/>
      </c>
      <c r="CG944">
        <f>'Grid_Stock'!CE34</f>
        <v/>
      </c>
      <c r="CH944">
        <f>'Grid_Stock'!CF34</f>
        <v/>
      </c>
      <c r="CI944">
        <f>'Grid_Stock'!CG34</f>
        <v/>
      </c>
      <c r="CJ944">
        <f>'Grid_Stock'!CH34</f>
        <v/>
      </c>
      <c r="CK944">
        <f>'Grid_Stock'!CI34</f>
        <v/>
      </c>
      <c r="CL944">
        <f>'Grid_Stock'!CJ34</f>
        <v/>
      </c>
      <c r="CM944">
        <f>'Grid_Stock'!CK34</f>
        <v/>
      </c>
      <c r="CN944">
        <f>'Grid_Stock'!CL34</f>
        <v/>
      </c>
      <c r="CO944">
        <f>'Grid_Stock'!CM34</f>
        <v/>
      </c>
      <c r="CP944">
        <f>'Grid_Stock'!CN34</f>
        <v/>
      </c>
      <c r="CQ944">
        <f>'Grid_Stock'!CO34</f>
        <v/>
      </c>
      <c r="CR944">
        <f>'Grid_Stock'!CP34</f>
        <v/>
      </c>
      <c r="CS944">
        <f>'Grid_Stock'!CQ34</f>
        <v/>
      </c>
      <c r="CT944">
        <f>'Grid_Stock'!CR34</f>
        <v/>
      </c>
      <c r="CU944">
        <f>'Grid_Stock'!CS34</f>
        <v/>
      </c>
      <c r="CV944">
        <f>'Grid_Stock'!CT34</f>
        <v/>
      </c>
      <c r="CW944">
        <f>'Grid_Stock'!CU34</f>
        <v/>
      </c>
      <c r="CX944">
        <f>'Grid_Stock'!CV34</f>
        <v/>
      </c>
      <c r="CY944">
        <f>'Grid_Stock'!CW34</f>
        <v/>
      </c>
      <c r="CZ944">
        <f>'Grid_Stock'!CX34</f>
        <v/>
      </c>
      <c r="DA944">
        <f>'Grid_Stock'!CY34</f>
        <v/>
      </c>
      <c r="DB944">
        <f>'Grid_Stock'!CZ34</f>
        <v/>
      </c>
      <c r="DC944">
        <f>'Grid_Stock'!DA34</f>
        <v/>
      </c>
    </row>
    <row r="945">
      <c r="B945" s="23" t="inlineStr">
        <is>
          <t>（発注の目安はDashboardの基準在庫[下限/上限]と色分けを参照）</t>
        </is>
      </c>
    </row>
    <row r="947">
      <c r="A947" s="21" t="inlineStr">
        <is>
          <t>CHEM-1700</t>
        </is>
      </c>
      <c r="B947" s="21" t="inlineStr">
        <is>
          <t>Tepyrus CT38</t>
        </is>
      </c>
      <c r="C947" s="22" t="n"/>
      <c r="D947" s="21" t="n"/>
      <c r="E947" s="21" t="n"/>
      <c r="F947" s="21" t="n"/>
      <c r="G947" s="21" t="n"/>
      <c r="H947" s="21" t="n"/>
      <c r="I947" s="21" t="n"/>
      <c r="J947" s="21" t="n"/>
      <c r="K947" s="21" t="n"/>
      <c r="L947" s="21" t="n"/>
      <c r="M947" s="21" t="n"/>
      <c r="N947" s="21" t="n"/>
      <c r="O947" s="21" t="n"/>
      <c r="P947" s="21" t="n"/>
      <c r="Q947" s="21" t="n"/>
      <c r="R947" s="21" t="n"/>
      <c r="S947" s="21" t="n"/>
      <c r="T947" s="21" t="n"/>
      <c r="U947" s="21" t="n"/>
      <c r="V947" s="21" t="n"/>
      <c r="W947" s="21" t="n"/>
      <c r="X947" s="21" t="n"/>
      <c r="Y947" s="21" t="n"/>
      <c r="Z947" s="21" t="n"/>
      <c r="AA947" s="21" t="n"/>
      <c r="AB947" s="21" t="n"/>
      <c r="AC947" s="21" t="n"/>
      <c r="AD947" s="21" t="n"/>
      <c r="AE947" s="21" t="n"/>
      <c r="AF947" s="21" t="n"/>
      <c r="AG947" s="21" t="n"/>
      <c r="AH947" s="21" t="n"/>
      <c r="AI947" s="21" t="n"/>
      <c r="AJ947" s="21" t="n"/>
      <c r="AK947" s="21" t="n"/>
      <c r="AL947" s="21" t="n"/>
      <c r="AM947" s="21" t="n"/>
      <c r="AN947" s="21" t="n"/>
      <c r="AO947" s="21" t="n"/>
      <c r="AP947" s="21" t="n"/>
      <c r="AQ947" s="21" t="n"/>
      <c r="AR947" s="21" t="n"/>
      <c r="AS947" s="21" t="n"/>
      <c r="AT947" s="21" t="n"/>
      <c r="AU947" s="21" t="n"/>
      <c r="AV947" s="21" t="n"/>
      <c r="AW947" s="21" t="n"/>
      <c r="AX947" s="21" t="n"/>
      <c r="AY947" s="21" t="n"/>
      <c r="AZ947" s="21" t="n"/>
      <c r="BA947" s="21" t="n"/>
      <c r="BB947" s="21" t="n"/>
      <c r="BC947" s="21" t="n"/>
      <c r="BD947" s="21" t="n"/>
      <c r="BE947" s="21" t="n"/>
      <c r="BF947" s="21" t="n"/>
      <c r="BG947" s="21" t="n"/>
      <c r="BH947" s="21" t="n"/>
      <c r="BI947" s="21" t="n"/>
      <c r="BJ947" s="21" t="n"/>
      <c r="BK947" s="21" t="n"/>
      <c r="BL947" s="21" t="n"/>
      <c r="BM947" s="21" t="n"/>
      <c r="BN947" s="21" t="n"/>
      <c r="BO947" s="21" t="n"/>
      <c r="BP947" s="21" t="n"/>
      <c r="BQ947" s="21" t="n"/>
      <c r="BR947" s="21" t="n"/>
      <c r="BS947" s="21" t="n"/>
      <c r="BT947" s="21" t="n"/>
      <c r="BU947" s="21" t="n"/>
      <c r="BV947" s="21" t="n"/>
      <c r="BW947" s="21" t="n"/>
      <c r="BX947" s="21" t="n"/>
      <c r="BY947" s="21" t="n"/>
      <c r="BZ947" s="21" t="n"/>
      <c r="CA947" s="21" t="n"/>
      <c r="CB947" s="21" t="n"/>
      <c r="CC947" s="21" t="n"/>
      <c r="CD947" s="21" t="n"/>
      <c r="CE947" s="21" t="n"/>
      <c r="CF947" s="21" t="n"/>
      <c r="CG947" s="21" t="n"/>
      <c r="CH947" s="21" t="n"/>
      <c r="CI947" s="21" t="n"/>
      <c r="CJ947" s="21" t="n"/>
      <c r="CK947" s="21" t="n"/>
      <c r="CL947" s="21" t="n"/>
      <c r="CM947" s="21" t="n"/>
      <c r="CN947" s="21" t="n"/>
      <c r="CO947" s="21" t="n"/>
      <c r="CP947" s="21" t="n"/>
      <c r="CQ947" s="21" t="n"/>
      <c r="CR947" s="21" t="n"/>
      <c r="CS947" s="21" t="n"/>
      <c r="CT947" s="21" t="n"/>
      <c r="CU947" s="21" t="n"/>
      <c r="CV947" s="21" t="n"/>
      <c r="CW947" s="21" t="n"/>
      <c r="CX947" s="21" t="n"/>
      <c r="CY947" s="21" t="n"/>
      <c r="CZ947" s="21" t="n"/>
      <c r="DA947" s="21" t="n"/>
      <c r="DB947" s="21" t="n"/>
      <c r="DC947" s="21" t="n"/>
    </row>
    <row r="948">
      <c r="B948" t="inlineStr">
        <is>
          <t>TSP-1388</t>
        </is>
      </c>
      <c r="C948" t="inlineStr">
        <is>
          <t>No. of batches</t>
        </is>
      </c>
      <c r="D948">
        <f>IFERROR(INDEX(PP_Grid[#Data],$DD948,2),0)</f>
        <v/>
      </c>
      <c r="E948">
        <f>IFERROR(INDEX(PP_Grid[#Data],$DD948,3),0)</f>
        <v/>
      </c>
      <c r="F948">
        <f>IFERROR(INDEX(PP_Grid[#Data],$DD948,4),0)</f>
        <v/>
      </c>
      <c r="G948">
        <f>IFERROR(INDEX(PP_Grid[#Data],$DD948,5),0)</f>
        <v/>
      </c>
      <c r="H948">
        <f>IFERROR(INDEX(PP_Grid[#Data],$DD948,6),0)</f>
        <v/>
      </c>
      <c r="I948">
        <f>IFERROR(INDEX(PP_Grid[#Data],$DD948,7),0)</f>
        <v/>
      </c>
      <c r="J948">
        <f>IFERROR(INDEX(PP_Grid[#Data],$DD948,8),0)</f>
        <v/>
      </c>
      <c r="K948">
        <f>IFERROR(INDEX(PP_Grid[#Data],$DD948,9),0)</f>
        <v/>
      </c>
      <c r="L948">
        <f>IFERROR(INDEX(PP_Grid[#Data],$DD948,10),0)</f>
        <v/>
      </c>
      <c r="M948">
        <f>IFERROR(INDEX(PP_Grid[#Data],$DD948,11),0)</f>
        <v/>
      </c>
      <c r="N948">
        <f>IFERROR(INDEX(PP_Grid[#Data],$DD948,12),0)</f>
        <v/>
      </c>
      <c r="O948">
        <f>IFERROR(INDEX(PP_Grid[#Data],$DD948,13),0)</f>
        <v/>
      </c>
      <c r="P948">
        <f>IFERROR(INDEX(PP_Grid[#Data],$DD948,14),0)</f>
        <v/>
      </c>
      <c r="Q948">
        <f>IFERROR(INDEX(PP_Grid[#Data],$DD948,15),0)</f>
        <v/>
      </c>
      <c r="R948">
        <f>IFERROR(INDEX(PP_Grid[#Data],$DD948,16),0)</f>
        <v/>
      </c>
      <c r="S948">
        <f>IFERROR(INDEX(PP_Grid[#Data],$DD948,17),0)</f>
        <v/>
      </c>
      <c r="T948">
        <f>IFERROR(INDEX(PP_Grid[#Data],$DD948,18),0)</f>
        <v/>
      </c>
      <c r="U948">
        <f>IFERROR(INDEX(PP_Grid[#Data],$DD948,19),0)</f>
        <v/>
      </c>
      <c r="V948">
        <f>IFERROR(INDEX(PP_Grid[#Data],$DD948,20),0)</f>
        <v/>
      </c>
      <c r="W948">
        <f>IFERROR(INDEX(PP_Grid[#Data],$DD948,21),0)</f>
        <v/>
      </c>
      <c r="X948">
        <f>IFERROR(INDEX(PP_Grid[#Data],$DD948,22),0)</f>
        <v/>
      </c>
      <c r="Y948">
        <f>IFERROR(INDEX(PP_Grid[#Data],$DD948,23),0)</f>
        <v/>
      </c>
      <c r="Z948">
        <f>IFERROR(INDEX(PP_Grid[#Data],$DD948,24),0)</f>
        <v/>
      </c>
      <c r="AA948">
        <f>IFERROR(INDEX(PP_Grid[#Data],$DD948,25),0)</f>
        <v/>
      </c>
      <c r="AB948">
        <f>IFERROR(INDEX(PP_Grid[#Data],$DD948,26),0)</f>
        <v/>
      </c>
      <c r="AC948">
        <f>IFERROR(INDEX(PP_Grid[#Data],$DD948,27),0)</f>
        <v/>
      </c>
      <c r="AD948">
        <f>IFERROR(INDEX(PP_Grid[#Data],$DD948,28),0)</f>
        <v/>
      </c>
      <c r="AE948">
        <f>IFERROR(INDEX(PP_Grid[#Data],$DD948,29),0)</f>
        <v/>
      </c>
      <c r="AF948">
        <f>IFERROR(INDEX(PP_Grid[#Data],$DD948,30),0)</f>
        <v/>
      </c>
      <c r="AG948">
        <f>IFERROR(INDEX(PP_Grid[#Data],$DD948,31),0)</f>
        <v/>
      </c>
      <c r="AH948">
        <f>IFERROR(INDEX(PP_Grid[#Data],$DD948,32),0)</f>
        <v/>
      </c>
      <c r="AI948">
        <f>IFERROR(INDEX(PP_Grid[#Data],$DD948,33),0)</f>
        <v/>
      </c>
      <c r="AJ948">
        <f>IFERROR(INDEX(PP_Grid[#Data],$DD948,34),0)</f>
        <v/>
      </c>
      <c r="AK948">
        <f>IFERROR(INDEX(PP_Grid[#Data],$DD948,35),0)</f>
        <v/>
      </c>
      <c r="AL948">
        <f>IFERROR(INDEX(PP_Grid[#Data],$DD948,36),0)</f>
        <v/>
      </c>
      <c r="AM948">
        <f>IFERROR(INDEX(PP_Grid[#Data],$DD948,37),0)</f>
        <v/>
      </c>
      <c r="AN948">
        <f>IFERROR(INDEX(PP_Grid[#Data],$DD948,38),0)</f>
        <v/>
      </c>
      <c r="AO948">
        <f>IFERROR(INDEX(PP_Grid[#Data],$DD948,39),0)</f>
        <v/>
      </c>
      <c r="AP948">
        <f>IFERROR(INDEX(PP_Grid[#Data],$DD948,40),0)</f>
        <v/>
      </c>
      <c r="AQ948">
        <f>IFERROR(INDEX(PP_Grid[#Data],$DD948,41),0)</f>
        <v/>
      </c>
      <c r="AR948">
        <f>IFERROR(INDEX(PP_Grid[#Data],$DD948,42),0)</f>
        <v/>
      </c>
      <c r="AS948">
        <f>IFERROR(INDEX(PP_Grid[#Data],$DD948,43),0)</f>
        <v/>
      </c>
      <c r="AT948">
        <f>IFERROR(INDEX(PP_Grid[#Data],$DD948,44),0)</f>
        <v/>
      </c>
      <c r="AU948">
        <f>IFERROR(INDEX(PP_Grid[#Data],$DD948,45),0)</f>
        <v/>
      </c>
      <c r="AV948">
        <f>IFERROR(INDEX(PP_Grid[#Data],$DD948,46),0)</f>
        <v/>
      </c>
      <c r="AW948">
        <f>IFERROR(INDEX(PP_Grid[#Data],$DD948,47),0)</f>
        <v/>
      </c>
      <c r="AX948">
        <f>IFERROR(INDEX(PP_Grid[#Data],$DD948,48),0)</f>
        <v/>
      </c>
      <c r="AY948">
        <f>IFERROR(INDEX(PP_Grid[#Data],$DD948,49),0)</f>
        <v/>
      </c>
      <c r="AZ948">
        <f>IFERROR(INDEX(PP_Grid[#Data],$DD948,50),0)</f>
        <v/>
      </c>
      <c r="BA948">
        <f>IFERROR(INDEX(PP_Grid[#Data],$DD948,51),0)</f>
        <v/>
      </c>
      <c r="BB948">
        <f>IFERROR(INDEX(PP_Grid[#Data],$DD948,52),0)</f>
        <v/>
      </c>
      <c r="BC948">
        <f>IFERROR(INDEX(PP_Grid[#Data],$DD948,53),0)</f>
        <v/>
      </c>
      <c r="BD948">
        <f>IFERROR(INDEX(PP_Grid[#Data],$DD948,54),0)</f>
        <v/>
      </c>
      <c r="BE948">
        <f>IFERROR(INDEX(PP_Grid[#Data],$DD948,55),0)</f>
        <v/>
      </c>
      <c r="BF948">
        <f>IFERROR(INDEX(PP_Grid[#Data],$DD948,56),0)</f>
        <v/>
      </c>
      <c r="BG948">
        <f>IFERROR(INDEX(PP_Grid[#Data],$DD948,57),0)</f>
        <v/>
      </c>
      <c r="BH948">
        <f>IFERROR(INDEX(PP_Grid[#Data],$DD948,58),0)</f>
        <v/>
      </c>
      <c r="BI948">
        <f>IFERROR(INDEX(PP_Grid[#Data],$DD948,59),0)</f>
        <v/>
      </c>
      <c r="BJ948">
        <f>IFERROR(INDEX(PP_Grid[#Data],$DD948,60),0)</f>
        <v/>
      </c>
      <c r="BK948">
        <f>IFERROR(INDEX(PP_Grid[#Data],$DD948,61),0)</f>
        <v/>
      </c>
      <c r="BL948">
        <f>IFERROR(INDEX(PP_Grid[#Data],$DD948,62),0)</f>
        <v/>
      </c>
      <c r="BM948">
        <f>IFERROR(INDEX(PP_Grid[#Data],$DD948,63),0)</f>
        <v/>
      </c>
      <c r="BN948">
        <f>IFERROR(INDEX(PP_Grid[#Data],$DD948,64),0)</f>
        <v/>
      </c>
      <c r="BO948">
        <f>IFERROR(INDEX(PP_Grid[#Data],$DD948,65),0)</f>
        <v/>
      </c>
      <c r="BP948">
        <f>IFERROR(INDEX(PP_Grid[#Data],$DD948,66),0)</f>
        <v/>
      </c>
      <c r="BQ948">
        <f>IFERROR(INDEX(PP_Grid[#Data],$DD948,67),0)</f>
        <v/>
      </c>
      <c r="BR948">
        <f>IFERROR(INDEX(PP_Grid[#Data],$DD948,68),0)</f>
        <v/>
      </c>
      <c r="BS948">
        <f>IFERROR(INDEX(PP_Grid[#Data],$DD948,69),0)</f>
        <v/>
      </c>
      <c r="BT948">
        <f>IFERROR(INDEX(PP_Grid[#Data],$DD948,70),0)</f>
        <v/>
      </c>
      <c r="BU948">
        <f>IFERROR(INDEX(PP_Grid[#Data],$DD948,71),0)</f>
        <v/>
      </c>
      <c r="BV948">
        <f>IFERROR(INDEX(PP_Grid[#Data],$DD948,72),0)</f>
        <v/>
      </c>
      <c r="BW948">
        <f>IFERROR(INDEX(PP_Grid[#Data],$DD948,73),0)</f>
        <v/>
      </c>
      <c r="BX948">
        <f>IFERROR(INDEX(PP_Grid[#Data],$DD948,74),0)</f>
        <v/>
      </c>
      <c r="BY948">
        <f>IFERROR(INDEX(PP_Grid[#Data],$DD948,75),0)</f>
        <v/>
      </c>
      <c r="BZ948">
        <f>IFERROR(INDEX(PP_Grid[#Data],$DD948,76),0)</f>
        <v/>
      </c>
      <c r="CA948">
        <f>IFERROR(INDEX(PP_Grid[#Data],$DD948,77),0)</f>
        <v/>
      </c>
      <c r="CB948">
        <f>IFERROR(INDEX(PP_Grid[#Data],$DD948,78),0)</f>
        <v/>
      </c>
      <c r="CC948">
        <f>IFERROR(INDEX(PP_Grid[#Data],$DD948,79),0)</f>
        <v/>
      </c>
      <c r="CD948">
        <f>IFERROR(INDEX(PP_Grid[#Data],$DD948,80),0)</f>
        <v/>
      </c>
      <c r="CE948">
        <f>IFERROR(INDEX(PP_Grid[#Data],$DD948,81),0)</f>
        <v/>
      </c>
      <c r="CF948">
        <f>IFERROR(INDEX(PP_Grid[#Data],$DD948,82),0)</f>
        <v/>
      </c>
      <c r="CG948">
        <f>IFERROR(INDEX(PP_Grid[#Data],$DD948,83),0)</f>
        <v/>
      </c>
      <c r="CH948">
        <f>IFERROR(INDEX(PP_Grid[#Data],$DD948,84),0)</f>
        <v/>
      </c>
      <c r="CI948">
        <f>IFERROR(INDEX(PP_Grid[#Data],$DD948,85),0)</f>
        <v/>
      </c>
      <c r="CJ948">
        <f>IFERROR(INDEX(PP_Grid[#Data],$DD948,86),0)</f>
        <v/>
      </c>
      <c r="CK948">
        <f>IFERROR(INDEX(PP_Grid[#Data],$DD948,87),0)</f>
        <v/>
      </c>
      <c r="CL948">
        <f>IFERROR(INDEX(PP_Grid[#Data],$DD948,88),0)</f>
        <v/>
      </c>
      <c r="CM948">
        <f>IFERROR(INDEX(PP_Grid[#Data],$DD948,89),0)</f>
        <v/>
      </c>
      <c r="CN948">
        <f>IFERROR(INDEX(PP_Grid[#Data],$DD948,90),0)</f>
        <v/>
      </c>
      <c r="CO948">
        <f>IFERROR(INDEX(PP_Grid[#Data],$DD948,91),0)</f>
        <v/>
      </c>
      <c r="CP948">
        <f>IFERROR(INDEX(PP_Grid[#Data],$DD948,92),0)</f>
        <v/>
      </c>
      <c r="CQ948">
        <f>IFERROR(INDEX(PP_Grid[#Data],$DD948,93),0)</f>
        <v/>
      </c>
      <c r="CR948">
        <f>IFERROR(INDEX(PP_Grid[#Data],$DD948,94),0)</f>
        <v/>
      </c>
      <c r="CS948">
        <f>IFERROR(INDEX(PP_Grid[#Data],$DD948,95),0)</f>
        <v/>
      </c>
      <c r="CT948">
        <f>IFERROR(INDEX(PP_Grid[#Data],$DD948,96),0)</f>
        <v/>
      </c>
      <c r="CU948">
        <f>IFERROR(INDEX(PP_Grid[#Data],$DD948,97),0)</f>
        <v/>
      </c>
      <c r="CV948">
        <f>IFERROR(INDEX(PP_Grid[#Data],$DD948,98),0)</f>
        <v/>
      </c>
      <c r="CW948">
        <f>IFERROR(INDEX(PP_Grid[#Data],$DD948,99),0)</f>
        <v/>
      </c>
      <c r="CX948">
        <f>IFERROR(INDEX(PP_Grid[#Data],$DD948,100),0)</f>
        <v/>
      </c>
      <c r="CY948">
        <f>IFERROR(INDEX(PP_Grid[#Data],$DD948,101),0)</f>
        <v/>
      </c>
      <c r="CZ948">
        <f>IFERROR(INDEX(PP_Grid[#Data],$DD948,102),0)</f>
        <v/>
      </c>
      <c r="DA948">
        <f>IFERROR(INDEX(PP_Grid[#Data],$DD948,103),0)</f>
        <v/>
      </c>
      <c r="DB948">
        <f>IFERROR(INDEX(PP_Grid[#Data],$DD948,104),0)</f>
        <v/>
      </c>
      <c r="DC948">
        <f>IFERROR(INDEX(PP_Grid[#Data],$DD948,105),0)</f>
        <v/>
      </c>
      <c r="DD948" s="12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SUMIFS(M_BOM[RM_Qty_Per_Batch],M_BOM[Intermediate],$B948,M_BOM[Part Name],$A947)</f>
        <v/>
      </c>
      <c r="D949">
        <f>$C949*D948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</row>
    <row r="950">
      <c r="B950" t="inlineStr">
        <is>
          <t>TSP-1448</t>
        </is>
      </c>
      <c r="C950" t="inlineStr">
        <is>
          <t>No. of batches</t>
        </is>
      </c>
      <c r="D950">
        <f>IFERROR(INDEX(PP_Grid[#Data],$DD950,2),0)</f>
        <v/>
      </c>
      <c r="E950">
        <f>IFERROR(INDEX(PP_Grid[#Data],$DD950,3),0)</f>
        <v/>
      </c>
      <c r="F950">
        <f>IFERROR(INDEX(PP_Grid[#Data],$DD950,4),0)</f>
        <v/>
      </c>
      <c r="G950">
        <f>IFERROR(INDEX(PP_Grid[#Data],$DD950,5),0)</f>
        <v/>
      </c>
      <c r="H950">
        <f>IFERROR(INDEX(PP_Grid[#Data],$DD950,6),0)</f>
        <v/>
      </c>
      <c r="I950">
        <f>IFERROR(INDEX(PP_Grid[#Data],$DD950,7),0)</f>
        <v/>
      </c>
      <c r="J950">
        <f>IFERROR(INDEX(PP_Grid[#Data],$DD950,8),0)</f>
        <v/>
      </c>
      <c r="K950">
        <f>IFERROR(INDEX(PP_Grid[#Data],$DD950,9),0)</f>
        <v/>
      </c>
      <c r="L950">
        <f>IFERROR(INDEX(PP_Grid[#Data],$DD950,10),0)</f>
        <v/>
      </c>
      <c r="M950">
        <f>IFERROR(INDEX(PP_Grid[#Data],$DD950,11),0)</f>
        <v/>
      </c>
      <c r="N950">
        <f>IFERROR(INDEX(PP_Grid[#Data],$DD950,12),0)</f>
        <v/>
      </c>
      <c r="O950">
        <f>IFERROR(INDEX(PP_Grid[#Data],$DD950,13),0)</f>
        <v/>
      </c>
      <c r="P950">
        <f>IFERROR(INDEX(PP_Grid[#Data],$DD950,14),0)</f>
        <v/>
      </c>
      <c r="Q950">
        <f>IFERROR(INDEX(PP_Grid[#Data],$DD950,15),0)</f>
        <v/>
      </c>
      <c r="R950">
        <f>IFERROR(INDEX(PP_Grid[#Data],$DD950,16),0)</f>
        <v/>
      </c>
      <c r="S950">
        <f>IFERROR(INDEX(PP_Grid[#Data],$DD950,17),0)</f>
        <v/>
      </c>
      <c r="T950">
        <f>IFERROR(INDEX(PP_Grid[#Data],$DD950,18),0)</f>
        <v/>
      </c>
      <c r="U950">
        <f>IFERROR(INDEX(PP_Grid[#Data],$DD950,19),0)</f>
        <v/>
      </c>
      <c r="V950">
        <f>IFERROR(INDEX(PP_Grid[#Data],$DD950,20),0)</f>
        <v/>
      </c>
      <c r="W950">
        <f>IFERROR(INDEX(PP_Grid[#Data],$DD950,21),0)</f>
        <v/>
      </c>
      <c r="X950">
        <f>IFERROR(INDEX(PP_Grid[#Data],$DD950,22),0)</f>
        <v/>
      </c>
      <c r="Y950">
        <f>IFERROR(INDEX(PP_Grid[#Data],$DD950,23),0)</f>
        <v/>
      </c>
      <c r="Z950">
        <f>IFERROR(INDEX(PP_Grid[#Data],$DD950,24),0)</f>
        <v/>
      </c>
      <c r="AA950">
        <f>IFERROR(INDEX(PP_Grid[#Data],$DD950,25),0)</f>
        <v/>
      </c>
      <c r="AB950">
        <f>IFERROR(INDEX(PP_Grid[#Data],$DD950,26),0)</f>
        <v/>
      </c>
      <c r="AC950">
        <f>IFERROR(INDEX(PP_Grid[#Data],$DD950,27),0)</f>
        <v/>
      </c>
      <c r="AD950">
        <f>IFERROR(INDEX(PP_Grid[#Data],$DD950,28),0)</f>
        <v/>
      </c>
      <c r="AE950">
        <f>IFERROR(INDEX(PP_Grid[#Data],$DD950,29),0)</f>
        <v/>
      </c>
      <c r="AF950">
        <f>IFERROR(INDEX(PP_Grid[#Data],$DD950,30),0)</f>
        <v/>
      </c>
      <c r="AG950">
        <f>IFERROR(INDEX(PP_Grid[#Data],$DD950,31),0)</f>
        <v/>
      </c>
      <c r="AH950">
        <f>IFERROR(INDEX(PP_Grid[#Data],$DD950,32),0)</f>
        <v/>
      </c>
      <c r="AI950">
        <f>IFERROR(INDEX(PP_Grid[#Data],$DD950,33),0)</f>
        <v/>
      </c>
      <c r="AJ950">
        <f>IFERROR(INDEX(PP_Grid[#Data],$DD950,34),0)</f>
        <v/>
      </c>
      <c r="AK950">
        <f>IFERROR(INDEX(PP_Grid[#Data],$DD950,35),0)</f>
        <v/>
      </c>
      <c r="AL950">
        <f>IFERROR(INDEX(PP_Grid[#Data],$DD950,36),0)</f>
        <v/>
      </c>
      <c r="AM950">
        <f>IFERROR(INDEX(PP_Grid[#Data],$DD950,37),0)</f>
        <v/>
      </c>
      <c r="AN950">
        <f>IFERROR(INDEX(PP_Grid[#Data],$DD950,38),0)</f>
        <v/>
      </c>
      <c r="AO950">
        <f>IFERROR(INDEX(PP_Grid[#Data],$DD950,39),0)</f>
        <v/>
      </c>
      <c r="AP950">
        <f>IFERROR(INDEX(PP_Grid[#Data],$DD950,40),0)</f>
        <v/>
      </c>
      <c r="AQ950">
        <f>IFERROR(INDEX(PP_Grid[#Data],$DD950,41),0)</f>
        <v/>
      </c>
      <c r="AR950">
        <f>IFERROR(INDEX(PP_Grid[#Data],$DD950,42),0)</f>
        <v/>
      </c>
      <c r="AS950">
        <f>IFERROR(INDEX(PP_Grid[#Data],$DD950,43),0)</f>
        <v/>
      </c>
      <c r="AT950">
        <f>IFERROR(INDEX(PP_Grid[#Data],$DD950,44),0)</f>
        <v/>
      </c>
      <c r="AU950">
        <f>IFERROR(INDEX(PP_Grid[#Data],$DD950,45),0)</f>
        <v/>
      </c>
      <c r="AV950">
        <f>IFERROR(INDEX(PP_Grid[#Data],$DD950,46),0)</f>
        <v/>
      </c>
      <c r="AW950">
        <f>IFERROR(INDEX(PP_Grid[#Data],$DD950,47),0)</f>
        <v/>
      </c>
      <c r="AX950">
        <f>IFERROR(INDEX(PP_Grid[#Data],$DD950,48),0)</f>
        <v/>
      </c>
      <c r="AY950">
        <f>IFERROR(INDEX(PP_Grid[#Data],$DD950,49),0)</f>
        <v/>
      </c>
      <c r="AZ950">
        <f>IFERROR(INDEX(PP_Grid[#Data],$DD950,50),0)</f>
        <v/>
      </c>
      <c r="BA950">
        <f>IFERROR(INDEX(PP_Grid[#Data],$DD950,51),0)</f>
        <v/>
      </c>
      <c r="BB950">
        <f>IFERROR(INDEX(PP_Grid[#Data],$DD950,52),0)</f>
        <v/>
      </c>
      <c r="BC950">
        <f>IFERROR(INDEX(PP_Grid[#Data],$DD950,53),0)</f>
        <v/>
      </c>
      <c r="BD950">
        <f>IFERROR(INDEX(PP_Grid[#Data],$DD950,54),0)</f>
        <v/>
      </c>
      <c r="BE950">
        <f>IFERROR(INDEX(PP_Grid[#Data],$DD950,55),0)</f>
        <v/>
      </c>
      <c r="BF950">
        <f>IFERROR(INDEX(PP_Grid[#Data],$DD950,56),0)</f>
        <v/>
      </c>
      <c r="BG950">
        <f>IFERROR(INDEX(PP_Grid[#Data],$DD950,57),0)</f>
        <v/>
      </c>
      <c r="BH950">
        <f>IFERROR(INDEX(PP_Grid[#Data],$DD950,58),0)</f>
        <v/>
      </c>
      <c r="BI950">
        <f>IFERROR(INDEX(PP_Grid[#Data],$DD950,59),0)</f>
        <v/>
      </c>
      <c r="BJ950">
        <f>IFERROR(INDEX(PP_Grid[#Data],$DD950,60),0)</f>
        <v/>
      </c>
      <c r="BK950">
        <f>IFERROR(INDEX(PP_Grid[#Data],$DD950,61),0)</f>
        <v/>
      </c>
      <c r="BL950">
        <f>IFERROR(INDEX(PP_Grid[#Data],$DD950,62),0)</f>
        <v/>
      </c>
      <c r="BM950">
        <f>IFERROR(INDEX(PP_Grid[#Data],$DD950,63),0)</f>
        <v/>
      </c>
      <c r="BN950">
        <f>IFERROR(INDEX(PP_Grid[#Data],$DD950,64),0)</f>
        <v/>
      </c>
      <c r="BO950">
        <f>IFERROR(INDEX(PP_Grid[#Data],$DD950,65),0)</f>
        <v/>
      </c>
      <c r="BP950">
        <f>IFERROR(INDEX(PP_Grid[#Data],$DD950,66),0)</f>
        <v/>
      </c>
      <c r="BQ950">
        <f>IFERROR(INDEX(PP_Grid[#Data],$DD950,67),0)</f>
        <v/>
      </c>
      <c r="BR950">
        <f>IFERROR(INDEX(PP_Grid[#Data],$DD950,68),0)</f>
        <v/>
      </c>
      <c r="BS950">
        <f>IFERROR(INDEX(PP_Grid[#Data],$DD950,69),0)</f>
        <v/>
      </c>
      <c r="BT950">
        <f>IFERROR(INDEX(PP_Grid[#Data],$DD950,70),0)</f>
        <v/>
      </c>
      <c r="BU950">
        <f>IFERROR(INDEX(PP_Grid[#Data],$DD950,71),0)</f>
        <v/>
      </c>
      <c r="BV950">
        <f>IFERROR(INDEX(PP_Grid[#Data],$DD950,72),0)</f>
        <v/>
      </c>
      <c r="BW950">
        <f>IFERROR(INDEX(PP_Grid[#Data],$DD950,73),0)</f>
        <v/>
      </c>
      <c r="BX950">
        <f>IFERROR(INDEX(PP_Grid[#Data],$DD950,74),0)</f>
        <v/>
      </c>
      <c r="BY950">
        <f>IFERROR(INDEX(PP_Grid[#Data],$DD950,75),0)</f>
        <v/>
      </c>
      <c r="BZ950">
        <f>IFERROR(INDEX(PP_Grid[#Data],$DD950,76),0)</f>
        <v/>
      </c>
      <c r="CA950">
        <f>IFERROR(INDEX(PP_Grid[#Data],$DD950,77),0)</f>
        <v/>
      </c>
      <c r="CB950">
        <f>IFERROR(INDEX(PP_Grid[#Data],$DD950,78),0)</f>
        <v/>
      </c>
      <c r="CC950">
        <f>IFERROR(INDEX(PP_Grid[#Data],$DD950,79),0)</f>
        <v/>
      </c>
      <c r="CD950">
        <f>IFERROR(INDEX(PP_Grid[#Data],$DD950,80),0)</f>
        <v/>
      </c>
      <c r="CE950">
        <f>IFERROR(INDEX(PP_Grid[#Data],$DD950,81),0)</f>
        <v/>
      </c>
      <c r="CF950">
        <f>IFERROR(INDEX(PP_Grid[#Data],$DD950,82),0)</f>
        <v/>
      </c>
      <c r="CG950">
        <f>IFERROR(INDEX(PP_Grid[#Data],$DD950,83),0)</f>
        <v/>
      </c>
      <c r="CH950">
        <f>IFERROR(INDEX(PP_Grid[#Data],$DD950,84),0)</f>
        <v/>
      </c>
      <c r="CI950">
        <f>IFERROR(INDEX(PP_Grid[#Data],$DD950,85),0)</f>
        <v/>
      </c>
      <c r="CJ950">
        <f>IFERROR(INDEX(PP_Grid[#Data],$DD950,86),0)</f>
        <v/>
      </c>
      <c r="CK950">
        <f>IFERROR(INDEX(PP_Grid[#Data],$DD950,87),0)</f>
        <v/>
      </c>
      <c r="CL950">
        <f>IFERROR(INDEX(PP_Grid[#Data],$DD950,88),0)</f>
        <v/>
      </c>
      <c r="CM950">
        <f>IFERROR(INDEX(PP_Grid[#Data],$DD950,89),0)</f>
        <v/>
      </c>
      <c r="CN950">
        <f>IFERROR(INDEX(PP_Grid[#Data],$DD950,90),0)</f>
        <v/>
      </c>
      <c r="CO950">
        <f>IFERROR(INDEX(PP_Grid[#Data],$DD950,91),0)</f>
        <v/>
      </c>
      <c r="CP950">
        <f>IFERROR(INDEX(PP_Grid[#Data],$DD950,92),0)</f>
        <v/>
      </c>
      <c r="CQ950">
        <f>IFERROR(INDEX(PP_Grid[#Data],$DD950,93),0)</f>
        <v/>
      </c>
      <c r="CR950">
        <f>IFERROR(INDEX(PP_Grid[#Data],$DD950,94),0)</f>
        <v/>
      </c>
      <c r="CS950">
        <f>IFERROR(INDEX(PP_Grid[#Data],$DD950,95),0)</f>
        <v/>
      </c>
      <c r="CT950">
        <f>IFERROR(INDEX(PP_Grid[#Data],$DD950,96),0)</f>
        <v/>
      </c>
      <c r="CU950">
        <f>IFERROR(INDEX(PP_Grid[#Data],$DD950,97),0)</f>
        <v/>
      </c>
      <c r="CV950">
        <f>IFERROR(INDEX(PP_Grid[#Data],$DD950,98),0)</f>
        <v/>
      </c>
      <c r="CW950">
        <f>IFERROR(INDEX(PP_Grid[#Data],$DD950,99),0)</f>
        <v/>
      </c>
      <c r="CX950">
        <f>IFERROR(INDEX(PP_Grid[#Data],$DD950,100),0)</f>
        <v/>
      </c>
      <c r="CY950">
        <f>IFERROR(INDEX(PP_Grid[#Data],$DD950,101),0)</f>
        <v/>
      </c>
      <c r="CZ950">
        <f>IFERROR(INDEX(PP_Grid[#Data],$DD950,102),0)</f>
        <v/>
      </c>
      <c r="DA950">
        <f>IFERROR(INDEX(PP_Grid[#Data],$DD950,103),0)</f>
        <v/>
      </c>
      <c r="DB950">
        <f>IFERROR(INDEX(PP_Grid[#Data],$DD950,104),0)</f>
        <v/>
      </c>
      <c r="DC950">
        <f>IFERROR(INDEX(PP_Grid[#Data],$DD950,105),0)</f>
        <v/>
      </c>
      <c r="DD950" s="12">
        <f>IFERROR(MATCH($B950,PP_Grid[Intermediate],0),99999)</f>
        <v/>
      </c>
    </row>
    <row r="951">
      <c r="B951" t="inlineStr">
        <is>
          <t>使用量(kg)</t>
        </is>
      </c>
      <c r="C951">
        <f>SUMIFS(M_BOM[RM_Qty_Per_Batch],M_BOM[Intermediate],$B950,M_BOM[Part Name],$A947)</f>
        <v/>
      </c>
      <c r="D951">
        <f>$C951*D950</f>
        <v/>
      </c>
      <c r="E951">
        <f>$C951*E950</f>
        <v/>
      </c>
      <c r="F951">
        <f>$C951*F950</f>
        <v/>
      </c>
      <c r="G951">
        <f>$C951*G950</f>
        <v/>
      </c>
      <c r="H951">
        <f>$C951*H950</f>
        <v/>
      </c>
      <c r="I951">
        <f>$C951*I950</f>
        <v/>
      </c>
      <c r="J951">
        <f>$C951*J950</f>
        <v/>
      </c>
      <c r="K951">
        <f>$C951*K950</f>
        <v/>
      </c>
      <c r="L951">
        <f>$C951*L950</f>
        <v/>
      </c>
      <c r="M951">
        <f>$C951*M950</f>
        <v/>
      </c>
      <c r="N951">
        <f>$C951*N950</f>
        <v/>
      </c>
      <c r="O951">
        <f>$C951*O950</f>
        <v/>
      </c>
      <c r="P951">
        <f>$C951*P950</f>
        <v/>
      </c>
      <c r="Q951">
        <f>$C951*Q950</f>
        <v/>
      </c>
      <c r="R951">
        <f>$C951*R950</f>
        <v/>
      </c>
      <c r="S951">
        <f>$C951*S950</f>
        <v/>
      </c>
      <c r="T951">
        <f>$C951*T950</f>
        <v/>
      </c>
      <c r="U951">
        <f>$C951*U950</f>
        <v/>
      </c>
      <c r="V951">
        <f>$C951*V950</f>
        <v/>
      </c>
      <c r="W951">
        <f>$C951*W950</f>
        <v/>
      </c>
      <c r="X951">
        <f>$C951*X950</f>
        <v/>
      </c>
      <c r="Y951">
        <f>$C951*Y950</f>
        <v/>
      </c>
      <c r="Z951">
        <f>$C951*Z950</f>
        <v/>
      </c>
      <c r="AA951">
        <f>$C951*AA950</f>
        <v/>
      </c>
      <c r="AB951">
        <f>$C951*AB950</f>
        <v/>
      </c>
      <c r="AC951">
        <f>$C951*AC950</f>
        <v/>
      </c>
      <c r="AD951">
        <f>$C951*AD950</f>
        <v/>
      </c>
      <c r="AE951">
        <f>$C951*AE950</f>
        <v/>
      </c>
      <c r="AF951">
        <f>$C951*AF950</f>
        <v/>
      </c>
      <c r="AG951">
        <f>$C951*AG950</f>
        <v/>
      </c>
      <c r="AH951">
        <f>$C951*AH950</f>
        <v/>
      </c>
      <c r="AI951">
        <f>$C951*AI950</f>
        <v/>
      </c>
      <c r="AJ951">
        <f>$C951*AJ950</f>
        <v/>
      </c>
      <c r="AK951">
        <f>$C951*AK950</f>
        <v/>
      </c>
      <c r="AL951">
        <f>$C951*AL950</f>
        <v/>
      </c>
      <c r="AM951">
        <f>$C951*AM950</f>
        <v/>
      </c>
      <c r="AN951">
        <f>$C951*AN950</f>
        <v/>
      </c>
      <c r="AO951">
        <f>$C951*AO950</f>
        <v/>
      </c>
      <c r="AP951">
        <f>$C951*AP950</f>
        <v/>
      </c>
      <c r="AQ951">
        <f>$C951*AQ950</f>
        <v/>
      </c>
      <c r="AR951">
        <f>$C951*AR950</f>
        <v/>
      </c>
      <c r="AS951">
        <f>$C951*AS950</f>
        <v/>
      </c>
      <c r="AT951">
        <f>$C951*AT950</f>
        <v/>
      </c>
      <c r="AU951">
        <f>$C951*AU950</f>
        <v/>
      </c>
      <c r="AV951">
        <f>$C951*AV950</f>
        <v/>
      </c>
      <c r="AW951">
        <f>$C951*AW950</f>
        <v/>
      </c>
      <c r="AX951">
        <f>$C951*AX950</f>
        <v/>
      </c>
      <c r="AY951">
        <f>$C951*AY950</f>
        <v/>
      </c>
      <c r="AZ951">
        <f>$C951*AZ950</f>
        <v/>
      </c>
      <c r="BA951">
        <f>$C951*BA950</f>
        <v/>
      </c>
      <c r="BB951">
        <f>$C951*BB950</f>
        <v/>
      </c>
      <c r="BC951">
        <f>$C951*BC950</f>
        <v/>
      </c>
      <c r="BD951">
        <f>$C951*BD950</f>
        <v/>
      </c>
      <c r="BE951">
        <f>$C951*BE950</f>
        <v/>
      </c>
      <c r="BF951">
        <f>$C951*BF950</f>
        <v/>
      </c>
      <c r="BG951">
        <f>$C951*BG950</f>
        <v/>
      </c>
      <c r="BH951">
        <f>$C951*BH950</f>
        <v/>
      </c>
      <c r="BI951">
        <f>$C951*BI950</f>
        <v/>
      </c>
      <c r="BJ951">
        <f>$C951*BJ950</f>
        <v/>
      </c>
      <c r="BK951">
        <f>$C951*BK950</f>
        <v/>
      </c>
      <c r="BL951">
        <f>$C951*BL950</f>
        <v/>
      </c>
      <c r="BM951">
        <f>$C951*BM950</f>
        <v/>
      </c>
      <c r="BN951">
        <f>$C951*BN950</f>
        <v/>
      </c>
      <c r="BO951">
        <f>$C951*BO950</f>
        <v/>
      </c>
      <c r="BP951">
        <f>$C951*BP950</f>
        <v/>
      </c>
      <c r="BQ951">
        <f>$C951*BQ950</f>
        <v/>
      </c>
      <c r="BR951">
        <f>$C951*BR950</f>
        <v/>
      </c>
      <c r="BS951">
        <f>$C951*BS950</f>
        <v/>
      </c>
      <c r="BT951">
        <f>$C951*BT950</f>
        <v/>
      </c>
      <c r="BU951">
        <f>$C951*BU950</f>
        <v/>
      </c>
      <c r="BV951">
        <f>$C951*BV950</f>
        <v/>
      </c>
      <c r="BW951">
        <f>$C951*BW950</f>
        <v/>
      </c>
      <c r="BX951">
        <f>$C951*BX950</f>
        <v/>
      </c>
      <c r="BY951">
        <f>$C951*BY950</f>
        <v/>
      </c>
      <c r="BZ951">
        <f>$C951*BZ950</f>
        <v/>
      </c>
      <c r="CA951">
        <f>$C951*CA950</f>
        <v/>
      </c>
      <c r="CB951">
        <f>$C951*CB950</f>
        <v/>
      </c>
      <c r="CC951">
        <f>$C951*CC950</f>
        <v/>
      </c>
      <c r="CD951">
        <f>$C951*CD950</f>
        <v/>
      </c>
      <c r="CE951">
        <f>$C951*CE950</f>
        <v/>
      </c>
      <c r="CF951">
        <f>$C951*CF950</f>
        <v/>
      </c>
      <c r="CG951">
        <f>$C951*CG950</f>
        <v/>
      </c>
      <c r="CH951">
        <f>$C951*CH950</f>
        <v/>
      </c>
      <c r="CI951">
        <f>$C951*CI950</f>
        <v/>
      </c>
      <c r="CJ951">
        <f>$C951*CJ950</f>
        <v/>
      </c>
      <c r="CK951">
        <f>$C951*CK950</f>
        <v/>
      </c>
      <c r="CL951">
        <f>$C951*CL950</f>
        <v/>
      </c>
      <c r="CM951">
        <f>$C951*CM950</f>
        <v/>
      </c>
      <c r="CN951">
        <f>$C951*CN950</f>
        <v/>
      </c>
      <c r="CO951">
        <f>$C951*CO950</f>
        <v/>
      </c>
      <c r="CP951">
        <f>$C951*CP950</f>
        <v/>
      </c>
      <c r="CQ951">
        <f>$C951*CQ950</f>
        <v/>
      </c>
      <c r="CR951">
        <f>$C951*CR950</f>
        <v/>
      </c>
      <c r="CS951">
        <f>$C951*CS950</f>
        <v/>
      </c>
      <c r="CT951">
        <f>$C951*CT950</f>
        <v/>
      </c>
      <c r="CU951">
        <f>$C951*CU950</f>
        <v/>
      </c>
      <c r="CV951">
        <f>$C951*CV950</f>
        <v/>
      </c>
      <c r="CW951">
        <f>$C951*CW950</f>
        <v/>
      </c>
      <c r="CX951">
        <f>$C951*CX950</f>
        <v/>
      </c>
      <c r="CY951">
        <f>$C951*CY950</f>
        <v/>
      </c>
      <c r="CZ951">
        <f>$C951*CZ950</f>
        <v/>
      </c>
      <c r="DA951">
        <f>$C951*DA950</f>
        <v/>
      </c>
      <c r="DB951">
        <f>$C951*DB950</f>
        <v/>
      </c>
      <c r="DC951">
        <f>$C951*DC950</f>
        <v/>
      </c>
    </row>
    <row r="952">
      <c r="B952" t="inlineStr">
        <is>
          <t>TSP-1449</t>
        </is>
      </c>
      <c r="C952" t="inlineStr">
        <is>
          <t>No. of batches</t>
        </is>
      </c>
      <c r="D952">
        <f>IFERROR(INDEX(PP_Grid[#Data],$DD952,2),0)</f>
        <v/>
      </c>
      <c r="E952">
        <f>IFERROR(INDEX(PP_Grid[#Data],$DD952,3),0)</f>
        <v/>
      </c>
      <c r="F952">
        <f>IFERROR(INDEX(PP_Grid[#Data],$DD952,4),0)</f>
        <v/>
      </c>
      <c r="G952">
        <f>IFERROR(INDEX(PP_Grid[#Data],$DD952,5),0)</f>
        <v/>
      </c>
      <c r="H952">
        <f>IFERROR(INDEX(PP_Grid[#Data],$DD952,6),0)</f>
        <v/>
      </c>
      <c r="I952">
        <f>IFERROR(INDEX(PP_Grid[#Data],$DD952,7),0)</f>
        <v/>
      </c>
      <c r="J952">
        <f>IFERROR(INDEX(PP_Grid[#Data],$DD952,8),0)</f>
        <v/>
      </c>
      <c r="K952">
        <f>IFERROR(INDEX(PP_Grid[#Data],$DD952,9),0)</f>
        <v/>
      </c>
      <c r="L952">
        <f>IFERROR(INDEX(PP_Grid[#Data],$DD952,10),0)</f>
        <v/>
      </c>
      <c r="M952">
        <f>IFERROR(INDEX(PP_Grid[#Data],$DD952,11),0)</f>
        <v/>
      </c>
      <c r="N952">
        <f>IFERROR(INDEX(PP_Grid[#Data],$DD952,12),0)</f>
        <v/>
      </c>
      <c r="O952">
        <f>IFERROR(INDEX(PP_Grid[#Data],$DD952,13),0)</f>
        <v/>
      </c>
      <c r="P952">
        <f>IFERROR(INDEX(PP_Grid[#Data],$DD952,14),0)</f>
        <v/>
      </c>
      <c r="Q952">
        <f>IFERROR(INDEX(PP_Grid[#Data],$DD952,15),0)</f>
        <v/>
      </c>
      <c r="R952">
        <f>IFERROR(INDEX(PP_Grid[#Data],$DD952,16),0)</f>
        <v/>
      </c>
      <c r="S952">
        <f>IFERROR(INDEX(PP_Grid[#Data],$DD952,17),0)</f>
        <v/>
      </c>
      <c r="T952">
        <f>IFERROR(INDEX(PP_Grid[#Data],$DD952,18),0)</f>
        <v/>
      </c>
      <c r="U952">
        <f>IFERROR(INDEX(PP_Grid[#Data],$DD952,19),0)</f>
        <v/>
      </c>
      <c r="V952">
        <f>IFERROR(INDEX(PP_Grid[#Data],$DD952,20),0)</f>
        <v/>
      </c>
      <c r="W952">
        <f>IFERROR(INDEX(PP_Grid[#Data],$DD952,21),0)</f>
        <v/>
      </c>
      <c r="X952">
        <f>IFERROR(INDEX(PP_Grid[#Data],$DD952,22),0)</f>
        <v/>
      </c>
      <c r="Y952">
        <f>IFERROR(INDEX(PP_Grid[#Data],$DD952,23),0)</f>
        <v/>
      </c>
      <c r="Z952">
        <f>IFERROR(INDEX(PP_Grid[#Data],$DD952,24),0)</f>
        <v/>
      </c>
      <c r="AA952">
        <f>IFERROR(INDEX(PP_Grid[#Data],$DD952,25),0)</f>
        <v/>
      </c>
      <c r="AB952">
        <f>IFERROR(INDEX(PP_Grid[#Data],$DD952,26),0)</f>
        <v/>
      </c>
      <c r="AC952">
        <f>IFERROR(INDEX(PP_Grid[#Data],$DD952,27),0)</f>
        <v/>
      </c>
      <c r="AD952">
        <f>IFERROR(INDEX(PP_Grid[#Data],$DD952,28),0)</f>
        <v/>
      </c>
      <c r="AE952">
        <f>IFERROR(INDEX(PP_Grid[#Data],$DD952,29),0)</f>
        <v/>
      </c>
      <c r="AF952">
        <f>IFERROR(INDEX(PP_Grid[#Data],$DD952,30),0)</f>
        <v/>
      </c>
      <c r="AG952">
        <f>IFERROR(INDEX(PP_Grid[#Data],$DD952,31),0)</f>
        <v/>
      </c>
      <c r="AH952">
        <f>IFERROR(INDEX(PP_Grid[#Data],$DD952,32),0)</f>
        <v/>
      </c>
      <c r="AI952">
        <f>IFERROR(INDEX(PP_Grid[#Data],$DD952,33),0)</f>
        <v/>
      </c>
      <c r="AJ952">
        <f>IFERROR(INDEX(PP_Grid[#Data],$DD952,34),0)</f>
        <v/>
      </c>
      <c r="AK952">
        <f>IFERROR(INDEX(PP_Grid[#Data],$DD952,35),0)</f>
        <v/>
      </c>
      <c r="AL952">
        <f>IFERROR(INDEX(PP_Grid[#Data],$DD952,36),0)</f>
        <v/>
      </c>
      <c r="AM952">
        <f>IFERROR(INDEX(PP_Grid[#Data],$DD952,37),0)</f>
        <v/>
      </c>
      <c r="AN952">
        <f>IFERROR(INDEX(PP_Grid[#Data],$DD952,38),0)</f>
        <v/>
      </c>
      <c r="AO952">
        <f>IFERROR(INDEX(PP_Grid[#Data],$DD952,39),0)</f>
        <v/>
      </c>
      <c r="AP952">
        <f>IFERROR(INDEX(PP_Grid[#Data],$DD952,40),0)</f>
        <v/>
      </c>
      <c r="AQ952">
        <f>IFERROR(INDEX(PP_Grid[#Data],$DD952,41),0)</f>
        <v/>
      </c>
      <c r="AR952">
        <f>IFERROR(INDEX(PP_Grid[#Data],$DD952,42),0)</f>
        <v/>
      </c>
      <c r="AS952">
        <f>IFERROR(INDEX(PP_Grid[#Data],$DD952,43),0)</f>
        <v/>
      </c>
      <c r="AT952">
        <f>IFERROR(INDEX(PP_Grid[#Data],$DD952,44),0)</f>
        <v/>
      </c>
      <c r="AU952">
        <f>IFERROR(INDEX(PP_Grid[#Data],$DD952,45),0)</f>
        <v/>
      </c>
      <c r="AV952">
        <f>IFERROR(INDEX(PP_Grid[#Data],$DD952,46),0)</f>
        <v/>
      </c>
      <c r="AW952">
        <f>IFERROR(INDEX(PP_Grid[#Data],$DD952,47),0)</f>
        <v/>
      </c>
      <c r="AX952">
        <f>IFERROR(INDEX(PP_Grid[#Data],$DD952,48),0)</f>
        <v/>
      </c>
      <c r="AY952">
        <f>IFERROR(INDEX(PP_Grid[#Data],$DD952,49),0)</f>
        <v/>
      </c>
      <c r="AZ952">
        <f>IFERROR(INDEX(PP_Grid[#Data],$DD952,50),0)</f>
        <v/>
      </c>
      <c r="BA952">
        <f>IFERROR(INDEX(PP_Grid[#Data],$DD952,51),0)</f>
        <v/>
      </c>
      <c r="BB952">
        <f>IFERROR(INDEX(PP_Grid[#Data],$DD952,52),0)</f>
        <v/>
      </c>
      <c r="BC952">
        <f>IFERROR(INDEX(PP_Grid[#Data],$DD952,53),0)</f>
        <v/>
      </c>
      <c r="BD952">
        <f>IFERROR(INDEX(PP_Grid[#Data],$DD952,54),0)</f>
        <v/>
      </c>
      <c r="BE952">
        <f>IFERROR(INDEX(PP_Grid[#Data],$DD952,55),0)</f>
        <v/>
      </c>
      <c r="BF952">
        <f>IFERROR(INDEX(PP_Grid[#Data],$DD952,56),0)</f>
        <v/>
      </c>
      <c r="BG952">
        <f>IFERROR(INDEX(PP_Grid[#Data],$DD952,57),0)</f>
        <v/>
      </c>
      <c r="BH952">
        <f>IFERROR(INDEX(PP_Grid[#Data],$DD952,58),0)</f>
        <v/>
      </c>
      <c r="BI952">
        <f>IFERROR(INDEX(PP_Grid[#Data],$DD952,59),0)</f>
        <v/>
      </c>
      <c r="BJ952">
        <f>IFERROR(INDEX(PP_Grid[#Data],$DD952,60),0)</f>
        <v/>
      </c>
      <c r="BK952">
        <f>IFERROR(INDEX(PP_Grid[#Data],$DD952,61),0)</f>
        <v/>
      </c>
      <c r="BL952">
        <f>IFERROR(INDEX(PP_Grid[#Data],$DD952,62),0)</f>
        <v/>
      </c>
      <c r="BM952">
        <f>IFERROR(INDEX(PP_Grid[#Data],$DD952,63),0)</f>
        <v/>
      </c>
      <c r="BN952">
        <f>IFERROR(INDEX(PP_Grid[#Data],$DD952,64),0)</f>
        <v/>
      </c>
      <c r="BO952">
        <f>IFERROR(INDEX(PP_Grid[#Data],$DD952,65),0)</f>
        <v/>
      </c>
      <c r="BP952">
        <f>IFERROR(INDEX(PP_Grid[#Data],$DD952,66),0)</f>
        <v/>
      </c>
      <c r="BQ952">
        <f>IFERROR(INDEX(PP_Grid[#Data],$DD952,67),0)</f>
        <v/>
      </c>
      <c r="BR952">
        <f>IFERROR(INDEX(PP_Grid[#Data],$DD952,68),0)</f>
        <v/>
      </c>
      <c r="BS952">
        <f>IFERROR(INDEX(PP_Grid[#Data],$DD952,69),0)</f>
        <v/>
      </c>
      <c r="BT952">
        <f>IFERROR(INDEX(PP_Grid[#Data],$DD952,70),0)</f>
        <v/>
      </c>
      <c r="BU952">
        <f>IFERROR(INDEX(PP_Grid[#Data],$DD952,71),0)</f>
        <v/>
      </c>
      <c r="BV952">
        <f>IFERROR(INDEX(PP_Grid[#Data],$DD952,72),0)</f>
        <v/>
      </c>
      <c r="BW952">
        <f>IFERROR(INDEX(PP_Grid[#Data],$DD952,73),0)</f>
        <v/>
      </c>
      <c r="BX952">
        <f>IFERROR(INDEX(PP_Grid[#Data],$DD952,74),0)</f>
        <v/>
      </c>
      <c r="BY952">
        <f>IFERROR(INDEX(PP_Grid[#Data],$DD952,75),0)</f>
        <v/>
      </c>
      <c r="BZ952">
        <f>IFERROR(INDEX(PP_Grid[#Data],$DD952,76),0)</f>
        <v/>
      </c>
      <c r="CA952">
        <f>IFERROR(INDEX(PP_Grid[#Data],$DD952,77),0)</f>
        <v/>
      </c>
      <c r="CB952">
        <f>IFERROR(INDEX(PP_Grid[#Data],$DD952,78),0)</f>
        <v/>
      </c>
      <c r="CC952">
        <f>IFERROR(INDEX(PP_Grid[#Data],$DD952,79),0)</f>
        <v/>
      </c>
      <c r="CD952">
        <f>IFERROR(INDEX(PP_Grid[#Data],$DD952,80),0)</f>
        <v/>
      </c>
      <c r="CE952">
        <f>IFERROR(INDEX(PP_Grid[#Data],$DD952,81),0)</f>
        <v/>
      </c>
      <c r="CF952">
        <f>IFERROR(INDEX(PP_Grid[#Data],$DD952,82),0)</f>
        <v/>
      </c>
      <c r="CG952">
        <f>IFERROR(INDEX(PP_Grid[#Data],$DD952,83),0)</f>
        <v/>
      </c>
      <c r="CH952">
        <f>IFERROR(INDEX(PP_Grid[#Data],$DD952,84),0)</f>
        <v/>
      </c>
      <c r="CI952">
        <f>IFERROR(INDEX(PP_Grid[#Data],$DD952,85),0)</f>
        <v/>
      </c>
      <c r="CJ952">
        <f>IFERROR(INDEX(PP_Grid[#Data],$DD952,86),0)</f>
        <v/>
      </c>
      <c r="CK952">
        <f>IFERROR(INDEX(PP_Grid[#Data],$DD952,87),0)</f>
        <v/>
      </c>
      <c r="CL952">
        <f>IFERROR(INDEX(PP_Grid[#Data],$DD952,88),0)</f>
        <v/>
      </c>
      <c r="CM952">
        <f>IFERROR(INDEX(PP_Grid[#Data],$DD952,89),0)</f>
        <v/>
      </c>
      <c r="CN952">
        <f>IFERROR(INDEX(PP_Grid[#Data],$DD952,90),0)</f>
        <v/>
      </c>
      <c r="CO952">
        <f>IFERROR(INDEX(PP_Grid[#Data],$DD952,91),0)</f>
        <v/>
      </c>
      <c r="CP952">
        <f>IFERROR(INDEX(PP_Grid[#Data],$DD952,92),0)</f>
        <v/>
      </c>
      <c r="CQ952">
        <f>IFERROR(INDEX(PP_Grid[#Data],$DD952,93),0)</f>
        <v/>
      </c>
      <c r="CR952">
        <f>IFERROR(INDEX(PP_Grid[#Data],$DD952,94),0)</f>
        <v/>
      </c>
      <c r="CS952">
        <f>IFERROR(INDEX(PP_Grid[#Data],$DD952,95),0)</f>
        <v/>
      </c>
      <c r="CT952">
        <f>IFERROR(INDEX(PP_Grid[#Data],$DD952,96),0)</f>
        <v/>
      </c>
      <c r="CU952">
        <f>IFERROR(INDEX(PP_Grid[#Data],$DD952,97),0)</f>
        <v/>
      </c>
      <c r="CV952">
        <f>IFERROR(INDEX(PP_Grid[#Data],$DD952,98),0)</f>
        <v/>
      </c>
      <c r="CW952">
        <f>IFERROR(INDEX(PP_Grid[#Data],$DD952,99),0)</f>
        <v/>
      </c>
      <c r="CX952">
        <f>IFERROR(INDEX(PP_Grid[#Data],$DD952,100),0)</f>
        <v/>
      </c>
      <c r="CY952">
        <f>IFERROR(INDEX(PP_Grid[#Data],$DD952,101),0)</f>
        <v/>
      </c>
      <c r="CZ952">
        <f>IFERROR(INDEX(PP_Grid[#Data],$DD952,102),0)</f>
        <v/>
      </c>
      <c r="DA952">
        <f>IFERROR(INDEX(PP_Grid[#Data],$DD952,103),0)</f>
        <v/>
      </c>
      <c r="DB952">
        <f>IFERROR(INDEX(PP_Grid[#Data],$DD952,104),0)</f>
        <v/>
      </c>
      <c r="DC952">
        <f>IFERROR(INDEX(PP_Grid[#Data],$DD952,105),0)</f>
        <v/>
      </c>
      <c r="DD952" s="12">
        <f>IFERROR(MATCH($B952,PP_Grid[Intermediate],0),99999)</f>
        <v/>
      </c>
    </row>
    <row r="953">
      <c r="B953" t="inlineStr">
        <is>
          <t>使用量(kg)</t>
        </is>
      </c>
      <c r="C953">
        <f>SUMIFS(M_BOM[RM_Qty_Per_Batch],M_BOM[Intermediate],$B952,M_BOM[Part Name],$A947)</f>
        <v/>
      </c>
      <c r="D953">
        <f>$C953*D952</f>
        <v/>
      </c>
      <c r="E953">
        <f>$C953*E952</f>
        <v/>
      </c>
      <c r="F953">
        <f>$C953*F952</f>
        <v/>
      </c>
      <c r="G953">
        <f>$C953*G952</f>
        <v/>
      </c>
      <c r="H953">
        <f>$C953*H952</f>
        <v/>
      </c>
      <c r="I953">
        <f>$C953*I952</f>
        <v/>
      </c>
      <c r="J953">
        <f>$C953*J952</f>
        <v/>
      </c>
      <c r="K953">
        <f>$C953*K952</f>
        <v/>
      </c>
      <c r="L953">
        <f>$C953*L952</f>
        <v/>
      </c>
      <c r="M953">
        <f>$C953*M952</f>
        <v/>
      </c>
      <c r="N953">
        <f>$C953*N952</f>
        <v/>
      </c>
      <c r="O953">
        <f>$C953*O952</f>
        <v/>
      </c>
      <c r="P953">
        <f>$C953*P952</f>
        <v/>
      </c>
      <c r="Q953">
        <f>$C953*Q952</f>
        <v/>
      </c>
      <c r="R953">
        <f>$C953*R952</f>
        <v/>
      </c>
      <c r="S953">
        <f>$C953*S952</f>
        <v/>
      </c>
      <c r="T953">
        <f>$C953*T952</f>
        <v/>
      </c>
      <c r="U953">
        <f>$C953*U952</f>
        <v/>
      </c>
      <c r="V953">
        <f>$C953*V952</f>
        <v/>
      </c>
      <c r="W953">
        <f>$C953*W952</f>
        <v/>
      </c>
      <c r="X953">
        <f>$C953*X952</f>
        <v/>
      </c>
      <c r="Y953">
        <f>$C953*Y952</f>
        <v/>
      </c>
      <c r="Z953">
        <f>$C953*Z952</f>
        <v/>
      </c>
      <c r="AA953">
        <f>$C953*AA952</f>
        <v/>
      </c>
      <c r="AB953">
        <f>$C953*AB952</f>
        <v/>
      </c>
      <c r="AC953">
        <f>$C953*AC952</f>
        <v/>
      </c>
      <c r="AD953">
        <f>$C953*AD952</f>
        <v/>
      </c>
      <c r="AE953">
        <f>$C953*AE952</f>
        <v/>
      </c>
      <c r="AF953">
        <f>$C953*AF952</f>
        <v/>
      </c>
      <c r="AG953">
        <f>$C953*AG952</f>
        <v/>
      </c>
      <c r="AH953">
        <f>$C953*AH952</f>
        <v/>
      </c>
      <c r="AI953">
        <f>$C953*AI952</f>
        <v/>
      </c>
      <c r="AJ953">
        <f>$C953*AJ952</f>
        <v/>
      </c>
      <c r="AK953">
        <f>$C953*AK952</f>
        <v/>
      </c>
      <c r="AL953">
        <f>$C953*AL952</f>
        <v/>
      </c>
      <c r="AM953">
        <f>$C953*AM952</f>
        <v/>
      </c>
      <c r="AN953">
        <f>$C953*AN952</f>
        <v/>
      </c>
      <c r="AO953">
        <f>$C953*AO952</f>
        <v/>
      </c>
      <c r="AP953">
        <f>$C953*AP952</f>
        <v/>
      </c>
      <c r="AQ953">
        <f>$C953*AQ952</f>
        <v/>
      </c>
      <c r="AR953">
        <f>$C953*AR952</f>
        <v/>
      </c>
      <c r="AS953">
        <f>$C953*AS952</f>
        <v/>
      </c>
      <c r="AT953">
        <f>$C953*AT952</f>
        <v/>
      </c>
      <c r="AU953">
        <f>$C953*AU952</f>
        <v/>
      </c>
      <c r="AV953">
        <f>$C953*AV952</f>
        <v/>
      </c>
      <c r="AW953">
        <f>$C953*AW952</f>
        <v/>
      </c>
      <c r="AX953">
        <f>$C953*AX952</f>
        <v/>
      </c>
      <c r="AY953">
        <f>$C953*AY952</f>
        <v/>
      </c>
      <c r="AZ953">
        <f>$C953*AZ952</f>
        <v/>
      </c>
      <c r="BA953">
        <f>$C953*BA952</f>
        <v/>
      </c>
      <c r="BB953">
        <f>$C953*BB952</f>
        <v/>
      </c>
      <c r="BC953">
        <f>$C953*BC952</f>
        <v/>
      </c>
      <c r="BD953">
        <f>$C953*BD952</f>
        <v/>
      </c>
      <c r="BE953">
        <f>$C953*BE952</f>
        <v/>
      </c>
      <c r="BF953">
        <f>$C953*BF952</f>
        <v/>
      </c>
      <c r="BG953">
        <f>$C953*BG952</f>
        <v/>
      </c>
      <c r="BH953">
        <f>$C953*BH952</f>
        <v/>
      </c>
      <c r="BI953">
        <f>$C953*BI952</f>
        <v/>
      </c>
      <c r="BJ953">
        <f>$C953*BJ952</f>
        <v/>
      </c>
      <c r="BK953">
        <f>$C953*BK952</f>
        <v/>
      </c>
      <c r="BL953">
        <f>$C953*BL952</f>
        <v/>
      </c>
      <c r="BM953">
        <f>$C953*BM952</f>
        <v/>
      </c>
      <c r="BN953">
        <f>$C953*BN952</f>
        <v/>
      </c>
      <c r="BO953">
        <f>$C953*BO952</f>
        <v/>
      </c>
      <c r="BP953">
        <f>$C953*BP952</f>
        <v/>
      </c>
      <c r="BQ953">
        <f>$C953*BQ952</f>
        <v/>
      </c>
      <c r="BR953">
        <f>$C953*BR952</f>
        <v/>
      </c>
      <c r="BS953">
        <f>$C953*BS952</f>
        <v/>
      </c>
      <c r="BT953">
        <f>$C953*BT952</f>
        <v/>
      </c>
      <c r="BU953">
        <f>$C953*BU952</f>
        <v/>
      </c>
      <c r="BV953">
        <f>$C953*BV952</f>
        <v/>
      </c>
      <c r="BW953">
        <f>$C953*BW952</f>
        <v/>
      </c>
      <c r="BX953">
        <f>$C953*BX952</f>
        <v/>
      </c>
      <c r="BY953">
        <f>$C953*BY952</f>
        <v/>
      </c>
      <c r="BZ953">
        <f>$C953*BZ952</f>
        <v/>
      </c>
      <c r="CA953">
        <f>$C953*CA952</f>
        <v/>
      </c>
      <c r="CB953">
        <f>$C953*CB952</f>
        <v/>
      </c>
      <c r="CC953">
        <f>$C953*CC952</f>
        <v/>
      </c>
      <c r="CD953">
        <f>$C953*CD952</f>
        <v/>
      </c>
      <c r="CE953">
        <f>$C953*CE952</f>
        <v/>
      </c>
      <c r="CF953">
        <f>$C953*CF952</f>
        <v/>
      </c>
      <c r="CG953">
        <f>$C953*CG952</f>
        <v/>
      </c>
      <c r="CH953">
        <f>$C953*CH952</f>
        <v/>
      </c>
      <c r="CI953">
        <f>$C953*CI952</f>
        <v/>
      </c>
      <c r="CJ953">
        <f>$C953*CJ952</f>
        <v/>
      </c>
      <c r="CK953">
        <f>$C953*CK952</f>
        <v/>
      </c>
      <c r="CL953">
        <f>$C953*CL952</f>
        <v/>
      </c>
      <c r="CM953">
        <f>$C953*CM952</f>
        <v/>
      </c>
      <c r="CN953">
        <f>$C953*CN952</f>
        <v/>
      </c>
      <c r="CO953">
        <f>$C953*CO952</f>
        <v/>
      </c>
      <c r="CP953">
        <f>$C953*CP952</f>
        <v/>
      </c>
      <c r="CQ953">
        <f>$C953*CQ952</f>
        <v/>
      </c>
      <c r="CR953">
        <f>$C953*CR952</f>
        <v/>
      </c>
      <c r="CS953">
        <f>$C953*CS952</f>
        <v/>
      </c>
      <c r="CT953">
        <f>$C953*CT952</f>
        <v/>
      </c>
      <c r="CU953">
        <f>$C953*CU952</f>
        <v/>
      </c>
      <c r="CV953">
        <f>$C953*CV952</f>
        <v/>
      </c>
      <c r="CW953">
        <f>$C953*CW952</f>
        <v/>
      </c>
      <c r="CX953">
        <f>$C953*CX952</f>
        <v/>
      </c>
      <c r="CY953">
        <f>$C953*CY952</f>
        <v/>
      </c>
      <c r="CZ953">
        <f>$C953*CZ952</f>
        <v/>
      </c>
      <c r="DA953">
        <f>$C953*DA952</f>
        <v/>
      </c>
      <c r="DB953">
        <f>$C953*DB952</f>
        <v/>
      </c>
      <c r="DC953">
        <f>$C953*DC952</f>
        <v/>
      </c>
    </row>
    <row r="954">
      <c r="B954" t="inlineStr">
        <is>
          <t>TSP-1499</t>
        </is>
      </c>
      <c r="C954" t="inlineStr">
        <is>
          <t>No. of batches</t>
        </is>
      </c>
      <c r="D954">
        <f>IFERROR(INDEX(PP_Grid[#Data],$DD954,2),0)</f>
        <v/>
      </c>
      <c r="E954">
        <f>IFERROR(INDEX(PP_Grid[#Data],$DD954,3),0)</f>
        <v/>
      </c>
      <c r="F954">
        <f>IFERROR(INDEX(PP_Grid[#Data],$DD954,4),0)</f>
        <v/>
      </c>
      <c r="G954">
        <f>IFERROR(INDEX(PP_Grid[#Data],$DD954,5),0)</f>
        <v/>
      </c>
      <c r="H954">
        <f>IFERROR(INDEX(PP_Grid[#Data],$DD954,6),0)</f>
        <v/>
      </c>
      <c r="I954">
        <f>IFERROR(INDEX(PP_Grid[#Data],$DD954,7),0)</f>
        <v/>
      </c>
      <c r="J954">
        <f>IFERROR(INDEX(PP_Grid[#Data],$DD954,8),0)</f>
        <v/>
      </c>
      <c r="K954">
        <f>IFERROR(INDEX(PP_Grid[#Data],$DD954,9),0)</f>
        <v/>
      </c>
      <c r="L954">
        <f>IFERROR(INDEX(PP_Grid[#Data],$DD954,10),0)</f>
        <v/>
      </c>
      <c r="M954">
        <f>IFERROR(INDEX(PP_Grid[#Data],$DD954,11),0)</f>
        <v/>
      </c>
      <c r="N954">
        <f>IFERROR(INDEX(PP_Grid[#Data],$DD954,12),0)</f>
        <v/>
      </c>
      <c r="O954">
        <f>IFERROR(INDEX(PP_Grid[#Data],$DD954,13),0)</f>
        <v/>
      </c>
      <c r="P954">
        <f>IFERROR(INDEX(PP_Grid[#Data],$DD954,14),0)</f>
        <v/>
      </c>
      <c r="Q954">
        <f>IFERROR(INDEX(PP_Grid[#Data],$DD954,15),0)</f>
        <v/>
      </c>
      <c r="R954">
        <f>IFERROR(INDEX(PP_Grid[#Data],$DD954,16),0)</f>
        <v/>
      </c>
      <c r="S954">
        <f>IFERROR(INDEX(PP_Grid[#Data],$DD954,17),0)</f>
        <v/>
      </c>
      <c r="T954">
        <f>IFERROR(INDEX(PP_Grid[#Data],$DD954,18),0)</f>
        <v/>
      </c>
      <c r="U954">
        <f>IFERROR(INDEX(PP_Grid[#Data],$DD954,19),0)</f>
        <v/>
      </c>
      <c r="V954">
        <f>IFERROR(INDEX(PP_Grid[#Data],$DD954,20),0)</f>
        <v/>
      </c>
      <c r="W954">
        <f>IFERROR(INDEX(PP_Grid[#Data],$DD954,21),0)</f>
        <v/>
      </c>
      <c r="X954">
        <f>IFERROR(INDEX(PP_Grid[#Data],$DD954,22),0)</f>
        <v/>
      </c>
      <c r="Y954">
        <f>IFERROR(INDEX(PP_Grid[#Data],$DD954,23),0)</f>
        <v/>
      </c>
      <c r="Z954">
        <f>IFERROR(INDEX(PP_Grid[#Data],$DD954,24),0)</f>
        <v/>
      </c>
      <c r="AA954">
        <f>IFERROR(INDEX(PP_Grid[#Data],$DD954,25),0)</f>
        <v/>
      </c>
      <c r="AB954">
        <f>IFERROR(INDEX(PP_Grid[#Data],$DD954,26),0)</f>
        <v/>
      </c>
      <c r="AC954">
        <f>IFERROR(INDEX(PP_Grid[#Data],$DD954,27),0)</f>
        <v/>
      </c>
      <c r="AD954">
        <f>IFERROR(INDEX(PP_Grid[#Data],$DD954,28),0)</f>
        <v/>
      </c>
      <c r="AE954">
        <f>IFERROR(INDEX(PP_Grid[#Data],$DD954,29),0)</f>
        <v/>
      </c>
      <c r="AF954">
        <f>IFERROR(INDEX(PP_Grid[#Data],$DD954,30),0)</f>
        <v/>
      </c>
      <c r="AG954">
        <f>IFERROR(INDEX(PP_Grid[#Data],$DD954,31),0)</f>
        <v/>
      </c>
      <c r="AH954">
        <f>IFERROR(INDEX(PP_Grid[#Data],$DD954,32),0)</f>
        <v/>
      </c>
      <c r="AI954">
        <f>IFERROR(INDEX(PP_Grid[#Data],$DD954,33),0)</f>
        <v/>
      </c>
      <c r="AJ954">
        <f>IFERROR(INDEX(PP_Grid[#Data],$DD954,34),0)</f>
        <v/>
      </c>
      <c r="AK954">
        <f>IFERROR(INDEX(PP_Grid[#Data],$DD954,35),0)</f>
        <v/>
      </c>
      <c r="AL954">
        <f>IFERROR(INDEX(PP_Grid[#Data],$DD954,36),0)</f>
        <v/>
      </c>
      <c r="AM954">
        <f>IFERROR(INDEX(PP_Grid[#Data],$DD954,37),0)</f>
        <v/>
      </c>
      <c r="AN954">
        <f>IFERROR(INDEX(PP_Grid[#Data],$DD954,38),0)</f>
        <v/>
      </c>
      <c r="AO954">
        <f>IFERROR(INDEX(PP_Grid[#Data],$DD954,39),0)</f>
        <v/>
      </c>
      <c r="AP954">
        <f>IFERROR(INDEX(PP_Grid[#Data],$DD954,40),0)</f>
        <v/>
      </c>
      <c r="AQ954">
        <f>IFERROR(INDEX(PP_Grid[#Data],$DD954,41),0)</f>
        <v/>
      </c>
      <c r="AR954">
        <f>IFERROR(INDEX(PP_Grid[#Data],$DD954,42),0)</f>
        <v/>
      </c>
      <c r="AS954">
        <f>IFERROR(INDEX(PP_Grid[#Data],$DD954,43),0)</f>
        <v/>
      </c>
      <c r="AT954">
        <f>IFERROR(INDEX(PP_Grid[#Data],$DD954,44),0)</f>
        <v/>
      </c>
      <c r="AU954">
        <f>IFERROR(INDEX(PP_Grid[#Data],$DD954,45),0)</f>
        <v/>
      </c>
      <c r="AV954">
        <f>IFERROR(INDEX(PP_Grid[#Data],$DD954,46),0)</f>
        <v/>
      </c>
      <c r="AW954">
        <f>IFERROR(INDEX(PP_Grid[#Data],$DD954,47),0)</f>
        <v/>
      </c>
      <c r="AX954">
        <f>IFERROR(INDEX(PP_Grid[#Data],$DD954,48),0)</f>
        <v/>
      </c>
      <c r="AY954">
        <f>IFERROR(INDEX(PP_Grid[#Data],$DD954,49),0)</f>
        <v/>
      </c>
      <c r="AZ954">
        <f>IFERROR(INDEX(PP_Grid[#Data],$DD954,50),0)</f>
        <v/>
      </c>
      <c r="BA954">
        <f>IFERROR(INDEX(PP_Grid[#Data],$DD954,51),0)</f>
        <v/>
      </c>
      <c r="BB954">
        <f>IFERROR(INDEX(PP_Grid[#Data],$DD954,52),0)</f>
        <v/>
      </c>
      <c r="BC954">
        <f>IFERROR(INDEX(PP_Grid[#Data],$DD954,53),0)</f>
        <v/>
      </c>
      <c r="BD954">
        <f>IFERROR(INDEX(PP_Grid[#Data],$DD954,54),0)</f>
        <v/>
      </c>
      <c r="BE954">
        <f>IFERROR(INDEX(PP_Grid[#Data],$DD954,55),0)</f>
        <v/>
      </c>
      <c r="BF954">
        <f>IFERROR(INDEX(PP_Grid[#Data],$DD954,56),0)</f>
        <v/>
      </c>
      <c r="BG954">
        <f>IFERROR(INDEX(PP_Grid[#Data],$DD954,57),0)</f>
        <v/>
      </c>
      <c r="BH954">
        <f>IFERROR(INDEX(PP_Grid[#Data],$DD954,58),0)</f>
        <v/>
      </c>
      <c r="BI954">
        <f>IFERROR(INDEX(PP_Grid[#Data],$DD954,59),0)</f>
        <v/>
      </c>
      <c r="BJ954">
        <f>IFERROR(INDEX(PP_Grid[#Data],$DD954,60),0)</f>
        <v/>
      </c>
      <c r="BK954">
        <f>IFERROR(INDEX(PP_Grid[#Data],$DD954,61),0)</f>
        <v/>
      </c>
      <c r="BL954">
        <f>IFERROR(INDEX(PP_Grid[#Data],$DD954,62),0)</f>
        <v/>
      </c>
      <c r="BM954">
        <f>IFERROR(INDEX(PP_Grid[#Data],$DD954,63),0)</f>
        <v/>
      </c>
      <c r="BN954">
        <f>IFERROR(INDEX(PP_Grid[#Data],$DD954,64),0)</f>
        <v/>
      </c>
      <c r="BO954">
        <f>IFERROR(INDEX(PP_Grid[#Data],$DD954,65),0)</f>
        <v/>
      </c>
      <c r="BP954">
        <f>IFERROR(INDEX(PP_Grid[#Data],$DD954,66),0)</f>
        <v/>
      </c>
      <c r="BQ954">
        <f>IFERROR(INDEX(PP_Grid[#Data],$DD954,67),0)</f>
        <v/>
      </c>
      <c r="BR954">
        <f>IFERROR(INDEX(PP_Grid[#Data],$DD954,68),0)</f>
        <v/>
      </c>
      <c r="BS954">
        <f>IFERROR(INDEX(PP_Grid[#Data],$DD954,69),0)</f>
        <v/>
      </c>
      <c r="BT954">
        <f>IFERROR(INDEX(PP_Grid[#Data],$DD954,70),0)</f>
        <v/>
      </c>
      <c r="BU954">
        <f>IFERROR(INDEX(PP_Grid[#Data],$DD954,71),0)</f>
        <v/>
      </c>
      <c r="BV954">
        <f>IFERROR(INDEX(PP_Grid[#Data],$DD954,72),0)</f>
        <v/>
      </c>
      <c r="BW954">
        <f>IFERROR(INDEX(PP_Grid[#Data],$DD954,73),0)</f>
        <v/>
      </c>
      <c r="BX954">
        <f>IFERROR(INDEX(PP_Grid[#Data],$DD954,74),0)</f>
        <v/>
      </c>
      <c r="BY954">
        <f>IFERROR(INDEX(PP_Grid[#Data],$DD954,75),0)</f>
        <v/>
      </c>
      <c r="BZ954">
        <f>IFERROR(INDEX(PP_Grid[#Data],$DD954,76),0)</f>
        <v/>
      </c>
      <c r="CA954">
        <f>IFERROR(INDEX(PP_Grid[#Data],$DD954,77),0)</f>
        <v/>
      </c>
      <c r="CB954">
        <f>IFERROR(INDEX(PP_Grid[#Data],$DD954,78),0)</f>
        <v/>
      </c>
      <c r="CC954">
        <f>IFERROR(INDEX(PP_Grid[#Data],$DD954,79),0)</f>
        <v/>
      </c>
      <c r="CD954">
        <f>IFERROR(INDEX(PP_Grid[#Data],$DD954,80),0)</f>
        <v/>
      </c>
      <c r="CE954">
        <f>IFERROR(INDEX(PP_Grid[#Data],$DD954,81),0)</f>
        <v/>
      </c>
      <c r="CF954">
        <f>IFERROR(INDEX(PP_Grid[#Data],$DD954,82),0)</f>
        <v/>
      </c>
      <c r="CG954">
        <f>IFERROR(INDEX(PP_Grid[#Data],$DD954,83),0)</f>
        <v/>
      </c>
      <c r="CH954">
        <f>IFERROR(INDEX(PP_Grid[#Data],$DD954,84),0)</f>
        <v/>
      </c>
      <c r="CI954">
        <f>IFERROR(INDEX(PP_Grid[#Data],$DD954,85),0)</f>
        <v/>
      </c>
      <c r="CJ954">
        <f>IFERROR(INDEX(PP_Grid[#Data],$DD954,86),0)</f>
        <v/>
      </c>
      <c r="CK954">
        <f>IFERROR(INDEX(PP_Grid[#Data],$DD954,87),0)</f>
        <v/>
      </c>
      <c r="CL954">
        <f>IFERROR(INDEX(PP_Grid[#Data],$DD954,88),0)</f>
        <v/>
      </c>
      <c r="CM954">
        <f>IFERROR(INDEX(PP_Grid[#Data],$DD954,89),0)</f>
        <v/>
      </c>
      <c r="CN954">
        <f>IFERROR(INDEX(PP_Grid[#Data],$DD954,90),0)</f>
        <v/>
      </c>
      <c r="CO954">
        <f>IFERROR(INDEX(PP_Grid[#Data],$DD954,91),0)</f>
        <v/>
      </c>
      <c r="CP954">
        <f>IFERROR(INDEX(PP_Grid[#Data],$DD954,92),0)</f>
        <v/>
      </c>
      <c r="CQ954">
        <f>IFERROR(INDEX(PP_Grid[#Data],$DD954,93),0)</f>
        <v/>
      </c>
      <c r="CR954">
        <f>IFERROR(INDEX(PP_Grid[#Data],$DD954,94),0)</f>
        <v/>
      </c>
      <c r="CS954">
        <f>IFERROR(INDEX(PP_Grid[#Data],$DD954,95),0)</f>
        <v/>
      </c>
      <c r="CT954">
        <f>IFERROR(INDEX(PP_Grid[#Data],$DD954,96),0)</f>
        <v/>
      </c>
      <c r="CU954">
        <f>IFERROR(INDEX(PP_Grid[#Data],$DD954,97),0)</f>
        <v/>
      </c>
      <c r="CV954">
        <f>IFERROR(INDEX(PP_Grid[#Data],$DD954,98),0)</f>
        <v/>
      </c>
      <c r="CW954">
        <f>IFERROR(INDEX(PP_Grid[#Data],$DD954,99),0)</f>
        <v/>
      </c>
      <c r="CX954">
        <f>IFERROR(INDEX(PP_Grid[#Data],$DD954,100),0)</f>
        <v/>
      </c>
      <c r="CY954">
        <f>IFERROR(INDEX(PP_Grid[#Data],$DD954,101),0)</f>
        <v/>
      </c>
      <c r="CZ954">
        <f>IFERROR(INDEX(PP_Grid[#Data],$DD954,102),0)</f>
        <v/>
      </c>
      <c r="DA954">
        <f>IFERROR(INDEX(PP_Grid[#Data],$DD954,103),0)</f>
        <v/>
      </c>
      <c r="DB954">
        <f>IFERROR(INDEX(PP_Grid[#Data],$DD954,104),0)</f>
        <v/>
      </c>
      <c r="DC954">
        <f>IFERROR(INDEX(PP_Grid[#Data],$DD954,105),0)</f>
        <v/>
      </c>
      <c r="DD954" s="12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SUMIFS(M_BOM[RM_Qty_Per_Batch],M_BOM[Intermediate],$B954,M_BOM[Part Name],$A947)</f>
        <v/>
      </c>
      <c r="D955">
        <f>$C955*D954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</row>
    <row r="956">
      <c r="B956" t="inlineStr">
        <is>
          <t>TSP-1555</t>
        </is>
      </c>
      <c r="C956" t="inlineStr">
        <is>
          <t>No. of batches</t>
        </is>
      </c>
      <c r="D956">
        <f>IFERROR(INDEX(PP_Grid[#Data],$DD956,2),0)</f>
        <v/>
      </c>
      <c r="E956">
        <f>IFERROR(INDEX(PP_Grid[#Data],$DD956,3),0)</f>
        <v/>
      </c>
      <c r="F956">
        <f>IFERROR(INDEX(PP_Grid[#Data],$DD956,4),0)</f>
        <v/>
      </c>
      <c r="G956">
        <f>IFERROR(INDEX(PP_Grid[#Data],$DD956,5),0)</f>
        <v/>
      </c>
      <c r="H956">
        <f>IFERROR(INDEX(PP_Grid[#Data],$DD956,6),0)</f>
        <v/>
      </c>
      <c r="I956">
        <f>IFERROR(INDEX(PP_Grid[#Data],$DD956,7),0)</f>
        <v/>
      </c>
      <c r="J956">
        <f>IFERROR(INDEX(PP_Grid[#Data],$DD956,8),0)</f>
        <v/>
      </c>
      <c r="K956">
        <f>IFERROR(INDEX(PP_Grid[#Data],$DD956,9),0)</f>
        <v/>
      </c>
      <c r="L956">
        <f>IFERROR(INDEX(PP_Grid[#Data],$DD956,10),0)</f>
        <v/>
      </c>
      <c r="M956">
        <f>IFERROR(INDEX(PP_Grid[#Data],$DD956,11),0)</f>
        <v/>
      </c>
      <c r="N956">
        <f>IFERROR(INDEX(PP_Grid[#Data],$DD956,12),0)</f>
        <v/>
      </c>
      <c r="O956">
        <f>IFERROR(INDEX(PP_Grid[#Data],$DD956,13),0)</f>
        <v/>
      </c>
      <c r="P956">
        <f>IFERROR(INDEX(PP_Grid[#Data],$DD956,14),0)</f>
        <v/>
      </c>
      <c r="Q956">
        <f>IFERROR(INDEX(PP_Grid[#Data],$DD956,15),0)</f>
        <v/>
      </c>
      <c r="R956">
        <f>IFERROR(INDEX(PP_Grid[#Data],$DD956,16),0)</f>
        <v/>
      </c>
      <c r="S956">
        <f>IFERROR(INDEX(PP_Grid[#Data],$DD956,17),0)</f>
        <v/>
      </c>
      <c r="T956">
        <f>IFERROR(INDEX(PP_Grid[#Data],$DD956,18),0)</f>
        <v/>
      </c>
      <c r="U956">
        <f>IFERROR(INDEX(PP_Grid[#Data],$DD956,19),0)</f>
        <v/>
      </c>
      <c r="V956">
        <f>IFERROR(INDEX(PP_Grid[#Data],$DD956,20),0)</f>
        <v/>
      </c>
      <c r="W956">
        <f>IFERROR(INDEX(PP_Grid[#Data],$DD956,21),0)</f>
        <v/>
      </c>
      <c r="X956">
        <f>IFERROR(INDEX(PP_Grid[#Data],$DD956,22),0)</f>
        <v/>
      </c>
      <c r="Y956">
        <f>IFERROR(INDEX(PP_Grid[#Data],$DD956,23),0)</f>
        <v/>
      </c>
      <c r="Z956">
        <f>IFERROR(INDEX(PP_Grid[#Data],$DD956,24),0)</f>
        <v/>
      </c>
      <c r="AA956">
        <f>IFERROR(INDEX(PP_Grid[#Data],$DD956,25),0)</f>
        <v/>
      </c>
      <c r="AB956">
        <f>IFERROR(INDEX(PP_Grid[#Data],$DD956,26),0)</f>
        <v/>
      </c>
      <c r="AC956">
        <f>IFERROR(INDEX(PP_Grid[#Data],$DD956,27),0)</f>
        <v/>
      </c>
      <c r="AD956">
        <f>IFERROR(INDEX(PP_Grid[#Data],$DD956,28),0)</f>
        <v/>
      </c>
      <c r="AE956">
        <f>IFERROR(INDEX(PP_Grid[#Data],$DD956,29),0)</f>
        <v/>
      </c>
      <c r="AF956">
        <f>IFERROR(INDEX(PP_Grid[#Data],$DD956,30),0)</f>
        <v/>
      </c>
      <c r="AG956">
        <f>IFERROR(INDEX(PP_Grid[#Data],$DD956,31),0)</f>
        <v/>
      </c>
      <c r="AH956">
        <f>IFERROR(INDEX(PP_Grid[#Data],$DD956,32),0)</f>
        <v/>
      </c>
      <c r="AI956">
        <f>IFERROR(INDEX(PP_Grid[#Data],$DD956,33),0)</f>
        <v/>
      </c>
      <c r="AJ956">
        <f>IFERROR(INDEX(PP_Grid[#Data],$DD956,34),0)</f>
        <v/>
      </c>
      <c r="AK956">
        <f>IFERROR(INDEX(PP_Grid[#Data],$DD956,35),0)</f>
        <v/>
      </c>
      <c r="AL956">
        <f>IFERROR(INDEX(PP_Grid[#Data],$DD956,36),0)</f>
        <v/>
      </c>
      <c r="AM956">
        <f>IFERROR(INDEX(PP_Grid[#Data],$DD956,37),0)</f>
        <v/>
      </c>
      <c r="AN956">
        <f>IFERROR(INDEX(PP_Grid[#Data],$DD956,38),0)</f>
        <v/>
      </c>
      <c r="AO956">
        <f>IFERROR(INDEX(PP_Grid[#Data],$DD956,39),0)</f>
        <v/>
      </c>
      <c r="AP956">
        <f>IFERROR(INDEX(PP_Grid[#Data],$DD956,40),0)</f>
        <v/>
      </c>
      <c r="AQ956">
        <f>IFERROR(INDEX(PP_Grid[#Data],$DD956,41),0)</f>
        <v/>
      </c>
      <c r="AR956">
        <f>IFERROR(INDEX(PP_Grid[#Data],$DD956,42),0)</f>
        <v/>
      </c>
      <c r="AS956">
        <f>IFERROR(INDEX(PP_Grid[#Data],$DD956,43),0)</f>
        <v/>
      </c>
      <c r="AT956">
        <f>IFERROR(INDEX(PP_Grid[#Data],$DD956,44),0)</f>
        <v/>
      </c>
      <c r="AU956">
        <f>IFERROR(INDEX(PP_Grid[#Data],$DD956,45),0)</f>
        <v/>
      </c>
      <c r="AV956">
        <f>IFERROR(INDEX(PP_Grid[#Data],$DD956,46),0)</f>
        <v/>
      </c>
      <c r="AW956">
        <f>IFERROR(INDEX(PP_Grid[#Data],$DD956,47),0)</f>
        <v/>
      </c>
      <c r="AX956">
        <f>IFERROR(INDEX(PP_Grid[#Data],$DD956,48),0)</f>
        <v/>
      </c>
      <c r="AY956">
        <f>IFERROR(INDEX(PP_Grid[#Data],$DD956,49),0)</f>
        <v/>
      </c>
      <c r="AZ956">
        <f>IFERROR(INDEX(PP_Grid[#Data],$DD956,50),0)</f>
        <v/>
      </c>
      <c r="BA956">
        <f>IFERROR(INDEX(PP_Grid[#Data],$DD956,51),0)</f>
        <v/>
      </c>
      <c r="BB956">
        <f>IFERROR(INDEX(PP_Grid[#Data],$DD956,52),0)</f>
        <v/>
      </c>
      <c r="BC956">
        <f>IFERROR(INDEX(PP_Grid[#Data],$DD956,53),0)</f>
        <v/>
      </c>
      <c r="BD956">
        <f>IFERROR(INDEX(PP_Grid[#Data],$DD956,54),0)</f>
        <v/>
      </c>
      <c r="BE956">
        <f>IFERROR(INDEX(PP_Grid[#Data],$DD956,55),0)</f>
        <v/>
      </c>
      <c r="BF956">
        <f>IFERROR(INDEX(PP_Grid[#Data],$DD956,56),0)</f>
        <v/>
      </c>
      <c r="BG956">
        <f>IFERROR(INDEX(PP_Grid[#Data],$DD956,57),0)</f>
        <v/>
      </c>
      <c r="BH956">
        <f>IFERROR(INDEX(PP_Grid[#Data],$DD956,58),0)</f>
        <v/>
      </c>
      <c r="BI956">
        <f>IFERROR(INDEX(PP_Grid[#Data],$DD956,59),0)</f>
        <v/>
      </c>
      <c r="BJ956">
        <f>IFERROR(INDEX(PP_Grid[#Data],$DD956,60),0)</f>
        <v/>
      </c>
      <c r="BK956">
        <f>IFERROR(INDEX(PP_Grid[#Data],$DD956,61),0)</f>
        <v/>
      </c>
      <c r="BL956">
        <f>IFERROR(INDEX(PP_Grid[#Data],$DD956,62),0)</f>
        <v/>
      </c>
      <c r="BM956">
        <f>IFERROR(INDEX(PP_Grid[#Data],$DD956,63),0)</f>
        <v/>
      </c>
      <c r="BN956">
        <f>IFERROR(INDEX(PP_Grid[#Data],$DD956,64),0)</f>
        <v/>
      </c>
      <c r="BO956">
        <f>IFERROR(INDEX(PP_Grid[#Data],$DD956,65),0)</f>
        <v/>
      </c>
      <c r="BP956">
        <f>IFERROR(INDEX(PP_Grid[#Data],$DD956,66),0)</f>
        <v/>
      </c>
      <c r="BQ956">
        <f>IFERROR(INDEX(PP_Grid[#Data],$DD956,67),0)</f>
        <v/>
      </c>
      <c r="BR956">
        <f>IFERROR(INDEX(PP_Grid[#Data],$DD956,68),0)</f>
        <v/>
      </c>
      <c r="BS956">
        <f>IFERROR(INDEX(PP_Grid[#Data],$DD956,69),0)</f>
        <v/>
      </c>
      <c r="BT956">
        <f>IFERROR(INDEX(PP_Grid[#Data],$DD956,70),0)</f>
        <v/>
      </c>
      <c r="BU956">
        <f>IFERROR(INDEX(PP_Grid[#Data],$DD956,71),0)</f>
        <v/>
      </c>
      <c r="BV956">
        <f>IFERROR(INDEX(PP_Grid[#Data],$DD956,72),0)</f>
        <v/>
      </c>
      <c r="BW956">
        <f>IFERROR(INDEX(PP_Grid[#Data],$DD956,73),0)</f>
        <v/>
      </c>
      <c r="BX956">
        <f>IFERROR(INDEX(PP_Grid[#Data],$DD956,74),0)</f>
        <v/>
      </c>
      <c r="BY956">
        <f>IFERROR(INDEX(PP_Grid[#Data],$DD956,75),0)</f>
        <v/>
      </c>
      <c r="BZ956">
        <f>IFERROR(INDEX(PP_Grid[#Data],$DD956,76),0)</f>
        <v/>
      </c>
      <c r="CA956">
        <f>IFERROR(INDEX(PP_Grid[#Data],$DD956,77),0)</f>
        <v/>
      </c>
      <c r="CB956">
        <f>IFERROR(INDEX(PP_Grid[#Data],$DD956,78),0)</f>
        <v/>
      </c>
      <c r="CC956">
        <f>IFERROR(INDEX(PP_Grid[#Data],$DD956,79),0)</f>
        <v/>
      </c>
      <c r="CD956">
        <f>IFERROR(INDEX(PP_Grid[#Data],$DD956,80),0)</f>
        <v/>
      </c>
      <c r="CE956">
        <f>IFERROR(INDEX(PP_Grid[#Data],$DD956,81),0)</f>
        <v/>
      </c>
      <c r="CF956">
        <f>IFERROR(INDEX(PP_Grid[#Data],$DD956,82),0)</f>
        <v/>
      </c>
      <c r="CG956">
        <f>IFERROR(INDEX(PP_Grid[#Data],$DD956,83),0)</f>
        <v/>
      </c>
      <c r="CH956">
        <f>IFERROR(INDEX(PP_Grid[#Data],$DD956,84),0)</f>
        <v/>
      </c>
      <c r="CI956">
        <f>IFERROR(INDEX(PP_Grid[#Data],$DD956,85),0)</f>
        <v/>
      </c>
      <c r="CJ956">
        <f>IFERROR(INDEX(PP_Grid[#Data],$DD956,86),0)</f>
        <v/>
      </c>
      <c r="CK956">
        <f>IFERROR(INDEX(PP_Grid[#Data],$DD956,87),0)</f>
        <v/>
      </c>
      <c r="CL956">
        <f>IFERROR(INDEX(PP_Grid[#Data],$DD956,88),0)</f>
        <v/>
      </c>
      <c r="CM956">
        <f>IFERROR(INDEX(PP_Grid[#Data],$DD956,89),0)</f>
        <v/>
      </c>
      <c r="CN956">
        <f>IFERROR(INDEX(PP_Grid[#Data],$DD956,90),0)</f>
        <v/>
      </c>
      <c r="CO956">
        <f>IFERROR(INDEX(PP_Grid[#Data],$DD956,91),0)</f>
        <v/>
      </c>
      <c r="CP956">
        <f>IFERROR(INDEX(PP_Grid[#Data],$DD956,92),0)</f>
        <v/>
      </c>
      <c r="CQ956">
        <f>IFERROR(INDEX(PP_Grid[#Data],$DD956,93),0)</f>
        <v/>
      </c>
      <c r="CR956">
        <f>IFERROR(INDEX(PP_Grid[#Data],$DD956,94),0)</f>
        <v/>
      </c>
      <c r="CS956">
        <f>IFERROR(INDEX(PP_Grid[#Data],$DD956,95),0)</f>
        <v/>
      </c>
      <c r="CT956">
        <f>IFERROR(INDEX(PP_Grid[#Data],$DD956,96),0)</f>
        <v/>
      </c>
      <c r="CU956">
        <f>IFERROR(INDEX(PP_Grid[#Data],$DD956,97),0)</f>
        <v/>
      </c>
      <c r="CV956">
        <f>IFERROR(INDEX(PP_Grid[#Data],$DD956,98),0)</f>
        <v/>
      </c>
      <c r="CW956">
        <f>IFERROR(INDEX(PP_Grid[#Data],$DD956,99),0)</f>
        <v/>
      </c>
      <c r="CX956">
        <f>IFERROR(INDEX(PP_Grid[#Data],$DD956,100),0)</f>
        <v/>
      </c>
      <c r="CY956">
        <f>IFERROR(INDEX(PP_Grid[#Data],$DD956,101),0)</f>
        <v/>
      </c>
      <c r="CZ956">
        <f>IFERROR(INDEX(PP_Grid[#Data],$DD956,102),0)</f>
        <v/>
      </c>
      <c r="DA956">
        <f>IFERROR(INDEX(PP_Grid[#Data],$DD956,103),0)</f>
        <v/>
      </c>
      <c r="DB956">
        <f>IFERROR(INDEX(PP_Grid[#Data],$DD956,104),0)</f>
        <v/>
      </c>
      <c r="DC956">
        <f>IFERROR(INDEX(PP_Grid[#Data],$DD956,105),0)</f>
        <v/>
      </c>
      <c r="DD956" s="12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SUMIFS(M_BOM[RM_Qty_Per_Batch],M_BOM[Intermediate],$B956,M_BOM[Part Name],$A947)</f>
        <v/>
      </c>
      <c r="D957">
        <f>$C957*D956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</row>
    <row r="958">
      <c r="B958" t="inlineStr">
        <is>
          <t>TSP-620</t>
        </is>
      </c>
      <c r="C958" t="inlineStr">
        <is>
          <t>No. of batches</t>
        </is>
      </c>
      <c r="D958">
        <f>IFERROR(INDEX(PP_Grid[#Data],$DD958,2),0)</f>
        <v/>
      </c>
      <c r="E958">
        <f>IFERROR(INDEX(PP_Grid[#Data],$DD958,3),0)</f>
        <v/>
      </c>
      <c r="F958">
        <f>IFERROR(INDEX(PP_Grid[#Data],$DD958,4),0)</f>
        <v/>
      </c>
      <c r="G958">
        <f>IFERROR(INDEX(PP_Grid[#Data],$DD958,5),0)</f>
        <v/>
      </c>
      <c r="H958">
        <f>IFERROR(INDEX(PP_Grid[#Data],$DD958,6),0)</f>
        <v/>
      </c>
      <c r="I958">
        <f>IFERROR(INDEX(PP_Grid[#Data],$DD958,7),0)</f>
        <v/>
      </c>
      <c r="J958">
        <f>IFERROR(INDEX(PP_Grid[#Data],$DD958,8),0)</f>
        <v/>
      </c>
      <c r="K958">
        <f>IFERROR(INDEX(PP_Grid[#Data],$DD958,9),0)</f>
        <v/>
      </c>
      <c r="L958">
        <f>IFERROR(INDEX(PP_Grid[#Data],$DD958,10),0)</f>
        <v/>
      </c>
      <c r="M958">
        <f>IFERROR(INDEX(PP_Grid[#Data],$DD958,11),0)</f>
        <v/>
      </c>
      <c r="N958">
        <f>IFERROR(INDEX(PP_Grid[#Data],$DD958,12),0)</f>
        <v/>
      </c>
      <c r="O958">
        <f>IFERROR(INDEX(PP_Grid[#Data],$DD958,13),0)</f>
        <v/>
      </c>
      <c r="P958">
        <f>IFERROR(INDEX(PP_Grid[#Data],$DD958,14),0)</f>
        <v/>
      </c>
      <c r="Q958">
        <f>IFERROR(INDEX(PP_Grid[#Data],$DD958,15),0)</f>
        <v/>
      </c>
      <c r="R958">
        <f>IFERROR(INDEX(PP_Grid[#Data],$DD958,16),0)</f>
        <v/>
      </c>
      <c r="S958">
        <f>IFERROR(INDEX(PP_Grid[#Data],$DD958,17),0)</f>
        <v/>
      </c>
      <c r="T958">
        <f>IFERROR(INDEX(PP_Grid[#Data],$DD958,18),0)</f>
        <v/>
      </c>
      <c r="U958">
        <f>IFERROR(INDEX(PP_Grid[#Data],$DD958,19),0)</f>
        <v/>
      </c>
      <c r="V958">
        <f>IFERROR(INDEX(PP_Grid[#Data],$DD958,20),0)</f>
        <v/>
      </c>
      <c r="W958">
        <f>IFERROR(INDEX(PP_Grid[#Data],$DD958,21),0)</f>
        <v/>
      </c>
      <c r="X958">
        <f>IFERROR(INDEX(PP_Grid[#Data],$DD958,22),0)</f>
        <v/>
      </c>
      <c r="Y958">
        <f>IFERROR(INDEX(PP_Grid[#Data],$DD958,23),0)</f>
        <v/>
      </c>
      <c r="Z958">
        <f>IFERROR(INDEX(PP_Grid[#Data],$DD958,24),0)</f>
        <v/>
      </c>
      <c r="AA958">
        <f>IFERROR(INDEX(PP_Grid[#Data],$DD958,25),0)</f>
        <v/>
      </c>
      <c r="AB958">
        <f>IFERROR(INDEX(PP_Grid[#Data],$DD958,26),0)</f>
        <v/>
      </c>
      <c r="AC958">
        <f>IFERROR(INDEX(PP_Grid[#Data],$DD958,27),0)</f>
        <v/>
      </c>
      <c r="AD958">
        <f>IFERROR(INDEX(PP_Grid[#Data],$DD958,28),0)</f>
        <v/>
      </c>
      <c r="AE958">
        <f>IFERROR(INDEX(PP_Grid[#Data],$DD958,29),0)</f>
        <v/>
      </c>
      <c r="AF958">
        <f>IFERROR(INDEX(PP_Grid[#Data],$DD958,30),0)</f>
        <v/>
      </c>
      <c r="AG958">
        <f>IFERROR(INDEX(PP_Grid[#Data],$DD958,31),0)</f>
        <v/>
      </c>
      <c r="AH958">
        <f>IFERROR(INDEX(PP_Grid[#Data],$DD958,32),0)</f>
        <v/>
      </c>
      <c r="AI958">
        <f>IFERROR(INDEX(PP_Grid[#Data],$DD958,33),0)</f>
        <v/>
      </c>
      <c r="AJ958">
        <f>IFERROR(INDEX(PP_Grid[#Data],$DD958,34),0)</f>
        <v/>
      </c>
      <c r="AK958">
        <f>IFERROR(INDEX(PP_Grid[#Data],$DD958,35),0)</f>
        <v/>
      </c>
      <c r="AL958">
        <f>IFERROR(INDEX(PP_Grid[#Data],$DD958,36),0)</f>
        <v/>
      </c>
      <c r="AM958">
        <f>IFERROR(INDEX(PP_Grid[#Data],$DD958,37),0)</f>
        <v/>
      </c>
      <c r="AN958">
        <f>IFERROR(INDEX(PP_Grid[#Data],$DD958,38),0)</f>
        <v/>
      </c>
      <c r="AO958">
        <f>IFERROR(INDEX(PP_Grid[#Data],$DD958,39),0)</f>
        <v/>
      </c>
      <c r="AP958">
        <f>IFERROR(INDEX(PP_Grid[#Data],$DD958,40),0)</f>
        <v/>
      </c>
      <c r="AQ958">
        <f>IFERROR(INDEX(PP_Grid[#Data],$DD958,41),0)</f>
        <v/>
      </c>
      <c r="AR958">
        <f>IFERROR(INDEX(PP_Grid[#Data],$DD958,42),0)</f>
        <v/>
      </c>
      <c r="AS958">
        <f>IFERROR(INDEX(PP_Grid[#Data],$DD958,43),0)</f>
        <v/>
      </c>
      <c r="AT958">
        <f>IFERROR(INDEX(PP_Grid[#Data],$DD958,44),0)</f>
        <v/>
      </c>
      <c r="AU958">
        <f>IFERROR(INDEX(PP_Grid[#Data],$DD958,45),0)</f>
        <v/>
      </c>
      <c r="AV958">
        <f>IFERROR(INDEX(PP_Grid[#Data],$DD958,46),0)</f>
        <v/>
      </c>
      <c r="AW958">
        <f>IFERROR(INDEX(PP_Grid[#Data],$DD958,47),0)</f>
        <v/>
      </c>
      <c r="AX958">
        <f>IFERROR(INDEX(PP_Grid[#Data],$DD958,48),0)</f>
        <v/>
      </c>
      <c r="AY958">
        <f>IFERROR(INDEX(PP_Grid[#Data],$DD958,49),0)</f>
        <v/>
      </c>
      <c r="AZ958">
        <f>IFERROR(INDEX(PP_Grid[#Data],$DD958,50),0)</f>
        <v/>
      </c>
      <c r="BA958">
        <f>IFERROR(INDEX(PP_Grid[#Data],$DD958,51),0)</f>
        <v/>
      </c>
      <c r="BB958">
        <f>IFERROR(INDEX(PP_Grid[#Data],$DD958,52),0)</f>
        <v/>
      </c>
      <c r="BC958">
        <f>IFERROR(INDEX(PP_Grid[#Data],$DD958,53),0)</f>
        <v/>
      </c>
      <c r="BD958">
        <f>IFERROR(INDEX(PP_Grid[#Data],$DD958,54),0)</f>
        <v/>
      </c>
      <c r="BE958">
        <f>IFERROR(INDEX(PP_Grid[#Data],$DD958,55),0)</f>
        <v/>
      </c>
      <c r="BF958">
        <f>IFERROR(INDEX(PP_Grid[#Data],$DD958,56),0)</f>
        <v/>
      </c>
      <c r="BG958">
        <f>IFERROR(INDEX(PP_Grid[#Data],$DD958,57),0)</f>
        <v/>
      </c>
      <c r="BH958">
        <f>IFERROR(INDEX(PP_Grid[#Data],$DD958,58),0)</f>
        <v/>
      </c>
      <c r="BI958">
        <f>IFERROR(INDEX(PP_Grid[#Data],$DD958,59),0)</f>
        <v/>
      </c>
      <c r="BJ958">
        <f>IFERROR(INDEX(PP_Grid[#Data],$DD958,60),0)</f>
        <v/>
      </c>
      <c r="BK958">
        <f>IFERROR(INDEX(PP_Grid[#Data],$DD958,61),0)</f>
        <v/>
      </c>
      <c r="BL958">
        <f>IFERROR(INDEX(PP_Grid[#Data],$DD958,62),0)</f>
        <v/>
      </c>
      <c r="BM958">
        <f>IFERROR(INDEX(PP_Grid[#Data],$DD958,63),0)</f>
        <v/>
      </c>
      <c r="BN958">
        <f>IFERROR(INDEX(PP_Grid[#Data],$DD958,64),0)</f>
        <v/>
      </c>
      <c r="BO958">
        <f>IFERROR(INDEX(PP_Grid[#Data],$DD958,65),0)</f>
        <v/>
      </c>
      <c r="BP958">
        <f>IFERROR(INDEX(PP_Grid[#Data],$DD958,66),0)</f>
        <v/>
      </c>
      <c r="BQ958">
        <f>IFERROR(INDEX(PP_Grid[#Data],$DD958,67),0)</f>
        <v/>
      </c>
      <c r="BR958">
        <f>IFERROR(INDEX(PP_Grid[#Data],$DD958,68),0)</f>
        <v/>
      </c>
      <c r="BS958">
        <f>IFERROR(INDEX(PP_Grid[#Data],$DD958,69),0)</f>
        <v/>
      </c>
      <c r="BT958">
        <f>IFERROR(INDEX(PP_Grid[#Data],$DD958,70),0)</f>
        <v/>
      </c>
      <c r="BU958">
        <f>IFERROR(INDEX(PP_Grid[#Data],$DD958,71),0)</f>
        <v/>
      </c>
      <c r="BV958">
        <f>IFERROR(INDEX(PP_Grid[#Data],$DD958,72),0)</f>
        <v/>
      </c>
      <c r="BW958">
        <f>IFERROR(INDEX(PP_Grid[#Data],$DD958,73),0)</f>
        <v/>
      </c>
      <c r="BX958">
        <f>IFERROR(INDEX(PP_Grid[#Data],$DD958,74),0)</f>
        <v/>
      </c>
      <c r="BY958">
        <f>IFERROR(INDEX(PP_Grid[#Data],$DD958,75),0)</f>
        <v/>
      </c>
      <c r="BZ958">
        <f>IFERROR(INDEX(PP_Grid[#Data],$DD958,76),0)</f>
        <v/>
      </c>
      <c r="CA958">
        <f>IFERROR(INDEX(PP_Grid[#Data],$DD958,77),0)</f>
        <v/>
      </c>
      <c r="CB958">
        <f>IFERROR(INDEX(PP_Grid[#Data],$DD958,78),0)</f>
        <v/>
      </c>
      <c r="CC958">
        <f>IFERROR(INDEX(PP_Grid[#Data],$DD958,79),0)</f>
        <v/>
      </c>
      <c r="CD958">
        <f>IFERROR(INDEX(PP_Grid[#Data],$DD958,80),0)</f>
        <v/>
      </c>
      <c r="CE958">
        <f>IFERROR(INDEX(PP_Grid[#Data],$DD958,81),0)</f>
        <v/>
      </c>
      <c r="CF958">
        <f>IFERROR(INDEX(PP_Grid[#Data],$DD958,82),0)</f>
        <v/>
      </c>
      <c r="CG958">
        <f>IFERROR(INDEX(PP_Grid[#Data],$DD958,83),0)</f>
        <v/>
      </c>
      <c r="CH958">
        <f>IFERROR(INDEX(PP_Grid[#Data],$DD958,84),0)</f>
        <v/>
      </c>
      <c r="CI958">
        <f>IFERROR(INDEX(PP_Grid[#Data],$DD958,85),0)</f>
        <v/>
      </c>
      <c r="CJ958">
        <f>IFERROR(INDEX(PP_Grid[#Data],$DD958,86),0)</f>
        <v/>
      </c>
      <c r="CK958">
        <f>IFERROR(INDEX(PP_Grid[#Data],$DD958,87),0)</f>
        <v/>
      </c>
      <c r="CL958">
        <f>IFERROR(INDEX(PP_Grid[#Data],$DD958,88),0)</f>
        <v/>
      </c>
      <c r="CM958">
        <f>IFERROR(INDEX(PP_Grid[#Data],$DD958,89),0)</f>
        <v/>
      </c>
      <c r="CN958">
        <f>IFERROR(INDEX(PP_Grid[#Data],$DD958,90),0)</f>
        <v/>
      </c>
      <c r="CO958">
        <f>IFERROR(INDEX(PP_Grid[#Data],$DD958,91),0)</f>
        <v/>
      </c>
      <c r="CP958">
        <f>IFERROR(INDEX(PP_Grid[#Data],$DD958,92),0)</f>
        <v/>
      </c>
      <c r="CQ958">
        <f>IFERROR(INDEX(PP_Grid[#Data],$DD958,93),0)</f>
        <v/>
      </c>
      <c r="CR958">
        <f>IFERROR(INDEX(PP_Grid[#Data],$DD958,94),0)</f>
        <v/>
      </c>
      <c r="CS958">
        <f>IFERROR(INDEX(PP_Grid[#Data],$DD958,95),0)</f>
        <v/>
      </c>
      <c r="CT958">
        <f>IFERROR(INDEX(PP_Grid[#Data],$DD958,96),0)</f>
        <v/>
      </c>
      <c r="CU958">
        <f>IFERROR(INDEX(PP_Grid[#Data],$DD958,97),0)</f>
        <v/>
      </c>
      <c r="CV958">
        <f>IFERROR(INDEX(PP_Grid[#Data],$DD958,98),0)</f>
        <v/>
      </c>
      <c r="CW958">
        <f>IFERROR(INDEX(PP_Grid[#Data],$DD958,99),0)</f>
        <v/>
      </c>
      <c r="CX958">
        <f>IFERROR(INDEX(PP_Grid[#Data],$DD958,100),0)</f>
        <v/>
      </c>
      <c r="CY958">
        <f>IFERROR(INDEX(PP_Grid[#Data],$DD958,101),0)</f>
        <v/>
      </c>
      <c r="CZ958">
        <f>IFERROR(INDEX(PP_Grid[#Data],$DD958,102),0)</f>
        <v/>
      </c>
      <c r="DA958">
        <f>IFERROR(INDEX(PP_Grid[#Data],$DD958,103),0)</f>
        <v/>
      </c>
      <c r="DB958">
        <f>IFERROR(INDEX(PP_Grid[#Data],$DD958,104),0)</f>
        <v/>
      </c>
      <c r="DC958">
        <f>IFERROR(INDEX(PP_Grid[#Data],$DD958,105),0)</f>
        <v/>
      </c>
      <c r="DD958" s="12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SUMIFS(M_BOM[RM_Qty_Per_Batch],M_BOM[Intermediate],$B958,M_BOM[Part Name],$A947)</f>
        <v/>
      </c>
      <c r="D959">
        <f>$C959*D958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</row>
    <row r="960">
      <c r="B960" t="inlineStr">
        <is>
          <t>TSP-623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12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Name],$A947)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TSP-934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12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Name],$A947)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TSP-935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12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Name],$A947)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t="inlineStr">
        <is>
          <t>TSP-936</t>
        </is>
      </c>
      <c r="C966" t="inlineStr">
        <is>
          <t>No. of batches</t>
        </is>
      </c>
      <c r="D966">
        <f>IFERROR(INDEX(PP_Grid[#Data],$DD966,2),0)</f>
        <v/>
      </c>
      <c r="E966">
        <f>IFERROR(INDEX(PP_Grid[#Data],$DD966,3),0)</f>
        <v/>
      </c>
      <c r="F966">
        <f>IFERROR(INDEX(PP_Grid[#Data],$DD966,4),0)</f>
        <v/>
      </c>
      <c r="G966">
        <f>IFERROR(INDEX(PP_Grid[#Data],$DD966,5),0)</f>
        <v/>
      </c>
      <c r="H966">
        <f>IFERROR(INDEX(PP_Grid[#Data],$DD966,6),0)</f>
        <v/>
      </c>
      <c r="I966">
        <f>IFERROR(INDEX(PP_Grid[#Data],$DD966,7),0)</f>
        <v/>
      </c>
      <c r="J966">
        <f>IFERROR(INDEX(PP_Grid[#Data],$DD966,8),0)</f>
        <v/>
      </c>
      <c r="K966">
        <f>IFERROR(INDEX(PP_Grid[#Data],$DD966,9),0)</f>
        <v/>
      </c>
      <c r="L966">
        <f>IFERROR(INDEX(PP_Grid[#Data],$DD966,10),0)</f>
        <v/>
      </c>
      <c r="M966">
        <f>IFERROR(INDEX(PP_Grid[#Data],$DD966,11),0)</f>
        <v/>
      </c>
      <c r="N966">
        <f>IFERROR(INDEX(PP_Grid[#Data],$DD966,12),0)</f>
        <v/>
      </c>
      <c r="O966">
        <f>IFERROR(INDEX(PP_Grid[#Data],$DD966,13),0)</f>
        <v/>
      </c>
      <c r="P966">
        <f>IFERROR(INDEX(PP_Grid[#Data],$DD966,14),0)</f>
        <v/>
      </c>
      <c r="Q966">
        <f>IFERROR(INDEX(PP_Grid[#Data],$DD966,15),0)</f>
        <v/>
      </c>
      <c r="R966">
        <f>IFERROR(INDEX(PP_Grid[#Data],$DD966,16),0)</f>
        <v/>
      </c>
      <c r="S966">
        <f>IFERROR(INDEX(PP_Grid[#Data],$DD966,17),0)</f>
        <v/>
      </c>
      <c r="T966">
        <f>IFERROR(INDEX(PP_Grid[#Data],$DD966,18),0)</f>
        <v/>
      </c>
      <c r="U966">
        <f>IFERROR(INDEX(PP_Grid[#Data],$DD966,19),0)</f>
        <v/>
      </c>
      <c r="V966">
        <f>IFERROR(INDEX(PP_Grid[#Data],$DD966,20),0)</f>
        <v/>
      </c>
      <c r="W966">
        <f>IFERROR(INDEX(PP_Grid[#Data],$DD966,21),0)</f>
        <v/>
      </c>
      <c r="X966">
        <f>IFERROR(INDEX(PP_Grid[#Data],$DD966,22),0)</f>
        <v/>
      </c>
      <c r="Y966">
        <f>IFERROR(INDEX(PP_Grid[#Data],$DD966,23),0)</f>
        <v/>
      </c>
      <c r="Z966">
        <f>IFERROR(INDEX(PP_Grid[#Data],$DD966,24),0)</f>
        <v/>
      </c>
      <c r="AA966">
        <f>IFERROR(INDEX(PP_Grid[#Data],$DD966,25),0)</f>
        <v/>
      </c>
      <c r="AB966">
        <f>IFERROR(INDEX(PP_Grid[#Data],$DD966,26),0)</f>
        <v/>
      </c>
      <c r="AC966">
        <f>IFERROR(INDEX(PP_Grid[#Data],$DD966,27),0)</f>
        <v/>
      </c>
      <c r="AD966">
        <f>IFERROR(INDEX(PP_Grid[#Data],$DD966,28),0)</f>
        <v/>
      </c>
      <c r="AE966">
        <f>IFERROR(INDEX(PP_Grid[#Data],$DD966,29),0)</f>
        <v/>
      </c>
      <c r="AF966">
        <f>IFERROR(INDEX(PP_Grid[#Data],$DD966,30),0)</f>
        <v/>
      </c>
      <c r="AG966">
        <f>IFERROR(INDEX(PP_Grid[#Data],$DD966,31),0)</f>
        <v/>
      </c>
      <c r="AH966">
        <f>IFERROR(INDEX(PP_Grid[#Data],$DD966,32),0)</f>
        <v/>
      </c>
      <c r="AI966">
        <f>IFERROR(INDEX(PP_Grid[#Data],$DD966,33),0)</f>
        <v/>
      </c>
      <c r="AJ966">
        <f>IFERROR(INDEX(PP_Grid[#Data],$DD966,34),0)</f>
        <v/>
      </c>
      <c r="AK966">
        <f>IFERROR(INDEX(PP_Grid[#Data],$DD966,35),0)</f>
        <v/>
      </c>
      <c r="AL966">
        <f>IFERROR(INDEX(PP_Grid[#Data],$DD966,36),0)</f>
        <v/>
      </c>
      <c r="AM966">
        <f>IFERROR(INDEX(PP_Grid[#Data],$DD966,37),0)</f>
        <v/>
      </c>
      <c r="AN966">
        <f>IFERROR(INDEX(PP_Grid[#Data],$DD966,38),0)</f>
        <v/>
      </c>
      <c r="AO966">
        <f>IFERROR(INDEX(PP_Grid[#Data],$DD966,39),0)</f>
        <v/>
      </c>
      <c r="AP966">
        <f>IFERROR(INDEX(PP_Grid[#Data],$DD966,40),0)</f>
        <v/>
      </c>
      <c r="AQ966">
        <f>IFERROR(INDEX(PP_Grid[#Data],$DD966,41),0)</f>
        <v/>
      </c>
      <c r="AR966">
        <f>IFERROR(INDEX(PP_Grid[#Data],$DD966,42),0)</f>
        <v/>
      </c>
      <c r="AS966">
        <f>IFERROR(INDEX(PP_Grid[#Data],$DD966,43),0)</f>
        <v/>
      </c>
      <c r="AT966">
        <f>IFERROR(INDEX(PP_Grid[#Data],$DD966,44),0)</f>
        <v/>
      </c>
      <c r="AU966">
        <f>IFERROR(INDEX(PP_Grid[#Data],$DD966,45),0)</f>
        <v/>
      </c>
      <c r="AV966">
        <f>IFERROR(INDEX(PP_Grid[#Data],$DD966,46),0)</f>
        <v/>
      </c>
      <c r="AW966">
        <f>IFERROR(INDEX(PP_Grid[#Data],$DD966,47),0)</f>
        <v/>
      </c>
      <c r="AX966">
        <f>IFERROR(INDEX(PP_Grid[#Data],$DD966,48),0)</f>
        <v/>
      </c>
      <c r="AY966">
        <f>IFERROR(INDEX(PP_Grid[#Data],$DD966,49),0)</f>
        <v/>
      </c>
      <c r="AZ966">
        <f>IFERROR(INDEX(PP_Grid[#Data],$DD966,50),0)</f>
        <v/>
      </c>
      <c r="BA966">
        <f>IFERROR(INDEX(PP_Grid[#Data],$DD966,51),0)</f>
        <v/>
      </c>
      <c r="BB966">
        <f>IFERROR(INDEX(PP_Grid[#Data],$DD966,52),0)</f>
        <v/>
      </c>
      <c r="BC966">
        <f>IFERROR(INDEX(PP_Grid[#Data],$DD966,53),0)</f>
        <v/>
      </c>
      <c r="BD966">
        <f>IFERROR(INDEX(PP_Grid[#Data],$DD966,54),0)</f>
        <v/>
      </c>
      <c r="BE966">
        <f>IFERROR(INDEX(PP_Grid[#Data],$DD966,55),0)</f>
        <v/>
      </c>
      <c r="BF966">
        <f>IFERROR(INDEX(PP_Grid[#Data],$DD966,56),0)</f>
        <v/>
      </c>
      <c r="BG966">
        <f>IFERROR(INDEX(PP_Grid[#Data],$DD966,57),0)</f>
        <v/>
      </c>
      <c r="BH966">
        <f>IFERROR(INDEX(PP_Grid[#Data],$DD966,58),0)</f>
        <v/>
      </c>
      <c r="BI966">
        <f>IFERROR(INDEX(PP_Grid[#Data],$DD966,59),0)</f>
        <v/>
      </c>
      <c r="BJ966">
        <f>IFERROR(INDEX(PP_Grid[#Data],$DD966,60),0)</f>
        <v/>
      </c>
      <c r="BK966">
        <f>IFERROR(INDEX(PP_Grid[#Data],$DD966,61),0)</f>
        <v/>
      </c>
      <c r="BL966">
        <f>IFERROR(INDEX(PP_Grid[#Data],$DD966,62),0)</f>
        <v/>
      </c>
      <c r="BM966">
        <f>IFERROR(INDEX(PP_Grid[#Data],$DD966,63),0)</f>
        <v/>
      </c>
      <c r="BN966">
        <f>IFERROR(INDEX(PP_Grid[#Data],$DD966,64),0)</f>
        <v/>
      </c>
      <c r="BO966">
        <f>IFERROR(INDEX(PP_Grid[#Data],$DD966,65),0)</f>
        <v/>
      </c>
      <c r="BP966">
        <f>IFERROR(INDEX(PP_Grid[#Data],$DD966,66),0)</f>
        <v/>
      </c>
      <c r="BQ966">
        <f>IFERROR(INDEX(PP_Grid[#Data],$DD966,67),0)</f>
        <v/>
      </c>
      <c r="BR966">
        <f>IFERROR(INDEX(PP_Grid[#Data],$DD966,68),0)</f>
        <v/>
      </c>
      <c r="BS966">
        <f>IFERROR(INDEX(PP_Grid[#Data],$DD966,69),0)</f>
        <v/>
      </c>
      <c r="BT966">
        <f>IFERROR(INDEX(PP_Grid[#Data],$DD966,70),0)</f>
        <v/>
      </c>
      <c r="BU966">
        <f>IFERROR(INDEX(PP_Grid[#Data],$DD966,71),0)</f>
        <v/>
      </c>
      <c r="BV966">
        <f>IFERROR(INDEX(PP_Grid[#Data],$DD966,72),0)</f>
        <v/>
      </c>
      <c r="BW966">
        <f>IFERROR(INDEX(PP_Grid[#Data],$DD966,73),0)</f>
        <v/>
      </c>
      <c r="BX966">
        <f>IFERROR(INDEX(PP_Grid[#Data],$DD966,74),0)</f>
        <v/>
      </c>
      <c r="BY966">
        <f>IFERROR(INDEX(PP_Grid[#Data],$DD966,75),0)</f>
        <v/>
      </c>
      <c r="BZ966">
        <f>IFERROR(INDEX(PP_Grid[#Data],$DD966,76),0)</f>
        <v/>
      </c>
      <c r="CA966">
        <f>IFERROR(INDEX(PP_Grid[#Data],$DD966,77),0)</f>
        <v/>
      </c>
      <c r="CB966">
        <f>IFERROR(INDEX(PP_Grid[#Data],$DD966,78),0)</f>
        <v/>
      </c>
      <c r="CC966">
        <f>IFERROR(INDEX(PP_Grid[#Data],$DD966,79),0)</f>
        <v/>
      </c>
      <c r="CD966">
        <f>IFERROR(INDEX(PP_Grid[#Data],$DD966,80),0)</f>
        <v/>
      </c>
      <c r="CE966">
        <f>IFERROR(INDEX(PP_Grid[#Data],$DD966,81),0)</f>
        <v/>
      </c>
      <c r="CF966">
        <f>IFERROR(INDEX(PP_Grid[#Data],$DD966,82),0)</f>
        <v/>
      </c>
      <c r="CG966">
        <f>IFERROR(INDEX(PP_Grid[#Data],$DD966,83),0)</f>
        <v/>
      </c>
      <c r="CH966">
        <f>IFERROR(INDEX(PP_Grid[#Data],$DD966,84),0)</f>
        <v/>
      </c>
      <c r="CI966">
        <f>IFERROR(INDEX(PP_Grid[#Data],$DD966,85),0)</f>
        <v/>
      </c>
      <c r="CJ966">
        <f>IFERROR(INDEX(PP_Grid[#Data],$DD966,86),0)</f>
        <v/>
      </c>
      <c r="CK966">
        <f>IFERROR(INDEX(PP_Grid[#Data],$DD966,87),0)</f>
        <v/>
      </c>
      <c r="CL966">
        <f>IFERROR(INDEX(PP_Grid[#Data],$DD966,88),0)</f>
        <v/>
      </c>
      <c r="CM966">
        <f>IFERROR(INDEX(PP_Grid[#Data],$DD966,89),0)</f>
        <v/>
      </c>
      <c r="CN966">
        <f>IFERROR(INDEX(PP_Grid[#Data],$DD966,90),0)</f>
        <v/>
      </c>
      <c r="CO966">
        <f>IFERROR(INDEX(PP_Grid[#Data],$DD966,91),0)</f>
        <v/>
      </c>
      <c r="CP966">
        <f>IFERROR(INDEX(PP_Grid[#Data],$DD966,92),0)</f>
        <v/>
      </c>
      <c r="CQ966">
        <f>IFERROR(INDEX(PP_Grid[#Data],$DD966,93),0)</f>
        <v/>
      </c>
      <c r="CR966">
        <f>IFERROR(INDEX(PP_Grid[#Data],$DD966,94),0)</f>
        <v/>
      </c>
      <c r="CS966">
        <f>IFERROR(INDEX(PP_Grid[#Data],$DD966,95),0)</f>
        <v/>
      </c>
      <c r="CT966">
        <f>IFERROR(INDEX(PP_Grid[#Data],$DD966,96),0)</f>
        <v/>
      </c>
      <c r="CU966">
        <f>IFERROR(INDEX(PP_Grid[#Data],$DD966,97),0)</f>
        <v/>
      </c>
      <c r="CV966">
        <f>IFERROR(INDEX(PP_Grid[#Data],$DD966,98),0)</f>
        <v/>
      </c>
      <c r="CW966">
        <f>IFERROR(INDEX(PP_Grid[#Data],$DD966,99),0)</f>
        <v/>
      </c>
      <c r="CX966">
        <f>IFERROR(INDEX(PP_Grid[#Data],$DD966,100),0)</f>
        <v/>
      </c>
      <c r="CY966">
        <f>IFERROR(INDEX(PP_Grid[#Data],$DD966,101),0)</f>
        <v/>
      </c>
      <c r="CZ966">
        <f>IFERROR(INDEX(PP_Grid[#Data],$DD966,102),0)</f>
        <v/>
      </c>
      <c r="DA966">
        <f>IFERROR(INDEX(PP_Grid[#Data],$DD966,103),0)</f>
        <v/>
      </c>
      <c r="DB966">
        <f>IFERROR(INDEX(PP_Grid[#Data],$DD966,104),0)</f>
        <v/>
      </c>
      <c r="DC966">
        <f>IFERROR(INDEX(PP_Grid[#Data],$DD966,105),0)</f>
        <v/>
      </c>
      <c r="DD966" s="12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SUMIFS(M_BOM[RM_Qty_Per_Batch],M_BOM[Intermediate],$B966,M_BOM[Part Name],$A947)</f>
        <v/>
      </c>
      <c r="D967">
        <f>$C967*D966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</row>
    <row r="968">
      <c r="B968" t="inlineStr">
        <is>
          <t>TSP-937</t>
        </is>
      </c>
      <c r="C968" t="inlineStr">
        <is>
          <t>No. of batches</t>
        </is>
      </c>
      <c r="D968">
        <f>IFERROR(INDEX(PP_Grid[#Data],$DD968,2),0)</f>
        <v/>
      </c>
      <c r="E968">
        <f>IFERROR(INDEX(PP_Grid[#Data],$DD968,3),0)</f>
        <v/>
      </c>
      <c r="F968">
        <f>IFERROR(INDEX(PP_Grid[#Data],$DD968,4),0)</f>
        <v/>
      </c>
      <c r="G968">
        <f>IFERROR(INDEX(PP_Grid[#Data],$DD968,5),0)</f>
        <v/>
      </c>
      <c r="H968">
        <f>IFERROR(INDEX(PP_Grid[#Data],$DD968,6),0)</f>
        <v/>
      </c>
      <c r="I968">
        <f>IFERROR(INDEX(PP_Grid[#Data],$DD968,7),0)</f>
        <v/>
      </c>
      <c r="J968">
        <f>IFERROR(INDEX(PP_Grid[#Data],$DD968,8),0)</f>
        <v/>
      </c>
      <c r="K968">
        <f>IFERROR(INDEX(PP_Grid[#Data],$DD968,9),0)</f>
        <v/>
      </c>
      <c r="L968">
        <f>IFERROR(INDEX(PP_Grid[#Data],$DD968,10),0)</f>
        <v/>
      </c>
      <c r="M968">
        <f>IFERROR(INDEX(PP_Grid[#Data],$DD968,11),0)</f>
        <v/>
      </c>
      <c r="N968">
        <f>IFERROR(INDEX(PP_Grid[#Data],$DD968,12),0)</f>
        <v/>
      </c>
      <c r="O968">
        <f>IFERROR(INDEX(PP_Grid[#Data],$DD968,13),0)</f>
        <v/>
      </c>
      <c r="P968">
        <f>IFERROR(INDEX(PP_Grid[#Data],$DD968,14),0)</f>
        <v/>
      </c>
      <c r="Q968">
        <f>IFERROR(INDEX(PP_Grid[#Data],$DD968,15),0)</f>
        <v/>
      </c>
      <c r="R968">
        <f>IFERROR(INDEX(PP_Grid[#Data],$DD968,16),0)</f>
        <v/>
      </c>
      <c r="S968">
        <f>IFERROR(INDEX(PP_Grid[#Data],$DD968,17),0)</f>
        <v/>
      </c>
      <c r="T968">
        <f>IFERROR(INDEX(PP_Grid[#Data],$DD968,18),0)</f>
        <v/>
      </c>
      <c r="U968">
        <f>IFERROR(INDEX(PP_Grid[#Data],$DD968,19),0)</f>
        <v/>
      </c>
      <c r="V968">
        <f>IFERROR(INDEX(PP_Grid[#Data],$DD968,20),0)</f>
        <v/>
      </c>
      <c r="W968">
        <f>IFERROR(INDEX(PP_Grid[#Data],$DD968,21),0)</f>
        <v/>
      </c>
      <c r="X968">
        <f>IFERROR(INDEX(PP_Grid[#Data],$DD968,22),0)</f>
        <v/>
      </c>
      <c r="Y968">
        <f>IFERROR(INDEX(PP_Grid[#Data],$DD968,23),0)</f>
        <v/>
      </c>
      <c r="Z968">
        <f>IFERROR(INDEX(PP_Grid[#Data],$DD968,24),0)</f>
        <v/>
      </c>
      <c r="AA968">
        <f>IFERROR(INDEX(PP_Grid[#Data],$DD968,25),0)</f>
        <v/>
      </c>
      <c r="AB968">
        <f>IFERROR(INDEX(PP_Grid[#Data],$DD968,26),0)</f>
        <v/>
      </c>
      <c r="AC968">
        <f>IFERROR(INDEX(PP_Grid[#Data],$DD968,27),0)</f>
        <v/>
      </c>
      <c r="AD968">
        <f>IFERROR(INDEX(PP_Grid[#Data],$DD968,28),0)</f>
        <v/>
      </c>
      <c r="AE968">
        <f>IFERROR(INDEX(PP_Grid[#Data],$DD968,29),0)</f>
        <v/>
      </c>
      <c r="AF968">
        <f>IFERROR(INDEX(PP_Grid[#Data],$DD968,30),0)</f>
        <v/>
      </c>
      <c r="AG968">
        <f>IFERROR(INDEX(PP_Grid[#Data],$DD968,31),0)</f>
        <v/>
      </c>
      <c r="AH968">
        <f>IFERROR(INDEX(PP_Grid[#Data],$DD968,32),0)</f>
        <v/>
      </c>
      <c r="AI968">
        <f>IFERROR(INDEX(PP_Grid[#Data],$DD968,33),0)</f>
        <v/>
      </c>
      <c r="AJ968">
        <f>IFERROR(INDEX(PP_Grid[#Data],$DD968,34),0)</f>
        <v/>
      </c>
      <c r="AK968">
        <f>IFERROR(INDEX(PP_Grid[#Data],$DD968,35),0)</f>
        <v/>
      </c>
      <c r="AL968">
        <f>IFERROR(INDEX(PP_Grid[#Data],$DD968,36),0)</f>
        <v/>
      </c>
      <c r="AM968">
        <f>IFERROR(INDEX(PP_Grid[#Data],$DD968,37),0)</f>
        <v/>
      </c>
      <c r="AN968">
        <f>IFERROR(INDEX(PP_Grid[#Data],$DD968,38),0)</f>
        <v/>
      </c>
      <c r="AO968">
        <f>IFERROR(INDEX(PP_Grid[#Data],$DD968,39),0)</f>
        <v/>
      </c>
      <c r="AP968">
        <f>IFERROR(INDEX(PP_Grid[#Data],$DD968,40),0)</f>
        <v/>
      </c>
      <c r="AQ968">
        <f>IFERROR(INDEX(PP_Grid[#Data],$DD968,41),0)</f>
        <v/>
      </c>
      <c r="AR968">
        <f>IFERROR(INDEX(PP_Grid[#Data],$DD968,42),0)</f>
        <v/>
      </c>
      <c r="AS968">
        <f>IFERROR(INDEX(PP_Grid[#Data],$DD968,43),0)</f>
        <v/>
      </c>
      <c r="AT968">
        <f>IFERROR(INDEX(PP_Grid[#Data],$DD968,44),0)</f>
        <v/>
      </c>
      <c r="AU968">
        <f>IFERROR(INDEX(PP_Grid[#Data],$DD968,45),0)</f>
        <v/>
      </c>
      <c r="AV968">
        <f>IFERROR(INDEX(PP_Grid[#Data],$DD968,46),0)</f>
        <v/>
      </c>
      <c r="AW968">
        <f>IFERROR(INDEX(PP_Grid[#Data],$DD968,47),0)</f>
        <v/>
      </c>
      <c r="AX968">
        <f>IFERROR(INDEX(PP_Grid[#Data],$DD968,48),0)</f>
        <v/>
      </c>
      <c r="AY968">
        <f>IFERROR(INDEX(PP_Grid[#Data],$DD968,49),0)</f>
        <v/>
      </c>
      <c r="AZ968">
        <f>IFERROR(INDEX(PP_Grid[#Data],$DD968,50),0)</f>
        <v/>
      </c>
      <c r="BA968">
        <f>IFERROR(INDEX(PP_Grid[#Data],$DD968,51),0)</f>
        <v/>
      </c>
      <c r="BB968">
        <f>IFERROR(INDEX(PP_Grid[#Data],$DD968,52),0)</f>
        <v/>
      </c>
      <c r="BC968">
        <f>IFERROR(INDEX(PP_Grid[#Data],$DD968,53),0)</f>
        <v/>
      </c>
      <c r="BD968">
        <f>IFERROR(INDEX(PP_Grid[#Data],$DD968,54),0)</f>
        <v/>
      </c>
      <c r="BE968">
        <f>IFERROR(INDEX(PP_Grid[#Data],$DD968,55),0)</f>
        <v/>
      </c>
      <c r="BF968">
        <f>IFERROR(INDEX(PP_Grid[#Data],$DD968,56),0)</f>
        <v/>
      </c>
      <c r="BG968">
        <f>IFERROR(INDEX(PP_Grid[#Data],$DD968,57),0)</f>
        <v/>
      </c>
      <c r="BH968">
        <f>IFERROR(INDEX(PP_Grid[#Data],$DD968,58),0)</f>
        <v/>
      </c>
      <c r="BI968">
        <f>IFERROR(INDEX(PP_Grid[#Data],$DD968,59),0)</f>
        <v/>
      </c>
      <c r="BJ968">
        <f>IFERROR(INDEX(PP_Grid[#Data],$DD968,60),0)</f>
        <v/>
      </c>
      <c r="BK968">
        <f>IFERROR(INDEX(PP_Grid[#Data],$DD968,61),0)</f>
        <v/>
      </c>
      <c r="BL968">
        <f>IFERROR(INDEX(PP_Grid[#Data],$DD968,62),0)</f>
        <v/>
      </c>
      <c r="BM968">
        <f>IFERROR(INDEX(PP_Grid[#Data],$DD968,63),0)</f>
        <v/>
      </c>
      <c r="BN968">
        <f>IFERROR(INDEX(PP_Grid[#Data],$DD968,64),0)</f>
        <v/>
      </c>
      <c r="BO968">
        <f>IFERROR(INDEX(PP_Grid[#Data],$DD968,65),0)</f>
        <v/>
      </c>
      <c r="BP968">
        <f>IFERROR(INDEX(PP_Grid[#Data],$DD968,66),0)</f>
        <v/>
      </c>
      <c r="BQ968">
        <f>IFERROR(INDEX(PP_Grid[#Data],$DD968,67),0)</f>
        <v/>
      </c>
      <c r="BR968">
        <f>IFERROR(INDEX(PP_Grid[#Data],$DD968,68),0)</f>
        <v/>
      </c>
      <c r="BS968">
        <f>IFERROR(INDEX(PP_Grid[#Data],$DD968,69),0)</f>
        <v/>
      </c>
      <c r="BT968">
        <f>IFERROR(INDEX(PP_Grid[#Data],$DD968,70),0)</f>
        <v/>
      </c>
      <c r="BU968">
        <f>IFERROR(INDEX(PP_Grid[#Data],$DD968,71),0)</f>
        <v/>
      </c>
      <c r="BV968">
        <f>IFERROR(INDEX(PP_Grid[#Data],$DD968,72),0)</f>
        <v/>
      </c>
      <c r="BW968">
        <f>IFERROR(INDEX(PP_Grid[#Data],$DD968,73),0)</f>
        <v/>
      </c>
      <c r="BX968">
        <f>IFERROR(INDEX(PP_Grid[#Data],$DD968,74),0)</f>
        <v/>
      </c>
      <c r="BY968">
        <f>IFERROR(INDEX(PP_Grid[#Data],$DD968,75),0)</f>
        <v/>
      </c>
      <c r="BZ968">
        <f>IFERROR(INDEX(PP_Grid[#Data],$DD968,76),0)</f>
        <v/>
      </c>
      <c r="CA968">
        <f>IFERROR(INDEX(PP_Grid[#Data],$DD968,77),0)</f>
        <v/>
      </c>
      <c r="CB968">
        <f>IFERROR(INDEX(PP_Grid[#Data],$DD968,78),0)</f>
        <v/>
      </c>
      <c r="CC968">
        <f>IFERROR(INDEX(PP_Grid[#Data],$DD968,79),0)</f>
        <v/>
      </c>
      <c r="CD968">
        <f>IFERROR(INDEX(PP_Grid[#Data],$DD968,80),0)</f>
        <v/>
      </c>
      <c r="CE968">
        <f>IFERROR(INDEX(PP_Grid[#Data],$DD968,81),0)</f>
        <v/>
      </c>
      <c r="CF968">
        <f>IFERROR(INDEX(PP_Grid[#Data],$DD968,82),0)</f>
        <v/>
      </c>
      <c r="CG968">
        <f>IFERROR(INDEX(PP_Grid[#Data],$DD968,83),0)</f>
        <v/>
      </c>
      <c r="CH968">
        <f>IFERROR(INDEX(PP_Grid[#Data],$DD968,84),0)</f>
        <v/>
      </c>
      <c r="CI968">
        <f>IFERROR(INDEX(PP_Grid[#Data],$DD968,85),0)</f>
        <v/>
      </c>
      <c r="CJ968">
        <f>IFERROR(INDEX(PP_Grid[#Data],$DD968,86),0)</f>
        <v/>
      </c>
      <c r="CK968">
        <f>IFERROR(INDEX(PP_Grid[#Data],$DD968,87),0)</f>
        <v/>
      </c>
      <c r="CL968">
        <f>IFERROR(INDEX(PP_Grid[#Data],$DD968,88),0)</f>
        <v/>
      </c>
      <c r="CM968">
        <f>IFERROR(INDEX(PP_Grid[#Data],$DD968,89),0)</f>
        <v/>
      </c>
      <c r="CN968">
        <f>IFERROR(INDEX(PP_Grid[#Data],$DD968,90),0)</f>
        <v/>
      </c>
      <c r="CO968">
        <f>IFERROR(INDEX(PP_Grid[#Data],$DD968,91),0)</f>
        <v/>
      </c>
      <c r="CP968">
        <f>IFERROR(INDEX(PP_Grid[#Data],$DD968,92),0)</f>
        <v/>
      </c>
      <c r="CQ968">
        <f>IFERROR(INDEX(PP_Grid[#Data],$DD968,93),0)</f>
        <v/>
      </c>
      <c r="CR968">
        <f>IFERROR(INDEX(PP_Grid[#Data],$DD968,94),0)</f>
        <v/>
      </c>
      <c r="CS968">
        <f>IFERROR(INDEX(PP_Grid[#Data],$DD968,95),0)</f>
        <v/>
      </c>
      <c r="CT968">
        <f>IFERROR(INDEX(PP_Grid[#Data],$DD968,96),0)</f>
        <v/>
      </c>
      <c r="CU968">
        <f>IFERROR(INDEX(PP_Grid[#Data],$DD968,97),0)</f>
        <v/>
      </c>
      <c r="CV968">
        <f>IFERROR(INDEX(PP_Grid[#Data],$DD968,98),0)</f>
        <v/>
      </c>
      <c r="CW968">
        <f>IFERROR(INDEX(PP_Grid[#Data],$DD968,99),0)</f>
        <v/>
      </c>
      <c r="CX968">
        <f>IFERROR(INDEX(PP_Grid[#Data],$DD968,100),0)</f>
        <v/>
      </c>
      <c r="CY968">
        <f>IFERROR(INDEX(PP_Grid[#Data],$DD968,101),0)</f>
        <v/>
      </c>
      <c r="CZ968">
        <f>IFERROR(INDEX(PP_Grid[#Data],$DD968,102),0)</f>
        <v/>
      </c>
      <c r="DA968">
        <f>IFERROR(INDEX(PP_Grid[#Data],$DD968,103),0)</f>
        <v/>
      </c>
      <c r="DB968">
        <f>IFERROR(INDEX(PP_Grid[#Data],$DD968,104),0)</f>
        <v/>
      </c>
      <c r="DC968">
        <f>IFERROR(INDEX(PP_Grid[#Data],$DD968,105),0)</f>
        <v/>
      </c>
      <c r="DD968" s="12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SUMIFS(M_BOM[RM_Qty_Per_Batch],M_BOM[Intermediate],$B968,M_BOM[Part Name],$A947)</f>
        <v/>
      </c>
      <c r="D969">
        <f>$C969*D968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</row>
    <row r="970">
      <c r="B970" s="5" t="inlineStr">
        <is>
          <t>合計使用量(kg)/週</t>
        </is>
      </c>
      <c r="D970">
        <f>'Grid_Requirement'!B50</f>
        <v/>
      </c>
      <c r="E970">
        <f>'Grid_Requirement'!C50</f>
        <v/>
      </c>
      <c r="F970">
        <f>'Grid_Requirement'!D50</f>
        <v/>
      </c>
      <c r="G970">
        <f>'Grid_Requirement'!E50</f>
        <v/>
      </c>
      <c r="H970">
        <f>'Grid_Requirement'!F50</f>
        <v/>
      </c>
      <c r="I970">
        <f>'Grid_Requirement'!G50</f>
        <v/>
      </c>
      <c r="J970">
        <f>'Grid_Requirement'!H50</f>
        <v/>
      </c>
      <c r="K970">
        <f>'Grid_Requirement'!I50</f>
        <v/>
      </c>
      <c r="L970">
        <f>'Grid_Requirement'!J50</f>
        <v/>
      </c>
      <c r="M970">
        <f>'Grid_Requirement'!K50</f>
        <v/>
      </c>
      <c r="N970">
        <f>'Grid_Requirement'!L50</f>
        <v/>
      </c>
      <c r="O970">
        <f>'Grid_Requirement'!M50</f>
        <v/>
      </c>
      <c r="P970">
        <f>'Grid_Requirement'!N50</f>
        <v/>
      </c>
      <c r="Q970">
        <f>'Grid_Requirement'!O50</f>
        <v/>
      </c>
      <c r="R970">
        <f>'Grid_Requirement'!P50</f>
        <v/>
      </c>
      <c r="S970">
        <f>'Grid_Requirement'!Q50</f>
        <v/>
      </c>
      <c r="T970">
        <f>'Grid_Requirement'!R50</f>
        <v/>
      </c>
      <c r="U970">
        <f>'Grid_Requirement'!S50</f>
        <v/>
      </c>
      <c r="V970">
        <f>'Grid_Requirement'!T50</f>
        <v/>
      </c>
      <c r="W970">
        <f>'Grid_Requirement'!U50</f>
        <v/>
      </c>
      <c r="X970">
        <f>'Grid_Requirement'!V50</f>
        <v/>
      </c>
      <c r="Y970">
        <f>'Grid_Requirement'!W50</f>
        <v/>
      </c>
      <c r="Z970">
        <f>'Grid_Requirement'!X50</f>
        <v/>
      </c>
      <c r="AA970">
        <f>'Grid_Requirement'!Y50</f>
        <v/>
      </c>
      <c r="AB970">
        <f>'Grid_Requirement'!Z50</f>
        <v/>
      </c>
      <c r="AC970">
        <f>'Grid_Requirement'!AA50</f>
        <v/>
      </c>
      <c r="AD970">
        <f>'Grid_Requirement'!AB50</f>
        <v/>
      </c>
      <c r="AE970">
        <f>'Grid_Requirement'!AC50</f>
        <v/>
      </c>
      <c r="AF970">
        <f>'Grid_Requirement'!AD50</f>
        <v/>
      </c>
      <c r="AG970">
        <f>'Grid_Requirement'!AE50</f>
        <v/>
      </c>
      <c r="AH970">
        <f>'Grid_Requirement'!AF50</f>
        <v/>
      </c>
      <c r="AI970">
        <f>'Grid_Requirement'!AG50</f>
        <v/>
      </c>
      <c r="AJ970">
        <f>'Grid_Requirement'!AH50</f>
        <v/>
      </c>
      <c r="AK970">
        <f>'Grid_Requirement'!AI50</f>
        <v/>
      </c>
      <c r="AL970">
        <f>'Grid_Requirement'!AJ50</f>
        <v/>
      </c>
      <c r="AM970">
        <f>'Grid_Requirement'!AK50</f>
        <v/>
      </c>
      <c r="AN970">
        <f>'Grid_Requirement'!AL50</f>
        <v/>
      </c>
      <c r="AO970">
        <f>'Grid_Requirement'!AM50</f>
        <v/>
      </c>
      <c r="AP970">
        <f>'Grid_Requirement'!AN50</f>
        <v/>
      </c>
      <c r="AQ970">
        <f>'Grid_Requirement'!AO50</f>
        <v/>
      </c>
      <c r="AR970">
        <f>'Grid_Requirement'!AP50</f>
        <v/>
      </c>
      <c r="AS970">
        <f>'Grid_Requirement'!AQ50</f>
        <v/>
      </c>
      <c r="AT970">
        <f>'Grid_Requirement'!AR50</f>
        <v/>
      </c>
      <c r="AU970">
        <f>'Grid_Requirement'!AS50</f>
        <v/>
      </c>
      <c r="AV970">
        <f>'Grid_Requirement'!AT50</f>
        <v/>
      </c>
      <c r="AW970">
        <f>'Grid_Requirement'!AU50</f>
        <v/>
      </c>
      <c r="AX970">
        <f>'Grid_Requirement'!AV50</f>
        <v/>
      </c>
      <c r="AY970">
        <f>'Grid_Requirement'!AW50</f>
        <v/>
      </c>
      <c r="AZ970">
        <f>'Grid_Requirement'!AX50</f>
        <v/>
      </c>
      <c r="BA970">
        <f>'Grid_Requirement'!AY50</f>
        <v/>
      </c>
      <c r="BB970">
        <f>'Grid_Requirement'!AZ50</f>
        <v/>
      </c>
      <c r="BC970">
        <f>'Grid_Requirement'!BA50</f>
        <v/>
      </c>
      <c r="BD970">
        <f>'Grid_Requirement'!BB50</f>
        <v/>
      </c>
      <c r="BE970">
        <f>'Grid_Requirement'!BC50</f>
        <v/>
      </c>
      <c r="BF970">
        <f>'Grid_Requirement'!BD50</f>
        <v/>
      </c>
      <c r="BG970">
        <f>'Grid_Requirement'!BE50</f>
        <v/>
      </c>
      <c r="BH970">
        <f>'Grid_Requirement'!BF50</f>
        <v/>
      </c>
      <c r="BI970">
        <f>'Grid_Requirement'!BG50</f>
        <v/>
      </c>
      <c r="BJ970">
        <f>'Grid_Requirement'!BH50</f>
        <v/>
      </c>
      <c r="BK970">
        <f>'Grid_Requirement'!BI50</f>
        <v/>
      </c>
      <c r="BL970">
        <f>'Grid_Requirement'!BJ50</f>
        <v/>
      </c>
      <c r="BM970">
        <f>'Grid_Requirement'!BK50</f>
        <v/>
      </c>
      <c r="BN970">
        <f>'Grid_Requirement'!BL50</f>
        <v/>
      </c>
      <c r="BO970">
        <f>'Grid_Requirement'!BM50</f>
        <v/>
      </c>
      <c r="BP970">
        <f>'Grid_Requirement'!BN50</f>
        <v/>
      </c>
      <c r="BQ970">
        <f>'Grid_Requirement'!BO50</f>
        <v/>
      </c>
      <c r="BR970">
        <f>'Grid_Requirement'!BP50</f>
        <v/>
      </c>
      <c r="BS970">
        <f>'Grid_Requirement'!BQ50</f>
        <v/>
      </c>
      <c r="BT970">
        <f>'Grid_Requirement'!BR50</f>
        <v/>
      </c>
      <c r="BU970">
        <f>'Grid_Requirement'!BS50</f>
        <v/>
      </c>
      <c r="BV970">
        <f>'Grid_Requirement'!BT50</f>
        <v/>
      </c>
      <c r="BW970">
        <f>'Grid_Requirement'!BU50</f>
        <v/>
      </c>
      <c r="BX970">
        <f>'Grid_Requirement'!BV50</f>
        <v/>
      </c>
      <c r="BY970">
        <f>'Grid_Requirement'!BW50</f>
        <v/>
      </c>
      <c r="BZ970">
        <f>'Grid_Requirement'!BX50</f>
        <v/>
      </c>
      <c r="CA970">
        <f>'Grid_Requirement'!BY50</f>
        <v/>
      </c>
      <c r="CB970">
        <f>'Grid_Requirement'!BZ50</f>
        <v/>
      </c>
      <c r="CC970">
        <f>'Grid_Requirement'!CA50</f>
        <v/>
      </c>
      <c r="CD970">
        <f>'Grid_Requirement'!CB50</f>
        <v/>
      </c>
      <c r="CE970">
        <f>'Grid_Requirement'!CC50</f>
        <v/>
      </c>
      <c r="CF970">
        <f>'Grid_Requirement'!CD50</f>
        <v/>
      </c>
      <c r="CG970">
        <f>'Grid_Requirement'!CE50</f>
        <v/>
      </c>
      <c r="CH970">
        <f>'Grid_Requirement'!CF50</f>
        <v/>
      </c>
      <c r="CI970">
        <f>'Grid_Requirement'!CG50</f>
        <v/>
      </c>
      <c r="CJ970">
        <f>'Grid_Requirement'!CH50</f>
        <v/>
      </c>
      <c r="CK970">
        <f>'Grid_Requirement'!CI50</f>
        <v/>
      </c>
      <c r="CL970">
        <f>'Grid_Requirement'!CJ50</f>
        <v/>
      </c>
      <c r="CM970">
        <f>'Grid_Requirement'!CK50</f>
        <v/>
      </c>
      <c r="CN970">
        <f>'Grid_Requirement'!CL50</f>
        <v/>
      </c>
      <c r="CO970">
        <f>'Grid_Requirement'!CM50</f>
        <v/>
      </c>
      <c r="CP970">
        <f>'Grid_Requirement'!CN50</f>
        <v/>
      </c>
      <c r="CQ970">
        <f>'Grid_Requirement'!CO50</f>
        <v/>
      </c>
      <c r="CR970">
        <f>'Grid_Requirement'!CP50</f>
        <v/>
      </c>
      <c r="CS970">
        <f>'Grid_Requirement'!CQ50</f>
        <v/>
      </c>
      <c r="CT970">
        <f>'Grid_Requirement'!CR50</f>
        <v/>
      </c>
      <c r="CU970">
        <f>'Grid_Requirement'!CS50</f>
        <v/>
      </c>
      <c r="CV970">
        <f>'Grid_Requirement'!CT50</f>
        <v/>
      </c>
      <c r="CW970">
        <f>'Grid_Requirement'!CU50</f>
        <v/>
      </c>
      <c r="CX970">
        <f>'Grid_Requirement'!CV50</f>
        <v/>
      </c>
      <c r="CY970">
        <f>'Grid_Requirement'!CW50</f>
        <v/>
      </c>
      <c r="CZ970">
        <f>'Grid_Requirement'!CX50</f>
        <v/>
      </c>
      <c r="DA970">
        <f>'Grid_Requirement'!CY50</f>
        <v/>
      </c>
      <c r="DB970">
        <f>'Grid_Requirement'!CZ50</f>
        <v/>
      </c>
      <c r="DC970">
        <f>'Grid_Requirement'!DA50</f>
        <v/>
      </c>
    </row>
    <row r="971">
      <c r="B971" t="inlineStr">
        <is>
          <t>TTAF在庫(実績,kg)</t>
        </is>
      </c>
      <c r="D971">
        <f>'T_TTAFStock'!B54</f>
        <v/>
      </c>
      <c r="E971">
        <f>'T_TTAFStock'!C54</f>
        <v/>
      </c>
      <c r="F971">
        <f>'T_TTAFStock'!D54</f>
        <v/>
      </c>
      <c r="G971">
        <f>'T_TTAFStock'!E54</f>
        <v/>
      </c>
      <c r="H971">
        <f>'T_TTAFStock'!F54</f>
        <v/>
      </c>
      <c r="I971">
        <f>'T_TTAFStock'!G54</f>
        <v/>
      </c>
      <c r="J971">
        <f>'T_TTAFStock'!H54</f>
        <v/>
      </c>
      <c r="K971">
        <f>'T_TTAFStock'!I54</f>
        <v/>
      </c>
      <c r="L971">
        <f>'T_TTAFStock'!J54</f>
        <v/>
      </c>
      <c r="M971">
        <f>'T_TTAFStock'!K54</f>
        <v/>
      </c>
      <c r="N971">
        <f>'T_TTAFStock'!L54</f>
        <v/>
      </c>
      <c r="O971">
        <f>'T_TTAFStock'!M54</f>
        <v/>
      </c>
      <c r="P971">
        <f>'T_TTAFStock'!N54</f>
        <v/>
      </c>
      <c r="Q971">
        <f>'T_TTAFStock'!O54</f>
        <v/>
      </c>
      <c r="R971">
        <f>'T_TTAFStock'!P54</f>
        <v/>
      </c>
      <c r="S971">
        <f>'T_TTAFStock'!Q54</f>
        <v/>
      </c>
      <c r="T971">
        <f>'T_TTAFStock'!R54</f>
        <v/>
      </c>
      <c r="U971">
        <f>'T_TTAFStock'!S54</f>
        <v/>
      </c>
      <c r="V971">
        <f>'T_TTAFStock'!T54</f>
        <v/>
      </c>
      <c r="W971">
        <f>'T_TTAFStock'!U54</f>
        <v/>
      </c>
      <c r="X971">
        <f>'T_TTAFStock'!V54</f>
        <v/>
      </c>
      <c r="Y971">
        <f>'T_TTAFStock'!W54</f>
        <v/>
      </c>
      <c r="Z971">
        <f>'T_TTAFStock'!X54</f>
        <v/>
      </c>
      <c r="AA971">
        <f>'T_TTAFStock'!Y54</f>
        <v/>
      </c>
      <c r="AB971">
        <f>'T_TTAFStock'!Z54</f>
        <v/>
      </c>
      <c r="AC971">
        <f>'T_TTAFStock'!AA54</f>
        <v/>
      </c>
      <c r="AD971">
        <f>'T_TTAFStock'!AB54</f>
        <v/>
      </c>
      <c r="AE971">
        <f>'T_TTAFStock'!AC54</f>
        <v/>
      </c>
      <c r="AF971">
        <f>'T_TTAFStock'!AD54</f>
        <v/>
      </c>
      <c r="AG971">
        <f>'T_TTAFStock'!AE54</f>
        <v/>
      </c>
      <c r="AH971">
        <f>'T_TTAFStock'!AF54</f>
        <v/>
      </c>
      <c r="AI971">
        <f>'T_TTAFStock'!AG54</f>
        <v/>
      </c>
      <c r="AJ971">
        <f>'T_TTAFStock'!AH54</f>
        <v/>
      </c>
      <c r="AK971">
        <f>'T_TTAFStock'!AI54</f>
        <v/>
      </c>
      <c r="AL971">
        <f>'T_TTAFStock'!AJ54</f>
        <v/>
      </c>
      <c r="AM971">
        <f>'T_TTAFStock'!AK54</f>
        <v/>
      </c>
      <c r="AN971">
        <f>'T_TTAFStock'!AL54</f>
        <v/>
      </c>
      <c r="AO971">
        <f>'T_TTAFStock'!AM54</f>
        <v/>
      </c>
      <c r="AP971">
        <f>'T_TTAFStock'!AN54</f>
        <v/>
      </c>
      <c r="AQ971">
        <f>'T_TTAFStock'!AO54</f>
        <v/>
      </c>
      <c r="AR971">
        <f>'T_TTAFStock'!AP54</f>
        <v/>
      </c>
      <c r="AS971">
        <f>'T_TTAFStock'!AQ54</f>
        <v/>
      </c>
      <c r="AT971">
        <f>'T_TTAFStock'!AR54</f>
        <v/>
      </c>
      <c r="AU971">
        <f>'T_TTAFStock'!AS54</f>
        <v/>
      </c>
      <c r="AV971">
        <f>'T_TTAFStock'!AT54</f>
        <v/>
      </c>
      <c r="AW971">
        <f>'T_TTAFStock'!AU54</f>
        <v/>
      </c>
      <c r="AX971">
        <f>'T_TTAFStock'!AV54</f>
        <v/>
      </c>
      <c r="AY971">
        <f>'T_TTAFStock'!AW54</f>
        <v/>
      </c>
      <c r="AZ971">
        <f>'T_TTAFStock'!AX54</f>
        <v/>
      </c>
      <c r="BA971">
        <f>'T_TTAFStock'!AY54</f>
        <v/>
      </c>
      <c r="BB971">
        <f>'T_TTAFStock'!AZ54</f>
        <v/>
      </c>
      <c r="BC971">
        <f>'T_TTAFStock'!BA54</f>
        <v/>
      </c>
      <c r="BD971">
        <f>'T_TTAFStock'!BB54</f>
        <v/>
      </c>
      <c r="BE971">
        <f>'T_TTAFStock'!BC54</f>
        <v/>
      </c>
      <c r="BF971">
        <f>'T_TTAFStock'!BD54</f>
        <v/>
      </c>
      <c r="BG971">
        <f>'T_TTAFStock'!BE54</f>
        <v/>
      </c>
      <c r="BH971">
        <f>'T_TTAFStock'!BF54</f>
        <v/>
      </c>
      <c r="BI971">
        <f>'T_TTAFStock'!BG54</f>
        <v/>
      </c>
      <c r="BJ971">
        <f>'T_TTAFStock'!BH54</f>
        <v/>
      </c>
      <c r="BK971">
        <f>'T_TTAFStock'!BI54</f>
        <v/>
      </c>
      <c r="BL971">
        <f>'T_TTAFStock'!BJ54</f>
        <v/>
      </c>
      <c r="BM971">
        <f>'T_TTAFStock'!BK54</f>
        <v/>
      </c>
      <c r="BN971">
        <f>'T_TTAFStock'!BL54</f>
        <v/>
      </c>
      <c r="BO971">
        <f>'T_TTAFStock'!BM54</f>
        <v/>
      </c>
      <c r="BP971">
        <f>'T_TTAFStock'!BN54</f>
        <v/>
      </c>
      <c r="BQ971">
        <f>'T_TTAFStock'!BO54</f>
        <v/>
      </c>
      <c r="BR971">
        <f>'T_TTAFStock'!BP54</f>
        <v/>
      </c>
      <c r="BS971">
        <f>'T_TTAFStock'!BQ54</f>
        <v/>
      </c>
      <c r="BT971">
        <f>'T_TTAFStock'!BR54</f>
        <v/>
      </c>
      <c r="BU971">
        <f>'T_TTAFStock'!BS54</f>
        <v/>
      </c>
      <c r="BV971">
        <f>'T_TTAFStock'!BT54</f>
        <v/>
      </c>
      <c r="BW971">
        <f>'T_TTAFStock'!BU54</f>
        <v/>
      </c>
      <c r="BX971">
        <f>'T_TTAFStock'!BV54</f>
        <v/>
      </c>
      <c r="BY971">
        <f>'T_TTAFStock'!BW54</f>
        <v/>
      </c>
      <c r="BZ971">
        <f>'T_TTAFStock'!BX54</f>
        <v/>
      </c>
      <c r="CA971">
        <f>'T_TTAFStock'!BY54</f>
        <v/>
      </c>
      <c r="CB971">
        <f>'T_TTAFStock'!BZ54</f>
        <v/>
      </c>
      <c r="CC971">
        <f>'T_TTAFStock'!CA54</f>
        <v/>
      </c>
      <c r="CD971">
        <f>'T_TTAFStock'!CB54</f>
        <v/>
      </c>
      <c r="CE971">
        <f>'T_TTAFStock'!CC54</f>
        <v/>
      </c>
      <c r="CF971">
        <f>'T_TTAFStock'!CD54</f>
        <v/>
      </c>
      <c r="CG971">
        <f>'T_TTAFStock'!CE54</f>
        <v/>
      </c>
      <c r="CH971">
        <f>'T_TTAFStock'!CF54</f>
        <v/>
      </c>
      <c r="CI971">
        <f>'T_TTAFStock'!CG54</f>
        <v/>
      </c>
      <c r="CJ971">
        <f>'T_TTAFStock'!CH54</f>
        <v/>
      </c>
      <c r="CK971">
        <f>'T_TTAFStock'!CI54</f>
        <v/>
      </c>
      <c r="CL971">
        <f>'T_TTAFStock'!CJ54</f>
        <v/>
      </c>
      <c r="CM971">
        <f>'T_TTAFStock'!CK54</f>
        <v/>
      </c>
      <c r="CN971">
        <f>'T_TTAFStock'!CL54</f>
        <v/>
      </c>
      <c r="CO971">
        <f>'T_TTAFStock'!CM54</f>
        <v/>
      </c>
      <c r="CP971">
        <f>'T_TTAFStock'!CN54</f>
        <v/>
      </c>
      <c r="CQ971">
        <f>'T_TTAFStock'!CO54</f>
        <v/>
      </c>
      <c r="CR971">
        <f>'T_TTAFStock'!CP54</f>
        <v/>
      </c>
      <c r="CS971">
        <f>'T_TTAFStock'!CQ54</f>
        <v/>
      </c>
      <c r="CT971">
        <f>'T_TTAFStock'!CR54</f>
        <v/>
      </c>
      <c r="CU971">
        <f>'T_TTAFStock'!CS54</f>
        <v/>
      </c>
      <c r="CV971">
        <f>'T_TTAFStock'!CT54</f>
        <v/>
      </c>
      <c r="CW971">
        <f>'T_TTAFStock'!CU54</f>
        <v/>
      </c>
      <c r="CX971">
        <f>'T_TTAFStock'!CV54</f>
        <v/>
      </c>
      <c r="CY971">
        <f>'T_TTAFStock'!CW54</f>
        <v/>
      </c>
      <c r="CZ971">
        <f>'T_TTAFStock'!CX54</f>
        <v/>
      </c>
      <c r="DA971">
        <f>'T_TTAFStock'!CY54</f>
        <v/>
      </c>
      <c r="DB971">
        <f>'T_TTAFStock'!CZ54</f>
        <v/>
      </c>
      <c r="DC971">
        <f>'T_TTAFStock'!DA54</f>
        <v/>
      </c>
    </row>
    <row r="972">
      <c r="B972" t="inlineStr">
        <is>
          <t>自社在庫(実績,kg)</t>
        </is>
      </c>
      <c r="D972">
        <f>'T_SelfStock'!B54</f>
        <v/>
      </c>
      <c r="E972">
        <f>'T_SelfStock'!C54</f>
        <v/>
      </c>
      <c r="F972">
        <f>'T_SelfStock'!D54</f>
        <v/>
      </c>
      <c r="G972">
        <f>'T_SelfStock'!E54</f>
        <v/>
      </c>
      <c r="H972">
        <f>'T_SelfStock'!F54</f>
        <v/>
      </c>
      <c r="I972">
        <f>'T_SelfStock'!G54</f>
        <v/>
      </c>
      <c r="J972">
        <f>'T_SelfStock'!H54</f>
        <v/>
      </c>
      <c r="K972">
        <f>'T_SelfStock'!I54</f>
        <v/>
      </c>
      <c r="L972">
        <f>'T_SelfStock'!J54</f>
        <v/>
      </c>
      <c r="M972">
        <f>'T_SelfStock'!K54</f>
        <v/>
      </c>
      <c r="N972">
        <f>'T_SelfStock'!L54</f>
        <v/>
      </c>
      <c r="O972">
        <f>'T_SelfStock'!M54</f>
        <v/>
      </c>
      <c r="P972">
        <f>'T_SelfStock'!N54</f>
        <v/>
      </c>
      <c r="Q972">
        <f>'T_SelfStock'!O54</f>
        <v/>
      </c>
      <c r="R972">
        <f>'T_SelfStock'!P54</f>
        <v/>
      </c>
      <c r="S972">
        <f>'T_SelfStock'!Q54</f>
        <v/>
      </c>
      <c r="T972">
        <f>'T_SelfStock'!R54</f>
        <v/>
      </c>
      <c r="U972">
        <f>'T_SelfStock'!S54</f>
        <v/>
      </c>
      <c r="V972">
        <f>'T_SelfStock'!T54</f>
        <v/>
      </c>
      <c r="W972">
        <f>'T_SelfStock'!U54</f>
        <v/>
      </c>
      <c r="X972">
        <f>'T_SelfStock'!V54</f>
        <v/>
      </c>
      <c r="Y972">
        <f>'T_SelfStock'!W54</f>
        <v/>
      </c>
      <c r="Z972">
        <f>'T_SelfStock'!X54</f>
        <v/>
      </c>
      <c r="AA972">
        <f>'T_SelfStock'!Y54</f>
        <v/>
      </c>
      <c r="AB972">
        <f>'T_SelfStock'!Z54</f>
        <v/>
      </c>
      <c r="AC972">
        <f>'T_SelfStock'!AA54</f>
        <v/>
      </c>
      <c r="AD972">
        <f>'T_SelfStock'!AB54</f>
        <v/>
      </c>
      <c r="AE972">
        <f>'T_SelfStock'!AC54</f>
        <v/>
      </c>
      <c r="AF972">
        <f>'T_SelfStock'!AD54</f>
        <v/>
      </c>
      <c r="AG972">
        <f>'T_SelfStock'!AE54</f>
        <v/>
      </c>
      <c r="AH972">
        <f>'T_SelfStock'!AF54</f>
        <v/>
      </c>
      <c r="AI972">
        <f>'T_SelfStock'!AG54</f>
        <v/>
      </c>
      <c r="AJ972">
        <f>'T_SelfStock'!AH54</f>
        <v/>
      </c>
      <c r="AK972">
        <f>'T_SelfStock'!AI54</f>
        <v/>
      </c>
      <c r="AL972">
        <f>'T_SelfStock'!AJ54</f>
        <v/>
      </c>
      <c r="AM972">
        <f>'T_SelfStock'!AK54</f>
        <v/>
      </c>
      <c r="AN972">
        <f>'T_SelfStock'!AL54</f>
        <v/>
      </c>
      <c r="AO972">
        <f>'T_SelfStock'!AM54</f>
        <v/>
      </c>
      <c r="AP972">
        <f>'T_SelfStock'!AN54</f>
        <v/>
      </c>
      <c r="AQ972">
        <f>'T_SelfStock'!AO54</f>
        <v/>
      </c>
      <c r="AR972">
        <f>'T_SelfStock'!AP54</f>
        <v/>
      </c>
      <c r="AS972">
        <f>'T_SelfStock'!AQ54</f>
        <v/>
      </c>
      <c r="AT972">
        <f>'T_SelfStock'!AR54</f>
        <v/>
      </c>
      <c r="AU972">
        <f>'T_SelfStock'!AS54</f>
        <v/>
      </c>
      <c r="AV972">
        <f>'T_SelfStock'!AT54</f>
        <v/>
      </c>
      <c r="AW972">
        <f>'T_SelfStock'!AU54</f>
        <v/>
      </c>
      <c r="AX972">
        <f>'T_SelfStock'!AV54</f>
        <v/>
      </c>
      <c r="AY972">
        <f>'T_SelfStock'!AW54</f>
        <v/>
      </c>
      <c r="AZ972">
        <f>'T_SelfStock'!AX54</f>
        <v/>
      </c>
      <c r="BA972">
        <f>'T_SelfStock'!AY54</f>
        <v/>
      </c>
      <c r="BB972">
        <f>'T_SelfStock'!AZ54</f>
        <v/>
      </c>
      <c r="BC972">
        <f>'T_SelfStock'!BA54</f>
        <v/>
      </c>
      <c r="BD972">
        <f>'T_SelfStock'!BB54</f>
        <v/>
      </c>
      <c r="BE972">
        <f>'T_SelfStock'!BC54</f>
        <v/>
      </c>
      <c r="BF972">
        <f>'T_SelfStock'!BD54</f>
        <v/>
      </c>
      <c r="BG972">
        <f>'T_SelfStock'!BE54</f>
        <v/>
      </c>
      <c r="BH972">
        <f>'T_SelfStock'!BF54</f>
        <v/>
      </c>
      <c r="BI972">
        <f>'T_SelfStock'!BG54</f>
        <v/>
      </c>
      <c r="BJ972">
        <f>'T_SelfStock'!BH54</f>
        <v/>
      </c>
      <c r="BK972">
        <f>'T_SelfStock'!BI54</f>
        <v/>
      </c>
      <c r="BL972">
        <f>'T_SelfStock'!BJ54</f>
        <v/>
      </c>
      <c r="BM972">
        <f>'T_SelfStock'!BK54</f>
        <v/>
      </c>
      <c r="BN972">
        <f>'T_SelfStock'!BL54</f>
        <v/>
      </c>
      <c r="BO972">
        <f>'T_SelfStock'!BM54</f>
        <v/>
      </c>
      <c r="BP972">
        <f>'T_SelfStock'!BN54</f>
        <v/>
      </c>
      <c r="BQ972">
        <f>'T_SelfStock'!BO54</f>
        <v/>
      </c>
      <c r="BR972">
        <f>'T_SelfStock'!BP54</f>
        <v/>
      </c>
      <c r="BS972">
        <f>'T_SelfStock'!BQ54</f>
        <v/>
      </c>
      <c r="BT972">
        <f>'T_SelfStock'!BR54</f>
        <v/>
      </c>
      <c r="BU972">
        <f>'T_SelfStock'!BS54</f>
        <v/>
      </c>
      <c r="BV972">
        <f>'T_SelfStock'!BT54</f>
        <v/>
      </c>
      <c r="BW972">
        <f>'T_SelfStock'!BU54</f>
        <v/>
      </c>
      <c r="BX972">
        <f>'T_SelfStock'!BV54</f>
        <v/>
      </c>
      <c r="BY972">
        <f>'T_SelfStock'!BW54</f>
        <v/>
      </c>
      <c r="BZ972">
        <f>'T_SelfStock'!BX54</f>
        <v/>
      </c>
      <c r="CA972">
        <f>'T_SelfStock'!BY54</f>
        <v/>
      </c>
      <c r="CB972">
        <f>'T_SelfStock'!BZ54</f>
        <v/>
      </c>
      <c r="CC972">
        <f>'T_SelfStock'!CA54</f>
        <v/>
      </c>
      <c r="CD972">
        <f>'T_SelfStock'!CB54</f>
        <v/>
      </c>
      <c r="CE972">
        <f>'T_SelfStock'!CC54</f>
        <v/>
      </c>
      <c r="CF972">
        <f>'T_SelfStock'!CD54</f>
        <v/>
      </c>
      <c r="CG972">
        <f>'T_SelfStock'!CE54</f>
        <v/>
      </c>
      <c r="CH972">
        <f>'T_SelfStock'!CF54</f>
        <v/>
      </c>
      <c r="CI972">
        <f>'T_SelfStock'!CG54</f>
        <v/>
      </c>
      <c r="CJ972">
        <f>'T_SelfStock'!CH54</f>
        <v/>
      </c>
      <c r="CK972">
        <f>'T_SelfStock'!CI54</f>
        <v/>
      </c>
      <c r="CL972">
        <f>'T_SelfStock'!CJ54</f>
        <v/>
      </c>
      <c r="CM972">
        <f>'T_SelfStock'!CK54</f>
        <v/>
      </c>
      <c r="CN972">
        <f>'T_SelfStock'!CL54</f>
        <v/>
      </c>
      <c r="CO972">
        <f>'T_SelfStock'!CM54</f>
        <v/>
      </c>
      <c r="CP972">
        <f>'T_SelfStock'!CN54</f>
        <v/>
      </c>
      <c r="CQ972">
        <f>'T_SelfStock'!CO54</f>
        <v/>
      </c>
      <c r="CR972">
        <f>'T_SelfStock'!CP54</f>
        <v/>
      </c>
      <c r="CS972">
        <f>'T_SelfStock'!CQ54</f>
        <v/>
      </c>
      <c r="CT972">
        <f>'T_SelfStock'!CR54</f>
        <v/>
      </c>
      <c r="CU972">
        <f>'T_SelfStock'!CS54</f>
        <v/>
      </c>
      <c r="CV972">
        <f>'T_SelfStock'!CT54</f>
        <v/>
      </c>
      <c r="CW972">
        <f>'T_SelfStock'!CU54</f>
        <v/>
      </c>
      <c r="CX972">
        <f>'T_SelfStock'!CV54</f>
        <v/>
      </c>
      <c r="CY972">
        <f>'T_SelfStock'!CW54</f>
        <v/>
      </c>
      <c r="CZ972">
        <f>'T_SelfStock'!CX54</f>
        <v/>
      </c>
      <c r="DA972">
        <f>'T_SelfStock'!CY54</f>
        <v/>
      </c>
      <c r="DB972">
        <f>'T_SelfStock'!CZ54</f>
        <v/>
      </c>
      <c r="DC972">
        <f>'T_SelfStock'!DA54</f>
        <v/>
      </c>
    </row>
    <row r="973">
      <c r="B973" t="inlineStr">
        <is>
          <t>Order(発注予定,kg)</t>
        </is>
      </c>
      <c r="D973">
        <f>IF(SUMIFS(T_PlannedOrders[EffectiveQty],T_PlannedOrders[Part Name],$A947,T_PlannedOrders[WeekIndex],1)=0,"",SUMIFS(T_PlannedOrders[EffectiveQty],T_PlannedOrders[Part Name],$A947,T_PlannedOrders[WeekIndex],1)&amp;" ("&amp;TEXT(SUMPRODUCT(MAX((T_PlannedOrders[Part Name]=$A947)*(T_PlannedOrders[WeekIndex]=1)*(T_PlannedOrders[EffectiveQty]&gt;0)*T_PlannedOrders[Order_Month])),"m月")&amp;"発注)")</f>
        <v/>
      </c>
      <c r="E973">
        <f>IF(SUMIFS(T_PlannedOrders[EffectiveQty],T_PlannedOrders[Part Name],$A947,T_PlannedOrders[WeekIndex],2)=0,"",SUMIFS(T_PlannedOrders[EffectiveQty],T_PlannedOrders[Part Name],$A947,T_PlannedOrders[WeekIndex],2)&amp;" ("&amp;TEXT(SUMPRODUCT(MAX((T_PlannedOrders[Part Name]=$A947)*(T_PlannedOrders[WeekIndex]=2)*(T_PlannedOrders[EffectiveQty]&gt;0)*T_PlannedOrders[Order_Month])),"m月")&amp;"発注)")</f>
        <v/>
      </c>
      <c r="F973">
        <f>IF(SUMIFS(T_PlannedOrders[EffectiveQty],T_PlannedOrders[Part Name],$A947,T_PlannedOrders[WeekIndex],3)=0,"",SUMIFS(T_PlannedOrders[EffectiveQty],T_PlannedOrders[Part Name],$A947,T_PlannedOrders[WeekIndex],3)&amp;" ("&amp;TEXT(SUMPRODUCT(MAX((T_PlannedOrders[Part Name]=$A947)*(T_PlannedOrders[WeekIndex]=3)*(T_PlannedOrders[EffectiveQty]&gt;0)*T_PlannedOrders[Order_Month])),"m月")&amp;"発注)")</f>
        <v/>
      </c>
      <c r="G973">
        <f>IF(SUMIFS(T_PlannedOrders[EffectiveQty],T_PlannedOrders[Part Name],$A947,T_PlannedOrders[WeekIndex],4)=0,"",SUMIFS(T_PlannedOrders[EffectiveQty],T_PlannedOrders[Part Name],$A947,T_PlannedOrders[WeekIndex],4)&amp;" ("&amp;TEXT(SUMPRODUCT(MAX((T_PlannedOrders[Part Name]=$A947)*(T_PlannedOrders[WeekIndex]=4)*(T_PlannedOrders[EffectiveQty]&gt;0)*T_PlannedOrders[Order_Month])),"m月")&amp;"発注)")</f>
        <v/>
      </c>
      <c r="H973">
        <f>IF(SUMIFS(T_PlannedOrders[EffectiveQty],T_PlannedOrders[Part Name],$A947,T_PlannedOrders[WeekIndex],5)=0,"",SUMIFS(T_PlannedOrders[EffectiveQty],T_PlannedOrders[Part Name],$A947,T_PlannedOrders[WeekIndex],5)&amp;" ("&amp;TEXT(SUMPRODUCT(MAX((T_PlannedOrders[Part Name]=$A947)*(T_PlannedOrders[WeekIndex]=5)*(T_PlannedOrders[EffectiveQty]&gt;0)*T_PlannedOrders[Order_Month])),"m月")&amp;"発注)")</f>
        <v/>
      </c>
      <c r="I973">
        <f>IF(SUMIFS(T_PlannedOrders[EffectiveQty],T_PlannedOrders[Part Name],$A947,T_PlannedOrders[WeekIndex],6)=0,"",SUMIFS(T_PlannedOrders[EffectiveQty],T_PlannedOrders[Part Name],$A947,T_PlannedOrders[WeekIndex],6)&amp;" ("&amp;TEXT(SUMPRODUCT(MAX((T_PlannedOrders[Part Name]=$A947)*(T_PlannedOrders[WeekIndex]=6)*(T_PlannedOrders[EffectiveQty]&gt;0)*T_PlannedOrders[Order_Month])),"m月")&amp;"発注)")</f>
        <v/>
      </c>
      <c r="J973">
        <f>IF(SUMIFS(T_PlannedOrders[EffectiveQty],T_PlannedOrders[Part Name],$A947,T_PlannedOrders[WeekIndex],7)=0,"",SUMIFS(T_PlannedOrders[EffectiveQty],T_PlannedOrders[Part Name],$A947,T_PlannedOrders[WeekIndex],7)&amp;" ("&amp;TEXT(SUMPRODUCT(MAX((T_PlannedOrders[Part Name]=$A947)*(T_PlannedOrders[WeekIndex]=7)*(T_PlannedOrders[EffectiveQty]&gt;0)*T_PlannedOrders[Order_Month])),"m月")&amp;"発注)")</f>
        <v/>
      </c>
      <c r="K973">
        <f>IF(SUMIFS(T_PlannedOrders[EffectiveQty],T_PlannedOrders[Part Name],$A947,T_PlannedOrders[WeekIndex],8)=0,"",SUMIFS(T_PlannedOrders[EffectiveQty],T_PlannedOrders[Part Name],$A947,T_PlannedOrders[WeekIndex],8)&amp;" ("&amp;TEXT(SUMPRODUCT(MAX((T_PlannedOrders[Part Name]=$A947)*(T_PlannedOrders[WeekIndex]=8)*(T_PlannedOrders[EffectiveQty]&gt;0)*T_PlannedOrders[Order_Month])),"m月")&amp;"発注)")</f>
        <v/>
      </c>
      <c r="L973">
        <f>IF(SUMIFS(T_PlannedOrders[EffectiveQty],T_PlannedOrders[Part Name],$A947,T_PlannedOrders[WeekIndex],9)=0,"",SUMIFS(T_PlannedOrders[EffectiveQty],T_PlannedOrders[Part Name],$A947,T_PlannedOrders[WeekIndex],9)&amp;" ("&amp;TEXT(SUMPRODUCT(MAX((T_PlannedOrders[Part Name]=$A947)*(T_PlannedOrders[WeekIndex]=9)*(T_PlannedOrders[EffectiveQty]&gt;0)*T_PlannedOrders[Order_Month])),"m月")&amp;"発注)")</f>
        <v/>
      </c>
      <c r="M973">
        <f>IF(SUMIFS(T_PlannedOrders[EffectiveQty],T_PlannedOrders[Part Name],$A947,T_PlannedOrders[WeekIndex],10)=0,"",SUMIFS(T_PlannedOrders[EffectiveQty],T_PlannedOrders[Part Name],$A947,T_PlannedOrders[WeekIndex],10)&amp;" ("&amp;TEXT(SUMPRODUCT(MAX((T_PlannedOrders[Part Name]=$A947)*(T_PlannedOrders[WeekIndex]=10)*(T_PlannedOrders[EffectiveQty]&gt;0)*T_PlannedOrders[Order_Month])),"m月")&amp;"発注)")</f>
        <v/>
      </c>
      <c r="N973">
        <f>IF(SUMIFS(T_PlannedOrders[EffectiveQty],T_PlannedOrders[Part Name],$A947,T_PlannedOrders[WeekIndex],11)=0,"",SUMIFS(T_PlannedOrders[EffectiveQty],T_PlannedOrders[Part Name],$A947,T_PlannedOrders[WeekIndex],11)&amp;" ("&amp;TEXT(SUMPRODUCT(MAX((T_PlannedOrders[Part Name]=$A947)*(T_PlannedOrders[WeekIndex]=11)*(T_PlannedOrders[EffectiveQty]&gt;0)*T_PlannedOrders[Order_Month])),"m月")&amp;"発注)")</f>
        <v/>
      </c>
      <c r="O973">
        <f>IF(SUMIFS(T_PlannedOrders[EffectiveQty],T_PlannedOrders[Part Name],$A947,T_PlannedOrders[WeekIndex],12)=0,"",SUMIFS(T_PlannedOrders[EffectiveQty],T_PlannedOrders[Part Name],$A947,T_PlannedOrders[WeekIndex],12)&amp;" ("&amp;TEXT(SUMPRODUCT(MAX((T_PlannedOrders[Part Name]=$A947)*(T_PlannedOrders[WeekIndex]=12)*(T_PlannedOrders[EffectiveQty]&gt;0)*T_PlannedOrders[Order_Month])),"m月")&amp;"発注)")</f>
        <v/>
      </c>
      <c r="P973">
        <f>IF(SUMIFS(T_PlannedOrders[EffectiveQty],T_PlannedOrders[Part Name],$A947,T_PlannedOrders[WeekIndex],13)=0,"",SUMIFS(T_PlannedOrders[EffectiveQty],T_PlannedOrders[Part Name],$A947,T_PlannedOrders[WeekIndex],13)&amp;" ("&amp;TEXT(SUMPRODUCT(MAX((T_PlannedOrders[Part Name]=$A947)*(T_PlannedOrders[WeekIndex]=13)*(T_PlannedOrders[EffectiveQty]&gt;0)*T_PlannedOrders[Order_Month])),"m月")&amp;"発注)")</f>
        <v/>
      </c>
      <c r="Q973">
        <f>IF(SUMIFS(T_PlannedOrders[EffectiveQty],T_PlannedOrders[Part Name],$A947,T_PlannedOrders[WeekIndex],14)=0,"",SUMIFS(T_PlannedOrders[EffectiveQty],T_PlannedOrders[Part Name],$A947,T_PlannedOrders[WeekIndex],14)&amp;" ("&amp;TEXT(SUMPRODUCT(MAX((T_PlannedOrders[Part Name]=$A947)*(T_PlannedOrders[WeekIndex]=14)*(T_PlannedOrders[EffectiveQty]&gt;0)*T_PlannedOrders[Order_Month])),"m月")&amp;"発注)")</f>
        <v/>
      </c>
      <c r="R973">
        <f>IF(SUMIFS(T_PlannedOrders[EffectiveQty],T_PlannedOrders[Part Name],$A947,T_PlannedOrders[WeekIndex],15)=0,"",SUMIFS(T_PlannedOrders[EffectiveQty],T_PlannedOrders[Part Name],$A947,T_PlannedOrders[WeekIndex],15)&amp;" ("&amp;TEXT(SUMPRODUCT(MAX((T_PlannedOrders[Part Name]=$A947)*(T_PlannedOrders[WeekIndex]=15)*(T_PlannedOrders[EffectiveQty]&gt;0)*T_PlannedOrders[Order_Month])),"m月")&amp;"発注)")</f>
        <v/>
      </c>
      <c r="S973">
        <f>IF(SUMIFS(T_PlannedOrders[EffectiveQty],T_PlannedOrders[Part Name],$A947,T_PlannedOrders[WeekIndex],16)=0,"",SUMIFS(T_PlannedOrders[EffectiveQty],T_PlannedOrders[Part Name],$A947,T_PlannedOrders[WeekIndex],16)&amp;" ("&amp;TEXT(SUMPRODUCT(MAX((T_PlannedOrders[Part Name]=$A947)*(T_PlannedOrders[WeekIndex]=16)*(T_PlannedOrders[EffectiveQty]&gt;0)*T_PlannedOrders[Order_Month])),"m月")&amp;"発注)")</f>
        <v/>
      </c>
      <c r="T973">
        <f>IF(SUMIFS(T_PlannedOrders[EffectiveQty],T_PlannedOrders[Part Name],$A947,T_PlannedOrders[WeekIndex],17)=0,"",SUMIFS(T_PlannedOrders[EffectiveQty],T_PlannedOrders[Part Name],$A947,T_PlannedOrders[WeekIndex],17)&amp;" ("&amp;TEXT(SUMPRODUCT(MAX((T_PlannedOrders[Part Name]=$A947)*(T_PlannedOrders[WeekIndex]=17)*(T_PlannedOrders[EffectiveQty]&gt;0)*T_PlannedOrders[Order_Month])),"m月")&amp;"発注)")</f>
        <v/>
      </c>
      <c r="U973">
        <f>IF(SUMIFS(T_PlannedOrders[EffectiveQty],T_PlannedOrders[Part Name],$A947,T_PlannedOrders[WeekIndex],18)=0,"",SUMIFS(T_PlannedOrders[EffectiveQty],T_PlannedOrders[Part Name],$A947,T_PlannedOrders[WeekIndex],18)&amp;" ("&amp;TEXT(SUMPRODUCT(MAX((T_PlannedOrders[Part Name]=$A947)*(T_PlannedOrders[WeekIndex]=18)*(T_PlannedOrders[EffectiveQty]&gt;0)*T_PlannedOrders[Order_Month])),"m月")&amp;"発注)")</f>
        <v/>
      </c>
      <c r="V973">
        <f>IF(SUMIFS(T_PlannedOrders[EffectiveQty],T_PlannedOrders[Part Name],$A947,T_PlannedOrders[WeekIndex],19)=0,"",SUMIFS(T_PlannedOrders[EffectiveQty],T_PlannedOrders[Part Name],$A947,T_PlannedOrders[WeekIndex],19)&amp;" ("&amp;TEXT(SUMPRODUCT(MAX((T_PlannedOrders[Part Name]=$A947)*(T_PlannedOrders[WeekIndex]=19)*(T_PlannedOrders[EffectiveQty]&gt;0)*T_PlannedOrders[Order_Month])),"m月")&amp;"発注)")</f>
        <v/>
      </c>
      <c r="W973">
        <f>IF(SUMIFS(T_PlannedOrders[EffectiveQty],T_PlannedOrders[Part Name],$A947,T_PlannedOrders[WeekIndex],20)=0,"",SUMIFS(T_PlannedOrders[EffectiveQty],T_PlannedOrders[Part Name],$A947,T_PlannedOrders[WeekIndex],20)&amp;" ("&amp;TEXT(SUMPRODUCT(MAX((T_PlannedOrders[Part Name]=$A947)*(T_PlannedOrders[WeekIndex]=20)*(T_PlannedOrders[EffectiveQty]&gt;0)*T_PlannedOrders[Order_Month])),"m月")&amp;"発注)")</f>
        <v/>
      </c>
      <c r="X973">
        <f>IF(SUMIFS(T_PlannedOrders[EffectiveQty],T_PlannedOrders[Part Name],$A947,T_PlannedOrders[WeekIndex],21)=0,"",SUMIFS(T_PlannedOrders[EffectiveQty],T_PlannedOrders[Part Name],$A947,T_PlannedOrders[WeekIndex],21)&amp;" ("&amp;TEXT(SUMPRODUCT(MAX((T_PlannedOrders[Part Name]=$A947)*(T_PlannedOrders[WeekIndex]=21)*(T_PlannedOrders[EffectiveQty]&gt;0)*T_PlannedOrders[Order_Month])),"m月")&amp;"発注)")</f>
        <v/>
      </c>
      <c r="Y973">
        <f>IF(SUMIFS(T_PlannedOrders[EffectiveQty],T_PlannedOrders[Part Name],$A947,T_PlannedOrders[WeekIndex],22)=0,"",SUMIFS(T_PlannedOrders[EffectiveQty],T_PlannedOrders[Part Name],$A947,T_PlannedOrders[WeekIndex],22)&amp;" ("&amp;TEXT(SUMPRODUCT(MAX((T_PlannedOrders[Part Name]=$A947)*(T_PlannedOrders[WeekIndex]=22)*(T_PlannedOrders[EffectiveQty]&gt;0)*T_PlannedOrders[Order_Month])),"m月")&amp;"発注)")</f>
        <v/>
      </c>
      <c r="Z973">
        <f>IF(SUMIFS(T_PlannedOrders[EffectiveQty],T_PlannedOrders[Part Name],$A947,T_PlannedOrders[WeekIndex],23)=0,"",SUMIFS(T_PlannedOrders[EffectiveQty],T_PlannedOrders[Part Name],$A947,T_PlannedOrders[WeekIndex],23)&amp;" ("&amp;TEXT(SUMPRODUCT(MAX((T_PlannedOrders[Part Name]=$A947)*(T_PlannedOrders[WeekIndex]=23)*(T_PlannedOrders[EffectiveQty]&gt;0)*T_PlannedOrders[Order_Month])),"m月")&amp;"発注)")</f>
        <v/>
      </c>
      <c r="AA973">
        <f>IF(SUMIFS(T_PlannedOrders[EffectiveQty],T_PlannedOrders[Part Name],$A947,T_PlannedOrders[WeekIndex],24)=0,"",SUMIFS(T_PlannedOrders[EffectiveQty],T_PlannedOrders[Part Name],$A947,T_PlannedOrders[WeekIndex],24)&amp;" ("&amp;TEXT(SUMPRODUCT(MAX((T_PlannedOrders[Part Name]=$A947)*(T_PlannedOrders[WeekIndex]=24)*(T_PlannedOrders[EffectiveQty]&gt;0)*T_PlannedOrders[Order_Month])),"m月")&amp;"発注)")</f>
        <v/>
      </c>
      <c r="AB973">
        <f>IF(SUMIFS(T_PlannedOrders[EffectiveQty],T_PlannedOrders[Part Name],$A947,T_PlannedOrders[WeekIndex],25)=0,"",SUMIFS(T_PlannedOrders[EffectiveQty],T_PlannedOrders[Part Name],$A947,T_PlannedOrders[WeekIndex],25)&amp;" ("&amp;TEXT(SUMPRODUCT(MAX((T_PlannedOrders[Part Name]=$A947)*(T_PlannedOrders[WeekIndex]=25)*(T_PlannedOrders[EffectiveQty]&gt;0)*T_PlannedOrders[Order_Month])),"m月")&amp;"発注)")</f>
        <v/>
      </c>
      <c r="AC973">
        <f>IF(SUMIFS(T_PlannedOrders[EffectiveQty],T_PlannedOrders[Part Name],$A947,T_PlannedOrders[WeekIndex],26)=0,"",SUMIFS(T_PlannedOrders[EffectiveQty],T_PlannedOrders[Part Name],$A947,T_PlannedOrders[WeekIndex],26)&amp;" ("&amp;TEXT(SUMPRODUCT(MAX((T_PlannedOrders[Part Name]=$A947)*(T_PlannedOrders[WeekIndex]=26)*(T_PlannedOrders[EffectiveQty]&gt;0)*T_PlannedOrders[Order_Month])),"m月")&amp;"発注)")</f>
        <v/>
      </c>
      <c r="AD973">
        <f>IF(SUMIFS(T_PlannedOrders[EffectiveQty],T_PlannedOrders[Part Name],$A947,T_PlannedOrders[WeekIndex],27)=0,"",SUMIFS(T_PlannedOrders[EffectiveQty],T_PlannedOrders[Part Name],$A947,T_PlannedOrders[WeekIndex],27)&amp;" ("&amp;TEXT(SUMPRODUCT(MAX((T_PlannedOrders[Part Name]=$A947)*(T_PlannedOrders[WeekIndex]=27)*(T_PlannedOrders[EffectiveQty]&gt;0)*T_PlannedOrders[Order_Month])),"m月")&amp;"発注)")</f>
        <v/>
      </c>
      <c r="AE973">
        <f>IF(SUMIFS(T_PlannedOrders[EffectiveQty],T_PlannedOrders[Part Name],$A947,T_PlannedOrders[WeekIndex],28)=0,"",SUMIFS(T_PlannedOrders[EffectiveQty],T_PlannedOrders[Part Name],$A947,T_PlannedOrders[WeekIndex],28)&amp;" ("&amp;TEXT(SUMPRODUCT(MAX((T_PlannedOrders[Part Name]=$A947)*(T_PlannedOrders[WeekIndex]=28)*(T_PlannedOrders[EffectiveQty]&gt;0)*T_PlannedOrders[Order_Month])),"m月")&amp;"発注)")</f>
        <v/>
      </c>
      <c r="AF973">
        <f>IF(SUMIFS(T_PlannedOrders[EffectiveQty],T_PlannedOrders[Part Name],$A947,T_PlannedOrders[WeekIndex],29)=0,"",SUMIFS(T_PlannedOrders[EffectiveQty],T_PlannedOrders[Part Name],$A947,T_PlannedOrders[WeekIndex],29)&amp;" ("&amp;TEXT(SUMPRODUCT(MAX((T_PlannedOrders[Part Name]=$A947)*(T_PlannedOrders[WeekIndex]=29)*(T_PlannedOrders[EffectiveQty]&gt;0)*T_PlannedOrders[Order_Month])),"m月")&amp;"発注)")</f>
        <v/>
      </c>
      <c r="AG973">
        <f>IF(SUMIFS(T_PlannedOrders[EffectiveQty],T_PlannedOrders[Part Name],$A947,T_PlannedOrders[WeekIndex],30)=0,"",SUMIFS(T_PlannedOrders[EffectiveQty],T_PlannedOrders[Part Name],$A947,T_PlannedOrders[WeekIndex],30)&amp;" ("&amp;TEXT(SUMPRODUCT(MAX((T_PlannedOrders[Part Name]=$A947)*(T_PlannedOrders[WeekIndex]=30)*(T_PlannedOrders[EffectiveQty]&gt;0)*T_PlannedOrders[Order_Month])),"m月")&amp;"発注)")</f>
        <v/>
      </c>
      <c r="AH973">
        <f>IF(SUMIFS(T_PlannedOrders[EffectiveQty],T_PlannedOrders[Part Name],$A947,T_PlannedOrders[WeekIndex],31)=0,"",SUMIFS(T_PlannedOrders[EffectiveQty],T_PlannedOrders[Part Name],$A947,T_PlannedOrders[WeekIndex],31)&amp;" ("&amp;TEXT(SUMPRODUCT(MAX((T_PlannedOrders[Part Name]=$A947)*(T_PlannedOrders[WeekIndex]=31)*(T_PlannedOrders[EffectiveQty]&gt;0)*T_PlannedOrders[Order_Month])),"m月")&amp;"発注)")</f>
        <v/>
      </c>
      <c r="AI973">
        <f>IF(SUMIFS(T_PlannedOrders[EffectiveQty],T_PlannedOrders[Part Name],$A947,T_PlannedOrders[WeekIndex],32)=0,"",SUMIFS(T_PlannedOrders[EffectiveQty],T_PlannedOrders[Part Name],$A947,T_PlannedOrders[WeekIndex],32)&amp;" ("&amp;TEXT(SUMPRODUCT(MAX((T_PlannedOrders[Part Name]=$A947)*(T_PlannedOrders[WeekIndex]=32)*(T_PlannedOrders[EffectiveQty]&gt;0)*T_PlannedOrders[Order_Month])),"m月")&amp;"発注)")</f>
        <v/>
      </c>
      <c r="AJ973">
        <f>IF(SUMIFS(T_PlannedOrders[EffectiveQty],T_PlannedOrders[Part Name],$A947,T_PlannedOrders[WeekIndex],33)=0,"",SUMIFS(T_PlannedOrders[EffectiveQty],T_PlannedOrders[Part Name],$A947,T_PlannedOrders[WeekIndex],33)&amp;" ("&amp;TEXT(SUMPRODUCT(MAX((T_PlannedOrders[Part Name]=$A947)*(T_PlannedOrders[WeekIndex]=33)*(T_PlannedOrders[EffectiveQty]&gt;0)*T_PlannedOrders[Order_Month])),"m月")&amp;"発注)")</f>
        <v/>
      </c>
      <c r="AK973">
        <f>IF(SUMIFS(T_PlannedOrders[EffectiveQty],T_PlannedOrders[Part Name],$A947,T_PlannedOrders[WeekIndex],34)=0,"",SUMIFS(T_PlannedOrders[EffectiveQty],T_PlannedOrders[Part Name],$A947,T_PlannedOrders[WeekIndex],34)&amp;" ("&amp;TEXT(SUMPRODUCT(MAX((T_PlannedOrders[Part Name]=$A947)*(T_PlannedOrders[WeekIndex]=34)*(T_PlannedOrders[EffectiveQty]&gt;0)*T_PlannedOrders[Order_Month])),"m月")&amp;"発注)")</f>
        <v/>
      </c>
      <c r="AL973">
        <f>IF(SUMIFS(T_PlannedOrders[EffectiveQty],T_PlannedOrders[Part Name],$A947,T_PlannedOrders[WeekIndex],35)=0,"",SUMIFS(T_PlannedOrders[EffectiveQty],T_PlannedOrders[Part Name],$A947,T_PlannedOrders[WeekIndex],35)&amp;" ("&amp;TEXT(SUMPRODUCT(MAX((T_PlannedOrders[Part Name]=$A947)*(T_PlannedOrders[WeekIndex]=35)*(T_PlannedOrders[EffectiveQty]&gt;0)*T_PlannedOrders[Order_Month])),"m月")&amp;"発注)")</f>
        <v/>
      </c>
      <c r="AM973">
        <f>IF(SUMIFS(T_PlannedOrders[EffectiveQty],T_PlannedOrders[Part Name],$A947,T_PlannedOrders[WeekIndex],36)=0,"",SUMIFS(T_PlannedOrders[EffectiveQty],T_PlannedOrders[Part Name],$A947,T_PlannedOrders[WeekIndex],36)&amp;" ("&amp;TEXT(SUMPRODUCT(MAX((T_PlannedOrders[Part Name]=$A947)*(T_PlannedOrders[WeekIndex]=36)*(T_PlannedOrders[EffectiveQty]&gt;0)*T_PlannedOrders[Order_Month])),"m月")&amp;"発注)")</f>
        <v/>
      </c>
      <c r="AN973">
        <f>IF(SUMIFS(T_PlannedOrders[EffectiveQty],T_PlannedOrders[Part Name],$A947,T_PlannedOrders[WeekIndex],37)=0,"",SUMIFS(T_PlannedOrders[EffectiveQty],T_PlannedOrders[Part Name],$A947,T_PlannedOrders[WeekIndex],37)&amp;" ("&amp;TEXT(SUMPRODUCT(MAX((T_PlannedOrders[Part Name]=$A947)*(T_PlannedOrders[WeekIndex]=37)*(T_PlannedOrders[EffectiveQty]&gt;0)*T_PlannedOrders[Order_Month])),"m月")&amp;"発注)")</f>
        <v/>
      </c>
      <c r="AO973">
        <f>IF(SUMIFS(T_PlannedOrders[EffectiveQty],T_PlannedOrders[Part Name],$A947,T_PlannedOrders[WeekIndex],38)=0,"",SUMIFS(T_PlannedOrders[EffectiveQty],T_PlannedOrders[Part Name],$A947,T_PlannedOrders[WeekIndex],38)&amp;" ("&amp;TEXT(SUMPRODUCT(MAX((T_PlannedOrders[Part Name]=$A947)*(T_PlannedOrders[WeekIndex]=38)*(T_PlannedOrders[EffectiveQty]&gt;0)*T_PlannedOrders[Order_Month])),"m月")&amp;"発注)")</f>
        <v/>
      </c>
      <c r="AP973">
        <f>IF(SUMIFS(T_PlannedOrders[EffectiveQty],T_PlannedOrders[Part Name],$A947,T_PlannedOrders[WeekIndex],39)=0,"",SUMIFS(T_PlannedOrders[EffectiveQty],T_PlannedOrders[Part Name],$A947,T_PlannedOrders[WeekIndex],39)&amp;" ("&amp;TEXT(SUMPRODUCT(MAX((T_PlannedOrders[Part Name]=$A947)*(T_PlannedOrders[WeekIndex]=39)*(T_PlannedOrders[EffectiveQty]&gt;0)*T_PlannedOrders[Order_Month])),"m月")&amp;"発注)")</f>
        <v/>
      </c>
      <c r="AQ973">
        <f>IF(SUMIFS(T_PlannedOrders[EffectiveQty],T_PlannedOrders[Part Name],$A947,T_PlannedOrders[WeekIndex],40)=0,"",SUMIFS(T_PlannedOrders[EffectiveQty],T_PlannedOrders[Part Name],$A947,T_PlannedOrders[WeekIndex],40)&amp;" ("&amp;TEXT(SUMPRODUCT(MAX((T_PlannedOrders[Part Name]=$A947)*(T_PlannedOrders[WeekIndex]=40)*(T_PlannedOrders[EffectiveQty]&gt;0)*T_PlannedOrders[Order_Month])),"m月")&amp;"発注)")</f>
        <v/>
      </c>
      <c r="AR973">
        <f>IF(SUMIFS(T_PlannedOrders[EffectiveQty],T_PlannedOrders[Part Name],$A947,T_PlannedOrders[WeekIndex],41)=0,"",SUMIFS(T_PlannedOrders[EffectiveQty],T_PlannedOrders[Part Name],$A947,T_PlannedOrders[WeekIndex],41)&amp;" ("&amp;TEXT(SUMPRODUCT(MAX((T_PlannedOrders[Part Name]=$A947)*(T_PlannedOrders[WeekIndex]=41)*(T_PlannedOrders[EffectiveQty]&gt;0)*T_PlannedOrders[Order_Month])),"m月")&amp;"発注)")</f>
        <v/>
      </c>
      <c r="AS973">
        <f>IF(SUMIFS(T_PlannedOrders[EffectiveQty],T_PlannedOrders[Part Name],$A947,T_PlannedOrders[WeekIndex],42)=0,"",SUMIFS(T_PlannedOrders[EffectiveQty],T_PlannedOrders[Part Name],$A947,T_PlannedOrders[WeekIndex],42)&amp;" ("&amp;TEXT(SUMPRODUCT(MAX((T_PlannedOrders[Part Name]=$A947)*(T_PlannedOrders[WeekIndex]=42)*(T_PlannedOrders[EffectiveQty]&gt;0)*T_PlannedOrders[Order_Month])),"m月")&amp;"発注)")</f>
        <v/>
      </c>
      <c r="AT973">
        <f>IF(SUMIFS(T_PlannedOrders[EffectiveQty],T_PlannedOrders[Part Name],$A947,T_PlannedOrders[WeekIndex],43)=0,"",SUMIFS(T_PlannedOrders[EffectiveQty],T_PlannedOrders[Part Name],$A947,T_PlannedOrders[WeekIndex],43)&amp;" ("&amp;TEXT(SUMPRODUCT(MAX((T_PlannedOrders[Part Name]=$A947)*(T_PlannedOrders[WeekIndex]=43)*(T_PlannedOrders[EffectiveQty]&gt;0)*T_PlannedOrders[Order_Month])),"m月")&amp;"発注)")</f>
        <v/>
      </c>
      <c r="AU973">
        <f>IF(SUMIFS(T_PlannedOrders[EffectiveQty],T_PlannedOrders[Part Name],$A947,T_PlannedOrders[WeekIndex],44)=0,"",SUMIFS(T_PlannedOrders[EffectiveQty],T_PlannedOrders[Part Name],$A947,T_PlannedOrders[WeekIndex],44)&amp;" ("&amp;TEXT(SUMPRODUCT(MAX((T_PlannedOrders[Part Name]=$A947)*(T_PlannedOrders[WeekIndex]=44)*(T_PlannedOrders[EffectiveQty]&gt;0)*T_PlannedOrders[Order_Month])),"m月")&amp;"発注)")</f>
        <v/>
      </c>
      <c r="AV973">
        <f>IF(SUMIFS(T_PlannedOrders[EffectiveQty],T_PlannedOrders[Part Name],$A947,T_PlannedOrders[WeekIndex],45)=0,"",SUMIFS(T_PlannedOrders[EffectiveQty],T_PlannedOrders[Part Name],$A947,T_PlannedOrders[WeekIndex],45)&amp;" ("&amp;TEXT(SUMPRODUCT(MAX((T_PlannedOrders[Part Name]=$A947)*(T_PlannedOrders[WeekIndex]=45)*(T_PlannedOrders[EffectiveQty]&gt;0)*T_PlannedOrders[Order_Month])),"m月")&amp;"発注)")</f>
        <v/>
      </c>
      <c r="AW973">
        <f>IF(SUMIFS(T_PlannedOrders[EffectiveQty],T_PlannedOrders[Part Name],$A947,T_PlannedOrders[WeekIndex],46)=0,"",SUMIFS(T_PlannedOrders[EffectiveQty],T_PlannedOrders[Part Name],$A947,T_PlannedOrders[WeekIndex],46)&amp;" ("&amp;TEXT(SUMPRODUCT(MAX((T_PlannedOrders[Part Name]=$A947)*(T_PlannedOrders[WeekIndex]=46)*(T_PlannedOrders[EffectiveQty]&gt;0)*T_PlannedOrders[Order_Month])),"m月")&amp;"発注)")</f>
        <v/>
      </c>
      <c r="AX973">
        <f>IF(SUMIFS(T_PlannedOrders[EffectiveQty],T_PlannedOrders[Part Name],$A947,T_PlannedOrders[WeekIndex],47)=0,"",SUMIFS(T_PlannedOrders[EffectiveQty],T_PlannedOrders[Part Name],$A947,T_PlannedOrders[WeekIndex],47)&amp;" ("&amp;TEXT(SUMPRODUCT(MAX((T_PlannedOrders[Part Name]=$A947)*(T_PlannedOrders[WeekIndex]=47)*(T_PlannedOrders[EffectiveQty]&gt;0)*T_PlannedOrders[Order_Month])),"m月")&amp;"発注)")</f>
        <v/>
      </c>
      <c r="AY973">
        <f>IF(SUMIFS(T_PlannedOrders[EffectiveQty],T_PlannedOrders[Part Name],$A947,T_PlannedOrders[WeekIndex],48)=0,"",SUMIFS(T_PlannedOrders[EffectiveQty],T_PlannedOrders[Part Name],$A947,T_PlannedOrders[WeekIndex],48)&amp;" ("&amp;TEXT(SUMPRODUCT(MAX((T_PlannedOrders[Part Name]=$A947)*(T_PlannedOrders[WeekIndex]=48)*(T_PlannedOrders[EffectiveQty]&gt;0)*T_PlannedOrders[Order_Month])),"m月")&amp;"発注)")</f>
        <v/>
      </c>
      <c r="AZ973">
        <f>IF(SUMIFS(T_PlannedOrders[EffectiveQty],T_PlannedOrders[Part Name],$A947,T_PlannedOrders[WeekIndex],49)=0,"",SUMIFS(T_PlannedOrders[EffectiveQty],T_PlannedOrders[Part Name],$A947,T_PlannedOrders[WeekIndex],49)&amp;" ("&amp;TEXT(SUMPRODUCT(MAX((T_PlannedOrders[Part Name]=$A947)*(T_PlannedOrders[WeekIndex]=49)*(T_PlannedOrders[EffectiveQty]&gt;0)*T_PlannedOrders[Order_Month])),"m月")&amp;"発注)")</f>
        <v/>
      </c>
      <c r="BA973">
        <f>IF(SUMIFS(T_PlannedOrders[EffectiveQty],T_PlannedOrders[Part Name],$A947,T_PlannedOrders[WeekIndex],50)=0,"",SUMIFS(T_PlannedOrders[EffectiveQty],T_PlannedOrders[Part Name],$A947,T_PlannedOrders[WeekIndex],50)&amp;" ("&amp;TEXT(SUMPRODUCT(MAX((T_PlannedOrders[Part Name]=$A947)*(T_PlannedOrders[WeekIndex]=50)*(T_PlannedOrders[EffectiveQty]&gt;0)*T_PlannedOrders[Order_Month])),"m月")&amp;"発注)")</f>
        <v/>
      </c>
      <c r="BB973">
        <f>IF(SUMIFS(T_PlannedOrders[EffectiveQty],T_PlannedOrders[Part Name],$A947,T_PlannedOrders[WeekIndex],51)=0,"",SUMIFS(T_PlannedOrders[EffectiveQty],T_PlannedOrders[Part Name],$A947,T_PlannedOrders[WeekIndex],51)&amp;" ("&amp;TEXT(SUMPRODUCT(MAX((T_PlannedOrders[Part Name]=$A947)*(T_PlannedOrders[WeekIndex]=51)*(T_PlannedOrders[EffectiveQty]&gt;0)*T_PlannedOrders[Order_Month])),"m月")&amp;"発注)")</f>
        <v/>
      </c>
      <c r="BC973">
        <f>IF(SUMIFS(T_PlannedOrders[EffectiveQty],T_PlannedOrders[Part Name],$A947,T_PlannedOrders[WeekIndex],52)=0,"",SUMIFS(T_PlannedOrders[EffectiveQty],T_PlannedOrders[Part Name],$A947,T_PlannedOrders[WeekIndex],52)&amp;" ("&amp;TEXT(SUMPRODUCT(MAX((T_PlannedOrders[Part Name]=$A947)*(T_PlannedOrders[WeekIndex]=52)*(T_PlannedOrders[EffectiveQty]&gt;0)*T_PlannedOrders[Order_Month])),"m月")&amp;"発注)")</f>
        <v/>
      </c>
      <c r="BD973">
        <f>IF(SUMIFS(T_PlannedOrders[EffectiveQty],T_PlannedOrders[Part Name],$A947,T_PlannedOrders[WeekIndex],53)=0,"",SUMIFS(T_PlannedOrders[EffectiveQty],T_PlannedOrders[Part Name],$A947,T_PlannedOrders[WeekIndex],53)&amp;" ("&amp;TEXT(SUMPRODUCT(MAX((T_PlannedOrders[Part Name]=$A947)*(T_PlannedOrders[WeekIndex]=53)*(T_PlannedOrders[EffectiveQty]&gt;0)*T_PlannedOrders[Order_Month])),"m月")&amp;"発注)")</f>
        <v/>
      </c>
      <c r="BE973">
        <f>IF(SUMIFS(T_PlannedOrders[EffectiveQty],T_PlannedOrders[Part Name],$A947,T_PlannedOrders[WeekIndex],54)=0,"",SUMIFS(T_PlannedOrders[EffectiveQty],T_PlannedOrders[Part Name],$A947,T_PlannedOrders[WeekIndex],54)&amp;" ("&amp;TEXT(SUMPRODUCT(MAX((T_PlannedOrders[Part Name]=$A947)*(T_PlannedOrders[WeekIndex]=54)*(T_PlannedOrders[EffectiveQty]&gt;0)*T_PlannedOrders[Order_Month])),"m月")&amp;"発注)")</f>
        <v/>
      </c>
      <c r="BF973">
        <f>IF(SUMIFS(T_PlannedOrders[EffectiveQty],T_PlannedOrders[Part Name],$A947,T_PlannedOrders[WeekIndex],55)=0,"",SUMIFS(T_PlannedOrders[EffectiveQty],T_PlannedOrders[Part Name],$A947,T_PlannedOrders[WeekIndex],55)&amp;" ("&amp;TEXT(SUMPRODUCT(MAX((T_PlannedOrders[Part Name]=$A947)*(T_PlannedOrders[WeekIndex]=55)*(T_PlannedOrders[EffectiveQty]&gt;0)*T_PlannedOrders[Order_Month])),"m月")&amp;"発注)")</f>
        <v/>
      </c>
      <c r="BG973">
        <f>IF(SUMIFS(T_PlannedOrders[EffectiveQty],T_PlannedOrders[Part Name],$A947,T_PlannedOrders[WeekIndex],56)=0,"",SUMIFS(T_PlannedOrders[EffectiveQty],T_PlannedOrders[Part Name],$A947,T_PlannedOrders[WeekIndex],56)&amp;" ("&amp;TEXT(SUMPRODUCT(MAX((T_PlannedOrders[Part Name]=$A947)*(T_PlannedOrders[WeekIndex]=56)*(T_PlannedOrders[EffectiveQty]&gt;0)*T_PlannedOrders[Order_Month])),"m月")&amp;"発注)")</f>
        <v/>
      </c>
      <c r="BH973">
        <f>IF(SUMIFS(T_PlannedOrders[EffectiveQty],T_PlannedOrders[Part Name],$A947,T_PlannedOrders[WeekIndex],57)=0,"",SUMIFS(T_PlannedOrders[EffectiveQty],T_PlannedOrders[Part Name],$A947,T_PlannedOrders[WeekIndex],57)&amp;" ("&amp;TEXT(SUMPRODUCT(MAX((T_PlannedOrders[Part Name]=$A947)*(T_PlannedOrders[WeekIndex]=57)*(T_PlannedOrders[EffectiveQty]&gt;0)*T_PlannedOrders[Order_Month])),"m月")&amp;"発注)")</f>
        <v/>
      </c>
      <c r="BI973">
        <f>IF(SUMIFS(T_PlannedOrders[EffectiveQty],T_PlannedOrders[Part Name],$A947,T_PlannedOrders[WeekIndex],58)=0,"",SUMIFS(T_PlannedOrders[EffectiveQty],T_PlannedOrders[Part Name],$A947,T_PlannedOrders[WeekIndex],58)&amp;" ("&amp;TEXT(SUMPRODUCT(MAX((T_PlannedOrders[Part Name]=$A947)*(T_PlannedOrders[WeekIndex]=58)*(T_PlannedOrders[EffectiveQty]&gt;0)*T_PlannedOrders[Order_Month])),"m月")&amp;"発注)")</f>
        <v/>
      </c>
      <c r="BJ973">
        <f>IF(SUMIFS(T_PlannedOrders[EffectiveQty],T_PlannedOrders[Part Name],$A947,T_PlannedOrders[WeekIndex],59)=0,"",SUMIFS(T_PlannedOrders[EffectiveQty],T_PlannedOrders[Part Name],$A947,T_PlannedOrders[WeekIndex],59)&amp;" ("&amp;TEXT(SUMPRODUCT(MAX((T_PlannedOrders[Part Name]=$A947)*(T_PlannedOrders[WeekIndex]=59)*(T_PlannedOrders[EffectiveQty]&gt;0)*T_PlannedOrders[Order_Month])),"m月")&amp;"発注)")</f>
        <v/>
      </c>
      <c r="BK973">
        <f>IF(SUMIFS(T_PlannedOrders[EffectiveQty],T_PlannedOrders[Part Name],$A947,T_PlannedOrders[WeekIndex],60)=0,"",SUMIFS(T_PlannedOrders[EffectiveQty],T_PlannedOrders[Part Name],$A947,T_PlannedOrders[WeekIndex],60)&amp;" ("&amp;TEXT(SUMPRODUCT(MAX((T_PlannedOrders[Part Name]=$A947)*(T_PlannedOrders[WeekIndex]=60)*(T_PlannedOrders[EffectiveQty]&gt;0)*T_PlannedOrders[Order_Month])),"m月")&amp;"発注)")</f>
        <v/>
      </c>
      <c r="BL973">
        <f>IF(SUMIFS(T_PlannedOrders[EffectiveQty],T_PlannedOrders[Part Name],$A947,T_PlannedOrders[WeekIndex],61)=0,"",SUMIFS(T_PlannedOrders[EffectiveQty],T_PlannedOrders[Part Name],$A947,T_PlannedOrders[WeekIndex],61)&amp;" ("&amp;TEXT(SUMPRODUCT(MAX((T_PlannedOrders[Part Name]=$A947)*(T_PlannedOrders[WeekIndex]=61)*(T_PlannedOrders[EffectiveQty]&gt;0)*T_PlannedOrders[Order_Month])),"m月")&amp;"発注)")</f>
        <v/>
      </c>
      <c r="BM973">
        <f>IF(SUMIFS(T_PlannedOrders[EffectiveQty],T_PlannedOrders[Part Name],$A947,T_PlannedOrders[WeekIndex],62)=0,"",SUMIFS(T_PlannedOrders[EffectiveQty],T_PlannedOrders[Part Name],$A947,T_PlannedOrders[WeekIndex],62)&amp;" ("&amp;TEXT(SUMPRODUCT(MAX((T_PlannedOrders[Part Name]=$A947)*(T_PlannedOrders[WeekIndex]=62)*(T_PlannedOrders[EffectiveQty]&gt;0)*T_PlannedOrders[Order_Month])),"m月")&amp;"発注)")</f>
        <v/>
      </c>
      <c r="BN973">
        <f>IF(SUMIFS(T_PlannedOrders[EffectiveQty],T_PlannedOrders[Part Name],$A947,T_PlannedOrders[WeekIndex],63)=0,"",SUMIFS(T_PlannedOrders[EffectiveQty],T_PlannedOrders[Part Name],$A947,T_PlannedOrders[WeekIndex],63)&amp;" ("&amp;TEXT(SUMPRODUCT(MAX((T_PlannedOrders[Part Name]=$A947)*(T_PlannedOrders[WeekIndex]=63)*(T_PlannedOrders[EffectiveQty]&gt;0)*T_PlannedOrders[Order_Month])),"m月")&amp;"発注)")</f>
        <v/>
      </c>
      <c r="BO973">
        <f>IF(SUMIFS(T_PlannedOrders[EffectiveQty],T_PlannedOrders[Part Name],$A947,T_PlannedOrders[WeekIndex],64)=0,"",SUMIFS(T_PlannedOrders[EffectiveQty],T_PlannedOrders[Part Name],$A947,T_PlannedOrders[WeekIndex],64)&amp;" ("&amp;TEXT(SUMPRODUCT(MAX((T_PlannedOrders[Part Name]=$A947)*(T_PlannedOrders[WeekIndex]=64)*(T_PlannedOrders[EffectiveQty]&gt;0)*T_PlannedOrders[Order_Month])),"m月")&amp;"発注)")</f>
        <v/>
      </c>
      <c r="BP973">
        <f>IF(SUMIFS(T_PlannedOrders[EffectiveQty],T_PlannedOrders[Part Name],$A947,T_PlannedOrders[WeekIndex],65)=0,"",SUMIFS(T_PlannedOrders[EffectiveQty],T_PlannedOrders[Part Name],$A947,T_PlannedOrders[WeekIndex],65)&amp;" ("&amp;TEXT(SUMPRODUCT(MAX((T_PlannedOrders[Part Name]=$A947)*(T_PlannedOrders[WeekIndex]=65)*(T_PlannedOrders[EffectiveQty]&gt;0)*T_PlannedOrders[Order_Month])),"m月")&amp;"発注)")</f>
        <v/>
      </c>
      <c r="BQ973">
        <f>IF(SUMIFS(T_PlannedOrders[EffectiveQty],T_PlannedOrders[Part Name],$A947,T_PlannedOrders[WeekIndex],66)=0,"",SUMIFS(T_PlannedOrders[EffectiveQty],T_PlannedOrders[Part Name],$A947,T_PlannedOrders[WeekIndex],66)&amp;" ("&amp;TEXT(SUMPRODUCT(MAX((T_PlannedOrders[Part Name]=$A947)*(T_PlannedOrders[WeekIndex]=66)*(T_PlannedOrders[EffectiveQty]&gt;0)*T_PlannedOrders[Order_Month])),"m月")&amp;"発注)")</f>
        <v/>
      </c>
      <c r="BR973">
        <f>IF(SUMIFS(T_PlannedOrders[EffectiveQty],T_PlannedOrders[Part Name],$A947,T_PlannedOrders[WeekIndex],67)=0,"",SUMIFS(T_PlannedOrders[EffectiveQty],T_PlannedOrders[Part Name],$A947,T_PlannedOrders[WeekIndex],67)&amp;" ("&amp;TEXT(SUMPRODUCT(MAX((T_PlannedOrders[Part Name]=$A947)*(T_PlannedOrders[WeekIndex]=67)*(T_PlannedOrders[EffectiveQty]&gt;0)*T_PlannedOrders[Order_Month])),"m月")&amp;"発注)")</f>
        <v/>
      </c>
      <c r="BS973">
        <f>IF(SUMIFS(T_PlannedOrders[EffectiveQty],T_PlannedOrders[Part Name],$A947,T_PlannedOrders[WeekIndex],68)=0,"",SUMIFS(T_PlannedOrders[EffectiveQty],T_PlannedOrders[Part Name],$A947,T_PlannedOrders[WeekIndex],68)&amp;" ("&amp;TEXT(SUMPRODUCT(MAX((T_PlannedOrders[Part Name]=$A947)*(T_PlannedOrders[WeekIndex]=68)*(T_PlannedOrders[EffectiveQty]&gt;0)*T_PlannedOrders[Order_Month])),"m月")&amp;"発注)")</f>
        <v/>
      </c>
      <c r="BT973">
        <f>IF(SUMIFS(T_PlannedOrders[EffectiveQty],T_PlannedOrders[Part Name],$A947,T_PlannedOrders[WeekIndex],69)=0,"",SUMIFS(T_PlannedOrders[EffectiveQty],T_PlannedOrders[Part Name],$A947,T_PlannedOrders[WeekIndex],69)&amp;" ("&amp;TEXT(SUMPRODUCT(MAX((T_PlannedOrders[Part Name]=$A947)*(T_PlannedOrders[WeekIndex]=69)*(T_PlannedOrders[EffectiveQty]&gt;0)*T_PlannedOrders[Order_Month])),"m月")&amp;"発注)")</f>
        <v/>
      </c>
      <c r="BU973">
        <f>IF(SUMIFS(T_PlannedOrders[EffectiveQty],T_PlannedOrders[Part Name],$A947,T_PlannedOrders[WeekIndex],70)=0,"",SUMIFS(T_PlannedOrders[EffectiveQty],T_PlannedOrders[Part Name],$A947,T_PlannedOrders[WeekIndex],70)&amp;" ("&amp;TEXT(SUMPRODUCT(MAX((T_PlannedOrders[Part Name]=$A947)*(T_PlannedOrders[WeekIndex]=70)*(T_PlannedOrders[EffectiveQty]&gt;0)*T_PlannedOrders[Order_Month])),"m月")&amp;"発注)")</f>
        <v/>
      </c>
      <c r="BV973">
        <f>IF(SUMIFS(T_PlannedOrders[EffectiveQty],T_PlannedOrders[Part Name],$A947,T_PlannedOrders[WeekIndex],71)=0,"",SUMIFS(T_PlannedOrders[EffectiveQty],T_PlannedOrders[Part Name],$A947,T_PlannedOrders[WeekIndex],71)&amp;" ("&amp;TEXT(SUMPRODUCT(MAX((T_PlannedOrders[Part Name]=$A947)*(T_PlannedOrders[WeekIndex]=71)*(T_PlannedOrders[EffectiveQty]&gt;0)*T_PlannedOrders[Order_Month])),"m月")&amp;"発注)")</f>
        <v/>
      </c>
      <c r="BW973">
        <f>IF(SUMIFS(T_PlannedOrders[EffectiveQty],T_PlannedOrders[Part Name],$A947,T_PlannedOrders[WeekIndex],72)=0,"",SUMIFS(T_PlannedOrders[EffectiveQty],T_PlannedOrders[Part Name],$A947,T_PlannedOrders[WeekIndex],72)&amp;" ("&amp;TEXT(SUMPRODUCT(MAX((T_PlannedOrders[Part Name]=$A947)*(T_PlannedOrders[WeekIndex]=72)*(T_PlannedOrders[EffectiveQty]&gt;0)*T_PlannedOrders[Order_Month])),"m月")&amp;"発注)")</f>
        <v/>
      </c>
      <c r="BX973">
        <f>IF(SUMIFS(T_PlannedOrders[EffectiveQty],T_PlannedOrders[Part Name],$A947,T_PlannedOrders[WeekIndex],73)=0,"",SUMIFS(T_PlannedOrders[EffectiveQty],T_PlannedOrders[Part Name],$A947,T_PlannedOrders[WeekIndex],73)&amp;" ("&amp;TEXT(SUMPRODUCT(MAX((T_PlannedOrders[Part Name]=$A947)*(T_PlannedOrders[WeekIndex]=73)*(T_PlannedOrders[EffectiveQty]&gt;0)*T_PlannedOrders[Order_Month])),"m月")&amp;"発注)")</f>
        <v/>
      </c>
      <c r="BY973">
        <f>IF(SUMIFS(T_PlannedOrders[EffectiveQty],T_PlannedOrders[Part Name],$A947,T_PlannedOrders[WeekIndex],74)=0,"",SUMIFS(T_PlannedOrders[EffectiveQty],T_PlannedOrders[Part Name],$A947,T_PlannedOrders[WeekIndex],74)&amp;" ("&amp;TEXT(SUMPRODUCT(MAX((T_PlannedOrders[Part Name]=$A947)*(T_PlannedOrders[WeekIndex]=74)*(T_PlannedOrders[EffectiveQty]&gt;0)*T_PlannedOrders[Order_Month])),"m月")&amp;"発注)")</f>
        <v/>
      </c>
      <c r="BZ973">
        <f>IF(SUMIFS(T_PlannedOrders[EffectiveQty],T_PlannedOrders[Part Name],$A947,T_PlannedOrders[WeekIndex],75)=0,"",SUMIFS(T_PlannedOrders[EffectiveQty],T_PlannedOrders[Part Name],$A947,T_PlannedOrders[WeekIndex],75)&amp;" ("&amp;TEXT(SUMPRODUCT(MAX((T_PlannedOrders[Part Name]=$A947)*(T_PlannedOrders[WeekIndex]=75)*(T_PlannedOrders[EffectiveQty]&gt;0)*T_PlannedOrders[Order_Month])),"m月")&amp;"発注)")</f>
        <v/>
      </c>
      <c r="CA973">
        <f>IF(SUMIFS(T_PlannedOrders[EffectiveQty],T_PlannedOrders[Part Name],$A947,T_PlannedOrders[WeekIndex],76)=0,"",SUMIFS(T_PlannedOrders[EffectiveQty],T_PlannedOrders[Part Name],$A947,T_PlannedOrders[WeekIndex],76)&amp;" ("&amp;TEXT(SUMPRODUCT(MAX((T_PlannedOrders[Part Name]=$A947)*(T_PlannedOrders[WeekIndex]=76)*(T_PlannedOrders[EffectiveQty]&gt;0)*T_PlannedOrders[Order_Month])),"m月")&amp;"発注)")</f>
        <v/>
      </c>
      <c r="CB973">
        <f>IF(SUMIFS(T_PlannedOrders[EffectiveQty],T_PlannedOrders[Part Name],$A947,T_PlannedOrders[WeekIndex],77)=0,"",SUMIFS(T_PlannedOrders[EffectiveQty],T_PlannedOrders[Part Name],$A947,T_PlannedOrders[WeekIndex],77)&amp;" ("&amp;TEXT(SUMPRODUCT(MAX((T_PlannedOrders[Part Name]=$A947)*(T_PlannedOrders[WeekIndex]=77)*(T_PlannedOrders[EffectiveQty]&gt;0)*T_PlannedOrders[Order_Month])),"m月")&amp;"発注)")</f>
        <v/>
      </c>
      <c r="CC973">
        <f>IF(SUMIFS(T_PlannedOrders[EffectiveQty],T_PlannedOrders[Part Name],$A947,T_PlannedOrders[WeekIndex],78)=0,"",SUMIFS(T_PlannedOrders[EffectiveQty],T_PlannedOrders[Part Name],$A947,T_PlannedOrders[WeekIndex],78)&amp;" ("&amp;TEXT(SUMPRODUCT(MAX((T_PlannedOrders[Part Name]=$A947)*(T_PlannedOrders[WeekIndex]=78)*(T_PlannedOrders[EffectiveQty]&gt;0)*T_PlannedOrders[Order_Month])),"m月")&amp;"発注)")</f>
        <v/>
      </c>
      <c r="CD973">
        <f>IF(SUMIFS(T_PlannedOrders[EffectiveQty],T_PlannedOrders[Part Name],$A947,T_PlannedOrders[WeekIndex],79)=0,"",SUMIFS(T_PlannedOrders[EffectiveQty],T_PlannedOrders[Part Name],$A947,T_PlannedOrders[WeekIndex],79)&amp;" ("&amp;TEXT(SUMPRODUCT(MAX((T_PlannedOrders[Part Name]=$A947)*(T_PlannedOrders[WeekIndex]=79)*(T_PlannedOrders[EffectiveQty]&gt;0)*T_PlannedOrders[Order_Month])),"m月")&amp;"発注)")</f>
        <v/>
      </c>
      <c r="CE973">
        <f>IF(SUMIFS(T_PlannedOrders[EffectiveQty],T_PlannedOrders[Part Name],$A947,T_PlannedOrders[WeekIndex],80)=0,"",SUMIFS(T_PlannedOrders[EffectiveQty],T_PlannedOrders[Part Name],$A947,T_PlannedOrders[WeekIndex],80)&amp;" ("&amp;TEXT(SUMPRODUCT(MAX((T_PlannedOrders[Part Name]=$A947)*(T_PlannedOrders[WeekIndex]=80)*(T_PlannedOrders[EffectiveQty]&gt;0)*T_PlannedOrders[Order_Month])),"m月")&amp;"発注)")</f>
        <v/>
      </c>
      <c r="CF973">
        <f>IF(SUMIFS(T_PlannedOrders[EffectiveQty],T_PlannedOrders[Part Name],$A947,T_PlannedOrders[WeekIndex],81)=0,"",SUMIFS(T_PlannedOrders[EffectiveQty],T_PlannedOrders[Part Name],$A947,T_PlannedOrders[WeekIndex],81)&amp;" ("&amp;TEXT(SUMPRODUCT(MAX((T_PlannedOrders[Part Name]=$A947)*(T_PlannedOrders[WeekIndex]=81)*(T_PlannedOrders[EffectiveQty]&gt;0)*T_PlannedOrders[Order_Month])),"m月")&amp;"発注)")</f>
        <v/>
      </c>
      <c r="CG973">
        <f>IF(SUMIFS(T_PlannedOrders[EffectiveQty],T_PlannedOrders[Part Name],$A947,T_PlannedOrders[WeekIndex],82)=0,"",SUMIFS(T_PlannedOrders[EffectiveQty],T_PlannedOrders[Part Name],$A947,T_PlannedOrders[WeekIndex],82)&amp;" ("&amp;TEXT(SUMPRODUCT(MAX((T_PlannedOrders[Part Name]=$A947)*(T_PlannedOrders[WeekIndex]=82)*(T_PlannedOrders[EffectiveQty]&gt;0)*T_PlannedOrders[Order_Month])),"m月")&amp;"発注)")</f>
        <v/>
      </c>
      <c r="CH973">
        <f>IF(SUMIFS(T_PlannedOrders[EffectiveQty],T_PlannedOrders[Part Name],$A947,T_PlannedOrders[WeekIndex],83)=0,"",SUMIFS(T_PlannedOrders[EffectiveQty],T_PlannedOrders[Part Name],$A947,T_PlannedOrders[WeekIndex],83)&amp;" ("&amp;TEXT(SUMPRODUCT(MAX((T_PlannedOrders[Part Name]=$A947)*(T_PlannedOrders[WeekIndex]=83)*(T_PlannedOrders[EffectiveQty]&gt;0)*T_PlannedOrders[Order_Month])),"m月")&amp;"発注)")</f>
        <v/>
      </c>
      <c r="CI973">
        <f>IF(SUMIFS(T_PlannedOrders[EffectiveQty],T_PlannedOrders[Part Name],$A947,T_PlannedOrders[WeekIndex],84)=0,"",SUMIFS(T_PlannedOrders[EffectiveQty],T_PlannedOrders[Part Name],$A947,T_PlannedOrders[WeekIndex],84)&amp;" ("&amp;TEXT(SUMPRODUCT(MAX((T_PlannedOrders[Part Name]=$A947)*(T_PlannedOrders[WeekIndex]=84)*(T_PlannedOrders[EffectiveQty]&gt;0)*T_PlannedOrders[Order_Month])),"m月")&amp;"発注)")</f>
        <v/>
      </c>
      <c r="CJ973">
        <f>IF(SUMIFS(T_PlannedOrders[EffectiveQty],T_PlannedOrders[Part Name],$A947,T_PlannedOrders[WeekIndex],85)=0,"",SUMIFS(T_PlannedOrders[EffectiveQty],T_PlannedOrders[Part Name],$A947,T_PlannedOrders[WeekIndex],85)&amp;" ("&amp;TEXT(SUMPRODUCT(MAX((T_PlannedOrders[Part Name]=$A947)*(T_PlannedOrders[WeekIndex]=85)*(T_PlannedOrders[EffectiveQty]&gt;0)*T_PlannedOrders[Order_Month])),"m月")&amp;"発注)")</f>
        <v/>
      </c>
      <c r="CK973">
        <f>IF(SUMIFS(T_PlannedOrders[EffectiveQty],T_PlannedOrders[Part Name],$A947,T_PlannedOrders[WeekIndex],86)=0,"",SUMIFS(T_PlannedOrders[EffectiveQty],T_PlannedOrders[Part Name],$A947,T_PlannedOrders[WeekIndex],86)&amp;" ("&amp;TEXT(SUMPRODUCT(MAX((T_PlannedOrders[Part Name]=$A947)*(T_PlannedOrders[WeekIndex]=86)*(T_PlannedOrders[EffectiveQty]&gt;0)*T_PlannedOrders[Order_Month])),"m月")&amp;"発注)")</f>
        <v/>
      </c>
      <c r="CL973">
        <f>IF(SUMIFS(T_PlannedOrders[EffectiveQty],T_PlannedOrders[Part Name],$A947,T_PlannedOrders[WeekIndex],87)=0,"",SUMIFS(T_PlannedOrders[EffectiveQty],T_PlannedOrders[Part Name],$A947,T_PlannedOrders[WeekIndex],87)&amp;" ("&amp;TEXT(SUMPRODUCT(MAX((T_PlannedOrders[Part Name]=$A947)*(T_PlannedOrders[WeekIndex]=87)*(T_PlannedOrders[EffectiveQty]&gt;0)*T_PlannedOrders[Order_Month])),"m月")&amp;"発注)")</f>
        <v/>
      </c>
      <c r="CM973">
        <f>IF(SUMIFS(T_PlannedOrders[EffectiveQty],T_PlannedOrders[Part Name],$A947,T_PlannedOrders[WeekIndex],88)=0,"",SUMIFS(T_PlannedOrders[EffectiveQty],T_PlannedOrders[Part Name],$A947,T_PlannedOrders[WeekIndex],88)&amp;" ("&amp;TEXT(SUMPRODUCT(MAX((T_PlannedOrders[Part Name]=$A947)*(T_PlannedOrders[WeekIndex]=88)*(T_PlannedOrders[EffectiveQty]&gt;0)*T_PlannedOrders[Order_Month])),"m月")&amp;"発注)")</f>
        <v/>
      </c>
      <c r="CN973">
        <f>IF(SUMIFS(T_PlannedOrders[EffectiveQty],T_PlannedOrders[Part Name],$A947,T_PlannedOrders[WeekIndex],89)=0,"",SUMIFS(T_PlannedOrders[EffectiveQty],T_PlannedOrders[Part Name],$A947,T_PlannedOrders[WeekIndex],89)&amp;" ("&amp;TEXT(SUMPRODUCT(MAX((T_PlannedOrders[Part Name]=$A947)*(T_PlannedOrders[WeekIndex]=89)*(T_PlannedOrders[EffectiveQty]&gt;0)*T_PlannedOrders[Order_Month])),"m月")&amp;"発注)")</f>
        <v/>
      </c>
      <c r="CO973">
        <f>IF(SUMIFS(T_PlannedOrders[EffectiveQty],T_PlannedOrders[Part Name],$A947,T_PlannedOrders[WeekIndex],90)=0,"",SUMIFS(T_PlannedOrders[EffectiveQty],T_PlannedOrders[Part Name],$A947,T_PlannedOrders[WeekIndex],90)&amp;" ("&amp;TEXT(SUMPRODUCT(MAX((T_PlannedOrders[Part Name]=$A947)*(T_PlannedOrders[WeekIndex]=90)*(T_PlannedOrders[EffectiveQty]&gt;0)*T_PlannedOrders[Order_Month])),"m月")&amp;"発注)")</f>
        <v/>
      </c>
      <c r="CP973">
        <f>IF(SUMIFS(T_PlannedOrders[EffectiveQty],T_PlannedOrders[Part Name],$A947,T_PlannedOrders[WeekIndex],91)=0,"",SUMIFS(T_PlannedOrders[EffectiveQty],T_PlannedOrders[Part Name],$A947,T_PlannedOrders[WeekIndex],91)&amp;" ("&amp;TEXT(SUMPRODUCT(MAX((T_PlannedOrders[Part Name]=$A947)*(T_PlannedOrders[WeekIndex]=91)*(T_PlannedOrders[EffectiveQty]&gt;0)*T_PlannedOrders[Order_Month])),"m月")&amp;"発注)")</f>
        <v/>
      </c>
      <c r="CQ973">
        <f>IF(SUMIFS(T_PlannedOrders[EffectiveQty],T_PlannedOrders[Part Name],$A947,T_PlannedOrders[WeekIndex],92)=0,"",SUMIFS(T_PlannedOrders[EffectiveQty],T_PlannedOrders[Part Name],$A947,T_PlannedOrders[WeekIndex],92)&amp;" ("&amp;TEXT(SUMPRODUCT(MAX((T_PlannedOrders[Part Name]=$A947)*(T_PlannedOrders[WeekIndex]=92)*(T_PlannedOrders[EffectiveQty]&gt;0)*T_PlannedOrders[Order_Month])),"m月")&amp;"発注)")</f>
        <v/>
      </c>
      <c r="CR973">
        <f>IF(SUMIFS(T_PlannedOrders[EffectiveQty],T_PlannedOrders[Part Name],$A947,T_PlannedOrders[WeekIndex],93)=0,"",SUMIFS(T_PlannedOrders[EffectiveQty],T_PlannedOrders[Part Name],$A947,T_PlannedOrders[WeekIndex],93)&amp;" ("&amp;TEXT(SUMPRODUCT(MAX((T_PlannedOrders[Part Name]=$A947)*(T_PlannedOrders[WeekIndex]=93)*(T_PlannedOrders[EffectiveQty]&gt;0)*T_PlannedOrders[Order_Month])),"m月")&amp;"発注)")</f>
        <v/>
      </c>
      <c r="CS973">
        <f>IF(SUMIFS(T_PlannedOrders[EffectiveQty],T_PlannedOrders[Part Name],$A947,T_PlannedOrders[WeekIndex],94)=0,"",SUMIFS(T_PlannedOrders[EffectiveQty],T_PlannedOrders[Part Name],$A947,T_PlannedOrders[WeekIndex],94)&amp;" ("&amp;TEXT(SUMPRODUCT(MAX((T_PlannedOrders[Part Name]=$A947)*(T_PlannedOrders[WeekIndex]=94)*(T_PlannedOrders[EffectiveQty]&gt;0)*T_PlannedOrders[Order_Month])),"m月")&amp;"発注)")</f>
        <v/>
      </c>
      <c r="CT973">
        <f>IF(SUMIFS(T_PlannedOrders[EffectiveQty],T_PlannedOrders[Part Name],$A947,T_PlannedOrders[WeekIndex],95)=0,"",SUMIFS(T_PlannedOrders[EffectiveQty],T_PlannedOrders[Part Name],$A947,T_PlannedOrders[WeekIndex],95)&amp;" ("&amp;TEXT(SUMPRODUCT(MAX((T_PlannedOrders[Part Name]=$A947)*(T_PlannedOrders[WeekIndex]=95)*(T_PlannedOrders[EffectiveQty]&gt;0)*T_PlannedOrders[Order_Month])),"m月")&amp;"発注)")</f>
        <v/>
      </c>
      <c r="CU973">
        <f>IF(SUMIFS(T_PlannedOrders[EffectiveQty],T_PlannedOrders[Part Name],$A947,T_PlannedOrders[WeekIndex],96)=0,"",SUMIFS(T_PlannedOrders[EffectiveQty],T_PlannedOrders[Part Name],$A947,T_PlannedOrders[WeekIndex],96)&amp;" ("&amp;TEXT(SUMPRODUCT(MAX((T_PlannedOrders[Part Name]=$A947)*(T_PlannedOrders[WeekIndex]=96)*(T_PlannedOrders[EffectiveQty]&gt;0)*T_PlannedOrders[Order_Month])),"m月")&amp;"発注)")</f>
        <v/>
      </c>
      <c r="CV973">
        <f>IF(SUMIFS(T_PlannedOrders[EffectiveQty],T_PlannedOrders[Part Name],$A947,T_PlannedOrders[WeekIndex],97)=0,"",SUMIFS(T_PlannedOrders[EffectiveQty],T_PlannedOrders[Part Name],$A947,T_PlannedOrders[WeekIndex],97)&amp;" ("&amp;TEXT(SUMPRODUCT(MAX((T_PlannedOrders[Part Name]=$A947)*(T_PlannedOrders[WeekIndex]=97)*(T_PlannedOrders[EffectiveQty]&gt;0)*T_PlannedOrders[Order_Month])),"m月")&amp;"発注)")</f>
        <v/>
      </c>
      <c r="CW973">
        <f>IF(SUMIFS(T_PlannedOrders[EffectiveQty],T_PlannedOrders[Part Name],$A947,T_PlannedOrders[WeekIndex],98)=0,"",SUMIFS(T_PlannedOrders[EffectiveQty],T_PlannedOrders[Part Name],$A947,T_PlannedOrders[WeekIndex],98)&amp;" ("&amp;TEXT(SUMPRODUCT(MAX((T_PlannedOrders[Part Name]=$A947)*(T_PlannedOrders[WeekIndex]=98)*(T_PlannedOrders[EffectiveQty]&gt;0)*T_PlannedOrders[Order_Month])),"m月")&amp;"発注)")</f>
        <v/>
      </c>
      <c r="CX973">
        <f>IF(SUMIFS(T_PlannedOrders[EffectiveQty],T_PlannedOrders[Part Name],$A947,T_PlannedOrders[WeekIndex],99)=0,"",SUMIFS(T_PlannedOrders[EffectiveQty],T_PlannedOrders[Part Name],$A947,T_PlannedOrders[WeekIndex],99)&amp;" ("&amp;TEXT(SUMPRODUCT(MAX((T_PlannedOrders[Part Name]=$A947)*(T_PlannedOrders[WeekIndex]=99)*(T_PlannedOrders[EffectiveQty]&gt;0)*T_PlannedOrders[Order_Month])),"m月")&amp;"発注)")</f>
        <v/>
      </c>
      <c r="CY973">
        <f>IF(SUMIFS(T_PlannedOrders[EffectiveQty],T_PlannedOrders[Part Name],$A947,T_PlannedOrders[WeekIndex],100)=0,"",SUMIFS(T_PlannedOrders[EffectiveQty],T_PlannedOrders[Part Name],$A947,T_PlannedOrders[WeekIndex],100)&amp;" ("&amp;TEXT(SUMPRODUCT(MAX((T_PlannedOrders[Part Name]=$A947)*(T_PlannedOrders[WeekIndex]=100)*(T_PlannedOrders[EffectiveQty]&gt;0)*T_PlannedOrders[Order_Month])),"m月")&amp;"発注)")</f>
        <v/>
      </c>
      <c r="CZ973">
        <f>IF(SUMIFS(T_PlannedOrders[EffectiveQty],T_PlannedOrders[Part Name],$A947,T_PlannedOrders[WeekIndex],101)=0,"",SUMIFS(T_PlannedOrders[EffectiveQty],T_PlannedOrders[Part Name],$A947,T_PlannedOrders[WeekIndex],101)&amp;" ("&amp;TEXT(SUMPRODUCT(MAX((T_PlannedOrders[Part Name]=$A947)*(T_PlannedOrders[WeekIndex]=101)*(T_PlannedOrders[EffectiveQty]&gt;0)*T_PlannedOrders[Order_Month])),"m月")&amp;"発注)")</f>
        <v/>
      </c>
      <c r="DA973">
        <f>IF(SUMIFS(T_PlannedOrders[EffectiveQty],T_PlannedOrders[Part Name],$A947,T_PlannedOrders[WeekIndex],102)=0,"",SUMIFS(T_PlannedOrders[EffectiveQty],T_PlannedOrders[Part Name],$A947,T_PlannedOrders[WeekIndex],102)&amp;" ("&amp;TEXT(SUMPRODUCT(MAX((T_PlannedOrders[Part Name]=$A947)*(T_PlannedOrders[WeekIndex]=102)*(T_PlannedOrders[EffectiveQty]&gt;0)*T_PlannedOrders[Order_Month])),"m月")&amp;"発注)")</f>
        <v/>
      </c>
      <c r="DB973">
        <f>IF(SUMIFS(T_PlannedOrders[EffectiveQty],T_PlannedOrders[Part Name],$A947,T_PlannedOrders[WeekIndex],103)=0,"",SUMIFS(T_PlannedOrders[EffectiveQty],T_PlannedOrders[Part Name],$A947,T_PlannedOrders[WeekIndex],103)&amp;" ("&amp;TEXT(SUMPRODUCT(MAX((T_PlannedOrders[Part Name]=$A947)*(T_PlannedOrders[WeekIndex]=103)*(T_PlannedOrders[EffectiveQty]&gt;0)*T_PlannedOrders[Order_Month])),"m月")&amp;"発注)")</f>
        <v/>
      </c>
      <c r="DC973">
        <f>IF(SUMIFS(T_PlannedOrders[EffectiveQty],T_PlannedOrders[Part Name],$A947,T_PlannedOrders[WeekIndex],104)=0,"",SUMIFS(T_PlannedOrders[EffectiveQty],T_PlannedOrders[Part Name],$A947,T_PlannedOrders[WeekIndex],104)&amp;" ("&amp;TEXT(SUMPRODUCT(MAX((T_PlannedOrders[Part Name]=$A947)*(T_PlannedOrders[WeekIndex]=104)*(T_PlannedOrders[EffectiveQty]&gt;0)*T_PlannedOrders[Order_Month])),"m月")&amp;"発注)")</f>
        <v/>
      </c>
    </row>
    <row r="974">
      <c r="B974" s="5" t="inlineStr">
        <is>
          <t>合計在庫(週末時点,kg)</t>
        </is>
      </c>
      <c r="D974">
        <f>'Grid_Stock'!B50</f>
        <v/>
      </c>
      <c r="E974">
        <f>'Grid_Stock'!C50</f>
        <v/>
      </c>
      <c r="F974">
        <f>'Grid_Stock'!D50</f>
        <v/>
      </c>
      <c r="G974">
        <f>'Grid_Stock'!E50</f>
        <v/>
      </c>
      <c r="H974">
        <f>'Grid_Stock'!F50</f>
        <v/>
      </c>
      <c r="I974">
        <f>'Grid_Stock'!G50</f>
        <v/>
      </c>
      <c r="J974">
        <f>'Grid_Stock'!H50</f>
        <v/>
      </c>
      <c r="K974">
        <f>'Grid_Stock'!I50</f>
        <v/>
      </c>
      <c r="L974">
        <f>'Grid_Stock'!J50</f>
        <v/>
      </c>
      <c r="M974">
        <f>'Grid_Stock'!K50</f>
        <v/>
      </c>
      <c r="N974">
        <f>'Grid_Stock'!L50</f>
        <v/>
      </c>
      <c r="O974">
        <f>'Grid_Stock'!M50</f>
        <v/>
      </c>
      <c r="P974">
        <f>'Grid_Stock'!N50</f>
        <v/>
      </c>
      <c r="Q974">
        <f>'Grid_Stock'!O50</f>
        <v/>
      </c>
      <c r="R974">
        <f>'Grid_Stock'!P50</f>
        <v/>
      </c>
      <c r="S974">
        <f>'Grid_Stock'!Q50</f>
        <v/>
      </c>
      <c r="T974">
        <f>'Grid_Stock'!R50</f>
        <v/>
      </c>
      <c r="U974">
        <f>'Grid_Stock'!S50</f>
        <v/>
      </c>
      <c r="V974">
        <f>'Grid_Stock'!T50</f>
        <v/>
      </c>
      <c r="W974">
        <f>'Grid_Stock'!U50</f>
        <v/>
      </c>
      <c r="X974">
        <f>'Grid_Stock'!V50</f>
        <v/>
      </c>
      <c r="Y974">
        <f>'Grid_Stock'!W50</f>
        <v/>
      </c>
      <c r="Z974">
        <f>'Grid_Stock'!X50</f>
        <v/>
      </c>
      <c r="AA974">
        <f>'Grid_Stock'!Y50</f>
        <v/>
      </c>
      <c r="AB974">
        <f>'Grid_Stock'!Z50</f>
        <v/>
      </c>
      <c r="AC974">
        <f>'Grid_Stock'!AA50</f>
        <v/>
      </c>
      <c r="AD974">
        <f>'Grid_Stock'!AB50</f>
        <v/>
      </c>
      <c r="AE974">
        <f>'Grid_Stock'!AC50</f>
        <v/>
      </c>
      <c r="AF974">
        <f>'Grid_Stock'!AD50</f>
        <v/>
      </c>
      <c r="AG974">
        <f>'Grid_Stock'!AE50</f>
        <v/>
      </c>
      <c r="AH974">
        <f>'Grid_Stock'!AF50</f>
        <v/>
      </c>
      <c r="AI974">
        <f>'Grid_Stock'!AG50</f>
        <v/>
      </c>
      <c r="AJ974">
        <f>'Grid_Stock'!AH50</f>
        <v/>
      </c>
      <c r="AK974">
        <f>'Grid_Stock'!AI50</f>
        <v/>
      </c>
      <c r="AL974">
        <f>'Grid_Stock'!AJ50</f>
        <v/>
      </c>
      <c r="AM974">
        <f>'Grid_Stock'!AK50</f>
        <v/>
      </c>
      <c r="AN974">
        <f>'Grid_Stock'!AL50</f>
        <v/>
      </c>
      <c r="AO974">
        <f>'Grid_Stock'!AM50</f>
        <v/>
      </c>
      <c r="AP974">
        <f>'Grid_Stock'!AN50</f>
        <v/>
      </c>
      <c r="AQ974">
        <f>'Grid_Stock'!AO50</f>
        <v/>
      </c>
      <c r="AR974">
        <f>'Grid_Stock'!AP50</f>
        <v/>
      </c>
      <c r="AS974">
        <f>'Grid_Stock'!AQ50</f>
        <v/>
      </c>
      <c r="AT974">
        <f>'Grid_Stock'!AR50</f>
        <v/>
      </c>
      <c r="AU974">
        <f>'Grid_Stock'!AS50</f>
        <v/>
      </c>
      <c r="AV974">
        <f>'Grid_Stock'!AT50</f>
        <v/>
      </c>
      <c r="AW974">
        <f>'Grid_Stock'!AU50</f>
        <v/>
      </c>
      <c r="AX974">
        <f>'Grid_Stock'!AV50</f>
        <v/>
      </c>
      <c r="AY974">
        <f>'Grid_Stock'!AW50</f>
        <v/>
      </c>
      <c r="AZ974">
        <f>'Grid_Stock'!AX50</f>
        <v/>
      </c>
      <c r="BA974">
        <f>'Grid_Stock'!AY50</f>
        <v/>
      </c>
      <c r="BB974">
        <f>'Grid_Stock'!AZ50</f>
        <v/>
      </c>
      <c r="BC974">
        <f>'Grid_Stock'!BA50</f>
        <v/>
      </c>
      <c r="BD974">
        <f>'Grid_Stock'!BB50</f>
        <v/>
      </c>
      <c r="BE974">
        <f>'Grid_Stock'!BC50</f>
        <v/>
      </c>
      <c r="BF974">
        <f>'Grid_Stock'!BD50</f>
        <v/>
      </c>
      <c r="BG974">
        <f>'Grid_Stock'!BE50</f>
        <v/>
      </c>
      <c r="BH974">
        <f>'Grid_Stock'!BF50</f>
        <v/>
      </c>
      <c r="BI974">
        <f>'Grid_Stock'!BG50</f>
        <v/>
      </c>
      <c r="BJ974">
        <f>'Grid_Stock'!BH50</f>
        <v/>
      </c>
      <c r="BK974">
        <f>'Grid_Stock'!BI50</f>
        <v/>
      </c>
      <c r="BL974">
        <f>'Grid_Stock'!BJ50</f>
        <v/>
      </c>
      <c r="BM974">
        <f>'Grid_Stock'!BK50</f>
        <v/>
      </c>
      <c r="BN974">
        <f>'Grid_Stock'!BL50</f>
        <v/>
      </c>
      <c r="BO974">
        <f>'Grid_Stock'!BM50</f>
        <v/>
      </c>
      <c r="BP974">
        <f>'Grid_Stock'!BN50</f>
        <v/>
      </c>
      <c r="BQ974">
        <f>'Grid_Stock'!BO50</f>
        <v/>
      </c>
      <c r="BR974">
        <f>'Grid_Stock'!BP50</f>
        <v/>
      </c>
      <c r="BS974">
        <f>'Grid_Stock'!BQ50</f>
        <v/>
      </c>
      <c r="BT974">
        <f>'Grid_Stock'!BR50</f>
        <v/>
      </c>
      <c r="BU974">
        <f>'Grid_Stock'!BS50</f>
        <v/>
      </c>
      <c r="BV974">
        <f>'Grid_Stock'!BT50</f>
        <v/>
      </c>
      <c r="BW974">
        <f>'Grid_Stock'!BU50</f>
        <v/>
      </c>
      <c r="BX974">
        <f>'Grid_Stock'!BV50</f>
        <v/>
      </c>
      <c r="BY974">
        <f>'Grid_Stock'!BW50</f>
        <v/>
      </c>
      <c r="BZ974">
        <f>'Grid_Stock'!BX50</f>
        <v/>
      </c>
      <c r="CA974">
        <f>'Grid_Stock'!BY50</f>
        <v/>
      </c>
      <c r="CB974">
        <f>'Grid_Stock'!BZ50</f>
        <v/>
      </c>
      <c r="CC974">
        <f>'Grid_Stock'!CA50</f>
        <v/>
      </c>
      <c r="CD974">
        <f>'Grid_Stock'!CB50</f>
        <v/>
      </c>
      <c r="CE974">
        <f>'Grid_Stock'!CC50</f>
        <v/>
      </c>
      <c r="CF974">
        <f>'Grid_Stock'!CD50</f>
        <v/>
      </c>
      <c r="CG974">
        <f>'Grid_Stock'!CE50</f>
        <v/>
      </c>
      <c r="CH974">
        <f>'Grid_Stock'!CF50</f>
        <v/>
      </c>
      <c r="CI974">
        <f>'Grid_Stock'!CG50</f>
        <v/>
      </c>
      <c r="CJ974">
        <f>'Grid_Stock'!CH50</f>
        <v/>
      </c>
      <c r="CK974">
        <f>'Grid_Stock'!CI50</f>
        <v/>
      </c>
      <c r="CL974">
        <f>'Grid_Stock'!CJ50</f>
        <v/>
      </c>
      <c r="CM974">
        <f>'Grid_Stock'!CK50</f>
        <v/>
      </c>
      <c r="CN974">
        <f>'Grid_Stock'!CL50</f>
        <v/>
      </c>
      <c r="CO974">
        <f>'Grid_Stock'!CM50</f>
        <v/>
      </c>
      <c r="CP974">
        <f>'Grid_Stock'!CN50</f>
        <v/>
      </c>
      <c r="CQ974">
        <f>'Grid_Stock'!CO50</f>
        <v/>
      </c>
      <c r="CR974">
        <f>'Grid_Stock'!CP50</f>
        <v/>
      </c>
      <c r="CS974">
        <f>'Grid_Stock'!CQ50</f>
        <v/>
      </c>
      <c r="CT974">
        <f>'Grid_Stock'!CR50</f>
        <v/>
      </c>
      <c r="CU974">
        <f>'Grid_Stock'!CS50</f>
        <v/>
      </c>
      <c r="CV974">
        <f>'Grid_Stock'!CT50</f>
        <v/>
      </c>
      <c r="CW974">
        <f>'Grid_Stock'!CU50</f>
        <v/>
      </c>
      <c r="CX974">
        <f>'Grid_Stock'!CV50</f>
        <v/>
      </c>
      <c r="CY974">
        <f>'Grid_Stock'!CW50</f>
        <v/>
      </c>
      <c r="CZ974">
        <f>'Grid_Stock'!CX50</f>
        <v/>
      </c>
      <c r="DA974">
        <f>'Grid_Stock'!CY50</f>
        <v/>
      </c>
      <c r="DB974">
        <f>'Grid_Stock'!CZ50</f>
        <v/>
      </c>
      <c r="DC974">
        <f>'Grid_Stock'!DA50</f>
        <v/>
      </c>
    </row>
    <row r="975">
      <c r="B975" s="23" t="inlineStr">
        <is>
          <t>（発注の目安はDashboardの基準在庫[下限/上限]と色分けを参照）</t>
        </is>
      </c>
    </row>
    <row r="977">
      <c r="A977" s="21" t="inlineStr">
        <is>
          <t>CHEM-1670</t>
        </is>
      </c>
      <c r="B977" s="21" t="inlineStr">
        <is>
          <t>Alesper 1065</t>
        </is>
      </c>
      <c r="C977" s="22" t="n"/>
      <c r="D977" s="21" t="n"/>
      <c r="E977" s="21" t="n"/>
      <c r="F977" s="21" t="n"/>
      <c r="G977" s="21" t="n"/>
      <c r="H977" s="21" t="n"/>
      <c r="I977" s="21" t="n"/>
      <c r="J977" s="21" t="n"/>
      <c r="K977" s="21" t="n"/>
      <c r="L977" s="21" t="n"/>
      <c r="M977" s="21" t="n"/>
      <c r="N977" s="21" t="n"/>
      <c r="O977" s="21" t="n"/>
      <c r="P977" s="21" t="n"/>
      <c r="Q977" s="21" t="n"/>
      <c r="R977" s="21" t="n"/>
      <c r="S977" s="21" t="n"/>
      <c r="T977" s="21" t="n"/>
      <c r="U977" s="21" t="n"/>
      <c r="V977" s="21" t="n"/>
      <c r="W977" s="21" t="n"/>
      <c r="X977" s="21" t="n"/>
      <c r="Y977" s="21" t="n"/>
      <c r="Z977" s="21" t="n"/>
      <c r="AA977" s="21" t="n"/>
      <c r="AB977" s="21" t="n"/>
      <c r="AC977" s="21" t="n"/>
      <c r="AD977" s="21" t="n"/>
      <c r="AE977" s="21" t="n"/>
      <c r="AF977" s="21" t="n"/>
      <c r="AG977" s="21" t="n"/>
      <c r="AH977" s="21" t="n"/>
      <c r="AI977" s="21" t="n"/>
      <c r="AJ977" s="21" t="n"/>
      <c r="AK977" s="21" t="n"/>
      <c r="AL977" s="21" t="n"/>
      <c r="AM977" s="21" t="n"/>
      <c r="AN977" s="21" t="n"/>
      <c r="AO977" s="21" t="n"/>
      <c r="AP977" s="21" t="n"/>
      <c r="AQ977" s="21" t="n"/>
      <c r="AR977" s="21" t="n"/>
      <c r="AS977" s="21" t="n"/>
      <c r="AT977" s="21" t="n"/>
      <c r="AU977" s="21" t="n"/>
      <c r="AV977" s="21" t="n"/>
      <c r="AW977" s="21" t="n"/>
      <c r="AX977" s="21" t="n"/>
      <c r="AY977" s="21" t="n"/>
      <c r="AZ977" s="21" t="n"/>
      <c r="BA977" s="21" t="n"/>
      <c r="BB977" s="21" t="n"/>
      <c r="BC977" s="21" t="n"/>
      <c r="BD977" s="21" t="n"/>
      <c r="BE977" s="21" t="n"/>
      <c r="BF977" s="21" t="n"/>
      <c r="BG977" s="21" t="n"/>
      <c r="BH977" s="21" t="n"/>
      <c r="BI977" s="21" t="n"/>
      <c r="BJ977" s="21" t="n"/>
      <c r="BK977" s="21" t="n"/>
      <c r="BL977" s="21" t="n"/>
      <c r="BM977" s="21" t="n"/>
      <c r="BN977" s="21" t="n"/>
      <c r="BO977" s="21" t="n"/>
      <c r="BP977" s="21" t="n"/>
      <c r="BQ977" s="21" t="n"/>
      <c r="BR977" s="21" t="n"/>
      <c r="BS977" s="21" t="n"/>
      <c r="BT977" s="21" t="n"/>
      <c r="BU977" s="21" t="n"/>
      <c r="BV977" s="21" t="n"/>
      <c r="BW977" s="21" t="n"/>
      <c r="BX977" s="21" t="n"/>
      <c r="BY977" s="21" t="n"/>
      <c r="BZ977" s="21" t="n"/>
      <c r="CA977" s="21" t="n"/>
      <c r="CB977" s="21" t="n"/>
      <c r="CC977" s="21" t="n"/>
      <c r="CD977" s="21" t="n"/>
      <c r="CE977" s="21" t="n"/>
      <c r="CF977" s="21" t="n"/>
      <c r="CG977" s="21" t="n"/>
      <c r="CH977" s="21" t="n"/>
      <c r="CI977" s="21" t="n"/>
      <c r="CJ977" s="21" t="n"/>
      <c r="CK977" s="21" t="n"/>
      <c r="CL977" s="21" t="n"/>
      <c r="CM977" s="21" t="n"/>
      <c r="CN977" s="21" t="n"/>
      <c r="CO977" s="21" t="n"/>
      <c r="CP977" s="21" t="n"/>
      <c r="CQ977" s="21" t="n"/>
      <c r="CR977" s="21" t="n"/>
      <c r="CS977" s="21" t="n"/>
      <c r="CT977" s="21" t="n"/>
      <c r="CU977" s="21" t="n"/>
      <c r="CV977" s="21" t="n"/>
      <c r="CW977" s="21" t="n"/>
      <c r="CX977" s="21" t="n"/>
      <c r="CY977" s="21" t="n"/>
      <c r="CZ977" s="21" t="n"/>
      <c r="DA977" s="21" t="n"/>
      <c r="DB977" s="21" t="n"/>
      <c r="DC977" s="21" t="n"/>
    </row>
    <row r="978">
      <c r="B978" t="inlineStr">
        <is>
          <t>TSP-1444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Name],$A977)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TSP-1445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12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Name],$A977)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TSP-1446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12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Name],$A977)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TSP-1499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12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Name],$A977)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TSP-1555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12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Name],$A977)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TSP-558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12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Name],$A977)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TSP-903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12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Name],$A977)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s="5" t="inlineStr">
        <is>
          <t>合計使用量(kg)/週</t>
        </is>
      </c>
      <c r="D992">
        <f>'Grid_Requirement'!B22</f>
        <v/>
      </c>
      <c r="E992">
        <f>'Grid_Requirement'!C22</f>
        <v/>
      </c>
      <c r="F992">
        <f>'Grid_Requirement'!D22</f>
        <v/>
      </c>
      <c r="G992">
        <f>'Grid_Requirement'!E22</f>
        <v/>
      </c>
      <c r="H992">
        <f>'Grid_Requirement'!F22</f>
        <v/>
      </c>
      <c r="I992">
        <f>'Grid_Requirement'!G22</f>
        <v/>
      </c>
      <c r="J992">
        <f>'Grid_Requirement'!H22</f>
        <v/>
      </c>
      <c r="K992">
        <f>'Grid_Requirement'!I22</f>
        <v/>
      </c>
      <c r="L992">
        <f>'Grid_Requirement'!J22</f>
        <v/>
      </c>
      <c r="M992">
        <f>'Grid_Requirement'!K22</f>
        <v/>
      </c>
      <c r="N992">
        <f>'Grid_Requirement'!L22</f>
        <v/>
      </c>
      <c r="O992">
        <f>'Grid_Requirement'!M22</f>
        <v/>
      </c>
      <c r="P992">
        <f>'Grid_Requirement'!N22</f>
        <v/>
      </c>
      <c r="Q992">
        <f>'Grid_Requirement'!O22</f>
        <v/>
      </c>
      <c r="R992">
        <f>'Grid_Requirement'!P22</f>
        <v/>
      </c>
      <c r="S992">
        <f>'Grid_Requirement'!Q22</f>
        <v/>
      </c>
      <c r="T992">
        <f>'Grid_Requirement'!R22</f>
        <v/>
      </c>
      <c r="U992">
        <f>'Grid_Requirement'!S22</f>
        <v/>
      </c>
      <c r="V992">
        <f>'Grid_Requirement'!T22</f>
        <v/>
      </c>
      <c r="W992">
        <f>'Grid_Requirement'!U22</f>
        <v/>
      </c>
      <c r="X992">
        <f>'Grid_Requirement'!V22</f>
        <v/>
      </c>
      <c r="Y992">
        <f>'Grid_Requirement'!W22</f>
        <v/>
      </c>
      <c r="Z992">
        <f>'Grid_Requirement'!X22</f>
        <v/>
      </c>
      <c r="AA992">
        <f>'Grid_Requirement'!Y22</f>
        <v/>
      </c>
      <c r="AB992">
        <f>'Grid_Requirement'!Z22</f>
        <v/>
      </c>
      <c r="AC992">
        <f>'Grid_Requirement'!AA22</f>
        <v/>
      </c>
      <c r="AD992">
        <f>'Grid_Requirement'!AB22</f>
        <v/>
      </c>
      <c r="AE992">
        <f>'Grid_Requirement'!AC22</f>
        <v/>
      </c>
      <c r="AF992">
        <f>'Grid_Requirement'!AD22</f>
        <v/>
      </c>
      <c r="AG992">
        <f>'Grid_Requirement'!AE22</f>
        <v/>
      </c>
      <c r="AH992">
        <f>'Grid_Requirement'!AF22</f>
        <v/>
      </c>
      <c r="AI992">
        <f>'Grid_Requirement'!AG22</f>
        <v/>
      </c>
      <c r="AJ992">
        <f>'Grid_Requirement'!AH22</f>
        <v/>
      </c>
      <c r="AK992">
        <f>'Grid_Requirement'!AI22</f>
        <v/>
      </c>
      <c r="AL992">
        <f>'Grid_Requirement'!AJ22</f>
        <v/>
      </c>
      <c r="AM992">
        <f>'Grid_Requirement'!AK22</f>
        <v/>
      </c>
      <c r="AN992">
        <f>'Grid_Requirement'!AL22</f>
        <v/>
      </c>
      <c r="AO992">
        <f>'Grid_Requirement'!AM22</f>
        <v/>
      </c>
      <c r="AP992">
        <f>'Grid_Requirement'!AN22</f>
        <v/>
      </c>
      <c r="AQ992">
        <f>'Grid_Requirement'!AO22</f>
        <v/>
      </c>
      <c r="AR992">
        <f>'Grid_Requirement'!AP22</f>
        <v/>
      </c>
      <c r="AS992">
        <f>'Grid_Requirement'!AQ22</f>
        <v/>
      </c>
      <c r="AT992">
        <f>'Grid_Requirement'!AR22</f>
        <v/>
      </c>
      <c r="AU992">
        <f>'Grid_Requirement'!AS22</f>
        <v/>
      </c>
      <c r="AV992">
        <f>'Grid_Requirement'!AT22</f>
        <v/>
      </c>
      <c r="AW992">
        <f>'Grid_Requirement'!AU22</f>
        <v/>
      </c>
      <c r="AX992">
        <f>'Grid_Requirement'!AV22</f>
        <v/>
      </c>
      <c r="AY992">
        <f>'Grid_Requirement'!AW22</f>
        <v/>
      </c>
      <c r="AZ992">
        <f>'Grid_Requirement'!AX22</f>
        <v/>
      </c>
      <c r="BA992">
        <f>'Grid_Requirement'!AY22</f>
        <v/>
      </c>
      <c r="BB992">
        <f>'Grid_Requirement'!AZ22</f>
        <v/>
      </c>
      <c r="BC992">
        <f>'Grid_Requirement'!BA22</f>
        <v/>
      </c>
      <c r="BD992">
        <f>'Grid_Requirement'!BB22</f>
        <v/>
      </c>
      <c r="BE992">
        <f>'Grid_Requirement'!BC22</f>
        <v/>
      </c>
      <c r="BF992">
        <f>'Grid_Requirement'!BD22</f>
        <v/>
      </c>
      <c r="BG992">
        <f>'Grid_Requirement'!BE22</f>
        <v/>
      </c>
      <c r="BH992">
        <f>'Grid_Requirement'!BF22</f>
        <v/>
      </c>
      <c r="BI992">
        <f>'Grid_Requirement'!BG22</f>
        <v/>
      </c>
      <c r="BJ992">
        <f>'Grid_Requirement'!BH22</f>
        <v/>
      </c>
      <c r="BK992">
        <f>'Grid_Requirement'!BI22</f>
        <v/>
      </c>
      <c r="BL992">
        <f>'Grid_Requirement'!BJ22</f>
        <v/>
      </c>
      <c r="BM992">
        <f>'Grid_Requirement'!BK22</f>
        <v/>
      </c>
      <c r="BN992">
        <f>'Grid_Requirement'!BL22</f>
        <v/>
      </c>
      <c r="BO992">
        <f>'Grid_Requirement'!BM22</f>
        <v/>
      </c>
      <c r="BP992">
        <f>'Grid_Requirement'!BN22</f>
        <v/>
      </c>
      <c r="BQ992">
        <f>'Grid_Requirement'!BO22</f>
        <v/>
      </c>
      <c r="BR992">
        <f>'Grid_Requirement'!BP22</f>
        <v/>
      </c>
      <c r="BS992">
        <f>'Grid_Requirement'!BQ22</f>
        <v/>
      </c>
      <c r="BT992">
        <f>'Grid_Requirement'!BR22</f>
        <v/>
      </c>
      <c r="BU992">
        <f>'Grid_Requirement'!BS22</f>
        <v/>
      </c>
      <c r="BV992">
        <f>'Grid_Requirement'!BT22</f>
        <v/>
      </c>
      <c r="BW992">
        <f>'Grid_Requirement'!BU22</f>
        <v/>
      </c>
      <c r="BX992">
        <f>'Grid_Requirement'!BV22</f>
        <v/>
      </c>
      <c r="BY992">
        <f>'Grid_Requirement'!BW22</f>
        <v/>
      </c>
      <c r="BZ992">
        <f>'Grid_Requirement'!BX22</f>
        <v/>
      </c>
      <c r="CA992">
        <f>'Grid_Requirement'!BY22</f>
        <v/>
      </c>
      <c r="CB992">
        <f>'Grid_Requirement'!BZ22</f>
        <v/>
      </c>
      <c r="CC992">
        <f>'Grid_Requirement'!CA22</f>
        <v/>
      </c>
      <c r="CD992">
        <f>'Grid_Requirement'!CB22</f>
        <v/>
      </c>
      <c r="CE992">
        <f>'Grid_Requirement'!CC22</f>
        <v/>
      </c>
      <c r="CF992">
        <f>'Grid_Requirement'!CD22</f>
        <v/>
      </c>
      <c r="CG992">
        <f>'Grid_Requirement'!CE22</f>
        <v/>
      </c>
      <c r="CH992">
        <f>'Grid_Requirement'!CF22</f>
        <v/>
      </c>
      <c r="CI992">
        <f>'Grid_Requirement'!CG22</f>
        <v/>
      </c>
      <c r="CJ992">
        <f>'Grid_Requirement'!CH22</f>
        <v/>
      </c>
      <c r="CK992">
        <f>'Grid_Requirement'!CI22</f>
        <v/>
      </c>
      <c r="CL992">
        <f>'Grid_Requirement'!CJ22</f>
        <v/>
      </c>
      <c r="CM992">
        <f>'Grid_Requirement'!CK22</f>
        <v/>
      </c>
      <c r="CN992">
        <f>'Grid_Requirement'!CL22</f>
        <v/>
      </c>
      <c r="CO992">
        <f>'Grid_Requirement'!CM22</f>
        <v/>
      </c>
      <c r="CP992">
        <f>'Grid_Requirement'!CN22</f>
        <v/>
      </c>
      <c r="CQ992">
        <f>'Grid_Requirement'!CO22</f>
        <v/>
      </c>
      <c r="CR992">
        <f>'Grid_Requirement'!CP22</f>
        <v/>
      </c>
      <c r="CS992">
        <f>'Grid_Requirement'!CQ22</f>
        <v/>
      </c>
      <c r="CT992">
        <f>'Grid_Requirement'!CR22</f>
        <v/>
      </c>
      <c r="CU992">
        <f>'Grid_Requirement'!CS22</f>
        <v/>
      </c>
      <c r="CV992">
        <f>'Grid_Requirement'!CT22</f>
        <v/>
      </c>
      <c r="CW992">
        <f>'Grid_Requirement'!CU22</f>
        <v/>
      </c>
      <c r="CX992">
        <f>'Grid_Requirement'!CV22</f>
        <v/>
      </c>
      <c r="CY992">
        <f>'Grid_Requirement'!CW22</f>
        <v/>
      </c>
      <c r="CZ992">
        <f>'Grid_Requirement'!CX22</f>
        <v/>
      </c>
      <c r="DA992">
        <f>'Grid_Requirement'!CY22</f>
        <v/>
      </c>
      <c r="DB992">
        <f>'Grid_Requirement'!CZ22</f>
        <v/>
      </c>
      <c r="DC992">
        <f>'Grid_Requirement'!DA22</f>
        <v/>
      </c>
    </row>
    <row r="993">
      <c r="B993" t="inlineStr">
        <is>
          <t>TTAF在庫(実績,kg)</t>
        </is>
      </c>
      <c r="D993">
        <f>'T_TTAFStock'!B26</f>
        <v/>
      </c>
      <c r="E993">
        <f>'T_TTAFStock'!C26</f>
        <v/>
      </c>
      <c r="F993">
        <f>'T_TTAFStock'!D26</f>
        <v/>
      </c>
      <c r="G993">
        <f>'T_TTAFStock'!E26</f>
        <v/>
      </c>
      <c r="H993">
        <f>'T_TTAFStock'!F26</f>
        <v/>
      </c>
      <c r="I993">
        <f>'T_TTAFStock'!G26</f>
        <v/>
      </c>
      <c r="J993">
        <f>'T_TTAFStock'!H26</f>
        <v/>
      </c>
      <c r="K993">
        <f>'T_TTAFStock'!I26</f>
        <v/>
      </c>
      <c r="L993">
        <f>'T_TTAFStock'!J26</f>
        <v/>
      </c>
      <c r="M993">
        <f>'T_TTAFStock'!K26</f>
        <v/>
      </c>
      <c r="N993">
        <f>'T_TTAFStock'!L26</f>
        <v/>
      </c>
      <c r="O993">
        <f>'T_TTAFStock'!M26</f>
        <v/>
      </c>
      <c r="P993">
        <f>'T_TTAFStock'!N26</f>
        <v/>
      </c>
      <c r="Q993">
        <f>'T_TTAFStock'!O26</f>
        <v/>
      </c>
      <c r="R993">
        <f>'T_TTAFStock'!P26</f>
        <v/>
      </c>
      <c r="S993">
        <f>'T_TTAFStock'!Q26</f>
        <v/>
      </c>
      <c r="T993">
        <f>'T_TTAFStock'!R26</f>
        <v/>
      </c>
      <c r="U993">
        <f>'T_TTAFStock'!S26</f>
        <v/>
      </c>
      <c r="V993">
        <f>'T_TTAFStock'!T26</f>
        <v/>
      </c>
      <c r="W993">
        <f>'T_TTAFStock'!U26</f>
        <v/>
      </c>
      <c r="X993">
        <f>'T_TTAFStock'!V26</f>
        <v/>
      </c>
      <c r="Y993">
        <f>'T_TTAFStock'!W26</f>
        <v/>
      </c>
      <c r="Z993">
        <f>'T_TTAFStock'!X26</f>
        <v/>
      </c>
      <c r="AA993">
        <f>'T_TTAFStock'!Y26</f>
        <v/>
      </c>
      <c r="AB993">
        <f>'T_TTAFStock'!Z26</f>
        <v/>
      </c>
      <c r="AC993">
        <f>'T_TTAFStock'!AA26</f>
        <v/>
      </c>
      <c r="AD993">
        <f>'T_TTAFStock'!AB26</f>
        <v/>
      </c>
      <c r="AE993">
        <f>'T_TTAFStock'!AC26</f>
        <v/>
      </c>
      <c r="AF993">
        <f>'T_TTAFStock'!AD26</f>
        <v/>
      </c>
      <c r="AG993">
        <f>'T_TTAFStock'!AE26</f>
        <v/>
      </c>
      <c r="AH993">
        <f>'T_TTAFStock'!AF26</f>
        <v/>
      </c>
      <c r="AI993">
        <f>'T_TTAFStock'!AG26</f>
        <v/>
      </c>
      <c r="AJ993">
        <f>'T_TTAFStock'!AH26</f>
        <v/>
      </c>
      <c r="AK993">
        <f>'T_TTAFStock'!AI26</f>
        <v/>
      </c>
      <c r="AL993">
        <f>'T_TTAFStock'!AJ26</f>
        <v/>
      </c>
      <c r="AM993">
        <f>'T_TTAFStock'!AK26</f>
        <v/>
      </c>
      <c r="AN993">
        <f>'T_TTAFStock'!AL26</f>
        <v/>
      </c>
      <c r="AO993">
        <f>'T_TTAFStock'!AM26</f>
        <v/>
      </c>
      <c r="AP993">
        <f>'T_TTAFStock'!AN26</f>
        <v/>
      </c>
      <c r="AQ993">
        <f>'T_TTAFStock'!AO26</f>
        <v/>
      </c>
      <c r="AR993">
        <f>'T_TTAFStock'!AP26</f>
        <v/>
      </c>
      <c r="AS993">
        <f>'T_TTAFStock'!AQ26</f>
        <v/>
      </c>
      <c r="AT993">
        <f>'T_TTAFStock'!AR26</f>
        <v/>
      </c>
      <c r="AU993">
        <f>'T_TTAFStock'!AS26</f>
        <v/>
      </c>
      <c r="AV993">
        <f>'T_TTAFStock'!AT26</f>
        <v/>
      </c>
      <c r="AW993">
        <f>'T_TTAFStock'!AU26</f>
        <v/>
      </c>
      <c r="AX993">
        <f>'T_TTAFStock'!AV26</f>
        <v/>
      </c>
      <c r="AY993">
        <f>'T_TTAFStock'!AW26</f>
        <v/>
      </c>
      <c r="AZ993">
        <f>'T_TTAFStock'!AX26</f>
        <v/>
      </c>
      <c r="BA993">
        <f>'T_TTAFStock'!AY26</f>
        <v/>
      </c>
      <c r="BB993">
        <f>'T_TTAFStock'!AZ26</f>
        <v/>
      </c>
      <c r="BC993">
        <f>'T_TTAFStock'!BA26</f>
        <v/>
      </c>
      <c r="BD993">
        <f>'T_TTAFStock'!BB26</f>
        <v/>
      </c>
      <c r="BE993">
        <f>'T_TTAFStock'!BC26</f>
        <v/>
      </c>
      <c r="BF993">
        <f>'T_TTAFStock'!BD26</f>
        <v/>
      </c>
      <c r="BG993">
        <f>'T_TTAFStock'!BE26</f>
        <v/>
      </c>
      <c r="BH993">
        <f>'T_TTAFStock'!BF26</f>
        <v/>
      </c>
      <c r="BI993">
        <f>'T_TTAFStock'!BG26</f>
        <v/>
      </c>
      <c r="BJ993">
        <f>'T_TTAFStock'!BH26</f>
        <v/>
      </c>
      <c r="BK993">
        <f>'T_TTAFStock'!BI26</f>
        <v/>
      </c>
      <c r="BL993">
        <f>'T_TTAFStock'!BJ26</f>
        <v/>
      </c>
      <c r="BM993">
        <f>'T_TTAFStock'!BK26</f>
        <v/>
      </c>
      <c r="BN993">
        <f>'T_TTAFStock'!BL26</f>
        <v/>
      </c>
      <c r="BO993">
        <f>'T_TTAFStock'!BM26</f>
        <v/>
      </c>
      <c r="BP993">
        <f>'T_TTAFStock'!BN26</f>
        <v/>
      </c>
      <c r="BQ993">
        <f>'T_TTAFStock'!BO26</f>
        <v/>
      </c>
      <c r="BR993">
        <f>'T_TTAFStock'!BP26</f>
        <v/>
      </c>
      <c r="BS993">
        <f>'T_TTAFStock'!BQ26</f>
        <v/>
      </c>
      <c r="BT993">
        <f>'T_TTAFStock'!BR26</f>
        <v/>
      </c>
      <c r="BU993">
        <f>'T_TTAFStock'!BS26</f>
        <v/>
      </c>
      <c r="BV993">
        <f>'T_TTAFStock'!BT26</f>
        <v/>
      </c>
      <c r="BW993">
        <f>'T_TTAFStock'!BU26</f>
        <v/>
      </c>
      <c r="BX993">
        <f>'T_TTAFStock'!BV26</f>
        <v/>
      </c>
      <c r="BY993">
        <f>'T_TTAFStock'!BW26</f>
        <v/>
      </c>
      <c r="BZ993">
        <f>'T_TTAFStock'!BX26</f>
        <v/>
      </c>
      <c r="CA993">
        <f>'T_TTAFStock'!BY26</f>
        <v/>
      </c>
      <c r="CB993">
        <f>'T_TTAFStock'!BZ26</f>
        <v/>
      </c>
      <c r="CC993">
        <f>'T_TTAFStock'!CA26</f>
        <v/>
      </c>
      <c r="CD993">
        <f>'T_TTAFStock'!CB26</f>
        <v/>
      </c>
      <c r="CE993">
        <f>'T_TTAFStock'!CC26</f>
        <v/>
      </c>
      <c r="CF993">
        <f>'T_TTAFStock'!CD26</f>
        <v/>
      </c>
      <c r="CG993">
        <f>'T_TTAFStock'!CE26</f>
        <v/>
      </c>
      <c r="CH993">
        <f>'T_TTAFStock'!CF26</f>
        <v/>
      </c>
      <c r="CI993">
        <f>'T_TTAFStock'!CG26</f>
        <v/>
      </c>
      <c r="CJ993">
        <f>'T_TTAFStock'!CH26</f>
        <v/>
      </c>
      <c r="CK993">
        <f>'T_TTAFStock'!CI26</f>
        <v/>
      </c>
      <c r="CL993">
        <f>'T_TTAFStock'!CJ26</f>
        <v/>
      </c>
      <c r="CM993">
        <f>'T_TTAFStock'!CK26</f>
        <v/>
      </c>
      <c r="CN993">
        <f>'T_TTAFStock'!CL26</f>
        <v/>
      </c>
      <c r="CO993">
        <f>'T_TTAFStock'!CM26</f>
        <v/>
      </c>
      <c r="CP993">
        <f>'T_TTAFStock'!CN26</f>
        <v/>
      </c>
      <c r="CQ993">
        <f>'T_TTAFStock'!CO26</f>
        <v/>
      </c>
      <c r="CR993">
        <f>'T_TTAFStock'!CP26</f>
        <v/>
      </c>
      <c r="CS993">
        <f>'T_TTAFStock'!CQ26</f>
        <v/>
      </c>
      <c r="CT993">
        <f>'T_TTAFStock'!CR26</f>
        <v/>
      </c>
      <c r="CU993">
        <f>'T_TTAFStock'!CS26</f>
        <v/>
      </c>
      <c r="CV993">
        <f>'T_TTAFStock'!CT26</f>
        <v/>
      </c>
      <c r="CW993">
        <f>'T_TTAFStock'!CU26</f>
        <v/>
      </c>
      <c r="CX993">
        <f>'T_TTAFStock'!CV26</f>
        <v/>
      </c>
      <c r="CY993">
        <f>'T_TTAFStock'!CW26</f>
        <v/>
      </c>
      <c r="CZ993">
        <f>'T_TTAFStock'!CX26</f>
        <v/>
      </c>
      <c r="DA993">
        <f>'T_TTAFStock'!CY26</f>
        <v/>
      </c>
      <c r="DB993">
        <f>'T_TTAFStock'!CZ26</f>
        <v/>
      </c>
      <c r="DC993">
        <f>'T_TTAFStock'!DA26</f>
        <v/>
      </c>
    </row>
    <row r="994">
      <c r="B994" t="inlineStr">
        <is>
          <t>自社在庫(実績,kg)</t>
        </is>
      </c>
      <c r="D994">
        <f>'T_SelfStock'!B26</f>
        <v/>
      </c>
      <c r="E994">
        <f>'T_SelfStock'!C26</f>
        <v/>
      </c>
      <c r="F994">
        <f>'T_SelfStock'!D26</f>
        <v/>
      </c>
      <c r="G994">
        <f>'T_SelfStock'!E26</f>
        <v/>
      </c>
      <c r="H994">
        <f>'T_SelfStock'!F26</f>
        <v/>
      </c>
      <c r="I994">
        <f>'T_SelfStock'!G26</f>
        <v/>
      </c>
      <c r="J994">
        <f>'T_SelfStock'!H26</f>
        <v/>
      </c>
      <c r="K994">
        <f>'T_SelfStock'!I26</f>
        <v/>
      </c>
      <c r="L994">
        <f>'T_SelfStock'!J26</f>
        <v/>
      </c>
      <c r="M994">
        <f>'T_SelfStock'!K26</f>
        <v/>
      </c>
      <c r="N994">
        <f>'T_SelfStock'!L26</f>
        <v/>
      </c>
      <c r="O994">
        <f>'T_SelfStock'!M26</f>
        <v/>
      </c>
      <c r="P994">
        <f>'T_SelfStock'!N26</f>
        <v/>
      </c>
      <c r="Q994">
        <f>'T_SelfStock'!O26</f>
        <v/>
      </c>
      <c r="R994">
        <f>'T_SelfStock'!P26</f>
        <v/>
      </c>
      <c r="S994">
        <f>'T_SelfStock'!Q26</f>
        <v/>
      </c>
      <c r="T994">
        <f>'T_SelfStock'!R26</f>
        <v/>
      </c>
      <c r="U994">
        <f>'T_SelfStock'!S26</f>
        <v/>
      </c>
      <c r="V994">
        <f>'T_SelfStock'!T26</f>
        <v/>
      </c>
      <c r="W994">
        <f>'T_SelfStock'!U26</f>
        <v/>
      </c>
      <c r="X994">
        <f>'T_SelfStock'!V26</f>
        <v/>
      </c>
      <c r="Y994">
        <f>'T_SelfStock'!W26</f>
        <v/>
      </c>
      <c r="Z994">
        <f>'T_SelfStock'!X26</f>
        <v/>
      </c>
      <c r="AA994">
        <f>'T_SelfStock'!Y26</f>
        <v/>
      </c>
      <c r="AB994">
        <f>'T_SelfStock'!Z26</f>
        <v/>
      </c>
      <c r="AC994">
        <f>'T_SelfStock'!AA26</f>
        <v/>
      </c>
      <c r="AD994">
        <f>'T_SelfStock'!AB26</f>
        <v/>
      </c>
      <c r="AE994">
        <f>'T_SelfStock'!AC26</f>
        <v/>
      </c>
      <c r="AF994">
        <f>'T_SelfStock'!AD26</f>
        <v/>
      </c>
      <c r="AG994">
        <f>'T_SelfStock'!AE26</f>
        <v/>
      </c>
      <c r="AH994">
        <f>'T_SelfStock'!AF26</f>
        <v/>
      </c>
      <c r="AI994">
        <f>'T_SelfStock'!AG26</f>
        <v/>
      </c>
      <c r="AJ994">
        <f>'T_SelfStock'!AH26</f>
        <v/>
      </c>
      <c r="AK994">
        <f>'T_SelfStock'!AI26</f>
        <v/>
      </c>
      <c r="AL994">
        <f>'T_SelfStock'!AJ26</f>
        <v/>
      </c>
      <c r="AM994">
        <f>'T_SelfStock'!AK26</f>
        <v/>
      </c>
      <c r="AN994">
        <f>'T_SelfStock'!AL26</f>
        <v/>
      </c>
      <c r="AO994">
        <f>'T_SelfStock'!AM26</f>
        <v/>
      </c>
      <c r="AP994">
        <f>'T_SelfStock'!AN26</f>
        <v/>
      </c>
      <c r="AQ994">
        <f>'T_SelfStock'!AO26</f>
        <v/>
      </c>
      <c r="AR994">
        <f>'T_SelfStock'!AP26</f>
        <v/>
      </c>
      <c r="AS994">
        <f>'T_SelfStock'!AQ26</f>
        <v/>
      </c>
      <c r="AT994">
        <f>'T_SelfStock'!AR26</f>
        <v/>
      </c>
      <c r="AU994">
        <f>'T_SelfStock'!AS26</f>
        <v/>
      </c>
      <c r="AV994">
        <f>'T_SelfStock'!AT26</f>
        <v/>
      </c>
      <c r="AW994">
        <f>'T_SelfStock'!AU26</f>
        <v/>
      </c>
      <c r="AX994">
        <f>'T_SelfStock'!AV26</f>
        <v/>
      </c>
      <c r="AY994">
        <f>'T_SelfStock'!AW26</f>
        <v/>
      </c>
      <c r="AZ994">
        <f>'T_SelfStock'!AX26</f>
        <v/>
      </c>
      <c r="BA994">
        <f>'T_SelfStock'!AY26</f>
        <v/>
      </c>
      <c r="BB994">
        <f>'T_SelfStock'!AZ26</f>
        <v/>
      </c>
      <c r="BC994">
        <f>'T_SelfStock'!BA26</f>
        <v/>
      </c>
      <c r="BD994">
        <f>'T_SelfStock'!BB26</f>
        <v/>
      </c>
      <c r="BE994">
        <f>'T_SelfStock'!BC26</f>
        <v/>
      </c>
      <c r="BF994">
        <f>'T_SelfStock'!BD26</f>
        <v/>
      </c>
      <c r="BG994">
        <f>'T_SelfStock'!BE26</f>
        <v/>
      </c>
      <c r="BH994">
        <f>'T_SelfStock'!BF26</f>
        <v/>
      </c>
      <c r="BI994">
        <f>'T_SelfStock'!BG26</f>
        <v/>
      </c>
      <c r="BJ994">
        <f>'T_SelfStock'!BH26</f>
        <v/>
      </c>
      <c r="BK994">
        <f>'T_SelfStock'!BI26</f>
        <v/>
      </c>
      <c r="BL994">
        <f>'T_SelfStock'!BJ26</f>
        <v/>
      </c>
      <c r="BM994">
        <f>'T_SelfStock'!BK26</f>
        <v/>
      </c>
      <c r="BN994">
        <f>'T_SelfStock'!BL26</f>
        <v/>
      </c>
      <c r="BO994">
        <f>'T_SelfStock'!BM26</f>
        <v/>
      </c>
      <c r="BP994">
        <f>'T_SelfStock'!BN26</f>
        <v/>
      </c>
      <c r="BQ994">
        <f>'T_SelfStock'!BO26</f>
        <v/>
      </c>
      <c r="BR994">
        <f>'T_SelfStock'!BP26</f>
        <v/>
      </c>
      <c r="BS994">
        <f>'T_SelfStock'!BQ26</f>
        <v/>
      </c>
      <c r="BT994">
        <f>'T_SelfStock'!BR26</f>
        <v/>
      </c>
      <c r="BU994">
        <f>'T_SelfStock'!BS26</f>
        <v/>
      </c>
      <c r="BV994">
        <f>'T_SelfStock'!BT26</f>
        <v/>
      </c>
      <c r="BW994">
        <f>'T_SelfStock'!BU26</f>
        <v/>
      </c>
      <c r="BX994">
        <f>'T_SelfStock'!BV26</f>
        <v/>
      </c>
      <c r="BY994">
        <f>'T_SelfStock'!BW26</f>
        <v/>
      </c>
      <c r="BZ994">
        <f>'T_SelfStock'!BX26</f>
        <v/>
      </c>
      <c r="CA994">
        <f>'T_SelfStock'!BY26</f>
        <v/>
      </c>
      <c r="CB994">
        <f>'T_SelfStock'!BZ26</f>
        <v/>
      </c>
      <c r="CC994">
        <f>'T_SelfStock'!CA26</f>
        <v/>
      </c>
      <c r="CD994">
        <f>'T_SelfStock'!CB26</f>
        <v/>
      </c>
      <c r="CE994">
        <f>'T_SelfStock'!CC26</f>
        <v/>
      </c>
      <c r="CF994">
        <f>'T_SelfStock'!CD26</f>
        <v/>
      </c>
      <c r="CG994">
        <f>'T_SelfStock'!CE26</f>
        <v/>
      </c>
      <c r="CH994">
        <f>'T_SelfStock'!CF26</f>
        <v/>
      </c>
      <c r="CI994">
        <f>'T_SelfStock'!CG26</f>
        <v/>
      </c>
      <c r="CJ994">
        <f>'T_SelfStock'!CH26</f>
        <v/>
      </c>
      <c r="CK994">
        <f>'T_SelfStock'!CI26</f>
        <v/>
      </c>
      <c r="CL994">
        <f>'T_SelfStock'!CJ26</f>
        <v/>
      </c>
      <c r="CM994">
        <f>'T_SelfStock'!CK26</f>
        <v/>
      </c>
      <c r="CN994">
        <f>'T_SelfStock'!CL26</f>
        <v/>
      </c>
      <c r="CO994">
        <f>'T_SelfStock'!CM26</f>
        <v/>
      </c>
      <c r="CP994">
        <f>'T_SelfStock'!CN26</f>
        <v/>
      </c>
      <c r="CQ994">
        <f>'T_SelfStock'!CO26</f>
        <v/>
      </c>
      <c r="CR994">
        <f>'T_SelfStock'!CP26</f>
        <v/>
      </c>
      <c r="CS994">
        <f>'T_SelfStock'!CQ26</f>
        <v/>
      </c>
      <c r="CT994">
        <f>'T_SelfStock'!CR26</f>
        <v/>
      </c>
      <c r="CU994">
        <f>'T_SelfStock'!CS26</f>
        <v/>
      </c>
      <c r="CV994">
        <f>'T_SelfStock'!CT26</f>
        <v/>
      </c>
      <c r="CW994">
        <f>'T_SelfStock'!CU26</f>
        <v/>
      </c>
      <c r="CX994">
        <f>'T_SelfStock'!CV26</f>
        <v/>
      </c>
      <c r="CY994">
        <f>'T_SelfStock'!CW26</f>
        <v/>
      </c>
      <c r="CZ994">
        <f>'T_SelfStock'!CX26</f>
        <v/>
      </c>
      <c r="DA994">
        <f>'T_SelfStock'!CY26</f>
        <v/>
      </c>
      <c r="DB994">
        <f>'T_SelfStock'!CZ26</f>
        <v/>
      </c>
      <c r="DC994">
        <f>'T_SelfStock'!DA26</f>
        <v/>
      </c>
    </row>
    <row r="995">
      <c r="B995" t="inlineStr">
        <is>
          <t>Order(発注予定,kg)</t>
        </is>
      </c>
      <c r="D995">
        <f>IF(SUMIFS(T_PlannedOrders[EffectiveQty],T_PlannedOrders[Part Name],$A977,T_PlannedOrders[WeekIndex],1)=0,"",SUMIFS(T_PlannedOrders[EffectiveQty],T_PlannedOrders[Part Name],$A977,T_PlannedOrders[WeekIndex],1)&amp;" ("&amp;TEXT(SUMPRODUCT(MAX((T_PlannedOrders[Part Name]=$A977)*(T_PlannedOrders[WeekIndex]=1)*(T_PlannedOrders[EffectiveQty]&gt;0)*T_PlannedOrders[Order_Month])),"m月")&amp;"発注)")</f>
        <v/>
      </c>
      <c r="E995">
        <f>IF(SUMIFS(T_PlannedOrders[EffectiveQty],T_PlannedOrders[Part Name],$A977,T_PlannedOrders[WeekIndex],2)=0,"",SUMIFS(T_PlannedOrders[EffectiveQty],T_PlannedOrders[Part Name],$A977,T_PlannedOrders[WeekIndex],2)&amp;" ("&amp;TEXT(SUMPRODUCT(MAX((T_PlannedOrders[Part Name]=$A977)*(T_PlannedOrders[WeekIndex]=2)*(T_PlannedOrders[EffectiveQty]&gt;0)*T_PlannedOrders[Order_Month])),"m月")&amp;"発注)")</f>
        <v/>
      </c>
      <c r="F995">
        <f>IF(SUMIFS(T_PlannedOrders[EffectiveQty],T_PlannedOrders[Part Name],$A977,T_PlannedOrders[WeekIndex],3)=0,"",SUMIFS(T_PlannedOrders[EffectiveQty],T_PlannedOrders[Part Name],$A977,T_PlannedOrders[WeekIndex],3)&amp;" ("&amp;TEXT(SUMPRODUCT(MAX((T_PlannedOrders[Part Name]=$A977)*(T_PlannedOrders[WeekIndex]=3)*(T_PlannedOrders[EffectiveQty]&gt;0)*T_PlannedOrders[Order_Month])),"m月")&amp;"発注)")</f>
        <v/>
      </c>
      <c r="G995">
        <f>IF(SUMIFS(T_PlannedOrders[EffectiveQty],T_PlannedOrders[Part Name],$A977,T_PlannedOrders[WeekIndex],4)=0,"",SUMIFS(T_PlannedOrders[EffectiveQty],T_PlannedOrders[Part Name],$A977,T_PlannedOrders[WeekIndex],4)&amp;" ("&amp;TEXT(SUMPRODUCT(MAX((T_PlannedOrders[Part Name]=$A977)*(T_PlannedOrders[WeekIndex]=4)*(T_PlannedOrders[EffectiveQty]&gt;0)*T_PlannedOrders[Order_Month])),"m月")&amp;"発注)")</f>
        <v/>
      </c>
      <c r="H995">
        <f>IF(SUMIFS(T_PlannedOrders[EffectiveQty],T_PlannedOrders[Part Name],$A977,T_PlannedOrders[WeekIndex],5)=0,"",SUMIFS(T_PlannedOrders[EffectiveQty],T_PlannedOrders[Part Name],$A977,T_PlannedOrders[WeekIndex],5)&amp;" ("&amp;TEXT(SUMPRODUCT(MAX((T_PlannedOrders[Part Name]=$A977)*(T_PlannedOrders[WeekIndex]=5)*(T_PlannedOrders[EffectiveQty]&gt;0)*T_PlannedOrders[Order_Month])),"m月")&amp;"発注)")</f>
        <v/>
      </c>
      <c r="I995">
        <f>IF(SUMIFS(T_PlannedOrders[EffectiveQty],T_PlannedOrders[Part Name],$A977,T_PlannedOrders[WeekIndex],6)=0,"",SUMIFS(T_PlannedOrders[EffectiveQty],T_PlannedOrders[Part Name],$A977,T_PlannedOrders[WeekIndex],6)&amp;" ("&amp;TEXT(SUMPRODUCT(MAX((T_PlannedOrders[Part Name]=$A977)*(T_PlannedOrders[WeekIndex]=6)*(T_PlannedOrders[EffectiveQty]&gt;0)*T_PlannedOrders[Order_Month])),"m月")&amp;"発注)")</f>
        <v/>
      </c>
      <c r="J995">
        <f>IF(SUMIFS(T_PlannedOrders[EffectiveQty],T_PlannedOrders[Part Name],$A977,T_PlannedOrders[WeekIndex],7)=0,"",SUMIFS(T_PlannedOrders[EffectiveQty],T_PlannedOrders[Part Name],$A977,T_PlannedOrders[WeekIndex],7)&amp;" ("&amp;TEXT(SUMPRODUCT(MAX((T_PlannedOrders[Part Name]=$A977)*(T_PlannedOrders[WeekIndex]=7)*(T_PlannedOrders[EffectiveQty]&gt;0)*T_PlannedOrders[Order_Month])),"m月")&amp;"発注)")</f>
        <v/>
      </c>
      <c r="K995">
        <f>IF(SUMIFS(T_PlannedOrders[EffectiveQty],T_PlannedOrders[Part Name],$A977,T_PlannedOrders[WeekIndex],8)=0,"",SUMIFS(T_PlannedOrders[EffectiveQty],T_PlannedOrders[Part Name],$A977,T_PlannedOrders[WeekIndex],8)&amp;" ("&amp;TEXT(SUMPRODUCT(MAX((T_PlannedOrders[Part Name]=$A977)*(T_PlannedOrders[WeekIndex]=8)*(T_PlannedOrders[EffectiveQty]&gt;0)*T_PlannedOrders[Order_Month])),"m月")&amp;"発注)")</f>
        <v/>
      </c>
      <c r="L995">
        <f>IF(SUMIFS(T_PlannedOrders[EffectiveQty],T_PlannedOrders[Part Name],$A977,T_PlannedOrders[WeekIndex],9)=0,"",SUMIFS(T_PlannedOrders[EffectiveQty],T_PlannedOrders[Part Name],$A977,T_PlannedOrders[WeekIndex],9)&amp;" ("&amp;TEXT(SUMPRODUCT(MAX((T_PlannedOrders[Part Name]=$A977)*(T_PlannedOrders[WeekIndex]=9)*(T_PlannedOrders[EffectiveQty]&gt;0)*T_PlannedOrders[Order_Month])),"m月")&amp;"発注)")</f>
        <v/>
      </c>
      <c r="M995">
        <f>IF(SUMIFS(T_PlannedOrders[EffectiveQty],T_PlannedOrders[Part Name],$A977,T_PlannedOrders[WeekIndex],10)=0,"",SUMIFS(T_PlannedOrders[EffectiveQty],T_PlannedOrders[Part Name],$A977,T_PlannedOrders[WeekIndex],10)&amp;" ("&amp;TEXT(SUMPRODUCT(MAX((T_PlannedOrders[Part Name]=$A977)*(T_PlannedOrders[WeekIndex]=10)*(T_PlannedOrders[EffectiveQty]&gt;0)*T_PlannedOrders[Order_Month])),"m月")&amp;"発注)")</f>
        <v/>
      </c>
      <c r="N995">
        <f>IF(SUMIFS(T_PlannedOrders[EffectiveQty],T_PlannedOrders[Part Name],$A977,T_PlannedOrders[WeekIndex],11)=0,"",SUMIFS(T_PlannedOrders[EffectiveQty],T_PlannedOrders[Part Name],$A977,T_PlannedOrders[WeekIndex],11)&amp;" ("&amp;TEXT(SUMPRODUCT(MAX((T_PlannedOrders[Part Name]=$A977)*(T_PlannedOrders[WeekIndex]=11)*(T_PlannedOrders[EffectiveQty]&gt;0)*T_PlannedOrders[Order_Month])),"m月")&amp;"発注)")</f>
        <v/>
      </c>
      <c r="O995">
        <f>IF(SUMIFS(T_PlannedOrders[EffectiveQty],T_PlannedOrders[Part Name],$A977,T_PlannedOrders[WeekIndex],12)=0,"",SUMIFS(T_PlannedOrders[EffectiveQty],T_PlannedOrders[Part Name],$A977,T_PlannedOrders[WeekIndex],12)&amp;" ("&amp;TEXT(SUMPRODUCT(MAX((T_PlannedOrders[Part Name]=$A977)*(T_PlannedOrders[WeekIndex]=12)*(T_PlannedOrders[EffectiveQty]&gt;0)*T_PlannedOrders[Order_Month])),"m月")&amp;"発注)")</f>
        <v/>
      </c>
      <c r="P995">
        <f>IF(SUMIFS(T_PlannedOrders[EffectiveQty],T_PlannedOrders[Part Name],$A977,T_PlannedOrders[WeekIndex],13)=0,"",SUMIFS(T_PlannedOrders[EffectiveQty],T_PlannedOrders[Part Name],$A977,T_PlannedOrders[WeekIndex],13)&amp;" ("&amp;TEXT(SUMPRODUCT(MAX((T_PlannedOrders[Part Name]=$A977)*(T_PlannedOrders[WeekIndex]=13)*(T_PlannedOrders[EffectiveQty]&gt;0)*T_PlannedOrders[Order_Month])),"m月")&amp;"発注)")</f>
        <v/>
      </c>
      <c r="Q995">
        <f>IF(SUMIFS(T_PlannedOrders[EffectiveQty],T_PlannedOrders[Part Name],$A977,T_PlannedOrders[WeekIndex],14)=0,"",SUMIFS(T_PlannedOrders[EffectiveQty],T_PlannedOrders[Part Name],$A977,T_PlannedOrders[WeekIndex],14)&amp;" ("&amp;TEXT(SUMPRODUCT(MAX((T_PlannedOrders[Part Name]=$A977)*(T_PlannedOrders[WeekIndex]=14)*(T_PlannedOrders[EffectiveQty]&gt;0)*T_PlannedOrders[Order_Month])),"m月")&amp;"発注)")</f>
        <v/>
      </c>
      <c r="R995">
        <f>IF(SUMIFS(T_PlannedOrders[EffectiveQty],T_PlannedOrders[Part Name],$A977,T_PlannedOrders[WeekIndex],15)=0,"",SUMIFS(T_PlannedOrders[EffectiveQty],T_PlannedOrders[Part Name],$A977,T_PlannedOrders[WeekIndex],15)&amp;" ("&amp;TEXT(SUMPRODUCT(MAX((T_PlannedOrders[Part Name]=$A977)*(T_PlannedOrders[WeekIndex]=15)*(T_PlannedOrders[EffectiveQty]&gt;0)*T_PlannedOrders[Order_Month])),"m月")&amp;"発注)")</f>
        <v/>
      </c>
      <c r="S995">
        <f>IF(SUMIFS(T_PlannedOrders[EffectiveQty],T_PlannedOrders[Part Name],$A977,T_PlannedOrders[WeekIndex],16)=0,"",SUMIFS(T_PlannedOrders[EffectiveQty],T_PlannedOrders[Part Name],$A977,T_PlannedOrders[WeekIndex],16)&amp;" ("&amp;TEXT(SUMPRODUCT(MAX((T_PlannedOrders[Part Name]=$A977)*(T_PlannedOrders[WeekIndex]=16)*(T_PlannedOrders[EffectiveQty]&gt;0)*T_PlannedOrders[Order_Month])),"m月")&amp;"発注)")</f>
        <v/>
      </c>
      <c r="T995">
        <f>IF(SUMIFS(T_PlannedOrders[EffectiveQty],T_PlannedOrders[Part Name],$A977,T_PlannedOrders[WeekIndex],17)=0,"",SUMIFS(T_PlannedOrders[EffectiveQty],T_PlannedOrders[Part Name],$A977,T_PlannedOrders[WeekIndex],17)&amp;" ("&amp;TEXT(SUMPRODUCT(MAX((T_PlannedOrders[Part Name]=$A977)*(T_PlannedOrders[WeekIndex]=17)*(T_PlannedOrders[EffectiveQty]&gt;0)*T_PlannedOrders[Order_Month])),"m月")&amp;"発注)")</f>
        <v/>
      </c>
      <c r="U995">
        <f>IF(SUMIFS(T_PlannedOrders[EffectiveQty],T_PlannedOrders[Part Name],$A977,T_PlannedOrders[WeekIndex],18)=0,"",SUMIFS(T_PlannedOrders[EffectiveQty],T_PlannedOrders[Part Name],$A977,T_PlannedOrders[WeekIndex],18)&amp;" ("&amp;TEXT(SUMPRODUCT(MAX((T_PlannedOrders[Part Name]=$A977)*(T_PlannedOrders[WeekIndex]=18)*(T_PlannedOrders[EffectiveQty]&gt;0)*T_PlannedOrders[Order_Month])),"m月")&amp;"発注)")</f>
        <v/>
      </c>
      <c r="V995">
        <f>IF(SUMIFS(T_PlannedOrders[EffectiveQty],T_PlannedOrders[Part Name],$A977,T_PlannedOrders[WeekIndex],19)=0,"",SUMIFS(T_PlannedOrders[EffectiveQty],T_PlannedOrders[Part Name],$A977,T_PlannedOrders[WeekIndex],19)&amp;" ("&amp;TEXT(SUMPRODUCT(MAX((T_PlannedOrders[Part Name]=$A977)*(T_PlannedOrders[WeekIndex]=19)*(T_PlannedOrders[EffectiveQty]&gt;0)*T_PlannedOrders[Order_Month])),"m月")&amp;"発注)")</f>
        <v/>
      </c>
      <c r="W995">
        <f>IF(SUMIFS(T_PlannedOrders[EffectiveQty],T_PlannedOrders[Part Name],$A977,T_PlannedOrders[WeekIndex],20)=0,"",SUMIFS(T_PlannedOrders[EffectiveQty],T_PlannedOrders[Part Name],$A977,T_PlannedOrders[WeekIndex],20)&amp;" ("&amp;TEXT(SUMPRODUCT(MAX((T_PlannedOrders[Part Name]=$A977)*(T_PlannedOrders[WeekIndex]=20)*(T_PlannedOrders[EffectiveQty]&gt;0)*T_PlannedOrders[Order_Month])),"m月")&amp;"発注)")</f>
        <v/>
      </c>
      <c r="X995">
        <f>IF(SUMIFS(T_PlannedOrders[EffectiveQty],T_PlannedOrders[Part Name],$A977,T_PlannedOrders[WeekIndex],21)=0,"",SUMIFS(T_PlannedOrders[EffectiveQty],T_PlannedOrders[Part Name],$A977,T_PlannedOrders[WeekIndex],21)&amp;" ("&amp;TEXT(SUMPRODUCT(MAX((T_PlannedOrders[Part Name]=$A977)*(T_PlannedOrders[WeekIndex]=21)*(T_PlannedOrders[EffectiveQty]&gt;0)*T_PlannedOrders[Order_Month])),"m月")&amp;"発注)")</f>
        <v/>
      </c>
      <c r="Y995">
        <f>IF(SUMIFS(T_PlannedOrders[EffectiveQty],T_PlannedOrders[Part Name],$A977,T_PlannedOrders[WeekIndex],22)=0,"",SUMIFS(T_PlannedOrders[EffectiveQty],T_PlannedOrders[Part Name],$A977,T_PlannedOrders[WeekIndex],22)&amp;" ("&amp;TEXT(SUMPRODUCT(MAX((T_PlannedOrders[Part Name]=$A977)*(T_PlannedOrders[WeekIndex]=22)*(T_PlannedOrders[EffectiveQty]&gt;0)*T_PlannedOrders[Order_Month])),"m月")&amp;"発注)")</f>
        <v/>
      </c>
      <c r="Z995">
        <f>IF(SUMIFS(T_PlannedOrders[EffectiveQty],T_PlannedOrders[Part Name],$A977,T_PlannedOrders[WeekIndex],23)=0,"",SUMIFS(T_PlannedOrders[EffectiveQty],T_PlannedOrders[Part Name],$A977,T_PlannedOrders[WeekIndex],23)&amp;" ("&amp;TEXT(SUMPRODUCT(MAX((T_PlannedOrders[Part Name]=$A977)*(T_PlannedOrders[WeekIndex]=23)*(T_PlannedOrders[EffectiveQty]&gt;0)*T_PlannedOrders[Order_Month])),"m月")&amp;"発注)")</f>
        <v/>
      </c>
      <c r="AA995">
        <f>IF(SUMIFS(T_PlannedOrders[EffectiveQty],T_PlannedOrders[Part Name],$A977,T_PlannedOrders[WeekIndex],24)=0,"",SUMIFS(T_PlannedOrders[EffectiveQty],T_PlannedOrders[Part Name],$A977,T_PlannedOrders[WeekIndex],24)&amp;" ("&amp;TEXT(SUMPRODUCT(MAX((T_PlannedOrders[Part Name]=$A977)*(T_PlannedOrders[WeekIndex]=24)*(T_PlannedOrders[EffectiveQty]&gt;0)*T_PlannedOrders[Order_Month])),"m月")&amp;"発注)")</f>
        <v/>
      </c>
      <c r="AB995">
        <f>IF(SUMIFS(T_PlannedOrders[EffectiveQty],T_PlannedOrders[Part Name],$A977,T_PlannedOrders[WeekIndex],25)=0,"",SUMIFS(T_PlannedOrders[EffectiveQty],T_PlannedOrders[Part Name],$A977,T_PlannedOrders[WeekIndex],25)&amp;" ("&amp;TEXT(SUMPRODUCT(MAX((T_PlannedOrders[Part Name]=$A977)*(T_PlannedOrders[WeekIndex]=25)*(T_PlannedOrders[EffectiveQty]&gt;0)*T_PlannedOrders[Order_Month])),"m月")&amp;"発注)")</f>
        <v/>
      </c>
      <c r="AC995">
        <f>IF(SUMIFS(T_PlannedOrders[EffectiveQty],T_PlannedOrders[Part Name],$A977,T_PlannedOrders[WeekIndex],26)=0,"",SUMIFS(T_PlannedOrders[EffectiveQty],T_PlannedOrders[Part Name],$A977,T_PlannedOrders[WeekIndex],26)&amp;" ("&amp;TEXT(SUMPRODUCT(MAX((T_PlannedOrders[Part Name]=$A977)*(T_PlannedOrders[WeekIndex]=26)*(T_PlannedOrders[EffectiveQty]&gt;0)*T_PlannedOrders[Order_Month])),"m月")&amp;"発注)")</f>
        <v/>
      </c>
      <c r="AD995">
        <f>IF(SUMIFS(T_PlannedOrders[EffectiveQty],T_PlannedOrders[Part Name],$A977,T_PlannedOrders[WeekIndex],27)=0,"",SUMIFS(T_PlannedOrders[EffectiveQty],T_PlannedOrders[Part Name],$A977,T_PlannedOrders[WeekIndex],27)&amp;" ("&amp;TEXT(SUMPRODUCT(MAX((T_PlannedOrders[Part Name]=$A977)*(T_PlannedOrders[WeekIndex]=27)*(T_PlannedOrders[EffectiveQty]&gt;0)*T_PlannedOrders[Order_Month])),"m月")&amp;"発注)")</f>
        <v/>
      </c>
      <c r="AE995">
        <f>IF(SUMIFS(T_PlannedOrders[EffectiveQty],T_PlannedOrders[Part Name],$A977,T_PlannedOrders[WeekIndex],28)=0,"",SUMIFS(T_PlannedOrders[EffectiveQty],T_PlannedOrders[Part Name],$A977,T_PlannedOrders[WeekIndex],28)&amp;" ("&amp;TEXT(SUMPRODUCT(MAX((T_PlannedOrders[Part Name]=$A977)*(T_PlannedOrders[WeekIndex]=28)*(T_PlannedOrders[EffectiveQty]&gt;0)*T_PlannedOrders[Order_Month])),"m月")&amp;"発注)")</f>
        <v/>
      </c>
      <c r="AF995">
        <f>IF(SUMIFS(T_PlannedOrders[EffectiveQty],T_PlannedOrders[Part Name],$A977,T_PlannedOrders[WeekIndex],29)=0,"",SUMIFS(T_PlannedOrders[EffectiveQty],T_PlannedOrders[Part Name],$A977,T_PlannedOrders[WeekIndex],29)&amp;" ("&amp;TEXT(SUMPRODUCT(MAX((T_PlannedOrders[Part Name]=$A977)*(T_PlannedOrders[WeekIndex]=29)*(T_PlannedOrders[EffectiveQty]&gt;0)*T_PlannedOrders[Order_Month])),"m月")&amp;"発注)")</f>
        <v/>
      </c>
      <c r="AG995">
        <f>IF(SUMIFS(T_PlannedOrders[EffectiveQty],T_PlannedOrders[Part Name],$A977,T_PlannedOrders[WeekIndex],30)=0,"",SUMIFS(T_PlannedOrders[EffectiveQty],T_PlannedOrders[Part Name],$A977,T_PlannedOrders[WeekIndex],30)&amp;" ("&amp;TEXT(SUMPRODUCT(MAX((T_PlannedOrders[Part Name]=$A977)*(T_PlannedOrders[WeekIndex]=30)*(T_PlannedOrders[EffectiveQty]&gt;0)*T_PlannedOrders[Order_Month])),"m月")&amp;"発注)")</f>
        <v/>
      </c>
      <c r="AH995">
        <f>IF(SUMIFS(T_PlannedOrders[EffectiveQty],T_PlannedOrders[Part Name],$A977,T_PlannedOrders[WeekIndex],31)=0,"",SUMIFS(T_PlannedOrders[EffectiveQty],T_PlannedOrders[Part Name],$A977,T_PlannedOrders[WeekIndex],31)&amp;" ("&amp;TEXT(SUMPRODUCT(MAX((T_PlannedOrders[Part Name]=$A977)*(T_PlannedOrders[WeekIndex]=31)*(T_PlannedOrders[EffectiveQty]&gt;0)*T_PlannedOrders[Order_Month])),"m月")&amp;"発注)")</f>
        <v/>
      </c>
      <c r="AI995">
        <f>IF(SUMIFS(T_PlannedOrders[EffectiveQty],T_PlannedOrders[Part Name],$A977,T_PlannedOrders[WeekIndex],32)=0,"",SUMIFS(T_PlannedOrders[EffectiveQty],T_PlannedOrders[Part Name],$A977,T_PlannedOrders[WeekIndex],32)&amp;" ("&amp;TEXT(SUMPRODUCT(MAX((T_PlannedOrders[Part Name]=$A977)*(T_PlannedOrders[WeekIndex]=32)*(T_PlannedOrders[EffectiveQty]&gt;0)*T_PlannedOrders[Order_Month])),"m月")&amp;"発注)")</f>
        <v/>
      </c>
      <c r="AJ995">
        <f>IF(SUMIFS(T_PlannedOrders[EffectiveQty],T_PlannedOrders[Part Name],$A977,T_PlannedOrders[WeekIndex],33)=0,"",SUMIFS(T_PlannedOrders[EffectiveQty],T_PlannedOrders[Part Name],$A977,T_PlannedOrders[WeekIndex],33)&amp;" ("&amp;TEXT(SUMPRODUCT(MAX((T_PlannedOrders[Part Name]=$A977)*(T_PlannedOrders[WeekIndex]=33)*(T_PlannedOrders[EffectiveQty]&gt;0)*T_PlannedOrders[Order_Month])),"m月")&amp;"発注)")</f>
        <v/>
      </c>
      <c r="AK995">
        <f>IF(SUMIFS(T_PlannedOrders[EffectiveQty],T_PlannedOrders[Part Name],$A977,T_PlannedOrders[WeekIndex],34)=0,"",SUMIFS(T_PlannedOrders[EffectiveQty],T_PlannedOrders[Part Name],$A977,T_PlannedOrders[WeekIndex],34)&amp;" ("&amp;TEXT(SUMPRODUCT(MAX((T_PlannedOrders[Part Name]=$A977)*(T_PlannedOrders[WeekIndex]=34)*(T_PlannedOrders[EffectiveQty]&gt;0)*T_PlannedOrders[Order_Month])),"m月")&amp;"発注)")</f>
        <v/>
      </c>
      <c r="AL995">
        <f>IF(SUMIFS(T_PlannedOrders[EffectiveQty],T_PlannedOrders[Part Name],$A977,T_PlannedOrders[WeekIndex],35)=0,"",SUMIFS(T_PlannedOrders[EffectiveQty],T_PlannedOrders[Part Name],$A977,T_PlannedOrders[WeekIndex],35)&amp;" ("&amp;TEXT(SUMPRODUCT(MAX((T_PlannedOrders[Part Name]=$A977)*(T_PlannedOrders[WeekIndex]=35)*(T_PlannedOrders[EffectiveQty]&gt;0)*T_PlannedOrders[Order_Month])),"m月")&amp;"発注)")</f>
        <v/>
      </c>
      <c r="AM995">
        <f>IF(SUMIFS(T_PlannedOrders[EffectiveQty],T_PlannedOrders[Part Name],$A977,T_PlannedOrders[WeekIndex],36)=0,"",SUMIFS(T_PlannedOrders[EffectiveQty],T_PlannedOrders[Part Name],$A977,T_PlannedOrders[WeekIndex],36)&amp;" ("&amp;TEXT(SUMPRODUCT(MAX((T_PlannedOrders[Part Name]=$A977)*(T_PlannedOrders[WeekIndex]=36)*(T_PlannedOrders[EffectiveQty]&gt;0)*T_PlannedOrders[Order_Month])),"m月")&amp;"発注)")</f>
        <v/>
      </c>
      <c r="AN995">
        <f>IF(SUMIFS(T_PlannedOrders[EffectiveQty],T_PlannedOrders[Part Name],$A977,T_PlannedOrders[WeekIndex],37)=0,"",SUMIFS(T_PlannedOrders[EffectiveQty],T_PlannedOrders[Part Name],$A977,T_PlannedOrders[WeekIndex],37)&amp;" ("&amp;TEXT(SUMPRODUCT(MAX((T_PlannedOrders[Part Name]=$A977)*(T_PlannedOrders[WeekIndex]=37)*(T_PlannedOrders[EffectiveQty]&gt;0)*T_PlannedOrders[Order_Month])),"m月")&amp;"発注)")</f>
        <v/>
      </c>
      <c r="AO995">
        <f>IF(SUMIFS(T_PlannedOrders[EffectiveQty],T_PlannedOrders[Part Name],$A977,T_PlannedOrders[WeekIndex],38)=0,"",SUMIFS(T_PlannedOrders[EffectiveQty],T_PlannedOrders[Part Name],$A977,T_PlannedOrders[WeekIndex],38)&amp;" ("&amp;TEXT(SUMPRODUCT(MAX((T_PlannedOrders[Part Name]=$A977)*(T_PlannedOrders[WeekIndex]=38)*(T_PlannedOrders[EffectiveQty]&gt;0)*T_PlannedOrders[Order_Month])),"m月")&amp;"発注)")</f>
        <v/>
      </c>
      <c r="AP995">
        <f>IF(SUMIFS(T_PlannedOrders[EffectiveQty],T_PlannedOrders[Part Name],$A977,T_PlannedOrders[WeekIndex],39)=0,"",SUMIFS(T_PlannedOrders[EffectiveQty],T_PlannedOrders[Part Name],$A977,T_PlannedOrders[WeekIndex],39)&amp;" ("&amp;TEXT(SUMPRODUCT(MAX((T_PlannedOrders[Part Name]=$A977)*(T_PlannedOrders[WeekIndex]=39)*(T_PlannedOrders[EffectiveQty]&gt;0)*T_PlannedOrders[Order_Month])),"m月")&amp;"発注)")</f>
        <v/>
      </c>
      <c r="AQ995">
        <f>IF(SUMIFS(T_PlannedOrders[EffectiveQty],T_PlannedOrders[Part Name],$A977,T_PlannedOrders[WeekIndex],40)=0,"",SUMIFS(T_PlannedOrders[EffectiveQty],T_PlannedOrders[Part Name],$A977,T_PlannedOrders[WeekIndex],40)&amp;" ("&amp;TEXT(SUMPRODUCT(MAX((T_PlannedOrders[Part Name]=$A977)*(T_PlannedOrders[WeekIndex]=40)*(T_PlannedOrders[EffectiveQty]&gt;0)*T_PlannedOrders[Order_Month])),"m月")&amp;"発注)")</f>
        <v/>
      </c>
      <c r="AR995">
        <f>IF(SUMIFS(T_PlannedOrders[EffectiveQty],T_PlannedOrders[Part Name],$A977,T_PlannedOrders[WeekIndex],41)=0,"",SUMIFS(T_PlannedOrders[EffectiveQty],T_PlannedOrders[Part Name],$A977,T_PlannedOrders[WeekIndex],41)&amp;" ("&amp;TEXT(SUMPRODUCT(MAX((T_PlannedOrders[Part Name]=$A977)*(T_PlannedOrders[WeekIndex]=41)*(T_PlannedOrders[EffectiveQty]&gt;0)*T_PlannedOrders[Order_Month])),"m月")&amp;"発注)")</f>
        <v/>
      </c>
      <c r="AS995">
        <f>IF(SUMIFS(T_PlannedOrders[EffectiveQty],T_PlannedOrders[Part Name],$A977,T_PlannedOrders[WeekIndex],42)=0,"",SUMIFS(T_PlannedOrders[EffectiveQty],T_PlannedOrders[Part Name],$A977,T_PlannedOrders[WeekIndex],42)&amp;" ("&amp;TEXT(SUMPRODUCT(MAX((T_PlannedOrders[Part Name]=$A977)*(T_PlannedOrders[WeekIndex]=42)*(T_PlannedOrders[EffectiveQty]&gt;0)*T_PlannedOrders[Order_Month])),"m月")&amp;"発注)")</f>
        <v/>
      </c>
      <c r="AT995">
        <f>IF(SUMIFS(T_PlannedOrders[EffectiveQty],T_PlannedOrders[Part Name],$A977,T_PlannedOrders[WeekIndex],43)=0,"",SUMIFS(T_PlannedOrders[EffectiveQty],T_PlannedOrders[Part Name],$A977,T_PlannedOrders[WeekIndex],43)&amp;" ("&amp;TEXT(SUMPRODUCT(MAX((T_PlannedOrders[Part Name]=$A977)*(T_PlannedOrders[WeekIndex]=43)*(T_PlannedOrders[EffectiveQty]&gt;0)*T_PlannedOrders[Order_Month])),"m月")&amp;"発注)")</f>
        <v/>
      </c>
      <c r="AU995">
        <f>IF(SUMIFS(T_PlannedOrders[EffectiveQty],T_PlannedOrders[Part Name],$A977,T_PlannedOrders[WeekIndex],44)=0,"",SUMIFS(T_PlannedOrders[EffectiveQty],T_PlannedOrders[Part Name],$A977,T_PlannedOrders[WeekIndex],44)&amp;" ("&amp;TEXT(SUMPRODUCT(MAX((T_PlannedOrders[Part Name]=$A977)*(T_PlannedOrders[WeekIndex]=44)*(T_PlannedOrders[EffectiveQty]&gt;0)*T_PlannedOrders[Order_Month])),"m月")&amp;"発注)")</f>
        <v/>
      </c>
      <c r="AV995">
        <f>IF(SUMIFS(T_PlannedOrders[EffectiveQty],T_PlannedOrders[Part Name],$A977,T_PlannedOrders[WeekIndex],45)=0,"",SUMIFS(T_PlannedOrders[EffectiveQty],T_PlannedOrders[Part Name],$A977,T_PlannedOrders[WeekIndex],45)&amp;" ("&amp;TEXT(SUMPRODUCT(MAX((T_PlannedOrders[Part Name]=$A977)*(T_PlannedOrders[WeekIndex]=45)*(T_PlannedOrders[EffectiveQty]&gt;0)*T_PlannedOrders[Order_Month])),"m月")&amp;"発注)")</f>
        <v/>
      </c>
      <c r="AW995">
        <f>IF(SUMIFS(T_PlannedOrders[EffectiveQty],T_PlannedOrders[Part Name],$A977,T_PlannedOrders[WeekIndex],46)=0,"",SUMIFS(T_PlannedOrders[EffectiveQty],T_PlannedOrders[Part Name],$A977,T_PlannedOrders[WeekIndex],46)&amp;" ("&amp;TEXT(SUMPRODUCT(MAX((T_PlannedOrders[Part Name]=$A977)*(T_PlannedOrders[WeekIndex]=46)*(T_PlannedOrders[EffectiveQty]&gt;0)*T_PlannedOrders[Order_Month])),"m月")&amp;"発注)")</f>
        <v/>
      </c>
      <c r="AX995">
        <f>IF(SUMIFS(T_PlannedOrders[EffectiveQty],T_PlannedOrders[Part Name],$A977,T_PlannedOrders[WeekIndex],47)=0,"",SUMIFS(T_PlannedOrders[EffectiveQty],T_PlannedOrders[Part Name],$A977,T_PlannedOrders[WeekIndex],47)&amp;" ("&amp;TEXT(SUMPRODUCT(MAX((T_PlannedOrders[Part Name]=$A977)*(T_PlannedOrders[WeekIndex]=47)*(T_PlannedOrders[EffectiveQty]&gt;0)*T_PlannedOrders[Order_Month])),"m月")&amp;"発注)")</f>
        <v/>
      </c>
      <c r="AY995">
        <f>IF(SUMIFS(T_PlannedOrders[EffectiveQty],T_PlannedOrders[Part Name],$A977,T_PlannedOrders[WeekIndex],48)=0,"",SUMIFS(T_PlannedOrders[EffectiveQty],T_PlannedOrders[Part Name],$A977,T_PlannedOrders[WeekIndex],48)&amp;" ("&amp;TEXT(SUMPRODUCT(MAX((T_PlannedOrders[Part Name]=$A977)*(T_PlannedOrders[WeekIndex]=48)*(T_PlannedOrders[EffectiveQty]&gt;0)*T_PlannedOrders[Order_Month])),"m月")&amp;"発注)")</f>
        <v/>
      </c>
      <c r="AZ995">
        <f>IF(SUMIFS(T_PlannedOrders[EffectiveQty],T_PlannedOrders[Part Name],$A977,T_PlannedOrders[WeekIndex],49)=0,"",SUMIFS(T_PlannedOrders[EffectiveQty],T_PlannedOrders[Part Name],$A977,T_PlannedOrders[WeekIndex],49)&amp;" ("&amp;TEXT(SUMPRODUCT(MAX((T_PlannedOrders[Part Name]=$A977)*(T_PlannedOrders[WeekIndex]=49)*(T_PlannedOrders[EffectiveQty]&gt;0)*T_PlannedOrders[Order_Month])),"m月")&amp;"発注)")</f>
        <v/>
      </c>
      <c r="BA995">
        <f>IF(SUMIFS(T_PlannedOrders[EffectiveQty],T_PlannedOrders[Part Name],$A977,T_PlannedOrders[WeekIndex],50)=0,"",SUMIFS(T_PlannedOrders[EffectiveQty],T_PlannedOrders[Part Name],$A977,T_PlannedOrders[WeekIndex],50)&amp;" ("&amp;TEXT(SUMPRODUCT(MAX((T_PlannedOrders[Part Name]=$A977)*(T_PlannedOrders[WeekIndex]=50)*(T_PlannedOrders[EffectiveQty]&gt;0)*T_PlannedOrders[Order_Month])),"m月")&amp;"発注)")</f>
        <v/>
      </c>
      <c r="BB995">
        <f>IF(SUMIFS(T_PlannedOrders[EffectiveQty],T_PlannedOrders[Part Name],$A977,T_PlannedOrders[WeekIndex],51)=0,"",SUMIFS(T_PlannedOrders[EffectiveQty],T_PlannedOrders[Part Name],$A977,T_PlannedOrders[WeekIndex],51)&amp;" ("&amp;TEXT(SUMPRODUCT(MAX((T_PlannedOrders[Part Name]=$A977)*(T_PlannedOrders[WeekIndex]=51)*(T_PlannedOrders[EffectiveQty]&gt;0)*T_PlannedOrders[Order_Month])),"m月")&amp;"発注)")</f>
        <v/>
      </c>
      <c r="BC995">
        <f>IF(SUMIFS(T_PlannedOrders[EffectiveQty],T_PlannedOrders[Part Name],$A977,T_PlannedOrders[WeekIndex],52)=0,"",SUMIFS(T_PlannedOrders[EffectiveQty],T_PlannedOrders[Part Name],$A977,T_PlannedOrders[WeekIndex],52)&amp;" ("&amp;TEXT(SUMPRODUCT(MAX((T_PlannedOrders[Part Name]=$A977)*(T_PlannedOrders[WeekIndex]=52)*(T_PlannedOrders[EffectiveQty]&gt;0)*T_PlannedOrders[Order_Month])),"m月")&amp;"発注)")</f>
        <v/>
      </c>
      <c r="BD995">
        <f>IF(SUMIFS(T_PlannedOrders[EffectiveQty],T_PlannedOrders[Part Name],$A977,T_PlannedOrders[WeekIndex],53)=0,"",SUMIFS(T_PlannedOrders[EffectiveQty],T_PlannedOrders[Part Name],$A977,T_PlannedOrders[WeekIndex],53)&amp;" ("&amp;TEXT(SUMPRODUCT(MAX((T_PlannedOrders[Part Name]=$A977)*(T_PlannedOrders[WeekIndex]=53)*(T_PlannedOrders[EffectiveQty]&gt;0)*T_PlannedOrders[Order_Month])),"m月")&amp;"発注)")</f>
        <v/>
      </c>
      <c r="BE995">
        <f>IF(SUMIFS(T_PlannedOrders[EffectiveQty],T_PlannedOrders[Part Name],$A977,T_PlannedOrders[WeekIndex],54)=0,"",SUMIFS(T_PlannedOrders[EffectiveQty],T_PlannedOrders[Part Name],$A977,T_PlannedOrders[WeekIndex],54)&amp;" ("&amp;TEXT(SUMPRODUCT(MAX((T_PlannedOrders[Part Name]=$A977)*(T_PlannedOrders[WeekIndex]=54)*(T_PlannedOrders[EffectiveQty]&gt;0)*T_PlannedOrders[Order_Month])),"m月")&amp;"発注)")</f>
        <v/>
      </c>
      <c r="BF995">
        <f>IF(SUMIFS(T_PlannedOrders[EffectiveQty],T_PlannedOrders[Part Name],$A977,T_PlannedOrders[WeekIndex],55)=0,"",SUMIFS(T_PlannedOrders[EffectiveQty],T_PlannedOrders[Part Name],$A977,T_PlannedOrders[WeekIndex],55)&amp;" ("&amp;TEXT(SUMPRODUCT(MAX((T_PlannedOrders[Part Name]=$A977)*(T_PlannedOrders[WeekIndex]=55)*(T_PlannedOrders[EffectiveQty]&gt;0)*T_PlannedOrders[Order_Month])),"m月")&amp;"発注)")</f>
        <v/>
      </c>
      <c r="BG995">
        <f>IF(SUMIFS(T_PlannedOrders[EffectiveQty],T_PlannedOrders[Part Name],$A977,T_PlannedOrders[WeekIndex],56)=0,"",SUMIFS(T_PlannedOrders[EffectiveQty],T_PlannedOrders[Part Name],$A977,T_PlannedOrders[WeekIndex],56)&amp;" ("&amp;TEXT(SUMPRODUCT(MAX((T_PlannedOrders[Part Name]=$A977)*(T_PlannedOrders[WeekIndex]=56)*(T_PlannedOrders[EffectiveQty]&gt;0)*T_PlannedOrders[Order_Month])),"m月")&amp;"発注)")</f>
        <v/>
      </c>
      <c r="BH995">
        <f>IF(SUMIFS(T_PlannedOrders[EffectiveQty],T_PlannedOrders[Part Name],$A977,T_PlannedOrders[WeekIndex],57)=0,"",SUMIFS(T_PlannedOrders[EffectiveQty],T_PlannedOrders[Part Name],$A977,T_PlannedOrders[WeekIndex],57)&amp;" ("&amp;TEXT(SUMPRODUCT(MAX((T_PlannedOrders[Part Name]=$A977)*(T_PlannedOrders[WeekIndex]=57)*(T_PlannedOrders[EffectiveQty]&gt;0)*T_PlannedOrders[Order_Month])),"m月")&amp;"発注)")</f>
        <v/>
      </c>
      <c r="BI995">
        <f>IF(SUMIFS(T_PlannedOrders[EffectiveQty],T_PlannedOrders[Part Name],$A977,T_PlannedOrders[WeekIndex],58)=0,"",SUMIFS(T_PlannedOrders[EffectiveQty],T_PlannedOrders[Part Name],$A977,T_PlannedOrders[WeekIndex],58)&amp;" ("&amp;TEXT(SUMPRODUCT(MAX((T_PlannedOrders[Part Name]=$A977)*(T_PlannedOrders[WeekIndex]=58)*(T_PlannedOrders[EffectiveQty]&gt;0)*T_PlannedOrders[Order_Month])),"m月")&amp;"発注)")</f>
        <v/>
      </c>
      <c r="BJ995">
        <f>IF(SUMIFS(T_PlannedOrders[EffectiveQty],T_PlannedOrders[Part Name],$A977,T_PlannedOrders[WeekIndex],59)=0,"",SUMIFS(T_PlannedOrders[EffectiveQty],T_PlannedOrders[Part Name],$A977,T_PlannedOrders[WeekIndex],59)&amp;" ("&amp;TEXT(SUMPRODUCT(MAX((T_PlannedOrders[Part Name]=$A977)*(T_PlannedOrders[WeekIndex]=59)*(T_PlannedOrders[EffectiveQty]&gt;0)*T_PlannedOrders[Order_Month])),"m月")&amp;"発注)")</f>
        <v/>
      </c>
      <c r="BK995">
        <f>IF(SUMIFS(T_PlannedOrders[EffectiveQty],T_PlannedOrders[Part Name],$A977,T_PlannedOrders[WeekIndex],60)=0,"",SUMIFS(T_PlannedOrders[EffectiveQty],T_PlannedOrders[Part Name],$A977,T_PlannedOrders[WeekIndex],60)&amp;" ("&amp;TEXT(SUMPRODUCT(MAX((T_PlannedOrders[Part Name]=$A977)*(T_PlannedOrders[WeekIndex]=60)*(T_PlannedOrders[EffectiveQty]&gt;0)*T_PlannedOrders[Order_Month])),"m月")&amp;"発注)")</f>
        <v/>
      </c>
      <c r="BL995">
        <f>IF(SUMIFS(T_PlannedOrders[EffectiveQty],T_PlannedOrders[Part Name],$A977,T_PlannedOrders[WeekIndex],61)=0,"",SUMIFS(T_PlannedOrders[EffectiveQty],T_PlannedOrders[Part Name],$A977,T_PlannedOrders[WeekIndex],61)&amp;" ("&amp;TEXT(SUMPRODUCT(MAX((T_PlannedOrders[Part Name]=$A977)*(T_PlannedOrders[WeekIndex]=61)*(T_PlannedOrders[EffectiveQty]&gt;0)*T_PlannedOrders[Order_Month])),"m月")&amp;"発注)")</f>
        <v/>
      </c>
      <c r="BM995">
        <f>IF(SUMIFS(T_PlannedOrders[EffectiveQty],T_PlannedOrders[Part Name],$A977,T_PlannedOrders[WeekIndex],62)=0,"",SUMIFS(T_PlannedOrders[EffectiveQty],T_PlannedOrders[Part Name],$A977,T_PlannedOrders[WeekIndex],62)&amp;" ("&amp;TEXT(SUMPRODUCT(MAX((T_PlannedOrders[Part Name]=$A977)*(T_PlannedOrders[WeekIndex]=62)*(T_PlannedOrders[EffectiveQty]&gt;0)*T_PlannedOrders[Order_Month])),"m月")&amp;"発注)")</f>
        <v/>
      </c>
      <c r="BN995">
        <f>IF(SUMIFS(T_PlannedOrders[EffectiveQty],T_PlannedOrders[Part Name],$A977,T_PlannedOrders[WeekIndex],63)=0,"",SUMIFS(T_PlannedOrders[EffectiveQty],T_PlannedOrders[Part Name],$A977,T_PlannedOrders[WeekIndex],63)&amp;" ("&amp;TEXT(SUMPRODUCT(MAX((T_PlannedOrders[Part Name]=$A977)*(T_PlannedOrders[WeekIndex]=63)*(T_PlannedOrders[EffectiveQty]&gt;0)*T_PlannedOrders[Order_Month])),"m月")&amp;"発注)")</f>
        <v/>
      </c>
      <c r="BO995">
        <f>IF(SUMIFS(T_PlannedOrders[EffectiveQty],T_PlannedOrders[Part Name],$A977,T_PlannedOrders[WeekIndex],64)=0,"",SUMIFS(T_PlannedOrders[EffectiveQty],T_PlannedOrders[Part Name],$A977,T_PlannedOrders[WeekIndex],64)&amp;" ("&amp;TEXT(SUMPRODUCT(MAX((T_PlannedOrders[Part Name]=$A977)*(T_PlannedOrders[WeekIndex]=64)*(T_PlannedOrders[EffectiveQty]&gt;0)*T_PlannedOrders[Order_Month])),"m月")&amp;"発注)")</f>
        <v/>
      </c>
      <c r="BP995">
        <f>IF(SUMIFS(T_PlannedOrders[EffectiveQty],T_PlannedOrders[Part Name],$A977,T_PlannedOrders[WeekIndex],65)=0,"",SUMIFS(T_PlannedOrders[EffectiveQty],T_PlannedOrders[Part Name],$A977,T_PlannedOrders[WeekIndex],65)&amp;" ("&amp;TEXT(SUMPRODUCT(MAX((T_PlannedOrders[Part Name]=$A977)*(T_PlannedOrders[WeekIndex]=65)*(T_PlannedOrders[EffectiveQty]&gt;0)*T_PlannedOrders[Order_Month])),"m月")&amp;"発注)")</f>
        <v/>
      </c>
      <c r="BQ995">
        <f>IF(SUMIFS(T_PlannedOrders[EffectiveQty],T_PlannedOrders[Part Name],$A977,T_PlannedOrders[WeekIndex],66)=0,"",SUMIFS(T_PlannedOrders[EffectiveQty],T_PlannedOrders[Part Name],$A977,T_PlannedOrders[WeekIndex],66)&amp;" ("&amp;TEXT(SUMPRODUCT(MAX((T_PlannedOrders[Part Name]=$A977)*(T_PlannedOrders[WeekIndex]=66)*(T_PlannedOrders[EffectiveQty]&gt;0)*T_PlannedOrders[Order_Month])),"m月")&amp;"発注)")</f>
        <v/>
      </c>
      <c r="BR995">
        <f>IF(SUMIFS(T_PlannedOrders[EffectiveQty],T_PlannedOrders[Part Name],$A977,T_PlannedOrders[WeekIndex],67)=0,"",SUMIFS(T_PlannedOrders[EffectiveQty],T_PlannedOrders[Part Name],$A977,T_PlannedOrders[WeekIndex],67)&amp;" ("&amp;TEXT(SUMPRODUCT(MAX((T_PlannedOrders[Part Name]=$A977)*(T_PlannedOrders[WeekIndex]=67)*(T_PlannedOrders[EffectiveQty]&gt;0)*T_PlannedOrders[Order_Month])),"m月")&amp;"発注)")</f>
        <v/>
      </c>
      <c r="BS995">
        <f>IF(SUMIFS(T_PlannedOrders[EffectiveQty],T_PlannedOrders[Part Name],$A977,T_PlannedOrders[WeekIndex],68)=0,"",SUMIFS(T_PlannedOrders[EffectiveQty],T_PlannedOrders[Part Name],$A977,T_PlannedOrders[WeekIndex],68)&amp;" ("&amp;TEXT(SUMPRODUCT(MAX((T_PlannedOrders[Part Name]=$A977)*(T_PlannedOrders[WeekIndex]=68)*(T_PlannedOrders[EffectiveQty]&gt;0)*T_PlannedOrders[Order_Month])),"m月")&amp;"発注)")</f>
        <v/>
      </c>
      <c r="BT995">
        <f>IF(SUMIFS(T_PlannedOrders[EffectiveQty],T_PlannedOrders[Part Name],$A977,T_PlannedOrders[WeekIndex],69)=0,"",SUMIFS(T_PlannedOrders[EffectiveQty],T_PlannedOrders[Part Name],$A977,T_PlannedOrders[WeekIndex],69)&amp;" ("&amp;TEXT(SUMPRODUCT(MAX((T_PlannedOrders[Part Name]=$A977)*(T_PlannedOrders[WeekIndex]=69)*(T_PlannedOrders[EffectiveQty]&gt;0)*T_PlannedOrders[Order_Month])),"m月")&amp;"発注)")</f>
        <v/>
      </c>
      <c r="BU995">
        <f>IF(SUMIFS(T_PlannedOrders[EffectiveQty],T_PlannedOrders[Part Name],$A977,T_PlannedOrders[WeekIndex],70)=0,"",SUMIFS(T_PlannedOrders[EffectiveQty],T_PlannedOrders[Part Name],$A977,T_PlannedOrders[WeekIndex],70)&amp;" ("&amp;TEXT(SUMPRODUCT(MAX((T_PlannedOrders[Part Name]=$A977)*(T_PlannedOrders[WeekIndex]=70)*(T_PlannedOrders[EffectiveQty]&gt;0)*T_PlannedOrders[Order_Month])),"m月")&amp;"発注)")</f>
        <v/>
      </c>
      <c r="BV995">
        <f>IF(SUMIFS(T_PlannedOrders[EffectiveQty],T_PlannedOrders[Part Name],$A977,T_PlannedOrders[WeekIndex],71)=0,"",SUMIFS(T_PlannedOrders[EffectiveQty],T_PlannedOrders[Part Name],$A977,T_PlannedOrders[WeekIndex],71)&amp;" ("&amp;TEXT(SUMPRODUCT(MAX((T_PlannedOrders[Part Name]=$A977)*(T_PlannedOrders[WeekIndex]=71)*(T_PlannedOrders[EffectiveQty]&gt;0)*T_PlannedOrders[Order_Month])),"m月")&amp;"発注)")</f>
        <v/>
      </c>
      <c r="BW995">
        <f>IF(SUMIFS(T_PlannedOrders[EffectiveQty],T_PlannedOrders[Part Name],$A977,T_PlannedOrders[WeekIndex],72)=0,"",SUMIFS(T_PlannedOrders[EffectiveQty],T_PlannedOrders[Part Name],$A977,T_PlannedOrders[WeekIndex],72)&amp;" ("&amp;TEXT(SUMPRODUCT(MAX((T_PlannedOrders[Part Name]=$A977)*(T_PlannedOrders[WeekIndex]=72)*(T_PlannedOrders[EffectiveQty]&gt;0)*T_PlannedOrders[Order_Month])),"m月")&amp;"発注)")</f>
        <v/>
      </c>
      <c r="BX995">
        <f>IF(SUMIFS(T_PlannedOrders[EffectiveQty],T_PlannedOrders[Part Name],$A977,T_PlannedOrders[WeekIndex],73)=0,"",SUMIFS(T_PlannedOrders[EffectiveQty],T_PlannedOrders[Part Name],$A977,T_PlannedOrders[WeekIndex],73)&amp;" ("&amp;TEXT(SUMPRODUCT(MAX((T_PlannedOrders[Part Name]=$A977)*(T_PlannedOrders[WeekIndex]=73)*(T_PlannedOrders[EffectiveQty]&gt;0)*T_PlannedOrders[Order_Month])),"m月")&amp;"発注)")</f>
        <v/>
      </c>
      <c r="BY995">
        <f>IF(SUMIFS(T_PlannedOrders[EffectiveQty],T_PlannedOrders[Part Name],$A977,T_PlannedOrders[WeekIndex],74)=0,"",SUMIFS(T_PlannedOrders[EffectiveQty],T_PlannedOrders[Part Name],$A977,T_PlannedOrders[WeekIndex],74)&amp;" ("&amp;TEXT(SUMPRODUCT(MAX((T_PlannedOrders[Part Name]=$A977)*(T_PlannedOrders[WeekIndex]=74)*(T_PlannedOrders[EffectiveQty]&gt;0)*T_PlannedOrders[Order_Month])),"m月")&amp;"発注)")</f>
        <v/>
      </c>
      <c r="BZ995">
        <f>IF(SUMIFS(T_PlannedOrders[EffectiveQty],T_PlannedOrders[Part Name],$A977,T_PlannedOrders[WeekIndex],75)=0,"",SUMIFS(T_PlannedOrders[EffectiveQty],T_PlannedOrders[Part Name],$A977,T_PlannedOrders[WeekIndex],75)&amp;" ("&amp;TEXT(SUMPRODUCT(MAX((T_PlannedOrders[Part Name]=$A977)*(T_PlannedOrders[WeekIndex]=75)*(T_PlannedOrders[EffectiveQty]&gt;0)*T_PlannedOrders[Order_Month])),"m月")&amp;"発注)")</f>
        <v/>
      </c>
      <c r="CA995">
        <f>IF(SUMIFS(T_PlannedOrders[EffectiveQty],T_PlannedOrders[Part Name],$A977,T_PlannedOrders[WeekIndex],76)=0,"",SUMIFS(T_PlannedOrders[EffectiveQty],T_PlannedOrders[Part Name],$A977,T_PlannedOrders[WeekIndex],76)&amp;" ("&amp;TEXT(SUMPRODUCT(MAX((T_PlannedOrders[Part Name]=$A977)*(T_PlannedOrders[WeekIndex]=76)*(T_PlannedOrders[EffectiveQty]&gt;0)*T_PlannedOrders[Order_Month])),"m月")&amp;"発注)")</f>
        <v/>
      </c>
      <c r="CB995">
        <f>IF(SUMIFS(T_PlannedOrders[EffectiveQty],T_PlannedOrders[Part Name],$A977,T_PlannedOrders[WeekIndex],77)=0,"",SUMIFS(T_PlannedOrders[EffectiveQty],T_PlannedOrders[Part Name],$A977,T_PlannedOrders[WeekIndex],77)&amp;" ("&amp;TEXT(SUMPRODUCT(MAX((T_PlannedOrders[Part Name]=$A977)*(T_PlannedOrders[WeekIndex]=77)*(T_PlannedOrders[EffectiveQty]&gt;0)*T_PlannedOrders[Order_Month])),"m月")&amp;"発注)")</f>
        <v/>
      </c>
      <c r="CC995">
        <f>IF(SUMIFS(T_PlannedOrders[EffectiveQty],T_PlannedOrders[Part Name],$A977,T_PlannedOrders[WeekIndex],78)=0,"",SUMIFS(T_PlannedOrders[EffectiveQty],T_PlannedOrders[Part Name],$A977,T_PlannedOrders[WeekIndex],78)&amp;" ("&amp;TEXT(SUMPRODUCT(MAX((T_PlannedOrders[Part Name]=$A977)*(T_PlannedOrders[WeekIndex]=78)*(T_PlannedOrders[EffectiveQty]&gt;0)*T_PlannedOrders[Order_Month])),"m月")&amp;"発注)")</f>
        <v/>
      </c>
      <c r="CD995">
        <f>IF(SUMIFS(T_PlannedOrders[EffectiveQty],T_PlannedOrders[Part Name],$A977,T_PlannedOrders[WeekIndex],79)=0,"",SUMIFS(T_PlannedOrders[EffectiveQty],T_PlannedOrders[Part Name],$A977,T_PlannedOrders[WeekIndex],79)&amp;" ("&amp;TEXT(SUMPRODUCT(MAX((T_PlannedOrders[Part Name]=$A977)*(T_PlannedOrders[WeekIndex]=79)*(T_PlannedOrders[EffectiveQty]&gt;0)*T_PlannedOrders[Order_Month])),"m月")&amp;"発注)")</f>
        <v/>
      </c>
      <c r="CE995">
        <f>IF(SUMIFS(T_PlannedOrders[EffectiveQty],T_PlannedOrders[Part Name],$A977,T_PlannedOrders[WeekIndex],80)=0,"",SUMIFS(T_PlannedOrders[EffectiveQty],T_PlannedOrders[Part Name],$A977,T_PlannedOrders[WeekIndex],80)&amp;" ("&amp;TEXT(SUMPRODUCT(MAX((T_PlannedOrders[Part Name]=$A977)*(T_PlannedOrders[WeekIndex]=80)*(T_PlannedOrders[EffectiveQty]&gt;0)*T_PlannedOrders[Order_Month])),"m月")&amp;"発注)")</f>
        <v/>
      </c>
      <c r="CF995">
        <f>IF(SUMIFS(T_PlannedOrders[EffectiveQty],T_PlannedOrders[Part Name],$A977,T_PlannedOrders[WeekIndex],81)=0,"",SUMIFS(T_PlannedOrders[EffectiveQty],T_PlannedOrders[Part Name],$A977,T_PlannedOrders[WeekIndex],81)&amp;" ("&amp;TEXT(SUMPRODUCT(MAX((T_PlannedOrders[Part Name]=$A977)*(T_PlannedOrders[WeekIndex]=81)*(T_PlannedOrders[EffectiveQty]&gt;0)*T_PlannedOrders[Order_Month])),"m月")&amp;"発注)")</f>
        <v/>
      </c>
      <c r="CG995">
        <f>IF(SUMIFS(T_PlannedOrders[EffectiveQty],T_PlannedOrders[Part Name],$A977,T_PlannedOrders[WeekIndex],82)=0,"",SUMIFS(T_PlannedOrders[EffectiveQty],T_PlannedOrders[Part Name],$A977,T_PlannedOrders[WeekIndex],82)&amp;" ("&amp;TEXT(SUMPRODUCT(MAX((T_PlannedOrders[Part Name]=$A977)*(T_PlannedOrders[WeekIndex]=82)*(T_PlannedOrders[EffectiveQty]&gt;0)*T_PlannedOrders[Order_Month])),"m月")&amp;"発注)")</f>
        <v/>
      </c>
      <c r="CH995">
        <f>IF(SUMIFS(T_PlannedOrders[EffectiveQty],T_PlannedOrders[Part Name],$A977,T_PlannedOrders[WeekIndex],83)=0,"",SUMIFS(T_PlannedOrders[EffectiveQty],T_PlannedOrders[Part Name],$A977,T_PlannedOrders[WeekIndex],83)&amp;" ("&amp;TEXT(SUMPRODUCT(MAX((T_PlannedOrders[Part Name]=$A977)*(T_PlannedOrders[WeekIndex]=83)*(T_PlannedOrders[EffectiveQty]&gt;0)*T_PlannedOrders[Order_Month])),"m月")&amp;"発注)")</f>
        <v/>
      </c>
      <c r="CI995">
        <f>IF(SUMIFS(T_PlannedOrders[EffectiveQty],T_PlannedOrders[Part Name],$A977,T_PlannedOrders[WeekIndex],84)=0,"",SUMIFS(T_PlannedOrders[EffectiveQty],T_PlannedOrders[Part Name],$A977,T_PlannedOrders[WeekIndex],84)&amp;" ("&amp;TEXT(SUMPRODUCT(MAX((T_PlannedOrders[Part Name]=$A977)*(T_PlannedOrders[WeekIndex]=84)*(T_PlannedOrders[EffectiveQty]&gt;0)*T_PlannedOrders[Order_Month])),"m月")&amp;"発注)")</f>
        <v/>
      </c>
      <c r="CJ995">
        <f>IF(SUMIFS(T_PlannedOrders[EffectiveQty],T_PlannedOrders[Part Name],$A977,T_PlannedOrders[WeekIndex],85)=0,"",SUMIFS(T_PlannedOrders[EffectiveQty],T_PlannedOrders[Part Name],$A977,T_PlannedOrders[WeekIndex],85)&amp;" ("&amp;TEXT(SUMPRODUCT(MAX((T_PlannedOrders[Part Name]=$A977)*(T_PlannedOrders[WeekIndex]=85)*(T_PlannedOrders[EffectiveQty]&gt;0)*T_PlannedOrders[Order_Month])),"m月")&amp;"発注)")</f>
        <v/>
      </c>
      <c r="CK995">
        <f>IF(SUMIFS(T_PlannedOrders[EffectiveQty],T_PlannedOrders[Part Name],$A977,T_PlannedOrders[WeekIndex],86)=0,"",SUMIFS(T_PlannedOrders[EffectiveQty],T_PlannedOrders[Part Name],$A977,T_PlannedOrders[WeekIndex],86)&amp;" ("&amp;TEXT(SUMPRODUCT(MAX((T_PlannedOrders[Part Name]=$A977)*(T_PlannedOrders[WeekIndex]=86)*(T_PlannedOrders[EffectiveQty]&gt;0)*T_PlannedOrders[Order_Month])),"m月")&amp;"発注)")</f>
        <v/>
      </c>
      <c r="CL995">
        <f>IF(SUMIFS(T_PlannedOrders[EffectiveQty],T_PlannedOrders[Part Name],$A977,T_PlannedOrders[WeekIndex],87)=0,"",SUMIFS(T_PlannedOrders[EffectiveQty],T_PlannedOrders[Part Name],$A977,T_PlannedOrders[WeekIndex],87)&amp;" ("&amp;TEXT(SUMPRODUCT(MAX((T_PlannedOrders[Part Name]=$A977)*(T_PlannedOrders[WeekIndex]=87)*(T_PlannedOrders[EffectiveQty]&gt;0)*T_PlannedOrders[Order_Month])),"m月")&amp;"発注)")</f>
        <v/>
      </c>
      <c r="CM995">
        <f>IF(SUMIFS(T_PlannedOrders[EffectiveQty],T_PlannedOrders[Part Name],$A977,T_PlannedOrders[WeekIndex],88)=0,"",SUMIFS(T_PlannedOrders[EffectiveQty],T_PlannedOrders[Part Name],$A977,T_PlannedOrders[WeekIndex],88)&amp;" ("&amp;TEXT(SUMPRODUCT(MAX((T_PlannedOrders[Part Name]=$A977)*(T_PlannedOrders[WeekIndex]=88)*(T_PlannedOrders[EffectiveQty]&gt;0)*T_PlannedOrders[Order_Month])),"m月")&amp;"発注)")</f>
        <v/>
      </c>
      <c r="CN995">
        <f>IF(SUMIFS(T_PlannedOrders[EffectiveQty],T_PlannedOrders[Part Name],$A977,T_PlannedOrders[WeekIndex],89)=0,"",SUMIFS(T_PlannedOrders[EffectiveQty],T_PlannedOrders[Part Name],$A977,T_PlannedOrders[WeekIndex],89)&amp;" ("&amp;TEXT(SUMPRODUCT(MAX((T_PlannedOrders[Part Name]=$A977)*(T_PlannedOrders[WeekIndex]=89)*(T_PlannedOrders[EffectiveQty]&gt;0)*T_PlannedOrders[Order_Month])),"m月")&amp;"発注)")</f>
        <v/>
      </c>
      <c r="CO995">
        <f>IF(SUMIFS(T_PlannedOrders[EffectiveQty],T_PlannedOrders[Part Name],$A977,T_PlannedOrders[WeekIndex],90)=0,"",SUMIFS(T_PlannedOrders[EffectiveQty],T_PlannedOrders[Part Name],$A977,T_PlannedOrders[WeekIndex],90)&amp;" ("&amp;TEXT(SUMPRODUCT(MAX((T_PlannedOrders[Part Name]=$A977)*(T_PlannedOrders[WeekIndex]=90)*(T_PlannedOrders[EffectiveQty]&gt;0)*T_PlannedOrders[Order_Month])),"m月")&amp;"発注)")</f>
        <v/>
      </c>
      <c r="CP995">
        <f>IF(SUMIFS(T_PlannedOrders[EffectiveQty],T_PlannedOrders[Part Name],$A977,T_PlannedOrders[WeekIndex],91)=0,"",SUMIFS(T_PlannedOrders[EffectiveQty],T_PlannedOrders[Part Name],$A977,T_PlannedOrders[WeekIndex],91)&amp;" ("&amp;TEXT(SUMPRODUCT(MAX((T_PlannedOrders[Part Name]=$A977)*(T_PlannedOrders[WeekIndex]=91)*(T_PlannedOrders[EffectiveQty]&gt;0)*T_PlannedOrders[Order_Month])),"m月")&amp;"発注)")</f>
        <v/>
      </c>
      <c r="CQ995">
        <f>IF(SUMIFS(T_PlannedOrders[EffectiveQty],T_PlannedOrders[Part Name],$A977,T_PlannedOrders[WeekIndex],92)=0,"",SUMIFS(T_PlannedOrders[EffectiveQty],T_PlannedOrders[Part Name],$A977,T_PlannedOrders[WeekIndex],92)&amp;" ("&amp;TEXT(SUMPRODUCT(MAX((T_PlannedOrders[Part Name]=$A977)*(T_PlannedOrders[WeekIndex]=92)*(T_PlannedOrders[EffectiveQty]&gt;0)*T_PlannedOrders[Order_Month])),"m月")&amp;"発注)")</f>
        <v/>
      </c>
      <c r="CR995">
        <f>IF(SUMIFS(T_PlannedOrders[EffectiveQty],T_PlannedOrders[Part Name],$A977,T_PlannedOrders[WeekIndex],93)=0,"",SUMIFS(T_PlannedOrders[EffectiveQty],T_PlannedOrders[Part Name],$A977,T_PlannedOrders[WeekIndex],93)&amp;" ("&amp;TEXT(SUMPRODUCT(MAX((T_PlannedOrders[Part Name]=$A977)*(T_PlannedOrders[WeekIndex]=93)*(T_PlannedOrders[EffectiveQty]&gt;0)*T_PlannedOrders[Order_Month])),"m月")&amp;"発注)")</f>
        <v/>
      </c>
      <c r="CS995">
        <f>IF(SUMIFS(T_PlannedOrders[EffectiveQty],T_PlannedOrders[Part Name],$A977,T_PlannedOrders[WeekIndex],94)=0,"",SUMIFS(T_PlannedOrders[EffectiveQty],T_PlannedOrders[Part Name],$A977,T_PlannedOrders[WeekIndex],94)&amp;" ("&amp;TEXT(SUMPRODUCT(MAX((T_PlannedOrders[Part Name]=$A977)*(T_PlannedOrders[WeekIndex]=94)*(T_PlannedOrders[EffectiveQty]&gt;0)*T_PlannedOrders[Order_Month])),"m月")&amp;"発注)")</f>
        <v/>
      </c>
      <c r="CT995">
        <f>IF(SUMIFS(T_PlannedOrders[EffectiveQty],T_PlannedOrders[Part Name],$A977,T_PlannedOrders[WeekIndex],95)=0,"",SUMIFS(T_PlannedOrders[EffectiveQty],T_PlannedOrders[Part Name],$A977,T_PlannedOrders[WeekIndex],95)&amp;" ("&amp;TEXT(SUMPRODUCT(MAX((T_PlannedOrders[Part Name]=$A977)*(T_PlannedOrders[WeekIndex]=95)*(T_PlannedOrders[EffectiveQty]&gt;0)*T_PlannedOrders[Order_Month])),"m月")&amp;"発注)")</f>
        <v/>
      </c>
      <c r="CU995">
        <f>IF(SUMIFS(T_PlannedOrders[EffectiveQty],T_PlannedOrders[Part Name],$A977,T_PlannedOrders[WeekIndex],96)=0,"",SUMIFS(T_PlannedOrders[EffectiveQty],T_PlannedOrders[Part Name],$A977,T_PlannedOrders[WeekIndex],96)&amp;" ("&amp;TEXT(SUMPRODUCT(MAX((T_PlannedOrders[Part Name]=$A977)*(T_PlannedOrders[WeekIndex]=96)*(T_PlannedOrders[EffectiveQty]&gt;0)*T_PlannedOrders[Order_Month])),"m月")&amp;"発注)")</f>
        <v/>
      </c>
      <c r="CV995">
        <f>IF(SUMIFS(T_PlannedOrders[EffectiveQty],T_PlannedOrders[Part Name],$A977,T_PlannedOrders[WeekIndex],97)=0,"",SUMIFS(T_PlannedOrders[EffectiveQty],T_PlannedOrders[Part Name],$A977,T_PlannedOrders[WeekIndex],97)&amp;" ("&amp;TEXT(SUMPRODUCT(MAX((T_PlannedOrders[Part Name]=$A977)*(T_PlannedOrders[WeekIndex]=97)*(T_PlannedOrders[EffectiveQty]&gt;0)*T_PlannedOrders[Order_Month])),"m月")&amp;"発注)")</f>
        <v/>
      </c>
      <c r="CW995">
        <f>IF(SUMIFS(T_PlannedOrders[EffectiveQty],T_PlannedOrders[Part Name],$A977,T_PlannedOrders[WeekIndex],98)=0,"",SUMIFS(T_PlannedOrders[EffectiveQty],T_PlannedOrders[Part Name],$A977,T_PlannedOrders[WeekIndex],98)&amp;" ("&amp;TEXT(SUMPRODUCT(MAX((T_PlannedOrders[Part Name]=$A977)*(T_PlannedOrders[WeekIndex]=98)*(T_PlannedOrders[EffectiveQty]&gt;0)*T_PlannedOrders[Order_Month])),"m月")&amp;"発注)")</f>
        <v/>
      </c>
      <c r="CX995">
        <f>IF(SUMIFS(T_PlannedOrders[EffectiveQty],T_PlannedOrders[Part Name],$A977,T_PlannedOrders[WeekIndex],99)=0,"",SUMIFS(T_PlannedOrders[EffectiveQty],T_PlannedOrders[Part Name],$A977,T_PlannedOrders[WeekIndex],99)&amp;" ("&amp;TEXT(SUMPRODUCT(MAX((T_PlannedOrders[Part Name]=$A977)*(T_PlannedOrders[WeekIndex]=99)*(T_PlannedOrders[EffectiveQty]&gt;0)*T_PlannedOrders[Order_Month])),"m月")&amp;"発注)")</f>
        <v/>
      </c>
      <c r="CY995">
        <f>IF(SUMIFS(T_PlannedOrders[EffectiveQty],T_PlannedOrders[Part Name],$A977,T_PlannedOrders[WeekIndex],100)=0,"",SUMIFS(T_PlannedOrders[EffectiveQty],T_PlannedOrders[Part Name],$A977,T_PlannedOrders[WeekIndex],100)&amp;" ("&amp;TEXT(SUMPRODUCT(MAX((T_PlannedOrders[Part Name]=$A977)*(T_PlannedOrders[WeekIndex]=100)*(T_PlannedOrders[EffectiveQty]&gt;0)*T_PlannedOrders[Order_Month])),"m月")&amp;"発注)")</f>
        <v/>
      </c>
      <c r="CZ995">
        <f>IF(SUMIFS(T_PlannedOrders[EffectiveQty],T_PlannedOrders[Part Name],$A977,T_PlannedOrders[WeekIndex],101)=0,"",SUMIFS(T_PlannedOrders[EffectiveQty],T_PlannedOrders[Part Name],$A977,T_PlannedOrders[WeekIndex],101)&amp;" ("&amp;TEXT(SUMPRODUCT(MAX((T_PlannedOrders[Part Name]=$A977)*(T_PlannedOrders[WeekIndex]=101)*(T_PlannedOrders[EffectiveQty]&gt;0)*T_PlannedOrders[Order_Month])),"m月")&amp;"発注)")</f>
        <v/>
      </c>
      <c r="DA995">
        <f>IF(SUMIFS(T_PlannedOrders[EffectiveQty],T_PlannedOrders[Part Name],$A977,T_PlannedOrders[WeekIndex],102)=0,"",SUMIFS(T_PlannedOrders[EffectiveQty],T_PlannedOrders[Part Name],$A977,T_PlannedOrders[WeekIndex],102)&amp;" ("&amp;TEXT(SUMPRODUCT(MAX((T_PlannedOrders[Part Name]=$A977)*(T_PlannedOrders[WeekIndex]=102)*(T_PlannedOrders[EffectiveQty]&gt;0)*T_PlannedOrders[Order_Month])),"m月")&amp;"発注)")</f>
        <v/>
      </c>
      <c r="DB995">
        <f>IF(SUMIFS(T_PlannedOrders[EffectiveQty],T_PlannedOrders[Part Name],$A977,T_PlannedOrders[WeekIndex],103)=0,"",SUMIFS(T_PlannedOrders[EffectiveQty],T_PlannedOrders[Part Name],$A977,T_PlannedOrders[WeekIndex],103)&amp;" ("&amp;TEXT(SUMPRODUCT(MAX((T_PlannedOrders[Part Name]=$A977)*(T_PlannedOrders[WeekIndex]=103)*(T_PlannedOrders[EffectiveQty]&gt;0)*T_PlannedOrders[Order_Month])),"m月")&amp;"発注)")</f>
        <v/>
      </c>
      <c r="DC995">
        <f>IF(SUMIFS(T_PlannedOrders[EffectiveQty],T_PlannedOrders[Part Name],$A977,T_PlannedOrders[WeekIndex],104)=0,"",SUMIFS(T_PlannedOrders[EffectiveQty],T_PlannedOrders[Part Name],$A977,T_PlannedOrders[WeekIndex],104)&amp;" ("&amp;TEXT(SUMPRODUCT(MAX((T_PlannedOrders[Part Name]=$A977)*(T_PlannedOrders[WeekIndex]=104)*(T_PlannedOrders[EffectiveQty]&gt;0)*T_PlannedOrders[Order_Month])),"m月")&amp;"発注)")</f>
        <v/>
      </c>
    </row>
    <row r="996">
      <c r="B996" s="5" t="inlineStr">
        <is>
          <t>合計在庫(週末時点,kg)</t>
        </is>
      </c>
      <c r="D996">
        <f>'Grid_Stock'!B22</f>
        <v/>
      </c>
      <c r="E996">
        <f>'Grid_Stock'!C22</f>
        <v/>
      </c>
      <c r="F996">
        <f>'Grid_Stock'!D22</f>
        <v/>
      </c>
      <c r="G996">
        <f>'Grid_Stock'!E22</f>
        <v/>
      </c>
      <c r="H996">
        <f>'Grid_Stock'!F22</f>
        <v/>
      </c>
      <c r="I996">
        <f>'Grid_Stock'!G22</f>
        <v/>
      </c>
      <c r="J996">
        <f>'Grid_Stock'!H22</f>
        <v/>
      </c>
      <c r="K996">
        <f>'Grid_Stock'!I22</f>
        <v/>
      </c>
      <c r="L996">
        <f>'Grid_Stock'!J22</f>
        <v/>
      </c>
      <c r="M996">
        <f>'Grid_Stock'!K22</f>
        <v/>
      </c>
      <c r="N996">
        <f>'Grid_Stock'!L22</f>
        <v/>
      </c>
      <c r="O996">
        <f>'Grid_Stock'!M22</f>
        <v/>
      </c>
      <c r="P996">
        <f>'Grid_Stock'!N22</f>
        <v/>
      </c>
      <c r="Q996">
        <f>'Grid_Stock'!O22</f>
        <v/>
      </c>
      <c r="R996">
        <f>'Grid_Stock'!P22</f>
        <v/>
      </c>
      <c r="S996">
        <f>'Grid_Stock'!Q22</f>
        <v/>
      </c>
      <c r="T996">
        <f>'Grid_Stock'!R22</f>
        <v/>
      </c>
      <c r="U996">
        <f>'Grid_Stock'!S22</f>
        <v/>
      </c>
      <c r="V996">
        <f>'Grid_Stock'!T22</f>
        <v/>
      </c>
      <c r="W996">
        <f>'Grid_Stock'!U22</f>
        <v/>
      </c>
      <c r="X996">
        <f>'Grid_Stock'!V22</f>
        <v/>
      </c>
      <c r="Y996">
        <f>'Grid_Stock'!W22</f>
        <v/>
      </c>
      <c r="Z996">
        <f>'Grid_Stock'!X22</f>
        <v/>
      </c>
      <c r="AA996">
        <f>'Grid_Stock'!Y22</f>
        <v/>
      </c>
      <c r="AB996">
        <f>'Grid_Stock'!Z22</f>
        <v/>
      </c>
      <c r="AC996">
        <f>'Grid_Stock'!AA22</f>
        <v/>
      </c>
      <c r="AD996">
        <f>'Grid_Stock'!AB22</f>
        <v/>
      </c>
      <c r="AE996">
        <f>'Grid_Stock'!AC22</f>
        <v/>
      </c>
      <c r="AF996">
        <f>'Grid_Stock'!AD22</f>
        <v/>
      </c>
      <c r="AG996">
        <f>'Grid_Stock'!AE22</f>
        <v/>
      </c>
      <c r="AH996">
        <f>'Grid_Stock'!AF22</f>
        <v/>
      </c>
      <c r="AI996">
        <f>'Grid_Stock'!AG22</f>
        <v/>
      </c>
      <c r="AJ996">
        <f>'Grid_Stock'!AH22</f>
        <v/>
      </c>
      <c r="AK996">
        <f>'Grid_Stock'!AI22</f>
        <v/>
      </c>
      <c r="AL996">
        <f>'Grid_Stock'!AJ22</f>
        <v/>
      </c>
      <c r="AM996">
        <f>'Grid_Stock'!AK22</f>
        <v/>
      </c>
      <c r="AN996">
        <f>'Grid_Stock'!AL22</f>
        <v/>
      </c>
      <c r="AO996">
        <f>'Grid_Stock'!AM22</f>
        <v/>
      </c>
      <c r="AP996">
        <f>'Grid_Stock'!AN22</f>
        <v/>
      </c>
      <c r="AQ996">
        <f>'Grid_Stock'!AO22</f>
        <v/>
      </c>
      <c r="AR996">
        <f>'Grid_Stock'!AP22</f>
        <v/>
      </c>
      <c r="AS996">
        <f>'Grid_Stock'!AQ22</f>
        <v/>
      </c>
      <c r="AT996">
        <f>'Grid_Stock'!AR22</f>
        <v/>
      </c>
      <c r="AU996">
        <f>'Grid_Stock'!AS22</f>
        <v/>
      </c>
      <c r="AV996">
        <f>'Grid_Stock'!AT22</f>
        <v/>
      </c>
      <c r="AW996">
        <f>'Grid_Stock'!AU22</f>
        <v/>
      </c>
      <c r="AX996">
        <f>'Grid_Stock'!AV22</f>
        <v/>
      </c>
      <c r="AY996">
        <f>'Grid_Stock'!AW22</f>
        <v/>
      </c>
      <c r="AZ996">
        <f>'Grid_Stock'!AX22</f>
        <v/>
      </c>
      <c r="BA996">
        <f>'Grid_Stock'!AY22</f>
        <v/>
      </c>
      <c r="BB996">
        <f>'Grid_Stock'!AZ22</f>
        <v/>
      </c>
      <c r="BC996">
        <f>'Grid_Stock'!BA22</f>
        <v/>
      </c>
      <c r="BD996">
        <f>'Grid_Stock'!BB22</f>
        <v/>
      </c>
      <c r="BE996">
        <f>'Grid_Stock'!BC22</f>
        <v/>
      </c>
      <c r="BF996">
        <f>'Grid_Stock'!BD22</f>
        <v/>
      </c>
      <c r="BG996">
        <f>'Grid_Stock'!BE22</f>
        <v/>
      </c>
      <c r="BH996">
        <f>'Grid_Stock'!BF22</f>
        <v/>
      </c>
      <c r="BI996">
        <f>'Grid_Stock'!BG22</f>
        <v/>
      </c>
      <c r="BJ996">
        <f>'Grid_Stock'!BH22</f>
        <v/>
      </c>
      <c r="BK996">
        <f>'Grid_Stock'!BI22</f>
        <v/>
      </c>
      <c r="BL996">
        <f>'Grid_Stock'!BJ22</f>
        <v/>
      </c>
      <c r="BM996">
        <f>'Grid_Stock'!BK22</f>
        <v/>
      </c>
      <c r="BN996">
        <f>'Grid_Stock'!BL22</f>
        <v/>
      </c>
      <c r="BO996">
        <f>'Grid_Stock'!BM22</f>
        <v/>
      </c>
      <c r="BP996">
        <f>'Grid_Stock'!BN22</f>
        <v/>
      </c>
      <c r="BQ996">
        <f>'Grid_Stock'!BO22</f>
        <v/>
      </c>
      <c r="BR996">
        <f>'Grid_Stock'!BP22</f>
        <v/>
      </c>
      <c r="BS996">
        <f>'Grid_Stock'!BQ22</f>
        <v/>
      </c>
      <c r="BT996">
        <f>'Grid_Stock'!BR22</f>
        <v/>
      </c>
      <c r="BU996">
        <f>'Grid_Stock'!BS22</f>
        <v/>
      </c>
      <c r="BV996">
        <f>'Grid_Stock'!BT22</f>
        <v/>
      </c>
      <c r="BW996">
        <f>'Grid_Stock'!BU22</f>
        <v/>
      </c>
      <c r="BX996">
        <f>'Grid_Stock'!BV22</f>
        <v/>
      </c>
      <c r="BY996">
        <f>'Grid_Stock'!BW22</f>
        <v/>
      </c>
      <c r="BZ996">
        <f>'Grid_Stock'!BX22</f>
        <v/>
      </c>
      <c r="CA996">
        <f>'Grid_Stock'!BY22</f>
        <v/>
      </c>
      <c r="CB996">
        <f>'Grid_Stock'!BZ22</f>
        <v/>
      </c>
      <c r="CC996">
        <f>'Grid_Stock'!CA22</f>
        <v/>
      </c>
      <c r="CD996">
        <f>'Grid_Stock'!CB22</f>
        <v/>
      </c>
      <c r="CE996">
        <f>'Grid_Stock'!CC22</f>
        <v/>
      </c>
      <c r="CF996">
        <f>'Grid_Stock'!CD22</f>
        <v/>
      </c>
      <c r="CG996">
        <f>'Grid_Stock'!CE22</f>
        <v/>
      </c>
      <c r="CH996">
        <f>'Grid_Stock'!CF22</f>
        <v/>
      </c>
      <c r="CI996">
        <f>'Grid_Stock'!CG22</f>
        <v/>
      </c>
      <c r="CJ996">
        <f>'Grid_Stock'!CH22</f>
        <v/>
      </c>
      <c r="CK996">
        <f>'Grid_Stock'!CI22</f>
        <v/>
      </c>
      <c r="CL996">
        <f>'Grid_Stock'!CJ22</f>
        <v/>
      </c>
      <c r="CM996">
        <f>'Grid_Stock'!CK22</f>
        <v/>
      </c>
      <c r="CN996">
        <f>'Grid_Stock'!CL22</f>
        <v/>
      </c>
      <c r="CO996">
        <f>'Grid_Stock'!CM22</f>
        <v/>
      </c>
      <c r="CP996">
        <f>'Grid_Stock'!CN22</f>
        <v/>
      </c>
      <c r="CQ996">
        <f>'Grid_Stock'!CO22</f>
        <v/>
      </c>
      <c r="CR996">
        <f>'Grid_Stock'!CP22</f>
        <v/>
      </c>
      <c r="CS996">
        <f>'Grid_Stock'!CQ22</f>
        <v/>
      </c>
      <c r="CT996">
        <f>'Grid_Stock'!CR22</f>
        <v/>
      </c>
      <c r="CU996">
        <f>'Grid_Stock'!CS22</f>
        <v/>
      </c>
      <c r="CV996">
        <f>'Grid_Stock'!CT22</f>
        <v/>
      </c>
      <c r="CW996">
        <f>'Grid_Stock'!CU22</f>
        <v/>
      </c>
      <c r="CX996">
        <f>'Grid_Stock'!CV22</f>
        <v/>
      </c>
      <c r="CY996">
        <f>'Grid_Stock'!CW22</f>
        <v/>
      </c>
      <c r="CZ996">
        <f>'Grid_Stock'!CX22</f>
        <v/>
      </c>
      <c r="DA996">
        <f>'Grid_Stock'!CY22</f>
        <v/>
      </c>
      <c r="DB996">
        <f>'Grid_Stock'!CZ22</f>
        <v/>
      </c>
      <c r="DC996">
        <f>'Grid_Stock'!DA22</f>
        <v/>
      </c>
    </row>
    <row r="997">
      <c r="B997" s="23" t="inlineStr">
        <is>
          <t>（発注の目安はDashboardの基準在庫[下限/上限]と色分けを参照）</t>
        </is>
      </c>
    </row>
    <row r="999">
      <c r="A999" s="21" t="inlineStr">
        <is>
          <t>CHEM-1720</t>
        </is>
      </c>
      <c r="B999" s="21" t="inlineStr">
        <is>
          <t>TPZ 868</t>
        </is>
      </c>
      <c r="C999" s="22" t="n"/>
      <c r="D999" s="21" t="n"/>
      <c r="E999" s="21" t="n"/>
      <c r="F999" s="21" t="n"/>
      <c r="G999" s="21" t="n"/>
      <c r="H999" s="21" t="n"/>
      <c r="I999" s="21" t="n"/>
      <c r="J999" s="21" t="n"/>
      <c r="K999" s="21" t="n"/>
      <c r="L999" s="21" t="n"/>
      <c r="M999" s="21" t="n"/>
      <c r="N999" s="21" t="n"/>
      <c r="O999" s="21" t="n"/>
      <c r="P999" s="21" t="n"/>
      <c r="Q999" s="21" t="n"/>
      <c r="R999" s="21" t="n"/>
      <c r="S999" s="21" t="n"/>
      <c r="T999" s="21" t="n"/>
      <c r="U999" s="21" t="n"/>
      <c r="V999" s="21" t="n"/>
      <c r="W999" s="21" t="n"/>
      <c r="X999" s="21" t="n"/>
      <c r="Y999" s="21" t="n"/>
      <c r="Z999" s="21" t="n"/>
      <c r="AA999" s="21" t="n"/>
      <c r="AB999" s="21" t="n"/>
      <c r="AC999" s="21" t="n"/>
      <c r="AD999" s="21" t="n"/>
      <c r="AE999" s="21" t="n"/>
      <c r="AF999" s="21" t="n"/>
      <c r="AG999" s="21" t="n"/>
      <c r="AH999" s="21" t="n"/>
      <c r="AI999" s="21" t="n"/>
      <c r="AJ999" s="21" t="n"/>
      <c r="AK999" s="21" t="n"/>
      <c r="AL999" s="21" t="n"/>
      <c r="AM999" s="21" t="n"/>
      <c r="AN999" s="21" t="n"/>
      <c r="AO999" s="21" t="n"/>
      <c r="AP999" s="21" t="n"/>
      <c r="AQ999" s="21" t="n"/>
      <c r="AR999" s="21" t="n"/>
      <c r="AS999" s="21" t="n"/>
      <c r="AT999" s="21" t="n"/>
      <c r="AU999" s="21" t="n"/>
      <c r="AV999" s="21" t="n"/>
      <c r="AW999" s="21" t="n"/>
      <c r="AX999" s="21" t="n"/>
      <c r="AY999" s="21" t="n"/>
      <c r="AZ999" s="21" t="n"/>
      <c r="BA999" s="21" t="n"/>
      <c r="BB999" s="21" t="n"/>
      <c r="BC999" s="21" t="n"/>
      <c r="BD999" s="21" t="n"/>
      <c r="BE999" s="21" t="n"/>
      <c r="BF999" s="21" t="n"/>
      <c r="BG999" s="21" t="n"/>
      <c r="BH999" s="21" t="n"/>
      <c r="BI999" s="21" t="n"/>
      <c r="BJ999" s="21" t="n"/>
      <c r="BK999" s="21" t="n"/>
      <c r="BL999" s="21" t="n"/>
      <c r="BM999" s="21" t="n"/>
      <c r="BN999" s="21" t="n"/>
      <c r="BO999" s="21" t="n"/>
      <c r="BP999" s="21" t="n"/>
      <c r="BQ999" s="21" t="n"/>
      <c r="BR999" s="21" t="n"/>
      <c r="BS999" s="21" t="n"/>
      <c r="BT999" s="21" t="n"/>
      <c r="BU999" s="21" t="n"/>
      <c r="BV999" s="21" t="n"/>
      <c r="BW999" s="21" t="n"/>
      <c r="BX999" s="21" t="n"/>
      <c r="BY999" s="21" t="n"/>
      <c r="BZ999" s="21" t="n"/>
      <c r="CA999" s="21" t="n"/>
      <c r="CB999" s="21" t="n"/>
      <c r="CC999" s="21" t="n"/>
      <c r="CD999" s="21" t="n"/>
      <c r="CE999" s="21" t="n"/>
      <c r="CF999" s="21" t="n"/>
      <c r="CG999" s="21" t="n"/>
      <c r="CH999" s="21" t="n"/>
      <c r="CI999" s="21" t="n"/>
      <c r="CJ999" s="21" t="n"/>
      <c r="CK999" s="21" t="n"/>
      <c r="CL999" s="21" t="n"/>
      <c r="CM999" s="21" t="n"/>
      <c r="CN999" s="21" t="n"/>
      <c r="CO999" s="21" t="n"/>
      <c r="CP999" s="21" t="n"/>
      <c r="CQ999" s="21" t="n"/>
      <c r="CR999" s="21" t="n"/>
      <c r="CS999" s="21" t="n"/>
      <c r="CT999" s="21" t="n"/>
      <c r="CU999" s="21" t="n"/>
      <c r="CV999" s="21" t="n"/>
      <c r="CW999" s="21" t="n"/>
      <c r="CX999" s="21" t="n"/>
      <c r="CY999" s="21" t="n"/>
      <c r="CZ999" s="21" t="n"/>
      <c r="DA999" s="21" t="n"/>
      <c r="DB999" s="21" t="n"/>
      <c r="DC999" s="21" t="n"/>
    </row>
    <row r="1000">
      <c r="B1000" t="inlineStr">
        <is>
          <t>TSP-1444</t>
        </is>
      </c>
      <c r="C1000" t="inlineStr">
        <is>
          <t>No. of batches</t>
        </is>
      </c>
      <c r="D1000">
        <f>IFERROR(INDEX(PP_Grid[#Data],$DD1000,2),0)</f>
        <v/>
      </c>
      <c r="E1000">
        <f>IFERROR(INDEX(PP_Grid[#Data],$DD1000,3),0)</f>
        <v/>
      </c>
      <c r="F1000">
        <f>IFERROR(INDEX(PP_Grid[#Data],$DD1000,4),0)</f>
        <v/>
      </c>
      <c r="G1000">
        <f>IFERROR(INDEX(PP_Grid[#Data],$DD1000,5),0)</f>
        <v/>
      </c>
      <c r="H1000">
        <f>IFERROR(INDEX(PP_Grid[#Data],$DD1000,6),0)</f>
        <v/>
      </c>
      <c r="I1000">
        <f>IFERROR(INDEX(PP_Grid[#Data],$DD1000,7),0)</f>
        <v/>
      </c>
      <c r="J1000">
        <f>IFERROR(INDEX(PP_Grid[#Data],$DD1000,8),0)</f>
        <v/>
      </c>
      <c r="K1000">
        <f>IFERROR(INDEX(PP_Grid[#Data],$DD1000,9),0)</f>
        <v/>
      </c>
      <c r="L1000">
        <f>IFERROR(INDEX(PP_Grid[#Data],$DD1000,10),0)</f>
        <v/>
      </c>
      <c r="M1000">
        <f>IFERROR(INDEX(PP_Grid[#Data],$DD1000,11),0)</f>
        <v/>
      </c>
      <c r="N1000">
        <f>IFERROR(INDEX(PP_Grid[#Data],$DD1000,12),0)</f>
        <v/>
      </c>
      <c r="O1000">
        <f>IFERROR(INDEX(PP_Grid[#Data],$DD1000,13),0)</f>
        <v/>
      </c>
      <c r="P1000">
        <f>IFERROR(INDEX(PP_Grid[#Data],$DD1000,14),0)</f>
        <v/>
      </c>
      <c r="Q1000">
        <f>IFERROR(INDEX(PP_Grid[#Data],$DD1000,15),0)</f>
        <v/>
      </c>
      <c r="R1000">
        <f>IFERROR(INDEX(PP_Grid[#Data],$DD1000,16),0)</f>
        <v/>
      </c>
      <c r="S1000">
        <f>IFERROR(INDEX(PP_Grid[#Data],$DD1000,17),0)</f>
        <v/>
      </c>
      <c r="T1000">
        <f>IFERROR(INDEX(PP_Grid[#Data],$DD1000,18),0)</f>
        <v/>
      </c>
      <c r="U1000">
        <f>IFERROR(INDEX(PP_Grid[#Data],$DD1000,19),0)</f>
        <v/>
      </c>
      <c r="V1000">
        <f>IFERROR(INDEX(PP_Grid[#Data],$DD1000,20),0)</f>
        <v/>
      </c>
      <c r="W1000">
        <f>IFERROR(INDEX(PP_Grid[#Data],$DD1000,21),0)</f>
        <v/>
      </c>
      <c r="X1000">
        <f>IFERROR(INDEX(PP_Grid[#Data],$DD1000,22),0)</f>
        <v/>
      </c>
      <c r="Y1000">
        <f>IFERROR(INDEX(PP_Grid[#Data],$DD1000,23),0)</f>
        <v/>
      </c>
      <c r="Z1000">
        <f>IFERROR(INDEX(PP_Grid[#Data],$DD1000,24),0)</f>
        <v/>
      </c>
      <c r="AA1000">
        <f>IFERROR(INDEX(PP_Grid[#Data],$DD1000,25),0)</f>
        <v/>
      </c>
      <c r="AB1000">
        <f>IFERROR(INDEX(PP_Grid[#Data],$DD1000,26),0)</f>
        <v/>
      </c>
      <c r="AC1000">
        <f>IFERROR(INDEX(PP_Grid[#Data],$DD1000,27),0)</f>
        <v/>
      </c>
      <c r="AD1000">
        <f>IFERROR(INDEX(PP_Grid[#Data],$DD1000,28),0)</f>
        <v/>
      </c>
      <c r="AE1000">
        <f>IFERROR(INDEX(PP_Grid[#Data],$DD1000,29),0)</f>
        <v/>
      </c>
      <c r="AF1000">
        <f>IFERROR(INDEX(PP_Grid[#Data],$DD1000,30),0)</f>
        <v/>
      </c>
      <c r="AG1000">
        <f>IFERROR(INDEX(PP_Grid[#Data],$DD1000,31),0)</f>
        <v/>
      </c>
      <c r="AH1000">
        <f>IFERROR(INDEX(PP_Grid[#Data],$DD1000,32),0)</f>
        <v/>
      </c>
      <c r="AI1000">
        <f>IFERROR(INDEX(PP_Grid[#Data],$DD1000,33),0)</f>
        <v/>
      </c>
      <c r="AJ1000">
        <f>IFERROR(INDEX(PP_Grid[#Data],$DD1000,34),0)</f>
        <v/>
      </c>
      <c r="AK1000">
        <f>IFERROR(INDEX(PP_Grid[#Data],$DD1000,35),0)</f>
        <v/>
      </c>
      <c r="AL1000">
        <f>IFERROR(INDEX(PP_Grid[#Data],$DD1000,36),0)</f>
        <v/>
      </c>
      <c r="AM1000">
        <f>IFERROR(INDEX(PP_Grid[#Data],$DD1000,37),0)</f>
        <v/>
      </c>
      <c r="AN1000">
        <f>IFERROR(INDEX(PP_Grid[#Data],$DD1000,38),0)</f>
        <v/>
      </c>
      <c r="AO1000">
        <f>IFERROR(INDEX(PP_Grid[#Data],$DD1000,39),0)</f>
        <v/>
      </c>
      <c r="AP1000">
        <f>IFERROR(INDEX(PP_Grid[#Data],$DD1000,40),0)</f>
        <v/>
      </c>
      <c r="AQ1000">
        <f>IFERROR(INDEX(PP_Grid[#Data],$DD1000,41),0)</f>
        <v/>
      </c>
      <c r="AR1000">
        <f>IFERROR(INDEX(PP_Grid[#Data],$DD1000,42),0)</f>
        <v/>
      </c>
      <c r="AS1000">
        <f>IFERROR(INDEX(PP_Grid[#Data],$DD1000,43),0)</f>
        <v/>
      </c>
      <c r="AT1000">
        <f>IFERROR(INDEX(PP_Grid[#Data],$DD1000,44),0)</f>
        <v/>
      </c>
      <c r="AU1000">
        <f>IFERROR(INDEX(PP_Grid[#Data],$DD1000,45),0)</f>
        <v/>
      </c>
      <c r="AV1000">
        <f>IFERROR(INDEX(PP_Grid[#Data],$DD1000,46),0)</f>
        <v/>
      </c>
      <c r="AW1000">
        <f>IFERROR(INDEX(PP_Grid[#Data],$DD1000,47),0)</f>
        <v/>
      </c>
      <c r="AX1000">
        <f>IFERROR(INDEX(PP_Grid[#Data],$DD1000,48),0)</f>
        <v/>
      </c>
      <c r="AY1000">
        <f>IFERROR(INDEX(PP_Grid[#Data],$DD1000,49),0)</f>
        <v/>
      </c>
      <c r="AZ1000">
        <f>IFERROR(INDEX(PP_Grid[#Data],$DD1000,50),0)</f>
        <v/>
      </c>
      <c r="BA1000">
        <f>IFERROR(INDEX(PP_Grid[#Data],$DD1000,51),0)</f>
        <v/>
      </c>
      <c r="BB1000">
        <f>IFERROR(INDEX(PP_Grid[#Data],$DD1000,52),0)</f>
        <v/>
      </c>
      <c r="BC1000">
        <f>IFERROR(INDEX(PP_Grid[#Data],$DD1000,53),0)</f>
        <v/>
      </c>
      <c r="BD1000">
        <f>IFERROR(INDEX(PP_Grid[#Data],$DD1000,54),0)</f>
        <v/>
      </c>
      <c r="BE1000">
        <f>IFERROR(INDEX(PP_Grid[#Data],$DD1000,55),0)</f>
        <v/>
      </c>
      <c r="BF1000">
        <f>IFERROR(INDEX(PP_Grid[#Data],$DD1000,56),0)</f>
        <v/>
      </c>
      <c r="BG1000">
        <f>IFERROR(INDEX(PP_Grid[#Data],$DD1000,57),0)</f>
        <v/>
      </c>
      <c r="BH1000">
        <f>IFERROR(INDEX(PP_Grid[#Data],$DD1000,58),0)</f>
        <v/>
      </c>
      <c r="BI1000">
        <f>IFERROR(INDEX(PP_Grid[#Data],$DD1000,59),0)</f>
        <v/>
      </c>
      <c r="BJ1000">
        <f>IFERROR(INDEX(PP_Grid[#Data],$DD1000,60),0)</f>
        <v/>
      </c>
      <c r="BK1000">
        <f>IFERROR(INDEX(PP_Grid[#Data],$DD1000,61),0)</f>
        <v/>
      </c>
      <c r="BL1000">
        <f>IFERROR(INDEX(PP_Grid[#Data],$DD1000,62),0)</f>
        <v/>
      </c>
      <c r="BM1000">
        <f>IFERROR(INDEX(PP_Grid[#Data],$DD1000,63),0)</f>
        <v/>
      </c>
      <c r="BN1000">
        <f>IFERROR(INDEX(PP_Grid[#Data],$DD1000,64),0)</f>
        <v/>
      </c>
      <c r="BO1000">
        <f>IFERROR(INDEX(PP_Grid[#Data],$DD1000,65),0)</f>
        <v/>
      </c>
      <c r="BP1000">
        <f>IFERROR(INDEX(PP_Grid[#Data],$DD1000,66),0)</f>
        <v/>
      </c>
      <c r="BQ1000">
        <f>IFERROR(INDEX(PP_Grid[#Data],$DD1000,67),0)</f>
        <v/>
      </c>
      <c r="BR1000">
        <f>IFERROR(INDEX(PP_Grid[#Data],$DD1000,68),0)</f>
        <v/>
      </c>
      <c r="BS1000">
        <f>IFERROR(INDEX(PP_Grid[#Data],$DD1000,69),0)</f>
        <v/>
      </c>
      <c r="BT1000">
        <f>IFERROR(INDEX(PP_Grid[#Data],$DD1000,70),0)</f>
        <v/>
      </c>
      <c r="BU1000">
        <f>IFERROR(INDEX(PP_Grid[#Data],$DD1000,71),0)</f>
        <v/>
      </c>
      <c r="BV1000">
        <f>IFERROR(INDEX(PP_Grid[#Data],$DD1000,72),0)</f>
        <v/>
      </c>
      <c r="BW1000">
        <f>IFERROR(INDEX(PP_Grid[#Data],$DD1000,73),0)</f>
        <v/>
      </c>
      <c r="BX1000">
        <f>IFERROR(INDEX(PP_Grid[#Data],$DD1000,74),0)</f>
        <v/>
      </c>
      <c r="BY1000">
        <f>IFERROR(INDEX(PP_Grid[#Data],$DD1000,75),0)</f>
        <v/>
      </c>
      <c r="BZ1000">
        <f>IFERROR(INDEX(PP_Grid[#Data],$DD1000,76),0)</f>
        <v/>
      </c>
      <c r="CA1000">
        <f>IFERROR(INDEX(PP_Grid[#Data],$DD1000,77),0)</f>
        <v/>
      </c>
      <c r="CB1000">
        <f>IFERROR(INDEX(PP_Grid[#Data],$DD1000,78),0)</f>
        <v/>
      </c>
      <c r="CC1000">
        <f>IFERROR(INDEX(PP_Grid[#Data],$DD1000,79),0)</f>
        <v/>
      </c>
      <c r="CD1000">
        <f>IFERROR(INDEX(PP_Grid[#Data],$DD1000,80),0)</f>
        <v/>
      </c>
      <c r="CE1000">
        <f>IFERROR(INDEX(PP_Grid[#Data],$DD1000,81),0)</f>
        <v/>
      </c>
      <c r="CF1000">
        <f>IFERROR(INDEX(PP_Grid[#Data],$DD1000,82),0)</f>
        <v/>
      </c>
      <c r="CG1000">
        <f>IFERROR(INDEX(PP_Grid[#Data],$DD1000,83),0)</f>
        <v/>
      </c>
      <c r="CH1000">
        <f>IFERROR(INDEX(PP_Grid[#Data],$DD1000,84),0)</f>
        <v/>
      </c>
      <c r="CI1000">
        <f>IFERROR(INDEX(PP_Grid[#Data],$DD1000,85),0)</f>
        <v/>
      </c>
      <c r="CJ1000">
        <f>IFERROR(INDEX(PP_Grid[#Data],$DD1000,86),0)</f>
        <v/>
      </c>
      <c r="CK1000">
        <f>IFERROR(INDEX(PP_Grid[#Data],$DD1000,87),0)</f>
        <v/>
      </c>
      <c r="CL1000">
        <f>IFERROR(INDEX(PP_Grid[#Data],$DD1000,88),0)</f>
        <v/>
      </c>
      <c r="CM1000">
        <f>IFERROR(INDEX(PP_Grid[#Data],$DD1000,89),0)</f>
        <v/>
      </c>
      <c r="CN1000">
        <f>IFERROR(INDEX(PP_Grid[#Data],$DD1000,90),0)</f>
        <v/>
      </c>
      <c r="CO1000">
        <f>IFERROR(INDEX(PP_Grid[#Data],$DD1000,91),0)</f>
        <v/>
      </c>
      <c r="CP1000">
        <f>IFERROR(INDEX(PP_Grid[#Data],$DD1000,92),0)</f>
        <v/>
      </c>
      <c r="CQ1000">
        <f>IFERROR(INDEX(PP_Grid[#Data],$DD1000,93),0)</f>
        <v/>
      </c>
      <c r="CR1000">
        <f>IFERROR(INDEX(PP_Grid[#Data],$DD1000,94),0)</f>
        <v/>
      </c>
      <c r="CS1000">
        <f>IFERROR(INDEX(PP_Grid[#Data],$DD1000,95),0)</f>
        <v/>
      </c>
      <c r="CT1000">
        <f>IFERROR(INDEX(PP_Grid[#Data],$DD1000,96),0)</f>
        <v/>
      </c>
      <c r="CU1000">
        <f>IFERROR(INDEX(PP_Grid[#Data],$DD1000,97),0)</f>
        <v/>
      </c>
      <c r="CV1000">
        <f>IFERROR(INDEX(PP_Grid[#Data],$DD1000,98),0)</f>
        <v/>
      </c>
      <c r="CW1000">
        <f>IFERROR(INDEX(PP_Grid[#Data],$DD1000,99),0)</f>
        <v/>
      </c>
      <c r="CX1000">
        <f>IFERROR(INDEX(PP_Grid[#Data],$DD1000,100),0)</f>
        <v/>
      </c>
      <c r="CY1000">
        <f>IFERROR(INDEX(PP_Grid[#Data],$DD1000,101),0)</f>
        <v/>
      </c>
      <c r="CZ1000">
        <f>IFERROR(INDEX(PP_Grid[#Data],$DD1000,102),0)</f>
        <v/>
      </c>
      <c r="DA1000">
        <f>IFERROR(INDEX(PP_Grid[#Data],$DD1000,103),0)</f>
        <v/>
      </c>
      <c r="DB1000">
        <f>IFERROR(INDEX(PP_Grid[#Data],$DD1000,104),0)</f>
        <v/>
      </c>
      <c r="DC1000">
        <f>IFERROR(INDEX(PP_Grid[#Data],$DD1000,105),0)</f>
        <v/>
      </c>
      <c r="DD1000" s="12">
        <f>IFERROR(MATCH($B1000,PP_Grid[Intermediate],0),99999)</f>
        <v/>
      </c>
    </row>
    <row r="1001">
      <c r="B1001" t="inlineStr">
        <is>
          <t>使用量(kg)</t>
        </is>
      </c>
      <c r="C1001">
        <f>SUMIFS(M_BOM[RM_Qty_Per_Batch],M_BOM[Intermediate],$B1000,M_BOM[Part Name],$A999)</f>
        <v/>
      </c>
      <c r="D1001">
        <f>$C1001*D1000</f>
        <v/>
      </c>
      <c r="E1001">
        <f>$C1001*E1000</f>
        <v/>
      </c>
      <c r="F1001">
        <f>$C1001*F1000</f>
        <v/>
      </c>
      <c r="G1001">
        <f>$C1001*G1000</f>
        <v/>
      </c>
      <c r="H1001">
        <f>$C1001*H1000</f>
        <v/>
      </c>
      <c r="I1001">
        <f>$C1001*I1000</f>
        <v/>
      </c>
      <c r="J1001">
        <f>$C1001*J1000</f>
        <v/>
      </c>
      <c r="K1001">
        <f>$C1001*K1000</f>
        <v/>
      </c>
      <c r="L1001">
        <f>$C1001*L1000</f>
        <v/>
      </c>
      <c r="M1001">
        <f>$C1001*M1000</f>
        <v/>
      </c>
      <c r="N1001">
        <f>$C1001*N1000</f>
        <v/>
      </c>
      <c r="O1001">
        <f>$C1001*O1000</f>
        <v/>
      </c>
      <c r="P1001">
        <f>$C1001*P1000</f>
        <v/>
      </c>
      <c r="Q1001">
        <f>$C1001*Q1000</f>
        <v/>
      </c>
      <c r="R1001">
        <f>$C1001*R1000</f>
        <v/>
      </c>
      <c r="S1001">
        <f>$C1001*S1000</f>
        <v/>
      </c>
      <c r="T1001">
        <f>$C1001*T1000</f>
        <v/>
      </c>
      <c r="U1001">
        <f>$C1001*U1000</f>
        <v/>
      </c>
      <c r="V1001">
        <f>$C1001*V1000</f>
        <v/>
      </c>
      <c r="W1001">
        <f>$C1001*W1000</f>
        <v/>
      </c>
      <c r="X1001">
        <f>$C1001*X1000</f>
        <v/>
      </c>
      <c r="Y1001">
        <f>$C1001*Y1000</f>
        <v/>
      </c>
      <c r="Z1001">
        <f>$C1001*Z1000</f>
        <v/>
      </c>
      <c r="AA1001">
        <f>$C1001*AA1000</f>
        <v/>
      </c>
      <c r="AB1001">
        <f>$C1001*AB1000</f>
        <v/>
      </c>
      <c r="AC1001">
        <f>$C1001*AC1000</f>
        <v/>
      </c>
      <c r="AD1001">
        <f>$C1001*AD1000</f>
        <v/>
      </c>
      <c r="AE1001">
        <f>$C1001*AE1000</f>
        <v/>
      </c>
      <c r="AF1001">
        <f>$C1001*AF1000</f>
        <v/>
      </c>
      <c r="AG1001">
        <f>$C1001*AG1000</f>
        <v/>
      </c>
      <c r="AH1001">
        <f>$C1001*AH1000</f>
        <v/>
      </c>
      <c r="AI1001">
        <f>$C1001*AI1000</f>
        <v/>
      </c>
      <c r="AJ1001">
        <f>$C1001*AJ1000</f>
        <v/>
      </c>
      <c r="AK1001">
        <f>$C1001*AK1000</f>
        <v/>
      </c>
      <c r="AL1001">
        <f>$C1001*AL1000</f>
        <v/>
      </c>
      <c r="AM1001">
        <f>$C1001*AM1000</f>
        <v/>
      </c>
      <c r="AN1001">
        <f>$C1001*AN1000</f>
        <v/>
      </c>
      <c r="AO1001">
        <f>$C1001*AO1000</f>
        <v/>
      </c>
      <c r="AP1001">
        <f>$C1001*AP1000</f>
        <v/>
      </c>
      <c r="AQ1001">
        <f>$C1001*AQ1000</f>
        <v/>
      </c>
      <c r="AR1001">
        <f>$C1001*AR1000</f>
        <v/>
      </c>
      <c r="AS1001">
        <f>$C1001*AS1000</f>
        <v/>
      </c>
      <c r="AT1001">
        <f>$C1001*AT1000</f>
        <v/>
      </c>
      <c r="AU1001">
        <f>$C1001*AU1000</f>
        <v/>
      </c>
      <c r="AV1001">
        <f>$C1001*AV1000</f>
        <v/>
      </c>
      <c r="AW1001">
        <f>$C1001*AW1000</f>
        <v/>
      </c>
      <c r="AX1001">
        <f>$C1001*AX1000</f>
        <v/>
      </c>
      <c r="AY1001">
        <f>$C1001*AY1000</f>
        <v/>
      </c>
      <c r="AZ1001">
        <f>$C1001*AZ1000</f>
        <v/>
      </c>
      <c r="BA1001">
        <f>$C1001*BA1000</f>
        <v/>
      </c>
      <c r="BB1001">
        <f>$C1001*BB1000</f>
        <v/>
      </c>
      <c r="BC1001">
        <f>$C1001*BC1000</f>
        <v/>
      </c>
      <c r="BD1001">
        <f>$C1001*BD1000</f>
        <v/>
      </c>
      <c r="BE1001">
        <f>$C1001*BE1000</f>
        <v/>
      </c>
      <c r="BF1001">
        <f>$C1001*BF1000</f>
        <v/>
      </c>
      <c r="BG1001">
        <f>$C1001*BG1000</f>
        <v/>
      </c>
      <c r="BH1001">
        <f>$C1001*BH1000</f>
        <v/>
      </c>
      <c r="BI1001">
        <f>$C1001*BI1000</f>
        <v/>
      </c>
      <c r="BJ1001">
        <f>$C1001*BJ1000</f>
        <v/>
      </c>
      <c r="BK1001">
        <f>$C1001*BK1000</f>
        <v/>
      </c>
      <c r="BL1001">
        <f>$C1001*BL1000</f>
        <v/>
      </c>
      <c r="BM1001">
        <f>$C1001*BM1000</f>
        <v/>
      </c>
      <c r="BN1001">
        <f>$C1001*BN1000</f>
        <v/>
      </c>
      <c r="BO1001">
        <f>$C1001*BO1000</f>
        <v/>
      </c>
      <c r="BP1001">
        <f>$C1001*BP1000</f>
        <v/>
      </c>
      <c r="BQ1001">
        <f>$C1001*BQ1000</f>
        <v/>
      </c>
      <c r="BR1001">
        <f>$C1001*BR1000</f>
        <v/>
      </c>
      <c r="BS1001">
        <f>$C1001*BS1000</f>
        <v/>
      </c>
      <c r="BT1001">
        <f>$C1001*BT1000</f>
        <v/>
      </c>
      <c r="BU1001">
        <f>$C1001*BU1000</f>
        <v/>
      </c>
      <c r="BV1001">
        <f>$C1001*BV1000</f>
        <v/>
      </c>
      <c r="BW1001">
        <f>$C1001*BW1000</f>
        <v/>
      </c>
      <c r="BX1001">
        <f>$C1001*BX1000</f>
        <v/>
      </c>
      <c r="BY1001">
        <f>$C1001*BY1000</f>
        <v/>
      </c>
      <c r="BZ1001">
        <f>$C1001*BZ1000</f>
        <v/>
      </c>
      <c r="CA1001">
        <f>$C1001*CA1000</f>
        <v/>
      </c>
      <c r="CB1001">
        <f>$C1001*CB1000</f>
        <v/>
      </c>
      <c r="CC1001">
        <f>$C1001*CC1000</f>
        <v/>
      </c>
      <c r="CD1001">
        <f>$C1001*CD1000</f>
        <v/>
      </c>
      <c r="CE1001">
        <f>$C1001*CE1000</f>
        <v/>
      </c>
      <c r="CF1001">
        <f>$C1001*CF1000</f>
        <v/>
      </c>
      <c r="CG1001">
        <f>$C1001*CG1000</f>
        <v/>
      </c>
      <c r="CH1001">
        <f>$C1001*CH1000</f>
        <v/>
      </c>
      <c r="CI1001">
        <f>$C1001*CI1000</f>
        <v/>
      </c>
      <c r="CJ1001">
        <f>$C1001*CJ1000</f>
        <v/>
      </c>
      <c r="CK1001">
        <f>$C1001*CK1000</f>
        <v/>
      </c>
      <c r="CL1001">
        <f>$C1001*CL1000</f>
        <v/>
      </c>
      <c r="CM1001">
        <f>$C1001*CM1000</f>
        <v/>
      </c>
      <c r="CN1001">
        <f>$C1001*CN1000</f>
        <v/>
      </c>
      <c r="CO1001">
        <f>$C1001*CO1000</f>
        <v/>
      </c>
      <c r="CP1001">
        <f>$C1001*CP1000</f>
        <v/>
      </c>
      <c r="CQ1001">
        <f>$C1001*CQ1000</f>
        <v/>
      </c>
      <c r="CR1001">
        <f>$C1001*CR1000</f>
        <v/>
      </c>
      <c r="CS1001">
        <f>$C1001*CS1000</f>
        <v/>
      </c>
      <c r="CT1001">
        <f>$C1001*CT1000</f>
        <v/>
      </c>
      <c r="CU1001">
        <f>$C1001*CU1000</f>
        <v/>
      </c>
      <c r="CV1001">
        <f>$C1001*CV1000</f>
        <v/>
      </c>
      <c r="CW1001">
        <f>$C1001*CW1000</f>
        <v/>
      </c>
      <c r="CX1001">
        <f>$C1001*CX1000</f>
        <v/>
      </c>
      <c r="CY1001">
        <f>$C1001*CY1000</f>
        <v/>
      </c>
      <c r="CZ1001">
        <f>$C1001*CZ1000</f>
        <v/>
      </c>
      <c r="DA1001">
        <f>$C1001*DA1000</f>
        <v/>
      </c>
      <c r="DB1001">
        <f>$C1001*DB1000</f>
        <v/>
      </c>
      <c r="DC1001">
        <f>$C1001*DC1000</f>
        <v/>
      </c>
    </row>
    <row r="1002">
      <c r="B1002" t="inlineStr">
        <is>
          <t>TSP-1445</t>
        </is>
      </c>
      <c r="C1002" t="inlineStr">
        <is>
          <t>No. of batches</t>
        </is>
      </c>
      <c r="D1002">
        <f>IFERROR(INDEX(PP_Grid[#Data],$DD1002,2),0)</f>
        <v/>
      </c>
      <c r="E1002">
        <f>IFERROR(INDEX(PP_Grid[#Data],$DD1002,3),0)</f>
        <v/>
      </c>
      <c r="F1002">
        <f>IFERROR(INDEX(PP_Grid[#Data],$DD1002,4),0)</f>
        <v/>
      </c>
      <c r="G1002">
        <f>IFERROR(INDEX(PP_Grid[#Data],$DD1002,5),0)</f>
        <v/>
      </c>
      <c r="H1002">
        <f>IFERROR(INDEX(PP_Grid[#Data],$DD1002,6),0)</f>
        <v/>
      </c>
      <c r="I1002">
        <f>IFERROR(INDEX(PP_Grid[#Data],$DD1002,7),0)</f>
        <v/>
      </c>
      <c r="J1002">
        <f>IFERROR(INDEX(PP_Grid[#Data],$DD1002,8),0)</f>
        <v/>
      </c>
      <c r="K1002">
        <f>IFERROR(INDEX(PP_Grid[#Data],$DD1002,9),0)</f>
        <v/>
      </c>
      <c r="L1002">
        <f>IFERROR(INDEX(PP_Grid[#Data],$DD1002,10),0)</f>
        <v/>
      </c>
      <c r="M1002">
        <f>IFERROR(INDEX(PP_Grid[#Data],$DD1002,11),0)</f>
        <v/>
      </c>
      <c r="N1002">
        <f>IFERROR(INDEX(PP_Grid[#Data],$DD1002,12),0)</f>
        <v/>
      </c>
      <c r="O1002">
        <f>IFERROR(INDEX(PP_Grid[#Data],$DD1002,13),0)</f>
        <v/>
      </c>
      <c r="P1002">
        <f>IFERROR(INDEX(PP_Grid[#Data],$DD1002,14),0)</f>
        <v/>
      </c>
      <c r="Q1002">
        <f>IFERROR(INDEX(PP_Grid[#Data],$DD1002,15),0)</f>
        <v/>
      </c>
      <c r="R1002">
        <f>IFERROR(INDEX(PP_Grid[#Data],$DD1002,16),0)</f>
        <v/>
      </c>
      <c r="S1002">
        <f>IFERROR(INDEX(PP_Grid[#Data],$DD1002,17),0)</f>
        <v/>
      </c>
      <c r="T1002">
        <f>IFERROR(INDEX(PP_Grid[#Data],$DD1002,18),0)</f>
        <v/>
      </c>
      <c r="U1002">
        <f>IFERROR(INDEX(PP_Grid[#Data],$DD1002,19),0)</f>
        <v/>
      </c>
      <c r="V1002">
        <f>IFERROR(INDEX(PP_Grid[#Data],$DD1002,20),0)</f>
        <v/>
      </c>
      <c r="W1002">
        <f>IFERROR(INDEX(PP_Grid[#Data],$DD1002,21),0)</f>
        <v/>
      </c>
      <c r="X1002">
        <f>IFERROR(INDEX(PP_Grid[#Data],$DD1002,22),0)</f>
        <v/>
      </c>
      <c r="Y1002">
        <f>IFERROR(INDEX(PP_Grid[#Data],$DD1002,23),0)</f>
        <v/>
      </c>
      <c r="Z1002">
        <f>IFERROR(INDEX(PP_Grid[#Data],$DD1002,24),0)</f>
        <v/>
      </c>
      <c r="AA1002">
        <f>IFERROR(INDEX(PP_Grid[#Data],$DD1002,25),0)</f>
        <v/>
      </c>
      <c r="AB1002">
        <f>IFERROR(INDEX(PP_Grid[#Data],$DD1002,26),0)</f>
        <v/>
      </c>
      <c r="AC1002">
        <f>IFERROR(INDEX(PP_Grid[#Data],$DD1002,27),0)</f>
        <v/>
      </c>
      <c r="AD1002">
        <f>IFERROR(INDEX(PP_Grid[#Data],$DD1002,28),0)</f>
        <v/>
      </c>
      <c r="AE1002">
        <f>IFERROR(INDEX(PP_Grid[#Data],$DD1002,29),0)</f>
        <v/>
      </c>
      <c r="AF1002">
        <f>IFERROR(INDEX(PP_Grid[#Data],$DD1002,30),0)</f>
        <v/>
      </c>
      <c r="AG1002">
        <f>IFERROR(INDEX(PP_Grid[#Data],$DD1002,31),0)</f>
        <v/>
      </c>
      <c r="AH1002">
        <f>IFERROR(INDEX(PP_Grid[#Data],$DD1002,32),0)</f>
        <v/>
      </c>
      <c r="AI1002">
        <f>IFERROR(INDEX(PP_Grid[#Data],$DD1002,33),0)</f>
        <v/>
      </c>
      <c r="AJ1002">
        <f>IFERROR(INDEX(PP_Grid[#Data],$DD1002,34),0)</f>
        <v/>
      </c>
      <c r="AK1002">
        <f>IFERROR(INDEX(PP_Grid[#Data],$DD1002,35),0)</f>
        <v/>
      </c>
      <c r="AL1002">
        <f>IFERROR(INDEX(PP_Grid[#Data],$DD1002,36),0)</f>
        <v/>
      </c>
      <c r="AM1002">
        <f>IFERROR(INDEX(PP_Grid[#Data],$DD1002,37),0)</f>
        <v/>
      </c>
      <c r="AN1002">
        <f>IFERROR(INDEX(PP_Grid[#Data],$DD1002,38),0)</f>
        <v/>
      </c>
      <c r="AO1002">
        <f>IFERROR(INDEX(PP_Grid[#Data],$DD1002,39),0)</f>
        <v/>
      </c>
      <c r="AP1002">
        <f>IFERROR(INDEX(PP_Grid[#Data],$DD1002,40),0)</f>
        <v/>
      </c>
      <c r="AQ1002">
        <f>IFERROR(INDEX(PP_Grid[#Data],$DD1002,41),0)</f>
        <v/>
      </c>
      <c r="AR1002">
        <f>IFERROR(INDEX(PP_Grid[#Data],$DD1002,42),0)</f>
        <v/>
      </c>
      <c r="AS1002">
        <f>IFERROR(INDEX(PP_Grid[#Data],$DD1002,43),0)</f>
        <v/>
      </c>
      <c r="AT1002">
        <f>IFERROR(INDEX(PP_Grid[#Data],$DD1002,44),0)</f>
        <v/>
      </c>
      <c r="AU1002">
        <f>IFERROR(INDEX(PP_Grid[#Data],$DD1002,45),0)</f>
        <v/>
      </c>
      <c r="AV1002">
        <f>IFERROR(INDEX(PP_Grid[#Data],$DD1002,46),0)</f>
        <v/>
      </c>
      <c r="AW1002">
        <f>IFERROR(INDEX(PP_Grid[#Data],$DD1002,47),0)</f>
        <v/>
      </c>
      <c r="AX1002">
        <f>IFERROR(INDEX(PP_Grid[#Data],$DD1002,48),0)</f>
        <v/>
      </c>
      <c r="AY1002">
        <f>IFERROR(INDEX(PP_Grid[#Data],$DD1002,49),0)</f>
        <v/>
      </c>
      <c r="AZ1002">
        <f>IFERROR(INDEX(PP_Grid[#Data],$DD1002,50),0)</f>
        <v/>
      </c>
      <c r="BA1002">
        <f>IFERROR(INDEX(PP_Grid[#Data],$DD1002,51),0)</f>
        <v/>
      </c>
      <c r="BB1002">
        <f>IFERROR(INDEX(PP_Grid[#Data],$DD1002,52),0)</f>
        <v/>
      </c>
      <c r="BC1002">
        <f>IFERROR(INDEX(PP_Grid[#Data],$DD1002,53),0)</f>
        <v/>
      </c>
      <c r="BD1002">
        <f>IFERROR(INDEX(PP_Grid[#Data],$DD1002,54),0)</f>
        <v/>
      </c>
      <c r="BE1002">
        <f>IFERROR(INDEX(PP_Grid[#Data],$DD1002,55),0)</f>
        <v/>
      </c>
      <c r="BF1002">
        <f>IFERROR(INDEX(PP_Grid[#Data],$DD1002,56),0)</f>
        <v/>
      </c>
      <c r="BG1002">
        <f>IFERROR(INDEX(PP_Grid[#Data],$DD1002,57),0)</f>
        <v/>
      </c>
      <c r="BH1002">
        <f>IFERROR(INDEX(PP_Grid[#Data],$DD1002,58),0)</f>
        <v/>
      </c>
      <c r="BI1002">
        <f>IFERROR(INDEX(PP_Grid[#Data],$DD1002,59),0)</f>
        <v/>
      </c>
      <c r="BJ1002">
        <f>IFERROR(INDEX(PP_Grid[#Data],$DD1002,60),0)</f>
        <v/>
      </c>
      <c r="BK1002">
        <f>IFERROR(INDEX(PP_Grid[#Data],$DD1002,61),0)</f>
        <v/>
      </c>
      <c r="BL1002">
        <f>IFERROR(INDEX(PP_Grid[#Data],$DD1002,62),0)</f>
        <v/>
      </c>
      <c r="BM1002">
        <f>IFERROR(INDEX(PP_Grid[#Data],$DD1002,63),0)</f>
        <v/>
      </c>
      <c r="BN1002">
        <f>IFERROR(INDEX(PP_Grid[#Data],$DD1002,64),0)</f>
        <v/>
      </c>
      <c r="BO1002">
        <f>IFERROR(INDEX(PP_Grid[#Data],$DD1002,65),0)</f>
        <v/>
      </c>
      <c r="BP1002">
        <f>IFERROR(INDEX(PP_Grid[#Data],$DD1002,66),0)</f>
        <v/>
      </c>
      <c r="BQ1002">
        <f>IFERROR(INDEX(PP_Grid[#Data],$DD1002,67),0)</f>
        <v/>
      </c>
      <c r="BR1002">
        <f>IFERROR(INDEX(PP_Grid[#Data],$DD1002,68),0)</f>
        <v/>
      </c>
      <c r="BS1002">
        <f>IFERROR(INDEX(PP_Grid[#Data],$DD1002,69),0)</f>
        <v/>
      </c>
      <c r="BT1002">
        <f>IFERROR(INDEX(PP_Grid[#Data],$DD1002,70),0)</f>
        <v/>
      </c>
      <c r="BU1002">
        <f>IFERROR(INDEX(PP_Grid[#Data],$DD1002,71),0)</f>
        <v/>
      </c>
      <c r="BV1002">
        <f>IFERROR(INDEX(PP_Grid[#Data],$DD1002,72),0)</f>
        <v/>
      </c>
      <c r="BW1002">
        <f>IFERROR(INDEX(PP_Grid[#Data],$DD1002,73),0)</f>
        <v/>
      </c>
      <c r="BX1002">
        <f>IFERROR(INDEX(PP_Grid[#Data],$DD1002,74),0)</f>
        <v/>
      </c>
      <c r="BY1002">
        <f>IFERROR(INDEX(PP_Grid[#Data],$DD1002,75),0)</f>
        <v/>
      </c>
      <c r="BZ1002">
        <f>IFERROR(INDEX(PP_Grid[#Data],$DD1002,76),0)</f>
        <v/>
      </c>
      <c r="CA1002">
        <f>IFERROR(INDEX(PP_Grid[#Data],$DD1002,77),0)</f>
        <v/>
      </c>
      <c r="CB1002">
        <f>IFERROR(INDEX(PP_Grid[#Data],$DD1002,78),0)</f>
        <v/>
      </c>
      <c r="CC1002">
        <f>IFERROR(INDEX(PP_Grid[#Data],$DD1002,79),0)</f>
        <v/>
      </c>
      <c r="CD1002">
        <f>IFERROR(INDEX(PP_Grid[#Data],$DD1002,80),0)</f>
        <v/>
      </c>
      <c r="CE1002">
        <f>IFERROR(INDEX(PP_Grid[#Data],$DD1002,81),0)</f>
        <v/>
      </c>
      <c r="CF1002">
        <f>IFERROR(INDEX(PP_Grid[#Data],$DD1002,82),0)</f>
        <v/>
      </c>
      <c r="CG1002">
        <f>IFERROR(INDEX(PP_Grid[#Data],$DD1002,83),0)</f>
        <v/>
      </c>
      <c r="CH1002">
        <f>IFERROR(INDEX(PP_Grid[#Data],$DD1002,84),0)</f>
        <v/>
      </c>
      <c r="CI1002">
        <f>IFERROR(INDEX(PP_Grid[#Data],$DD1002,85),0)</f>
        <v/>
      </c>
      <c r="CJ1002">
        <f>IFERROR(INDEX(PP_Grid[#Data],$DD1002,86),0)</f>
        <v/>
      </c>
      <c r="CK1002">
        <f>IFERROR(INDEX(PP_Grid[#Data],$DD1002,87),0)</f>
        <v/>
      </c>
      <c r="CL1002">
        <f>IFERROR(INDEX(PP_Grid[#Data],$DD1002,88),0)</f>
        <v/>
      </c>
      <c r="CM1002">
        <f>IFERROR(INDEX(PP_Grid[#Data],$DD1002,89),0)</f>
        <v/>
      </c>
      <c r="CN1002">
        <f>IFERROR(INDEX(PP_Grid[#Data],$DD1002,90),0)</f>
        <v/>
      </c>
      <c r="CO1002">
        <f>IFERROR(INDEX(PP_Grid[#Data],$DD1002,91),0)</f>
        <v/>
      </c>
      <c r="CP1002">
        <f>IFERROR(INDEX(PP_Grid[#Data],$DD1002,92),0)</f>
        <v/>
      </c>
      <c r="CQ1002">
        <f>IFERROR(INDEX(PP_Grid[#Data],$DD1002,93),0)</f>
        <v/>
      </c>
      <c r="CR1002">
        <f>IFERROR(INDEX(PP_Grid[#Data],$DD1002,94),0)</f>
        <v/>
      </c>
      <c r="CS1002">
        <f>IFERROR(INDEX(PP_Grid[#Data],$DD1002,95),0)</f>
        <v/>
      </c>
      <c r="CT1002">
        <f>IFERROR(INDEX(PP_Grid[#Data],$DD1002,96),0)</f>
        <v/>
      </c>
      <c r="CU1002">
        <f>IFERROR(INDEX(PP_Grid[#Data],$DD1002,97),0)</f>
        <v/>
      </c>
      <c r="CV1002">
        <f>IFERROR(INDEX(PP_Grid[#Data],$DD1002,98),0)</f>
        <v/>
      </c>
      <c r="CW1002">
        <f>IFERROR(INDEX(PP_Grid[#Data],$DD1002,99),0)</f>
        <v/>
      </c>
      <c r="CX1002">
        <f>IFERROR(INDEX(PP_Grid[#Data],$DD1002,100),0)</f>
        <v/>
      </c>
      <c r="CY1002">
        <f>IFERROR(INDEX(PP_Grid[#Data],$DD1002,101),0)</f>
        <v/>
      </c>
      <c r="CZ1002">
        <f>IFERROR(INDEX(PP_Grid[#Data],$DD1002,102),0)</f>
        <v/>
      </c>
      <c r="DA1002">
        <f>IFERROR(INDEX(PP_Grid[#Data],$DD1002,103),0)</f>
        <v/>
      </c>
      <c r="DB1002">
        <f>IFERROR(INDEX(PP_Grid[#Data],$DD1002,104),0)</f>
        <v/>
      </c>
      <c r="DC1002">
        <f>IFERROR(INDEX(PP_Grid[#Data],$DD1002,105),0)</f>
        <v/>
      </c>
      <c r="DD1002" s="12">
        <f>IFERROR(MATCH($B1002,PP_Grid[Intermediate],0),99999)</f>
        <v/>
      </c>
    </row>
    <row r="1003">
      <c r="B1003" t="inlineStr">
        <is>
          <t>使用量(kg)</t>
        </is>
      </c>
      <c r="C1003">
        <f>SUMIFS(M_BOM[RM_Qty_Per_Batch],M_BOM[Intermediate],$B1002,M_BOM[Part Name],$A999)</f>
        <v/>
      </c>
      <c r="D1003">
        <f>$C1003*D1002</f>
        <v/>
      </c>
      <c r="E1003">
        <f>$C1003*E1002</f>
        <v/>
      </c>
      <c r="F1003">
        <f>$C1003*F1002</f>
        <v/>
      </c>
      <c r="G1003">
        <f>$C1003*G1002</f>
        <v/>
      </c>
      <c r="H1003">
        <f>$C1003*H1002</f>
        <v/>
      </c>
      <c r="I1003">
        <f>$C1003*I1002</f>
        <v/>
      </c>
      <c r="J1003">
        <f>$C1003*J1002</f>
        <v/>
      </c>
      <c r="K1003">
        <f>$C1003*K1002</f>
        <v/>
      </c>
      <c r="L1003">
        <f>$C1003*L1002</f>
        <v/>
      </c>
      <c r="M1003">
        <f>$C1003*M1002</f>
        <v/>
      </c>
      <c r="N1003">
        <f>$C1003*N1002</f>
        <v/>
      </c>
      <c r="O1003">
        <f>$C1003*O1002</f>
        <v/>
      </c>
      <c r="P1003">
        <f>$C1003*P1002</f>
        <v/>
      </c>
      <c r="Q1003">
        <f>$C1003*Q1002</f>
        <v/>
      </c>
      <c r="R1003">
        <f>$C1003*R1002</f>
        <v/>
      </c>
      <c r="S1003">
        <f>$C1003*S1002</f>
        <v/>
      </c>
      <c r="T1003">
        <f>$C1003*T1002</f>
        <v/>
      </c>
      <c r="U1003">
        <f>$C1003*U1002</f>
        <v/>
      </c>
      <c r="V1003">
        <f>$C1003*V1002</f>
        <v/>
      </c>
      <c r="W1003">
        <f>$C1003*W1002</f>
        <v/>
      </c>
      <c r="X1003">
        <f>$C1003*X1002</f>
        <v/>
      </c>
      <c r="Y1003">
        <f>$C1003*Y1002</f>
        <v/>
      </c>
      <c r="Z1003">
        <f>$C1003*Z1002</f>
        <v/>
      </c>
      <c r="AA1003">
        <f>$C1003*AA1002</f>
        <v/>
      </c>
      <c r="AB1003">
        <f>$C1003*AB1002</f>
        <v/>
      </c>
      <c r="AC1003">
        <f>$C1003*AC1002</f>
        <v/>
      </c>
      <c r="AD1003">
        <f>$C1003*AD1002</f>
        <v/>
      </c>
      <c r="AE1003">
        <f>$C1003*AE1002</f>
        <v/>
      </c>
      <c r="AF1003">
        <f>$C1003*AF1002</f>
        <v/>
      </c>
      <c r="AG1003">
        <f>$C1003*AG1002</f>
        <v/>
      </c>
      <c r="AH1003">
        <f>$C1003*AH1002</f>
        <v/>
      </c>
      <c r="AI1003">
        <f>$C1003*AI1002</f>
        <v/>
      </c>
      <c r="AJ1003">
        <f>$C1003*AJ1002</f>
        <v/>
      </c>
      <c r="AK1003">
        <f>$C1003*AK1002</f>
        <v/>
      </c>
      <c r="AL1003">
        <f>$C1003*AL1002</f>
        <v/>
      </c>
      <c r="AM1003">
        <f>$C1003*AM1002</f>
        <v/>
      </c>
      <c r="AN1003">
        <f>$C1003*AN1002</f>
        <v/>
      </c>
      <c r="AO1003">
        <f>$C1003*AO1002</f>
        <v/>
      </c>
      <c r="AP1003">
        <f>$C1003*AP1002</f>
        <v/>
      </c>
      <c r="AQ1003">
        <f>$C1003*AQ1002</f>
        <v/>
      </c>
      <c r="AR1003">
        <f>$C1003*AR1002</f>
        <v/>
      </c>
      <c r="AS1003">
        <f>$C1003*AS1002</f>
        <v/>
      </c>
      <c r="AT1003">
        <f>$C1003*AT1002</f>
        <v/>
      </c>
      <c r="AU1003">
        <f>$C1003*AU1002</f>
        <v/>
      </c>
      <c r="AV1003">
        <f>$C1003*AV1002</f>
        <v/>
      </c>
      <c r="AW1003">
        <f>$C1003*AW1002</f>
        <v/>
      </c>
      <c r="AX1003">
        <f>$C1003*AX1002</f>
        <v/>
      </c>
      <c r="AY1003">
        <f>$C1003*AY1002</f>
        <v/>
      </c>
      <c r="AZ1003">
        <f>$C1003*AZ1002</f>
        <v/>
      </c>
      <c r="BA1003">
        <f>$C1003*BA1002</f>
        <v/>
      </c>
      <c r="BB1003">
        <f>$C1003*BB1002</f>
        <v/>
      </c>
      <c r="BC1003">
        <f>$C1003*BC1002</f>
        <v/>
      </c>
      <c r="BD1003">
        <f>$C1003*BD1002</f>
        <v/>
      </c>
      <c r="BE1003">
        <f>$C1003*BE1002</f>
        <v/>
      </c>
      <c r="BF1003">
        <f>$C1003*BF1002</f>
        <v/>
      </c>
      <c r="BG1003">
        <f>$C1003*BG1002</f>
        <v/>
      </c>
      <c r="BH1003">
        <f>$C1003*BH1002</f>
        <v/>
      </c>
      <c r="BI1003">
        <f>$C1003*BI1002</f>
        <v/>
      </c>
      <c r="BJ1003">
        <f>$C1003*BJ1002</f>
        <v/>
      </c>
      <c r="BK1003">
        <f>$C1003*BK1002</f>
        <v/>
      </c>
      <c r="BL1003">
        <f>$C1003*BL1002</f>
        <v/>
      </c>
      <c r="BM1003">
        <f>$C1003*BM1002</f>
        <v/>
      </c>
      <c r="BN1003">
        <f>$C1003*BN1002</f>
        <v/>
      </c>
      <c r="BO1003">
        <f>$C1003*BO1002</f>
        <v/>
      </c>
      <c r="BP1003">
        <f>$C1003*BP1002</f>
        <v/>
      </c>
      <c r="BQ1003">
        <f>$C1003*BQ1002</f>
        <v/>
      </c>
      <c r="BR1003">
        <f>$C1003*BR1002</f>
        <v/>
      </c>
      <c r="BS1003">
        <f>$C1003*BS1002</f>
        <v/>
      </c>
      <c r="BT1003">
        <f>$C1003*BT1002</f>
        <v/>
      </c>
      <c r="BU1003">
        <f>$C1003*BU1002</f>
        <v/>
      </c>
      <c r="BV1003">
        <f>$C1003*BV1002</f>
        <v/>
      </c>
      <c r="BW1003">
        <f>$C1003*BW1002</f>
        <v/>
      </c>
      <c r="BX1003">
        <f>$C1003*BX1002</f>
        <v/>
      </c>
      <c r="BY1003">
        <f>$C1003*BY1002</f>
        <v/>
      </c>
      <c r="BZ1003">
        <f>$C1003*BZ1002</f>
        <v/>
      </c>
      <c r="CA1003">
        <f>$C1003*CA1002</f>
        <v/>
      </c>
      <c r="CB1003">
        <f>$C1003*CB1002</f>
        <v/>
      </c>
      <c r="CC1003">
        <f>$C1003*CC1002</f>
        <v/>
      </c>
      <c r="CD1003">
        <f>$C1003*CD1002</f>
        <v/>
      </c>
      <c r="CE1003">
        <f>$C1003*CE1002</f>
        <v/>
      </c>
      <c r="CF1003">
        <f>$C1003*CF1002</f>
        <v/>
      </c>
      <c r="CG1003">
        <f>$C1003*CG1002</f>
        <v/>
      </c>
      <c r="CH1003">
        <f>$C1003*CH1002</f>
        <v/>
      </c>
      <c r="CI1003">
        <f>$C1003*CI1002</f>
        <v/>
      </c>
      <c r="CJ1003">
        <f>$C1003*CJ1002</f>
        <v/>
      </c>
      <c r="CK1003">
        <f>$C1003*CK1002</f>
        <v/>
      </c>
      <c r="CL1003">
        <f>$C1003*CL1002</f>
        <v/>
      </c>
      <c r="CM1003">
        <f>$C1003*CM1002</f>
        <v/>
      </c>
      <c r="CN1003">
        <f>$C1003*CN1002</f>
        <v/>
      </c>
      <c r="CO1003">
        <f>$C1003*CO1002</f>
        <v/>
      </c>
      <c r="CP1003">
        <f>$C1003*CP1002</f>
        <v/>
      </c>
      <c r="CQ1003">
        <f>$C1003*CQ1002</f>
        <v/>
      </c>
      <c r="CR1003">
        <f>$C1003*CR1002</f>
        <v/>
      </c>
      <c r="CS1003">
        <f>$C1003*CS1002</f>
        <v/>
      </c>
      <c r="CT1003">
        <f>$C1003*CT1002</f>
        <v/>
      </c>
      <c r="CU1003">
        <f>$C1003*CU1002</f>
        <v/>
      </c>
      <c r="CV1003">
        <f>$C1003*CV1002</f>
        <v/>
      </c>
      <c r="CW1003">
        <f>$C1003*CW1002</f>
        <v/>
      </c>
      <c r="CX1003">
        <f>$C1003*CX1002</f>
        <v/>
      </c>
      <c r="CY1003">
        <f>$C1003*CY1002</f>
        <v/>
      </c>
      <c r="CZ1003">
        <f>$C1003*CZ1002</f>
        <v/>
      </c>
      <c r="DA1003">
        <f>$C1003*DA1002</f>
        <v/>
      </c>
      <c r="DB1003">
        <f>$C1003*DB1002</f>
        <v/>
      </c>
      <c r="DC1003">
        <f>$C1003*DC1002</f>
        <v/>
      </c>
    </row>
    <row r="1004">
      <c r="B1004" t="inlineStr">
        <is>
          <t>TSP-1446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12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Name],$A999)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TSP-1448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12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Name],$A999)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TSP-1449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12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Name],$A999)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t="inlineStr">
        <is>
          <t>TSP-1499</t>
        </is>
      </c>
      <c r="C1010" t="inlineStr">
        <is>
          <t>No. of batches</t>
        </is>
      </c>
      <c r="D1010">
        <f>IFERROR(INDEX(PP_Grid[#Data],$DD1010,2),0)</f>
        <v/>
      </c>
      <c r="E1010">
        <f>IFERROR(INDEX(PP_Grid[#Data],$DD1010,3),0)</f>
        <v/>
      </c>
      <c r="F1010">
        <f>IFERROR(INDEX(PP_Grid[#Data],$DD1010,4),0)</f>
        <v/>
      </c>
      <c r="G1010">
        <f>IFERROR(INDEX(PP_Grid[#Data],$DD1010,5),0)</f>
        <v/>
      </c>
      <c r="H1010">
        <f>IFERROR(INDEX(PP_Grid[#Data],$DD1010,6),0)</f>
        <v/>
      </c>
      <c r="I1010">
        <f>IFERROR(INDEX(PP_Grid[#Data],$DD1010,7),0)</f>
        <v/>
      </c>
      <c r="J1010">
        <f>IFERROR(INDEX(PP_Grid[#Data],$DD1010,8),0)</f>
        <v/>
      </c>
      <c r="K1010">
        <f>IFERROR(INDEX(PP_Grid[#Data],$DD1010,9),0)</f>
        <v/>
      </c>
      <c r="L1010">
        <f>IFERROR(INDEX(PP_Grid[#Data],$DD1010,10),0)</f>
        <v/>
      </c>
      <c r="M1010">
        <f>IFERROR(INDEX(PP_Grid[#Data],$DD1010,11),0)</f>
        <v/>
      </c>
      <c r="N1010">
        <f>IFERROR(INDEX(PP_Grid[#Data],$DD1010,12),0)</f>
        <v/>
      </c>
      <c r="O1010">
        <f>IFERROR(INDEX(PP_Grid[#Data],$DD1010,13),0)</f>
        <v/>
      </c>
      <c r="P1010">
        <f>IFERROR(INDEX(PP_Grid[#Data],$DD1010,14),0)</f>
        <v/>
      </c>
      <c r="Q1010">
        <f>IFERROR(INDEX(PP_Grid[#Data],$DD1010,15),0)</f>
        <v/>
      </c>
      <c r="R1010">
        <f>IFERROR(INDEX(PP_Grid[#Data],$DD1010,16),0)</f>
        <v/>
      </c>
      <c r="S1010">
        <f>IFERROR(INDEX(PP_Grid[#Data],$DD1010,17),0)</f>
        <v/>
      </c>
      <c r="T1010">
        <f>IFERROR(INDEX(PP_Grid[#Data],$DD1010,18),0)</f>
        <v/>
      </c>
      <c r="U1010">
        <f>IFERROR(INDEX(PP_Grid[#Data],$DD1010,19),0)</f>
        <v/>
      </c>
      <c r="V1010">
        <f>IFERROR(INDEX(PP_Grid[#Data],$DD1010,20),0)</f>
        <v/>
      </c>
      <c r="W1010">
        <f>IFERROR(INDEX(PP_Grid[#Data],$DD1010,21),0)</f>
        <v/>
      </c>
      <c r="X1010">
        <f>IFERROR(INDEX(PP_Grid[#Data],$DD1010,22),0)</f>
        <v/>
      </c>
      <c r="Y1010">
        <f>IFERROR(INDEX(PP_Grid[#Data],$DD1010,23),0)</f>
        <v/>
      </c>
      <c r="Z1010">
        <f>IFERROR(INDEX(PP_Grid[#Data],$DD1010,24),0)</f>
        <v/>
      </c>
      <c r="AA1010">
        <f>IFERROR(INDEX(PP_Grid[#Data],$DD1010,25),0)</f>
        <v/>
      </c>
      <c r="AB1010">
        <f>IFERROR(INDEX(PP_Grid[#Data],$DD1010,26),0)</f>
        <v/>
      </c>
      <c r="AC1010">
        <f>IFERROR(INDEX(PP_Grid[#Data],$DD1010,27),0)</f>
        <v/>
      </c>
      <c r="AD1010">
        <f>IFERROR(INDEX(PP_Grid[#Data],$DD1010,28),0)</f>
        <v/>
      </c>
      <c r="AE1010">
        <f>IFERROR(INDEX(PP_Grid[#Data],$DD1010,29),0)</f>
        <v/>
      </c>
      <c r="AF1010">
        <f>IFERROR(INDEX(PP_Grid[#Data],$DD1010,30),0)</f>
        <v/>
      </c>
      <c r="AG1010">
        <f>IFERROR(INDEX(PP_Grid[#Data],$DD1010,31),0)</f>
        <v/>
      </c>
      <c r="AH1010">
        <f>IFERROR(INDEX(PP_Grid[#Data],$DD1010,32),0)</f>
        <v/>
      </c>
      <c r="AI1010">
        <f>IFERROR(INDEX(PP_Grid[#Data],$DD1010,33),0)</f>
        <v/>
      </c>
      <c r="AJ1010">
        <f>IFERROR(INDEX(PP_Grid[#Data],$DD1010,34),0)</f>
        <v/>
      </c>
      <c r="AK1010">
        <f>IFERROR(INDEX(PP_Grid[#Data],$DD1010,35),0)</f>
        <v/>
      </c>
      <c r="AL1010">
        <f>IFERROR(INDEX(PP_Grid[#Data],$DD1010,36),0)</f>
        <v/>
      </c>
      <c r="AM1010">
        <f>IFERROR(INDEX(PP_Grid[#Data],$DD1010,37),0)</f>
        <v/>
      </c>
      <c r="AN1010">
        <f>IFERROR(INDEX(PP_Grid[#Data],$DD1010,38),0)</f>
        <v/>
      </c>
      <c r="AO1010">
        <f>IFERROR(INDEX(PP_Grid[#Data],$DD1010,39),0)</f>
        <v/>
      </c>
      <c r="AP1010">
        <f>IFERROR(INDEX(PP_Grid[#Data],$DD1010,40),0)</f>
        <v/>
      </c>
      <c r="AQ1010">
        <f>IFERROR(INDEX(PP_Grid[#Data],$DD1010,41),0)</f>
        <v/>
      </c>
      <c r="AR1010">
        <f>IFERROR(INDEX(PP_Grid[#Data],$DD1010,42),0)</f>
        <v/>
      </c>
      <c r="AS1010">
        <f>IFERROR(INDEX(PP_Grid[#Data],$DD1010,43),0)</f>
        <v/>
      </c>
      <c r="AT1010">
        <f>IFERROR(INDEX(PP_Grid[#Data],$DD1010,44),0)</f>
        <v/>
      </c>
      <c r="AU1010">
        <f>IFERROR(INDEX(PP_Grid[#Data],$DD1010,45),0)</f>
        <v/>
      </c>
      <c r="AV1010">
        <f>IFERROR(INDEX(PP_Grid[#Data],$DD1010,46),0)</f>
        <v/>
      </c>
      <c r="AW1010">
        <f>IFERROR(INDEX(PP_Grid[#Data],$DD1010,47),0)</f>
        <v/>
      </c>
      <c r="AX1010">
        <f>IFERROR(INDEX(PP_Grid[#Data],$DD1010,48),0)</f>
        <v/>
      </c>
      <c r="AY1010">
        <f>IFERROR(INDEX(PP_Grid[#Data],$DD1010,49),0)</f>
        <v/>
      </c>
      <c r="AZ1010">
        <f>IFERROR(INDEX(PP_Grid[#Data],$DD1010,50),0)</f>
        <v/>
      </c>
      <c r="BA1010">
        <f>IFERROR(INDEX(PP_Grid[#Data],$DD1010,51),0)</f>
        <v/>
      </c>
      <c r="BB1010">
        <f>IFERROR(INDEX(PP_Grid[#Data],$DD1010,52),0)</f>
        <v/>
      </c>
      <c r="BC1010">
        <f>IFERROR(INDEX(PP_Grid[#Data],$DD1010,53),0)</f>
        <v/>
      </c>
      <c r="BD1010">
        <f>IFERROR(INDEX(PP_Grid[#Data],$DD1010,54),0)</f>
        <v/>
      </c>
      <c r="BE1010">
        <f>IFERROR(INDEX(PP_Grid[#Data],$DD1010,55),0)</f>
        <v/>
      </c>
      <c r="BF1010">
        <f>IFERROR(INDEX(PP_Grid[#Data],$DD1010,56),0)</f>
        <v/>
      </c>
      <c r="BG1010">
        <f>IFERROR(INDEX(PP_Grid[#Data],$DD1010,57),0)</f>
        <v/>
      </c>
      <c r="BH1010">
        <f>IFERROR(INDEX(PP_Grid[#Data],$DD1010,58),0)</f>
        <v/>
      </c>
      <c r="BI1010">
        <f>IFERROR(INDEX(PP_Grid[#Data],$DD1010,59),0)</f>
        <v/>
      </c>
      <c r="BJ1010">
        <f>IFERROR(INDEX(PP_Grid[#Data],$DD1010,60),0)</f>
        <v/>
      </c>
      <c r="BK1010">
        <f>IFERROR(INDEX(PP_Grid[#Data],$DD1010,61),0)</f>
        <v/>
      </c>
      <c r="BL1010">
        <f>IFERROR(INDEX(PP_Grid[#Data],$DD1010,62),0)</f>
        <v/>
      </c>
      <c r="BM1010">
        <f>IFERROR(INDEX(PP_Grid[#Data],$DD1010,63),0)</f>
        <v/>
      </c>
      <c r="BN1010">
        <f>IFERROR(INDEX(PP_Grid[#Data],$DD1010,64),0)</f>
        <v/>
      </c>
      <c r="BO1010">
        <f>IFERROR(INDEX(PP_Grid[#Data],$DD1010,65),0)</f>
        <v/>
      </c>
      <c r="BP1010">
        <f>IFERROR(INDEX(PP_Grid[#Data],$DD1010,66),0)</f>
        <v/>
      </c>
      <c r="BQ1010">
        <f>IFERROR(INDEX(PP_Grid[#Data],$DD1010,67),0)</f>
        <v/>
      </c>
      <c r="BR1010">
        <f>IFERROR(INDEX(PP_Grid[#Data],$DD1010,68),0)</f>
        <v/>
      </c>
      <c r="BS1010">
        <f>IFERROR(INDEX(PP_Grid[#Data],$DD1010,69),0)</f>
        <v/>
      </c>
      <c r="BT1010">
        <f>IFERROR(INDEX(PP_Grid[#Data],$DD1010,70),0)</f>
        <v/>
      </c>
      <c r="BU1010">
        <f>IFERROR(INDEX(PP_Grid[#Data],$DD1010,71),0)</f>
        <v/>
      </c>
      <c r="BV1010">
        <f>IFERROR(INDEX(PP_Grid[#Data],$DD1010,72),0)</f>
        <v/>
      </c>
      <c r="BW1010">
        <f>IFERROR(INDEX(PP_Grid[#Data],$DD1010,73),0)</f>
        <v/>
      </c>
      <c r="BX1010">
        <f>IFERROR(INDEX(PP_Grid[#Data],$DD1010,74),0)</f>
        <v/>
      </c>
      <c r="BY1010">
        <f>IFERROR(INDEX(PP_Grid[#Data],$DD1010,75),0)</f>
        <v/>
      </c>
      <c r="BZ1010">
        <f>IFERROR(INDEX(PP_Grid[#Data],$DD1010,76),0)</f>
        <v/>
      </c>
      <c r="CA1010">
        <f>IFERROR(INDEX(PP_Grid[#Data],$DD1010,77),0)</f>
        <v/>
      </c>
      <c r="CB1010">
        <f>IFERROR(INDEX(PP_Grid[#Data],$DD1010,78),0)</f>
        <v/>
      </c>
      <c r="CC1010">
        <f>IFERROR(INDEX(PP_Grid[#Data],$DD1010,79),0)</f>
        <v/>
      </c>
      <c r="CD1010">
        <f>IFERROR(INDEX(PP_Grid[#Data],$DD1010,80),0)</f>
        <v/>
      </c>
      <c r="CE1010">
        <f>IFERROR(INDEX(PP_Grid[#Data],$DD1010,81),0)</f>
        <v/>
      </c>
      <c r="CF1010">
        <f>IFERROR(INDEX(PP_Grid[#Data],$DD1010,82),0)</f>
        <v/>
      </c>
      <c r="CG1010">
        <f>IFERROR(INDEX(PP_Grid[#Data],$DD1010,83),0)</f>
        <v/>
      </c>
      <c r="CH1010">
        <f>IFERROR(INDEX(PP_Grid[#Data],$DD1010,84),0)</f>
        <v/>
      </c>
      <c r="CI1010">
        <f>IFERROR(INDEX(PP_Grid[#Data],$DD1010,85),0)</f>
        <v/>
      </c>
      <c r="CJ1010">
        <f>IFERROR(INDEX(PP_Grid[#Data],$DD1010,86),0)</f>
        <v/>
      </c>
      <c r="CK1010">
        <f>IFERROR(INDEX(PP_Grid[#Data],$DD1010,87),0)</f>
        <v/>
      </c>
      <c r="CL1010">
        <f>IFERROR(INDEX(PP_Grid[#Data],$DD1010,88),0)</f>
        <v/>
      </c>
      <c r="CM1010">
        <f>IFERROR(INDEX(PP_Grid[#Data],$DD1010,89),0)</f>
        <v/>
      </c>
      <c r="CN1010">
        <f>IFERROR(INDEX(PP_Grid[#Data],$DD1010,90),0)</f>
        <v/>
      </c>
      <c r="CO1010">
        <f>IFERROR(INDEX(PP_Grid[#Data],$DD1010,91),0)</f>
        <v/>
      </c>
      <c r="CP1010">
        <f>IFERROR(INDEX(PP_Grid[#Data],$DD1010,92),0)</f>
        <v/>
      </c>
      <c r="CQ1010">
        <f>IFERROR(INDEX(PP_Grid[#Data],$DD1010,93),0)</f>
        <v/>
      </c>
      <c r="CR1010">
        <f>IFERROR(INDEX(PP_Grid[#Data],$DD1010,94),0)</f>
        <v/>
      </c>
      <c r="CS1010">
        <f>IFERROR(INDEX(PP_Grid[#Data],$DD1010,95),0)</f>
        <v/>
      </c>
      <c r="CT1010">
        <f>IFERROR(INDEX(PP_Grid[#Data],$DD1010,96),0)</f>
        <v/>
      </c>
      <c r="CU1010">
        <f>IFERROR(INDEX(PP_Grid[#Data],$DD1010,97),0)</f>
        <v/>
      </c>
      <c r="CV1010">
        <f>IFERROR(INDEX(PP_Grid[#Data],$DD1010,98),0)</f>
        <v/>
      </c>
      <c r="CW1010">
        <f>IFERROR(INDEX(PP_Grid[#Data],$DD1010,99),0)</f>
        <v/>
      </c>
      <c r="CX1010">
        <f>IFERROR(INDEX(PP_Grid[#Data],$DD1010,100),0)</f>
        <v/>
      </c>
      <c r="CY1010">
        <f>IFERROR(INDEX(PP_Grid[#Data],$DD1010,101),0)</f>
        <v/>
      </c>
      <c r="CZ1010">
        <f>IFERROR(INDEX(PP_Grid[#Data],$DD1010,102),0)</f>
        <v/>
      </c>
      <c r="DA1010">
        <f>IFERROR(INDEX(PP_Grid[#Data],$DD1010,103),0)</f>
        <v/>
      </c>
      <c r="DB1010">
        <f>IFERROR(INDEX(PP_Grid[#Data],$DD1010,104),0)</f>
        <v/>
      </c>
      <c r="DC1010">
        <f>IFERROR(INDEX(PP_Grid[#Data],$DD1010,105),0)</f>
        <v/>
      </c>
      <c r="DD1010" s="12">
        <f>IFERROR(MATCH($B1010,PP_Grid[Intermediate],0),99999)</f>
        <v/>
      </c>
    </row>
    <row r="1011">
      <c r="B1011" t="inlineStr">
        <is>
          <t>使用量(kg)</t>
        </is>
      </c>
      <c r="C1011">
        <f>SUMIFS(M_BOM[RM_Qty_Per_Batch],M_BOM[Intermediate],$B1010,M_BOM[Part Name],$A999)</f>
        <v/>
      </c>
      <c r="D1011">
        <f>$C1011*D1010</f>
        <v/>
      </c>
      <c r="E1011">
        <f>$C1011*E1010</f>
        <v/>
      </c>
      <c r="F1011">
        <f>$C1011*F1010</f>
        <v/>
      </c>
      <c r="G1011">
        <f>$C1011*G1010</f>
        <v/>
      </c>
      <c r="H1011">
        <f>$C1011*H1010</f>
        <v/>
      </c>
      <c r="I1011">
        <f>$C1011*I1010</f>
        <v/>
      </c>
      <c r="J1011">
        <f>$C1011*J1010</f>
        <v/>
      </c>
      <c r="K1011">
        <f>$C1011*K1010</f>
        <v/>
      </c>
      <c r="L1011">
        <f>$C1011*L1010</f>
        <v/>
      </c>
      <c r="M1011">
        <f>$C1011*M1010</f>
        <v/>
      </c>
      <c r="N1011">
        <f>$C1011*N1010</f>
        <v/>
      </c>
      <c r="O1011">
        <f>$C1011*O1010</f>
        <v/>
      </c>
      <c r="P1011">
        <f>$C1011*P1010</f>
        <v/>
      </c>
      <c r="Q1011">
        <f>$C1011*Q1010</f>
        <v/>
      </c>
      <c r="R1011">
        <f>$C1011*R1010</f>
        <v/>
      </c>
      <c r="S1011">
        <f>$C1011*S1010</f>
        <v/>
      </c>
      <c r="T1011">
        <f>$C1011*T1010</f>
        <v/>
      </c>
      <c r="U1011">
        <f>$C1011*U1010</f>
        <v/>
      </c>
      <c r="V1011">
        <f>$C1011*V1010</f>
        <v/>
      </c>
      <c r="W1011">
        <f>$C1011*W1010</f>
        <v/>
      </c>
      <c r="X1011">
        <f>$C1011*X1010</f>
        <v/>
      </c>
      <c r="Y1011">
        <f>$C1011*Y1010</f>
        <v/>
      </c>
      <c r="Z1011">
        <f>$C1011*Z1010</f>
        <v/>
      </c>
      <c r="AA1011">
        <f>$C1011*AA1010</f>
        <v/>
      </c>
      <c r="AB1011">
        <f>$C1011*AB1010</f>
        <v/>
      </c>
      <c r="AC1011">
        <f>$C1011*AC1010</f>
        <v/>
      </c>
      <c r="AD1011">
        <f>$C1011*AD1010</f>
        <v/>
      </c>
      <c r="AE1011">
        <f>$C1011*AE1010</f>
        <v/>
      </c>
      <c r="AF1011">
        <f>$C1011*AF1010</f>
        <v/>
      </c>
      <c r="AG1011">
        <f>$C1011*AG1010</f>
        <v/>
      </c>
      <c r="AH1011">
        <f>$C1011*AH1010</f>
        <v/>
      </c>
      <c r="AI1011">
        <f>$C1011*AI1010</f>
        <v/>
      </c>
      <c r="AJ1011">
        <f>$C1011*AJ1010</f>
        <v/>
      </c>
      <c r="AK1011">
        <f>$C1011*AK1010</f>
        <v/>
      </c>
      <c r="AL1011">
        <f>$C1011*AL1010</f>
        <v/>
      </c>
      <c r="AM1011">
        <f>$C1011*AM1010</f>
        <v/>
      </c>
      <c r="AN1011">
        <f>$C1011*AN1010</f>
        <v/>
      </c>
      <c r="AO1011">
        <f>$C1011*AO1010</f>
        <v/>
      </c>
      <c r="AP1011">
        <f>$C1011*AP1010</f>
        <v/>
      </c>
      <c r="AQ1011">
        <f>$C1011*AQ1010</f>
        <v/>
      </c>
      <c r="AR1011">
        <f>$C1011*AR1010</f>
        <v/>
      </c>
      <c r="AS1011">
        <f>$C1011*AS1010</f>
        <v/>
      </c>
      <c r="AT1011">
        <f>$C1011*AT1010</f>
        <v/>
      </c>
      <c r="AU1011">
        <f>$C1011*AU1010</f>
        <v/>
      </c>
      <c r="AV1011">
        <f>$C1011*AV1010</f>
        <v/>
      </c>
      <c r="AW1011">
        <f>$C1011*AW1010</f>
        <v/>
      </c>
      <c r="AX1011">
        <f>$C1011*AX1010</f>
        <v/>
      </c>
      <c r="AY1011">
        <f>$C1011*AY1010</f>
        <v/>
      </c>
      <c r="AZ1011">
        <f>$C1011*AZ1010</f>
        <v/>
      </c>
      <c r="BA1011">
        <f>$C1011*BA1010</f>
        <v/>
      </c>
      <c r="BB1011">
        <f>$C1011*BB1010</f>
        <v/>
      </c>
      <c r="BC1011">
        <f>$C1011*BC1010</f>
        <v/>
      </c>
      <c r="BD1011">
        <f>$C1011*BD1010</f>
        <v/>
      </c>
      <c r="BE1011">
        <f>$C1011*BE1010</f>
        <v/>
      </c>
      <c r="BF1011">
        <f>$C1011*BF1010</f>
        <v/>
      </c>
      <c r="BG1011">
        <f>$C1011*BG1010</f>
        <v/>
      </c>
      <c r="BH1011">
        <f>$C1011*BH1010</f>
        <v/>
      </c>
      <c r="BI1011">
        <f>$C1011*BI1010</f>
        <v/>
      </c>
      <c r="BJ1011">
        <f>$C1011*BJ1010</f>
        <v/>
      </c>
      <c r="BK1011">
        <f>$C1011*BK1010</f>
        <v/>
      </c>
      <c r="BL1011">
        <f>$C1011*BL1010</f>
        <v/>
      </c>
      <c r="BM1011">
        <f>$C1011*BM1010</f>
        <v/>
      </c>
      <c r="BN1011">
        <f>$C1011*BN1010</f>
        <v/>
      </c>
      <c r="BO1011">
        <f>$C1011*BO1010</f>
        <v/>
      </c>
      <c r="BP1011">
        <f>$C1011*BP1010</f>
        <v/>
      </c>
      <c r="BQ1011">
        <f>$C1011*BQ1010</f>
        <v/>
      </c>
      <c r="BR1011">
        <f>$C1011*BR1010</f>
        <v/>
      </c>
      <c r="BS1011">
        <f>$C1011*BS1010</f>
        <v/>
      </c>
      <c r="BT1011">
        <f>$C1011*BT1010</f>
        <v/>
      </c>
      <c r="BU1011">
        <f>$C1011*BU1010</f>
        <v/>
      </c>
      <c r="BV1011">
        <f>$C1011*BV1010</f>
        <v/>
      </c>
      <c r="BW1011">
        <f>$C1011*BW1010</f>
        <v/>
      </c>
      <c r="BX1011">
        <f>$C1011*BX1010</f>
        <v/>
      </c>
      <c r="BY1011">
        <f>$C1011*BY1010</f>
        <v/>
      </c>
      <c r="BZ1011">
        <f>$C1011*BZ1010</f>
        <v/>
      </c>
      <c r="CA1011">
        <f>$C1011*CA1010</f>
        <v/>
      </c>
      <c r="CB1011">
        <f>$C1011*CB1010</f>
        <v/>
      </c>
      <c r="CC1011">
        <f>$C1011*CC1010</f>
        <v/>
      </c>
      <c r="CD1011">
        <f>$C1011*CD1010</f>
        <v/>
      </c>
      <c r="CE1011">
        <f>$C1011*CE1010</f>
        <v/>
      </c>
      <c r="CF1011">
        <f>$C1011*CF1010</f>
        <v/>
      </c>
      <c r="CG1011">
        <f>$C1011*CG1010</f>
        <v/>
      </c>
      <c r="CH1011">
        <f>$C1011*CH1010</f>
        <v/>
      </c>
      <c r="CI1011">
        <f>$C1011*CI1010</f>
        <v/>
      </c>
      <c r="CJ1011">
        <f>$C1011*CJ1010</f>
        <v/>
      </c>
      <c r="CK1011">
        <f>$C1011*CK1010</f>
        <v/>
      </c>
      <c r="CL1011">
        <f>$C1011*CL1010</f>
        <v/>
      </c>
      <c r="CM1011">
        <f>$C1011*CM1010</f>
        <v/>
      </c>
      <c r="CN1011">
        <f>$C1011*CN1010</f>
        <v/>
      </c>
      <c r="CO1011">
        <f>$C1011*CO1010</f>
        <v/>
      </c>
      <c r="CP1011">
        <f>$C1011*CP1010</f>
        <v/>
      </c>
      <c r="CQ1011">
        <f>$C1011*CQ1010</f>
        <v/>
      </c>
      <c r="CR1011">
        <f>$C1011*CR1010</f>
        <v/>
      </c>
      <c r="CS1011">
        <f>$C1011*CS1010</f>
        <v/>
      </c>
      <c r="CT1011">
        <f>$C1011*CT1010</f>
        <v/>
      </c>
      <c r="CU1011">
        <f>$C1011*CU1010</f>
        <v/>
      </c>
      <c r="CV1011">
        <f>$C1011*CV1010</f>
        <v/>
      </c>
      <c r="CW1011">
        <f>$C1011*CW1010</f>
        <v/>
      </c>
      <c r="CX1011">
        <f>$C1011*CX1010</f>
        <v/>
      </c>
      <c r="CY1011">
        <f>$C1011*CY1010</f>
        <v/>
      </c>
      <c r="CZ1011">
        <f>$C1011*CZ1010</f>
        <v/>
      </c>
      <c r="DA1011">
        <f>$C1011*DA1010</f>
        <v/>
      </c>
      <c r="DB1011">
        <f>$C1011*DB1010</f>
        <v/>
      </c>
      <c r="DC1011">
        <f>$C1011*DC1010</f>
        <v/>
      </c>
    </row>
    <row r="1012">
      <c r="B1012" t="inlineStr">
        <is>
          <t>TSP-1555</t>
        </is>
      </c>
      <c r="C1012" t="inlineStr">
        <is>
          <t>No. of batches</t>
        </is>
      </c>
      <c r="D1012">
        <f>IFERROR(INDEX(PP_Grid[#Data],$DD1012,2),0)</f>
        <v/>
      </c>
      <c r="E1012">
        <f>IFERROR(INDEX(PP_Grid[#Data],$DD1012,3),0)</f>
        <v/>
      </c>
      <c r="F1012">
        <f>IFERROR(INDEX(PP_Grid[#Data],$DD1012,4),0)</f>
        <v/>
      </c>
      <c r="G1012">
        <f>IFERROR(INDEX(PP_Grid[#Data],$DD1012,5),0)</f>
        <v/>
      </c>
      <c r="H1012">
        <f>IFERROR(INDEX(PP_Grid[#Data],$DD1012,6),0)</f>
        <v/>
      </c>
      <c r="I1012">
        <f>IFERROR(INDEX(PP_Grid[#Data],$DD1012,7),0)</f>
        <v/>
      </c>
      <c r="J1012">
        <f>IFERROR(INDEX(PP_Grid[#Data],$DD1012,8),0)</f>
        <v/>
      </c>
      <c r="K1012">
        <f>IFERROR(INDEX(PP_Grid[#Data],$DD1012,9),0)</f>
        <v/>
      </c>
      <c r="L1012">
        <f>IFERROR(INDEX(PP_Grid[#Data],$DD1012,10),0)</f>
        <v/>
      </c>
      <c r="M1012">
        <f>IFERROR(INDEX(PP_Grid[#Data],$DD1012,11),0)</f>
        <v/>
      </c>
      <c r="N1012">
        <f>IFERROR(INDEX(PP_Grid[#Data],$DD1012,12),0)</f>
        <v/>
      </c>
      <c r="O1012">
        <f>IFERROR(INDEX(PP_Grid[#Data],$DD1012,13),0)</f>
        <v/>
      </c>
      <c r="P1012">
        <f>IFERROR(INDEX(PP_Grid[#Data],$DD1012,14),0)</f>
        <v/>
      </c>
      <c r="Q1012">
        <f>IFERROR(INDEX(PP_Grid[#Data],$DD1012,15),0)</f>
        <v/>
      </c>
      <c r="R1012">
        <f>IFERROR(INDEX(PP_Grid[#Data],$DD1012,16),0)</f>
        <v/>
      </c>
      <c r="S1012">
        <f>IFERROR(INDEX(PP_Grid[#Data],$DD1012,17),0)</f>
        <v/>
      </c>
      <c r="T1012">
        <f>IFERROR(INDEX(PP_Grid[#Data],$DD1012,18),0)</f>
        <v/>
      </c>
      <c r="U1012">
        <f>IFERROR(INDEX(PP_Grid[#Data],$DD1012,19),0)</f>
        <v/>
      </c>
      <c r="V1012">
        <f>IFERROR(INDEX(PP_Grid[#Data],$DD1012,20),0)</f>
        <v/>
      </c>
      <c r="W1012">
        <f>IFERROR(INDEX(PP_Grid[#Data],$DD1012,21),0)</f>
        <v/>
      </c>
      <c r="X1012">
        <f>IFERROR(INDEX(PP_Grid[#Data],$DD1012,22),0)</f>
        <v/>
      </c>
      <c r="Y1012">
        <f>IFERROR(INDEX(PP_Grid[#Data],$DD1012,23),0)</f>
        <v/>
      </c>
      <c r="Z1012">
        <f>IFERROR(INDEX(PP_Grid[#Data],$DD1012,24),0)</f>
        <v/>
      </c>
      <c r="AA1012">
        <f>IFERROR(INDEX(PP_Grid[#Data],$DD1012,25),0)</f>
        <v/>
      </c>
      <c r="AB1012">
        <f>IFERROR(INDEX(PP_Grid[#Data],$DD1012,26),0)</f>
        <v/>
      </c>
      <c r="AC1012">
        <f>IFERROR(INDEX(PP_Grid[#Data],$DD1012,27),0)</f>
        <v/>
      </c>
      <c r="AD1012">
        <f>IFERROR(INDEX(PP_Grid[#Data],$DD1012,28),0)</f>
        <v/>
      </c>
      <c r="AE1012">
        <f>IFERROR(INDEX(PP_Grid[#Data],$DD1012,29),0)</f>
        <v/>
      </c>
      <c r="AF1012">
        <f>IFERROR(INDEX(PP_Grid[#Data],$DD1012,30),0)</f>
        <v/>
      </c>
      <c r="AG1012">
        <f>IFERROR(INDEX(PP_Grid[#Data],$DD1012,31),0)</f>
        <v/>
      </c>
      <c r="AH1012">
        <f>IFERROR(INDEX(PP_Grid[#Data],$DD1012,32),0)</f>
        <v/>
      </c>
      <c r="AI1012">
        <f>IFERROR(INDEX(PP_Grid[#Data],$DD1012,33),0)</f>
        <v/>
      </c>
      <c r="AJ1012">
        <f>IFERROR(INDEX(PP_Grid[#Data],$DD1012,34),0)</f>
        <v/>
      </c>
      <c r="AK1012">
        <f>IFERROR(INDEX(PP_Grid[#Data],$DD1012,35),0)</f>
        <v/>
      </c>
      <c r="AL1012">
        <f>IFERROR(INDEX(PP_Grid[#Data],$DD1012,36),0)</f>
        <v/>
      </c>
      <c r="AM1012">
        <f>IFERROR(INDEX(PP_Grid[#Data],$DD1012,37),0)</f>
        <v/>
      </c>
      <c r="AN1012">
        <f>IFERROR(INDEX(PP_Grid[#Data],$DD1012,38),0)</f>
        <v/>
      </c>
      <c r="AO1012">
        <f>IFERROR(INDEX(PP_Grid[#Data],$DD1012,39),0)</f>
        <v/>
      </c>
      <c r="AP1012">
        <f>IFERROR(INDEX(PP_Grid[#Data],$DD1012,40),0)</f>
        <v/>
      </c>
      <c r="AQ1012">
        <f>IFERROR(INDEX(PP_Grid[#Data],$DD1012,41),0)</f>
        <v/>
      </c>
      <c r="AR1012">
        <f>IFERROR(INDEX(PP_Grid[#Data],$DD1012,42),0)</f>
        <v/>
      </c>
      <c r="AS1012">
        <f>IFERROR(INDEX(PP_Grid[#Data],$DD1012,43),0)</f>
        <v/>
      </c>
      <c r="AT1012">
        <f>IFERROR(INDEX(PP_Grid[#Data],$DD1012,44),0)</f>
        <v/>
      </c>
      <c r="AU1012">
        <f>IFERROR(INDEX(PP_Grid[#Data],$DD1012,45),0)</f>
        <v/>
      </c>
      <c r="AV1012">
        <f>IFERROR(INDEX(PP_Grid[#Data],$DD1012,46),0)</f>
        <v/>
      </c>
      <c r="AW1012">
        <f>IFERROR(INDEX(PP_Grid[#Data],$DD1012,47),0)</f>
        <v/>
      </c>
      <c r="AX1012">
        <f>IFERROR(INDEX(PP_Grid[#Data],$DD1012,48),0)</f>
        <v/>
      </c>
      <c r="AY1012">
        <f>IFERROR(INDEX(PP_Grid[#Data],$DD1012,49),0)</f>
        <v/>
      </c>
      <c r="AZ1012">
        <f>IFERROR(INDEX(PP_Grid[#Data],$DD1012,50),0)</f>
        <v/>
      </c>
      <c r="BA1012">
        <f>IFERROR(INDEX(PP_Grid[#Data],$DD1012,51),0)</f>
        <v/>
      </c>
      <c r="BB1012">
        <f>IFERROR(INDEX(PP_Grid[#Data],$DD1012,52),0)</f>
        <v/>
      </c>
      <c r="BC1012">
        <f>IFERROR(INDEX(PP_Grid[#Data],$DD1012,53),0)</f>
        <v/>
      </c>
      <c r="BD1012">
        <f>IFERROR(INDEX(PP_Grid[#Data],$DD1012,54),0)</f>
        <v/>
      </c>
      <c r="BE1012">
        <f>IFERROR(INDEX(PP_Grid[#Data],$DD1012,55),0)</f>
        <v/>
      </c>
      <c r="BF1012">
        <f>IFERROR(INDEX(PP_Grid[#Data],$DD1012,56),0)</f>
        <v/>
      </c>
      <c r="BG1012">
        <f>IFERROR(INDEX(PP_Grid[#Data],$DD1012,57),0)</f>
        <v/>
      </c>
      <c r="BH1012">
        <f>IFERROR(INDEX(PP_Grid[#Data],$DD1012,58),0)</f>
        <v/>
      </c>
      <c r="BI1012">
        <f>IFERROR(INDEX(PP_Grid[#Data],$DD1012,59),0)</f>
        <v/>
      </c>
      <c r="BJ1012">
        <f>IFERROR(INDEX(PP_Grid[#Data],$DD1012,60),0)</f>
        <v/>
      </c>
      <c r="BK1012">
        <f>IFERROR(INDEX(PP_Grid[#Data],$DD1012,61),0)</f>
        <v/>
      </c>
      <c r="BL1012">
        <f>IFERROR(INDEX(PP_Grid[#Data],$DD1012,62),0)</f>
        <v/>
      </c>
      <c r="BM1012">
        <f>IFERROR(INDEX(PP_Grid[#Data],$DD1012,63),0)</f>
        <v/>
      </c>
      <c r="BN1012">
        <f>IFERROR(INDEX(PP_Grid[#Data],$DD1012,64),0)</f>
        <v/>
      </c>
      <c r="BO1012">
        <f>IFERROR(INDEX(PP_Grid[#Data],$DD1012,65),0)</f>
        <v/>
      </c>
      <c r="BP1012">
        <f>IFERROR(INDEX(PP_Grid[#Data],$DD1012,66),0)</f>
        <v/>
      </c>
      <c r="BQ1012">
        <f>IFERROR(INDEX(PP_Grid[#Data],$DD1012,67),0)</f>
        <v/>
      </c>
      <c r="BR1012">
        <f>IFERROR(INDEX(PP_Grid[#Data],$DD1012,68),0)</f>
        <v/>
      </c>
      <c r="BS1012">
        <f>IFERROR(INDEX(PP_Grid[#Data],$DD1012,69),0)</f>
        <v/>
      </c>
      <c r="BT1012">
        <f>IFERROR(INDEX(PP_Grid[#Data],$DD1012,70),0)</f>
        <v/>
      </c>
      <c r="BU1012">
        <f>IFERROR(INDEX(PP_Grid[#Data],$DD1012,71),0)</f>
        <v/>
      </c>
      <c r="BV1012">
        <f>IFERROR(INDEX(PP_Grid[#Data],$DD1012,72),0)</f>
        <v/>
      </c>
      <c r="BW1012">
        <f>IFERROR(INDEX(PP_Grid[#Data],$DD1012,73),0)</f>
        <v/>
      </c>
      <c r="BX1012">
        <f>IFERROR(INDEX(PP_Grid[#Data],$DD1012,74),0)</f>
        <v/>
      </c>
      <c r="BY1012">
        <f>IFERROR(INDEX(PP_Grid[#Data],$DD1012,75),0)</f>
        <v/>
      </c>
      <c r="BZ1012">
        <f>IFERROR(INDEX(PP_Grid[#Data],$DD1012,76),0)</f>
        <v/>
      </c>
      <c r="CA1012">
        <f>IFERROR(INDEX(PP_Grid[#Data],$DD1012,77),0)</f>
        <v/>
      </c>
      <c r="CB1012">
        <f>IFERROR(INDEX(PP_Grid[#Data],$DD1012,78),0)</f>
        <v/>
      </c>
      <c r="CC1012">
        <f>IFERROR(INDEX(PP_Grid[#Data],$DD1012,79),0)</f>
        <v/>
      </c>
      <c r="CD1012">
        <f>IFERROR(INDEX(PP_Grid[#Data],$DD1012,80),0)</f>
        <v/>
      </c>
      <c r="CE1012">
        <f>IFERROR(INDEX(PP_Grid[#Data],$DD1012,81),0)</f>
        <v/>
      </c>
      <c r="CF1012">
        <f>IFERROR(INDEX(PP_Grid[#Data],$DD1012,82),0)</f>
        <v/>
      </c>
      <c r="CG1012">
        <f>IFERROR(INDEX(PP_Grid[#Data],$DD1012,83),0)</f>
        <v/>
      </c>
      <c r="CH1012">
        <f>IFERROR(INDEX(PP_Grid[#Data],$DD1012,84),0)</f>
        <v/>
      </c>
      <c r="CI1012">
        <f>IFERROR(INDEX(PP_Grid[#Data],$DD1012,85),0)</f>
        <v/>
      </c>
      <c r="CJ1012">
        <f>IFERROR(INDEX(PP_Grid[#Data],$DD1012,86),0)</f>
        <v/>
      </c>
      <c r="CK1012">
        <f>IFERROR(INDEX(PP_Grid[#Data],$DD1012,87),0)</f>
        <v/>
      </c>
      <c r="CL1012">
        <f>IFERROR(INDEX(PP_Grid[#Data],$DD1012,88),0)</f>
        <v/>
      </c>
      <c r="CM1012">
        <f>IFERROR(INDEX(PP_Grid[#Data],$DD1012,89),0)</f>
        <v/>
      </c>
      <c r="CN1012">
        <f>IFERROR(INDEX(PP_Grid[#Data],$DD1012,90),0)</f>
        <v/>
      </c>
      <c r="CO1012">
        <f>IFERROR(INDEX(PP_Grid[#Data],$DD1012,91),0)</f>
        <v/>
      </c>
      <c r="CP1012">
        <f>IFERROR(INDEX(PP_Grid[#Data],$DD1012,92),0)</f>
        <v/>
      </c>
      <c r="CQ1012">
        <f>IFERROR(INDEX(PP_Grid[#Data],$DD1012,93),0)</f>
        <v/>
      </c>
      <c r="CR1012">
        <f>IFERROR(INDEX(PP_Grid[#Data],$DD1012,94),0)</f>
        <v/>
      </c>
      <c r="CS1012">
        <f>IFERROR(INDEX(PP_Grid[#Data],$DD1012,95),0)</f>
        <v/>
      </c>
      <c r="CT1012">
        <f>IFERROR(INDEX(PP_Grid[#Data],$DD1012,96),0)</f>
        <v/>
      </c>
      <c r="CU1012">
        <f>IFERROR(INDEX(PP_Grid[#Data],$DD1012,97),0)</f>
        <v/>
      </c>
      <c r="CV1012">
        <f>IFERROR(INDEX(PP_Grid[#Data],$DD1012,98),0)</f>
        <v/>
      </c>
      <c r="CW1012">
        <f>IFERROR(INDEX(PP_Grid[#Data],$DD1012,99),0)</f>
        <v/>
      </c>
      <c r="CX1012">
        <f>IFERROR(INDEX(PP_Grid[#Data],$DD1012,100),0)</f>
        <v/>
      </c>
      <c r="CY1012">
        <f>IFERROR(INDEX(PP_Grid[#Data],$DD1012,101),0)</f>
        <v/>
      </c>
      <c r="CZ1012">
        <f>IFERROR(INDEX(PP_Grid[#Data],$DD1012,102),0)</f>
        <v/>
      </c>
      <c r="DA1012">
        <f>IFERROR(INDEX(PP_Grid[#Data],$DD1012,103),0)</f>
        <v/>
      </c>
      <c r="DB1012">
        <f>IFERROR(INDEX(PP_Grid[#Data],$DD1012,104),0)</f>
        <v/>
      </c>
      <c r="DC1012">
        <f>IFERROR(INDEX(PP_Grid[#Data],$DD1012,105),0)</f>
        <v/>
      </c>
      <c r="DD1012" s="12">
        <f>IFERROR(MATCH($B1012,PP_Grid[Intermediate],0),99999)</f>
        <v/>
      </c>
    </row>
    <row r="1013">
      <c r="B1013" t="inlineStr">
        <is>
          <t>使用量(kg)</t>
        </is>
      </c>
      <c r="C1013">
        <f>SUMIFS(M_BOM[RM_Qty_Per_Batch],M_BOM[Intermediate],$B1012,M_BOM[Part Name],$A999)</f>
        <v/>
      </c>
      <c r="D1013">
        <f>$C1013*D1012</f>
        <v/>
      </c>
      <c r="E1013">
        <f>$C1013*E1012</f>
        <v/>
      </c>
      <c r="F1013">
        <f>$C1013*F1012</f>
        <v/>
      </c>
      <c r="G1013">
        <f>$C1013*G1012</f>
        <v/>
      </c>
      <c r="H1013">
        <f>$C1013*H1012</f>
        <v/>
      </c>
      <c r="I1013">
        <f>$C1013*I1012</f>
        <v/>
      </c>
      <c r="J1013">
        <f>$C1013*J1012</f>
        <v/>
      </c>
      <c r="K1013">
        <f>$C1013*K1012</f>
        <v/>
      </c>
      <c r="L1013">
        <f>$C1013*L1012</f>
        <v/>
      </c>
      <c r="M1013">
        <f>$C1013*M1012</f>
        <v/>
      </c>
      <c r="N1013">
        <f>$C1013*N1012</f>
        <v/>
      </c>
      <c r="O1013">
        <f>$C1013*O1012</f>
        <v/>
      </c>
      <c r="P1013">
        <f>$C1013*P1012</f>
        <v/>
      </c>
      <c r="Q1013">
        <f>$C1013*Q1012</f>
        <v/>
      </c>
      <c r="R1013">
        <f>$C1013*R1012</f>
        <v/>
      </c>
      <c r="S1013">
        <f>$C1013*S1012</f>
        <v/>
      </c>
      <c r="T1013">
        <f>$C1013*T1012</f>
        <v/>
      </c>
      <c r="U1013">
        <f>$C1013*U1012</f>
        <v/>
      </c>
      <c r="V1013">
        <f>$C1013*V1012</f>
        <v/>
      </c>
      <c r="W1013">
        <f>$C1013*W1012</f>
        <v/>
      </c>
      <c r="X1013">
        <f>$C1013*X1012</f>
        <v/>
      </c>
      <c r="Y1013">
        <f>$C1013*Y1012</f>
        <v/>
      </c>
      <c r="Z1013">
        <f>$C1013*Z1012</f>
        <v/>
      </c>
      <c r="AA1013">
        <f>$C1013*AA1012</f>
        <v/>
      </c>
      <c r="AB1013">
        <f>$C1013*AB1012</f>
        <v/>
      </c>
      <c r="AC1013">
        <f>$C1013*AC1012</f>
        <v/>
      </c>
      <c r="AD1013">
        <f>$C1013*AD1012</f>
        <v/>
      </c>
      <c r="AE1013">
        <f>$C1013*AE1012</f>
        <v/>
      </c>
      <c r="AF1013">
        <f>$C1013*AF1012</f>
        <v/>
      </c>
      <c r="AG1013">
        <f>$C1013*AG1012</f>
        <v/>
      </c>
      <c r="AH1013">
        <f>$C1013*AH1012</f>
        <v/>
      </c>
      <c r="AI1013">
        <f>$C1013*AI1012</f>
        <v/>
      </c>
      <c r="AJ1013">
        <f>$C1013*AJ1012</f>
        <v/>
      </c>
      <c r="AK1013">
        <f>$C1013*AK1012</f>
        <v/>
      </c>
      <c r="AL1013">
        <f>$C1013*AL1012</f>
        <v/>
      </c>
      <c r="AM1013">
        <f>$C1013*AM1012</f>
        <v/>
      </c>
      <c r="AN1013">
        <f>$C1013*AN1012</f>
        <v/>
      </c>
      <c r="AO1013">
        <f>$C1013*AO1012</f>
        <v/>
      </c>
      <c r="AP1013">
        <f>$C1013*AP1012</f>
        <v/>
      </c>
      <c r="AQ1013">
        <f>$C1013*AQ1012</f>
        <v/>
      </c>
      <c r="AR1013">
        <f>$C1013*AR1012</f>
        <v/>
      </c>
      <c r="AS1013">
        <f>$C1013*AS1012</f>
        <v/>
      </c>
      <c r="AT1013">
        <f>$C1013*AT1012</f>
        <v/>
      </c>
      <c r="AU1013">
        <f>$C1013*AU1012</f>
        <v/>
      </c>
      <c r="AV1013">
        <f>$C1013*AV1012</f>
        <v/>
      </c>
      <c r="AW1013">
        <f>$C1013*AW1012</f>
        <v/>
      </c>
      <c r="AX1013">
        <f>$C1013*AX1012</f>
        <v/>
      </c>
      <c r="AY1013">
        <f>$C1013*AY1012</f>
        <v/>
      </c>
      <c r="AZ1013">
        <f>$C1013*AZ1012</f>
        <v/>
      </c>
      <c r="BA1013">
        <f>$C1013*BA1012</f>
        <v/>
      </c>
      <c r="BB1013">
        <f>$C1013*BB1012</f>
        <v/>
      </c>
      <c r="BC1013">
        <f>$C1013*BC1012</f>
        <v/>
      </c>
      <c r="BD1013">
        <f>$C1013*BD1012</f>
        <v/>
      </c>
      <c r="BE1013">
        <f>$C1013*BE1012</f>
        <v/>
      </c>
      <c r="BF1013">
        <f>$C1013*BF1012</f>
        <v/>
      </c>
      <c r="BG1013">
        <f>$C1013*BG1012</f>
        <v/>
      </c>
      <c r="BH1013">
        <f>$C1013*BH1012</f>
        <v/>
      </c>
      <c r="BI1013">
        <f>$C1013*BI1012</f>
        <v/>
      </c>
      <c r="BJ1013">
        <f>$C1013*BJ1012</f>
        <v/>
      </c>
      <c r="BK1013">
        <f>$C1013*BK1012</f>
        <v/>
      </c>
      <c r="BL1013">
        <f>$C1013*BL1012</f>
        <v/>
      </c>
      <c r="BM1013">
        <f>$C1013*BM1012</f>
        <v/>
      </c>
      <c r="BN1013">
        <f>$C1013*BN1012</f>
        <v/>
      </c>
      <c r="BO1013">
        <f>$C1013*BO1012</f>
        <v/>
      </c>
      <c r="BP1013">
        <f>$C1013*BP1012</f>
        <v/>
      </c>
      <c r="BQ1013">
        <f>$C1013*BQ1012</f>
        <v/>
      </c>
      <c r="BR1013">
        <f>$C1013*BR1012</f>
        <v/>
      </c>
      <c r="BS1013">
        <f>$C1013*BS1012</f>
        <v/>
      </c>
      <c r="BT1013">
        <f>$C1013*BT1012</f>
        <v/>
      </c>
      <c r="BU1013">
        <f>$C1013*BU1012</f>
        <v/>
      </c>
      <c r="BV1013">
        <f>$C1013*BV1012</f>
        <v/>
      </c>
      <c r="BW1013">
        <f>$C1013*BW1012</f>
        <v/>
      </c>
      <c r="BX1013">
        <f>$C1013*BX1012</f>
        <v/>
      </c>
      <c r="BY1013">
        <f>$C1013*BY1012</f>
        <v/>
      </c>
      <c r="BZ1013">
        <f>$C1013*BZ1012</f>
        <v/>
      </c>
      <c r="CA1013">
        <f>$C1013*CA1012</f>
        <v/>
      </c>
      <c r="CB1013">
        <f>$C1013*CB1012</f>
        <v/>
      </c>
      <c r="CC1013">
        <f>$C1013*CC1012</f>
        <v/>
      </c>
      <c r="CD1013">
        <f>$C1013*CD1012</f>
        <v/>
      </c>
      <c r="CE1013">
        <f>$C1013*CE1012</f>
        <v/>
      </c>
      <c r="CF1013">
        <f>$C1013*CF1012</f>
        <v/>
      </c>
      <c r="CG1013">
        <f>$C1013*CG1012</f>
        <v/>
      </c>
      <c r="CH1013">
        <f>$C1013*CH1012</f>
        <v/>
      </c>
      <c r="CI1013">
        <f>$C1013*CI1012</f>
        <v/>
      </c>
      <c r="CJ1013">
        <f>$C1013*CJ1012</f>
        <v/>
      </c>
      <c r="CK1013">
        <f>$C1013*CK1012</f>
        <v/>
      </c>
      <c r="CL1013">
        <f>$C1013*CL1012</f>
        <v/>
      </c>
      <c r="CM1013">
        <f>$C1013*CM1012</f>
        <v/>
      </c>
      <c r="CN1013">
        <f>$C1013*CN1012</f>
        <v/>
      </c>
      <c r="CO1013">
        <f>$C1013*CO1012</f>
        <v/>
      </c>
      <c r="CP1013">
        <f>$C1013*CP1012</f>
        <v/>
      </c>
      <c r="CQ1013">
        <f>$C1013*CQ1012</f>
        <v/>
      </c>
      <c r="CR1013">
        <f>$C1013*CR1012</f>
        <v/>
      </c>
      <c r="CS1013">
        <f>$C1013*CS1012</f>
        <v/>
      </c>
      <c r="CT1013">
        <f>$C1013*CT1012</f>
        <v/>
      </c>
      <c r="CU1013">
        <f>$C1013*CU1012</f>
        <v/>
      </c>
      <c r="CV1013">
        <f>$C1013*CV1012</f>
        <v/>
      </c>
      <c r="CW1013">
        <f>$C1013*CW1012</f>
        <v/>
      </c>
      <c r="CX1013">
        <f>$C1013*CX1012</f>
        <v/>
      </c>
      <c r="CY1013">
        <f>$C1013*CY1012</f>
        <v/>
      </c>
      <c r="CZ1013">
        <f>$C1013*CZ1012</f>
        <v/>
      </c>
      <c r="DA1013">
        <f>$C1013*DA1012</f>
        <v/>
      </c>
      <c r="DB1013">
        <f>$C1013*DB1012</f>
        <v/>
      </c>
      <c r="DC1013">
        <f>$C1013*DC1012</f>
        <v/>
      </c>
    </row>
    <row r="1014">
      <c r="B1014" t="inlineStr">
        <is>
          <t>TSP-927</t>
        </is>
      </c>
      <c r="C1014" t="inlineStr">
        <is>
          <t>No. of batches</t>
        </is>
      </c>
      <c r="D1014">
        <f>IFERROR(INDEX(PP_Grid[#Data],$DD1014,2),0)</f>
        <v/>
      </c>
      <c r="E1014">
        <f>IFERROR(INDEX(PP_Grid[#Data],$DD1014,3),0)</f>
        <v/>
      </c>
      <c r="F1014">
        <f>IFERROR(INDEX(PP_Grid[#Data],$DD1014,4),0)</f>
        <v/>
      </c>
      <c r="G1014">
        <f>IFERROR(INDEX(PP_Grid[#Data],$DD1014,5),0)</f>
        <v/>
      </c>
      <c r="H1014">
        <f>IFERROR(INDEX(PP_Grid[#Data],$DD1014,6),0)</f>
        <v/>
      </c>
      <c r="I1014">
        <f>IFERROR(INDEX(PP_Grid[#Data],$DD1014,7),0)</f>
        <v/>
      </c>
      <c r="J1014">
        <f>IFERROR(INDEX(PP_Grid[#Data],$DD1014,8),0)</f>
        <v/>
      </c>
      <c r="K1014">
        <f>IFERROR(INDEX(PP_Grid[#Data],$DD1014,9),0)</f>
        <v/>
      </c>
      <c r="L1014">
        <f>IFERROR(INDEX(PP_Grid[#Data],$DD1014,10),0)</f>
        <v/>
      </c>
      <c r="M1014">
        <f>IFERROR(INDEX(PP_Grid[#Data],$DD1014,11),0)</f>
        <v/>
      </c>
      <c r="N1014">
        <f>IFERROR(INDEX(PP_Grid[#Data],$DD1014,12),0)</f>
        <v/>
      </c>
      <c r="O1014">
        <f>IFERROR(INDEX(PP_Grid[#Data],$DD1014,13),0)</f>
        <v/>
      </c>
      <c r="P1014">
        <f>IFERROR(INDEX(PP_Grid[#Data],$DD1014,14),0)</f>
        <v/>
      </c>
      <c r="Q1014">
        <f>IFERROR(INDEX(PP_Grid[#Data],$DD1014,15),0)</f>
        <v/>
      </c>
      <c r="R1014">
        <f>IFERROR(INDEX(PP_Grid[#Data],$DD1014,16),0)</f>
        <v/>
      </c>
      <c r="S1014">
        <f>IFERROR(INDEX(PP_Grid[#Data],$DD1014,17),0)</f>
        <v/>
      </c>
      <c r="T1014">
        <f>IFERROR(INDEX(PP_Grid[#Data],$DD1014,18),0)</f>
        <v/>
      </c>
      <c r="U1014">
        <f>IFERROR(INDEX(PP_Grid[#Data],$DD1014,19),0)</f>
        <v/>
      </c>
      <c r="V1014">
        <f>IFERROR(INDEX(PP_Grid[#Data],$DD1014,20),0)</f>
        <v/>
      </c>
      <c r="W1014">
        <f>IFERROR(INDEX(PP_Grid[#Data],$DD1014,21),0)</f>
        <v/>
      </c>
      <c r="X1014">
        <f>IFERROR(INDEX(PP_Grid[#Data],$DD1014,22),0)</f>
        <v/>
      </c>
      <c r="Y1014">
        <f>IFERROR(INDEX(PP_Grid[#Data],$DD1014,23),0)</f>
        <v/>
      </c>
      <c r="Z1014">
        <f>IFERROR(INDEX(PP_Grid[#Data],$DD1014,24),0)</f>
        <v/>
      </c>
      <c r="AA1014">
        <f>IFERROR(INDEX(PP_Grid[#Data],$DD1014,25),0)</f>
        <v/>
      </c>
      <c r="AB1014">
        <f>IFERROR(INDEX(PP_Grid[#Data],$DD1014,26),0)</f>
        <v/>
      </c>
      <c r="AC1014">
        <f>IFERROR(INDEX(PP_Grid[#Data],$DD1014,27),0)</f>
        <v/>
      </c>
      <c r="AD1014">
        <f>IFERROR(INDEX(PP_Grid[#Data],$DD1014,28),0)</f>
        <v/>
      </c>
      <c r="AE1014">
        <f>IFERROR(INDEX(PP_Grid[#Data],$DD1014,29),0)</f>
        <v/>
      </c>
      <c r="AF1014">
        <f>IFERROR(INDEX(PP_Grid[#Data],$DD1014,30),0)</f>
        <v/>
      </c>
      <c r="AG1014">
        <f>IFERROR(INDEX(PP_Grid[#Data],$DD1014,31),0)</f>
        <v/>
      </c>
      <c r="AH1014">
        <f>IFERROR(INDEX(PP_Grid[#Data],$DD1014,32),0)</f>
        <v/>
      </c>
      <c r="AI1014">
        <f>IFERROR(INDEX(PP_Grid[#Data],$DD1014,33),0)</f>
        <v/>
      </c>
      <c r="AJ1014">
        <f>IFERROR(INDEX(PP_Grid[#Data],$DD1014,34),0)</f>
        <v/>
      </c>
      <c r="AK1014">
        <f>IFERROR(INDEX(PP_Grid[#Data],$DD1014,35),0)</f>
        <v/>
      </c>
      <c r="AL1014">
        <f>IFERROR(INDEX(PP_Grid[#Data],$DD1014,36),0)</f>
        <v/>
      </c>
      <c r="AM1014">
        <f>IFERROR(INDEX(PP_Grid[#Data],$DD1014,37),0)</f>
        <v/>
      </c>
      <c r="AN1014">
        <f>IFERROR(INDEX(PP_Grid[#Data],$DD1014,38),0)</f>
        <v/>
      </c>
      <c r="AO1014">
        <f>IFERROR(INDEX(PP_Grid[#Data],$DD1014,39),0)</f>
        <v/>
      </c>
      <c r="AP1014">
        <f>IFERROR(INDEX(PP_Grid[#Data],$DD1014,40),0)</f>
        <v/>
      </c>
      <c r="AQ1014">
        <f>IFERROR(INDEX(PP_Grid[#Data],$DD1014,41),0)</f>
        <v/>
      </c>
      <c r="AR1014">
        <f>IFERROR(INDEX(PP_Grid[#Data],$DD1014,42),0)</f>
        <v/>
      </c>
      <c r="AS1014">
        <f>IFERROR(INDEX(PP_Grid[#Data],$DD1014,43),0)</f>
        <v/>
      </c>
      <c r="AT1014">
        <f>IFERROR(INDEX(PP_Grid[#Data],$DD1014,44),0)</f>
        <v/>
      </c>
      <c r="AU1014">
        <f>IFERROR(INDEX(PP_Grid[#Data],$DD1014,45),0)</f>
        <v/>
      </c>
      <c r="AV1014">
        <f>IFERROR(INDEX(PP_Grid[#Data],$DD1014,46),0)</f>
        <v/>
      </c>
      <c r="AW1014">
        <f>IFERROR(INDEX(PP_Grid[#Data],$DD1014,47),0)</f>
        <v/>
      </c>
      <c r="AX1014">
        <f>IFERROR(INDEX(PP_Grid[#Data],$DD1014,48),0)</f>
        <v/>
      </c>
      <c r="AY1014">
        <f>IFERROR(INDEX(PP_Grid[#Data],$DD1014,49),0)</f>
        <v/>
      </c>
      <c r="AZ1014">
        <f>IFERROR(INDEX(PP_Grid[#Data],$DD1014,50),0)</f>
        <v/>
      </c>
      <c r="BA1014">
        <f>IFERROR(INDEX(PP_Grid[#Data],$DD1014,51),0)</f>
        <v/>
      </c>
      <c r="BB1014">
        <f>IFERROR(INDEX(PP_Grid[#Data],$DD1014,52),0)</f>
        <v/>
      </c>
      <c r="BC1014">
        <f>IFERROR(INDEX(PP_Grid[#Data],$DD1014,53),0)</f>
        <v/>
      </c>
      <c r="BD1014">
        <f>IFERROR(INDEX(PP_Grid[#Data],$DD1014,54),0)</f>
        <v/>
      </c>
      <c r="BE1014">
        <f>IFERROR(INDEX(PP_Grid[#Data],$DD1014,55),0)</f>
        <v/>
      </c>
      <c r="BF1014">
        <f>IFERROR(INDEX(PP_Grid[#Data],$DD1014,56),0)</f>
        <v/>
      </c>
      <c r="BG1014">
        <f>IFERROR(INDEX(PP_Grid[#Data],$DD1014,57),0)</f>
        <v/>
      </c>
      <c r="BH1014">
        <f>IFERROR(INDEX(PP_Grid[#Data],$DD1014,58),0)</f>
        <v/>
      </c>
      <c r="BI1014">
        <f>IFERROR(INDEX(PP_Grid[#Data],$DD1014,59),0)</f>
        <v/>
      </c>
      <c r="BJ1014">
        <f>IFERROR(INDEX(PP_Grid[#Data],$DD1014,60),0)</f>
        <v/>
      </c>
      <c r="BK1014">
        <f>IFERROR(INDEX(PP_Grid[#Data],$DD1014,61),0)</f>
        <v/>
      </c>
      <c r="BL1014">
        <f>IFERROR(INDEX(PP_Grid[#Data],$DD1014,62),0)</f>
        <v/>
      </c>
      <c r="BM1014">
        <f>IFERROR(INDEX(PP_Grid[#Data],$DD1014,63),0)</f>
        <v/>
      </c>
      <c r="BN1014">
        <f>IFERROR(INDEX(PP_Grid[#Data],$DD1014,64),0)</f>
        <v/>
      </c>
      <c r="BO1014">
        <f>IFERROR(INDEX(PP_Grid[#Data],$DD1014,65),0)</f>
        <v/>
      </c>
      <c r="BP1014">
        <f>IFERROR(INDEX(PP_Grid[#Data],$DD1014,66),0)</f>
        <v/>
      </c>
      <c r="BQ1014">
        <f>IFERROR(INDEX(PP_Grid[#Data],$DD1014,67),0)</f>
        <v/>
      </c>
      <c r="BR1014">
        <f>IFERROR(INDEX(PP_Grid[#Data],$DD1014,68),0)</f>
        <v/>
      </c>
      <c r="BS1014">
        <f>IFERROR(INDEX(PP_Grid[#Data],$DD1014,69),0)</f>
        <v/>
      </c>
      <c r="BT1014">
        <f>IFERROR(INDEX(PP_Grid[#Data],$DD1014,70),0)</f>
        <v/>
      </c>
      <c r="BU1014">
        <f>IFERROR(INDEX(PP_Grid[#Data],$DD1014,71),0)</f>
        <v/>
      </c>
      <c r="BV1014">
        <f>IFERROR(INDEX(PP_Grid[#Data],$DD1014,72),0)</f>
        <v/>
      </c>
      <c r="BW1014">
        <f>IFERROR(INDEX(PP_Grid[#Data],$DD1014,73),0)</f>
        <v/>
      </c>
      <c r="BX1014">
        <f>IFERROR(INDEX(PP_Grid[#Data],$DD1014,74),0)</f>
        <v/>
      </c>
      <c r="BY1014">
        <f>IFERROR(INDEX(PP_Grid[#Data],$DD1014,75),0)</f>
        <v/>
      </c>
      <c r="BZ1014">
        <f>IFERROR(INDEX(PP_Grid[#Data],$DD1014,76),0)</f>
        <v/>
      </c>
      <c r="CA1014">
        <f>IFERROR(INDEX(PP_Grid[#Data],$DD1014,77),0)</f>
        <v/>
      </c>
      <c r="CB1014">
        <f>IFERROR(INDEX(PP_Grid[#Data],$DD1014,78),0)</f>
        <v/>
      </c>
      <c r="CC1014">
        <f>IFERROR(INDEX(PP_Grid[#Data],$DD1014,79),0)</f>
        <v/>
      </c>
      <c r="CD1014">
        <f>IFERROR(INDEX(PP_Grid[#Data],$DD1014,80),0)</f>
        <v/>
      </c>
      <c r="CE1014">
        <f>IFERROR(INDEX(PP_Grid[#Data],$DD1014,81),0)</f>
        <v/>
      </c>
      <c r="CF1014">
        <f>IFERROR(INDEX(PP_Grid[#Data],$DD1014,82),0)</f>
        <v/>
      </c>
      <c r="CG1014">
        <f>IFERROR(INDEX(PP_Grid[#Data],$DD1014,83),0)</f>
        <v/>
      </c>
      <c r="CH1014">
        <f>IFERROR(INDEX(PP_Grid[#Data],$DD1014,84),0)</f>
        <v/>
      </c>
      <c r="CI1014">
        <f>IFERROR(INDEX(PP_Grid[#Data],$DD1014,85),0)</f>
        <v/>
      </c>
      <c r="CJ1014">
        <f>IFERROR(INDEX(PP_Grid[#Data],$DD1014,86),0)</f>
        <v/>
      </c>
      <c r="CK1014">
        <f>IFERROR(INDEX(PP_Grid[#Data],$DD1014,87),0)</f>
        <v/>
      </c>
      <c r="CL1014">
        <f>IFERROR(INDEX(PP_Grid[#Data],$DD1014,88),0)</f>
        <v/>
      </c>
      <c r="CM1014">
        <f>IFERROR(INDEX(PP_Grid[#Data],$DD1014,89),0)</f>
        <v/>
      </c>
      <c r="CN1014">
        <f>IFERROR(INDEX(PP_Grid[#Data],$DD1014,90),0)</f>
        <v/>
      </c>
      <c r="CO1014">
        <f>IFERROR(INDEX(PP_Grid[#Data],$DD1014,91),0)</f>
        <v/>
      </c>
      <c r="CP1014">
        <f>IFERROR(INDEX(PP_Grid[#Data],$DD1014,92),0)</f>
        <v/>
      </c>
      <c r="CQ1014">
        <f>IFERROR(INDEX(PP_Grid[#Data],$DD1014,93),0)</f>
        <v/>
      </c>
      <c r="CR1014">
        <f>IFERROR(INDEX(PP_Grid[#Data],$DD1014,94),0)</f>
        <v/>
      </c>
      <c r="CS1014">
        <f>IFERROR(INDEX(PP_Grid[#Data],$DD1014,95),0)</f>
        <v/>
      </c>
      <c r="CT1014">
        <f>IFERROR(INDEX(PP_Grid[#Data],$DD1014,96),0)</f>
        <v/>
      </c>
      <c r="CU1014">
        <f>IFERROR(INDEX(PP_Grid[#Data],$DD1014,97),0)</f>
        <v/>
      </c>
      <c r="CV1014">
        <f>IFERROR(INDEX(PP_Grid[#Data],$DD1014,98),0)</f>
        <v/>
      </c>
      <c r="CW1014">
        <f>IFERROR(INDEX(PP_Grid[#Data],$DD1014,99),0)</f>
        <v/>
      </c>
      <c r="CX1014">
        <f>IFERROR(INDEX(PP_Grid[#Data],$DD1014,100),0)</f>
        <v/>
      </c>
      <c r="CY1014">
        <f>IFERROR(INDEX(PP_Grid[#Data],$DD1014,101),0)</f>
        <v/>
      </c>
      <c r="CZ1014">
        <f>IFERROR(INDEX(PP_Grid[#Data],$DD1014,102),0)</f>
        <v/>
      </c>
      <c r="DA1014">
        <f>IFERROR(INDEX(PP_Grid[#Data],$DD1014,103),0)</f>
        <v/>
      </c>
      <c r="DB1014">
        <f>IFERROR(INDEX(PP_Grid[#Data],$DD1014,104),0)</f>
        <v/>
      </c>
      <c r="DC1014">
        <f>IFERROR(INDEX(PP_Grid[#Data],$DD1014,105),0)</f>
        <v/>
      </c>
      <c r="DD1014" s="12">
        <f>IFERROR(MATCH($B1014,PP_Grid[Intermediate],0),99999)</f>
        <v/>
      </c>
    </row>
    <row r="1015">
      <c r="B1015" t="inlineStr">
        <is>
          <t>使用量(kg)</t>
        </is>
      </c>
      <c r="C1015">
        <f>SUMIFS(M_BOM[RM_Qty_Per_Batch],M_BOM[Intermediate],$B1014,M_BOM[Part Name],$A999)</f>
        <v/>
      </c>
      <c r="D1015">
        <f>$C1015*D1014</f>
        <v/>
      </c>
      <c r="E1015">
        <f>$C1015*E1014</f>
        <v/>
      </c>
      <c r="F1015">
        <f>$C1015*F1014</f>
        <v/>
      </c>
      <c r="G1015">
        <f>$C1015*G1014</f>
        <v/>
      </c>
      <c r="H1015">
        <f>$C1015*H1014</f>
        <v/>
      </c>
      <c r="I1015">
        <f>$C1015*I1014</f>
        <v/>
      </c>
      <c r="J1015">
        <f>$C1015*J1014</f>
        <v/>
      </c>
      <c r="K1015">
        <f>$C1015*K1014</f>
        <v/>
      </c>
      <c r="L1015">
        <f>$C1015*L1014</f>
        <v/>
      </c>
      <c r="M1015">
        <f>$C1015*M1014</f>
        <v/>
      </c>
      <c r="N1015">
        <f>$C1015*N1014</f>
        <v/>
      </c>
      <c r="O1015">
        <f>$C1015*O1014</f>
        <v/>
      </c>
      <c r="P1015">
        <f>$C1015*P1014</f>
        <v/>
      </c>
      <c r="Q1015">
        <f>$C1015*Q1014</f>
        <v/>
      </c>
      <c r="R1015">
        <f>$C1015*R1014</f>
        <v/>
      </c>
      <c r="S1015">
        <f>$C1015*S1014</f>
        <v/>
      </c>
      <c r="T1015">
        <f>$C1015*T1014</f>
        <v/>
      </c>
      <c r="U1015">
        <f>$C1015*U1014</f>
        <v/>
      </c>
      <c r="V1015">
        <f>$C1015*V1014</f>
        <v/>
      </c>
      <c r="W1015">
        <f>$C1015*W1014</f>
        <v/>
      </c>
      <c r="X1015">
        <f>$C1015*X1014</f>
        <v/>
      </c>
      <c r="Y1015">
        <f>$C1015*Y1014</f>
        <v/>
      </c>
      <c r="Z1015">
        <f>$C1015*Z1014</f>
        <v/>
      </c>
      <c r="AA1015">
        <f>$C1015*AA1014</f>
        <v/>
      </c>
      <c r="AB1015">
        <f>$C1015*AB1014</f>
        <v/>
      </c>
      <c r="AC1015">
        <f>$C1015*AC1014</f>
        <v/>
      </c>
      <c r="AD1015">
        <f>$C1015*AD1014</f>
        <v/>
      </c>
      <c r="AE1015">
        <f>$C1015*AE1014</f>
        <v/>
      </c>
      <c r="AF1015">
        <f>$C1015*AF1014</f>
        <v/>
      </c>
      <c r="AG1015">
        <f>$C1015*AG1014</f>
        <v/>
      </c>
      <c r="AH1015">
        <f>$C1015*AH1014</f>
        <v/>
      </c>
      <c r="AI1015">
        <f>$C1015*AI1014</f>
        <v/>
      </c>
      <c r="AJ1015">
        <f>$C1015*AJ1014</f>
        <v/>
      </c>
      <c r="AK1015">
        <f>$C1015*AK1014</f>
        <v/>
      </c>
      <c r="AL1015">
        <f>$C1015*AL1014</f>
        <v/>
      </c>
      <c r="AM1015">
        <f>$C1015*AM1014</f>
        <v/>
      </c>
      <c r="AN1015">
        <f>$C1015*AN1014</f>
        <v/>
      </c>
      <c r="AO1015">
        <f>$C1015*AO1014</f>
        <v/>
      </c>
      <c r="AP1015">
        <f>$C1015*AP1014</f>
        <v/>
      </c>
      <c r="AQ1015">
        <f>$C1015*AQ1014</f>
        <v/>
      </c>
      <c r="AR1015">
        <f>$C1015*AR1014</f>
        <v/>
      </c>
      <c r="AS1015">
        <f>$C1015*AS1014</f>
        <v/>
      </c>
      <c r="AT1015">
        <f>$C1015*AT1014</f>
        <v/>
      </c>
      <c r="AU1015">
        <f>$C1015*AU1014</f>
        <v/>
      </c>
      <c r="AV1015">
        <f>$C1015*AV1014</f>
        <v/>
      </c>
      <c r="AW1015">
        <f>$C1015*AW1014</f>
        <v/>
      </c>
      <c r="AX1015">
        <f>$C1015*AX1014</f>
        <v/>
      </c>
      <c r="AY1015">
        <f>$C1015*AY1014</f>
        <v/>
      </c>
      <c r="AZ1015">
        <f>$C1015*AZ1014</f>
        <v/>
      </c>
      <c r="BA1015">
        <f>$C1015*BA1014</f>
        <v/>
      </c>
      <c r="BB1015">
        <f>$C1015*BB1014</f>
        <v/>
      </c>
      <c r="BC1015">
        <f>$C1015*BC1014</f>
        <v/>
      </c>
      <c r="BD1015">
        <f>$C1015*BD1014</f>
        <v/>
      </c>
      <c r="BE1015">
        <f>$C1015*BE1014</f>
        <v/>
      </c>
      <c r="BF1015">
        <f>$C1015*BF1014</f>
        <v/>
      </c>
      <c r="BG1015">
        <f>$C1015*BG1014</f>
        <v/>
      </c>
      <c r="BH1015">
        <f>$C1015*BH1014</f>
        <v/>
      </c>
      <c r="BI1015">
        <f>$C1015*BI1014</f>
        <v/>
      </c>
      <c r="BJ1015">
        <f>$C1015*BJ1014</f>
        <v/>
      </c>
      <c r="BK1015">
        <f>$C1015*BK1014</f>
        <v/>
      </c>
      <c r="BL1015">
        <f>$C1015*BL1014</f>
        <v/>
      </c>
      <c r="BM1015">
        <f>$C1015*BM1014</f>
        <v/>
      </c>
      <c r="BN1015">
        <f>$C1015*BN1014</f>
        <v/>
      </c>
      <c r="BO1015">
        <f>$C1015*BO1014</f>
        <v/>
      </c>
      <c r="BP1015">
        <f>$C1015*BP1014</f>
        <v/>
      </c>
      <c r="BQ1015">
        <f>$C1015*BQ1014</f>
        <v/>
      </c>
      <c r="BR1015">
        <f>$C1015*BR1014</f>
        <v/>
      </c>
      <c r="BS1015">
        <f>$C1015*BS1014</f>
        <v/>
      </c>
      <c r="BT1015">
        <f>$C1015*BT1014</f>
        <v/>
      </c>
      <c r="BU1015">
        <f>$C1015*BU1014</f>
        <v/>
      </c>
      <c r="BV1015">
        <f>$C1015*BV1014</f>
        <v/>
      </c>
      <c r="BW1015">
        <f>$C1015*BW1014</f>
        <v/>
      </c>
      <c r="BX1015">
        <f>$C1015*BX1014</f>
        <v/>
      </c>
      <c r="BY1015">
        <f>$C1015*BY1014</f>
        <v/>
      </c>
      <c r="BZ1015">
        <f>$C1015*BZ1014</f>
        <v/>
      </c>
      <c r="CA1015">
        <f>$C1015*CA1014</f>
        <v/>
      </c>
      <c r="CB1015">
        <f>$C1015*CB1014</f>
        <v/>
      </c>
      <c r="CC1015">
        <f>$C1015*CC1014</f>
        <v/>
      </c>
      <c r="CD1015">
        <f>$C1015*CD1014</f>
        <v/>
      </c>
      <c r="CE1015">
        <f>$C1015*CE1014</f>
        <v/>
      </c>
      <c r="CF1015">
        <f>$C1015*CF1014</f>
        <v/>
      </c>
      <c r="CG1015">
        <f>$C1015*CG1014</f>
        <v/>
      </c>
      <c r="CH1015">
        <f>$C1015*CH1014</f>
        <v/>
      </c>
      <c r="CI1015">
        <f>$C1015*CI1014</f>
        <v/>
      </c>
      <c r="CJ1015">
        <f>$C1015*CJ1014</f>
        <v/>
      </c>
      <c r="CK1015">
        <f>$C1015*CK1014</f>
        <v/>
      </c>
      <c r="CL1015">
        <f>$C1015*CL1014</f>
        <v/>
      </c>
      <c r="CM1015">
        <f>$C1015*CM1014</f>
        <v/>
      </c>
      <c r="CN1015">
        <f>$C1015*CN1014</f>
        <v/>
      </c>
      <c r="CO1015">
        <f>$C1015*CO1014</f>
        <v/>
      </c>
      <c r="CP1015">
        <f>$C1015*CP1014</f>
        <v/>
      </c>
      <c r="CQ1015">
        <f>$C1015*CQ1014</f>
        <v/>
      </c>
      <c r="CR1015">
        <f>$C1015*CR1014</f>
        <v/>
      </c>
      <c r="CS1015">
        <f>$C1015*CS1014</f>
        <v/>
      </c>
      <c r="CT1015">
        <f>$C1015*CT1014</f>
        <v/>
      </c>
      <c r="CU1015">
        <f>$C1015*CU1014</f>
        <v/>
      </c>
      <c r="CV1015">
        <f>$C1015*CV1014</f>
        <v/>
      </c>
      <c r="CW1015">
        <f>$C1015*CW1014</f>
        <v/>
      </c>
      <c r="CX1015">
        <f>$C1015*CX1014</f>
        <v/>
      </c>
      <c r="CY1015">
        <f>$C1015*CY1014</f>
        <v/>
      </c>
      <c r="CZ1015">
        <f>$C1015*CZ1014</f>
        <v/>
      </c>
      <c r="DA1015">
        <f>$C1015*DA1014</f>
        <v/>
      </c>
      <c r="DB1015">
        <f>$C1015*DB1014</f>
        <v/>
      </c>
      <c r="DC1015">
        <f>$C1015*DC1014</f>
        <v/>
      </c>
    </row>
    <row r="1016">
      <c r="B1016" t="inlineStr">
        <is>
          <t>TSP-928</t>
        </is>
      </c>
      <c r="C1016" t="inlineStr">
        <is>
          <t>No. of batches</t>
        </is>
      </c>
      <c r="D1016">
        <f>IFERROR(INDEX(PP_Grid[#Data],$DD1016,2),0)</f>
        <v/>
      </c>
      <c r="E1016">
        <f>IFERROR(INDEX(PP_Grid[#Data],$DD1016,3),0)</f>
        <v/>
      </c>
      <c r="F1016">
        <f>IFERROR(INDEX(PP_Grid[#Data],$DD1016,4),0)</f>
        <v/>
      </c>
      <c r="G1016">
        <f>IFERROR(INDEX(PP_Grid[#Data],$DD1016,5),0)</f>
        <v/>
      </c>
      <c r="H1016">
        <f>IFERROR(INDEX(PP_Grid[#Data],$DD1016,6),0)</f>
        <v/>
      </c>
      <c r="I1016">
        <f>IFERROR(INDEX(PP_Grid[#Data],$DD1016,7),0)</f>
        <v/>
      </c>
      <c r="J1016">
        <f>IFERROR(INDEX(PP_Grid[#Data],$DD1016,8),0)</f>
        <v/>
      </c>
      <c r="K1016">
        <f>IFERROR(INDEX(PP_Grid[#Data],$DD1016,9),0)</f>
        <v/>
      </c>
      <c r="L1016">
        <f>IFERROR(INDEX(PP_Grid[#Data],$DD1016,10),0)</f>
        <v/>
      </c>
      <c r="M1016">
        <f>IFERROR(INDEX(PP_Grid[#Data],$DD1016,11),0)</f>
        <v/>
      </c>
      <c r="N1016">
        <f>IFERROR(INDEX(PP_Grid[#Data],$DD1016,12),0)</f>
        <v/>
      </c>
      <c r="O1016">
        <f>IFERROR(INDEX(PP_Grid[#Data],$DD1016,13),0)</f>
        <v/>
      </c>
      <c r="P1016">
        <f>IFERROR(INDEX(PP_Grid[#Data],$DD1016,14),0)</f>
        <v/>
      </c>
      <c r="Q1016">
        <f>IFERROR(INDEX(PP_Grid[#Data],$DD1016,15),0)</f>
        <v/>
      </c>
      <c r="R1016">
        <f>IFERROR(INDEX(PP_Grid[#Data],$DD1016,16),0)</f>
        <v/>
      </c>
      <c r="S1016">
        <f>IFERROR(INDEX(PP_Grid[#Data],$DD1016,17),0)</f>
        <v/>
      </c>
      <c r="T1016">
        <f>IFERROR(INDEX(PP_Grid[#Data],$DD1016,18),0)</f>
        <v/>
      </c>
      <c r="U1016">
        <f>IFERROR(INDEX(PP_Grid[#Data],$DD1016,19),0)</f>
        <v/>
      </c>
      <c r="V1016">
        <f>IFERROR(INDEX(PP_Grid[#Data],$DD1016,20),0)</f>
        <v/>
      </c>
      <c r="W1016">
        <f>IFERROR(INDEX(PP_Grid[#Data],$DD1016,21),0)</f>
        <v/>
      </c>
      <c r="X1016">
        <f>IFERROR(INDEX(PP_Grid[#Data],$DD1016,22),0)</f>
        <v/>
      </c>
      <c r="Y1016">
        <f>IFERROR(INDEX(PP_Grid[#Data],$DD1016,23),0)</f>
        <v/>
      </c>
      <c r="Z1016">
        <f>IFERROR(INDEX(PP_Grid[#Data],$DD1016,24),0)</f>
        <v/>
      </c>
      <c r="AA1016">
        <f>IFERROR(INDEX(PP_Grid[#Data],$DD1016,25),0)</f>
        <v/>
      </c>
      <c r="AB1016">
        <f>IFERROR(INDEX(PP_Grid[#Data],$DD1016,26),0)</f>
        <v/>
      </c>
      <c r="AC1016">
        <f>IFERROR(INDEX(PP_Grid[#Data],$DD1016,27),0)</f>
        <v/>
      </c>
      <c r="AD1016">
        <f>IFERROR(INDEX(PP_Grid[#Data],$DD1016,28),0)</f>
        <v/>
      </c>
      <c r="AE1016">
        <f>IFERROR(INDEX(PP_Grid[#Data],$DD1016,29),0)</f>
        <v/>
      </c>
      <c r="AF1016">
        <f>IFERROR(INDEX(PP_Grid[#Data],$DD1016,30),0)</f>
        <v/>
      </c>
      <c r="AG1016">
        <f>IFERROR(INDEX(PP_Grid[#Data],$DD1016,31),0)</f>
        <v/>
      </c>
      <c r="AH1016">
        <f>IFERROR(INDEX(PP_Grid[#Data],$DD1016,32),0)</f>
        <v/>
      </c>
      <c r="AI1016">
        <f>IFERROR(INDEX(PP_Grid[#Data],$DD1016,33),0)</f>
        <v/>
      </c>
      <c r="AJ1016">
        <f>IFERROR(INDEX(PP_Grid[#Data],$DD1016,34),0)</f>
        <v/>
      </c>
      <c r="AK1016">
        <f>IFERROR(INDEX(PP_Grid[#Data],$DD1016,35),0)</f>
        <v/>
      </c>
      <c r="AL1016">
        <f>IFERROR(INDEX(PP_Grid[#Data],$DD1016,36),0)</f>
        <v/>
      </c>
      <c r="AM1016">
        <f>IFERROR(INDEX(PP_Grid[#Data],$DD1016,37),0)</f>
        <v/>
      </c>
      <c r="AN1016">
        <f>IFERROR(INDEX(PP_Grid[#Data],$DD1016,38),0)</f>
        <v/>
      </c>
      <c r="AO1016">
        <f>IFERROR(INDEX(PP_Grid[#Data],$DD1016,39),0)</f>
        <v/>
      </c>
      <c r="AP1016">
        <f>IFERROR(INDEX(PP_Grid[#Data],$DD1016,40),0)</f>
        <v/>
      </c>
      <c r="AQ1016">
        <f>IFERROR(INDEX(PP_Grid[#Data],$DD1016,41),0)</f>
        <v/>
      </c>
      <c r="AR1016">
        <f>IFERROR(INDEX(PP_Grid[#Data],$DD1016,42),0)</f>
        <v/>
      </c>
      <c r="AS1016">
        <f>IFERROR(INDEX(PP_Grid[#Data],$DD1016,43),0)</f>
        <v/>
      </c>
      <c r="AT1016">
        <f>IFERROR(INDEX(PP_Grid[#Data],$DD1016,44),0)</f>
        <v/>
      </c>
      <c r="AU1016">
        <f>IFERROR(INDEX(PP_Grid[#Data],$DD1016,45),0)</f>
        <v/>
      </c>
      <c r="AV1016">
        <f>IFERROR(INDEX(PP_Grid[#Data],$DD1016,46),0)</f>
        <v/>
      </c>
      <c r="AW1016">
        <f>IFERROR(INDEX(PP_Grid[#Data],$DD1016,47),0)</f>
        <v/>
      </c>
      <c r="AX1016">
        <f>IFERROR(INDEX(PP_Grid[#Data],$DD1016,48),0)</f>
        <v/>
      </c>
      <c r="AY1016">
        <f>IFERROR(INDEX(PP_Grid[#Data],$DD1016,49),0)</f>
        <v/>
      </c>
      <c r="AZ1016">
        <f>IFERROR(INDEX(PP_Grid[#Data],$DD1016,50),0)</f>
        <v/>
      </c>
      <c r="BA1016">
        <f>IFERROR(INDEX(PP_Grid[#Data],$DD1016,51),0)</f>
        <v/>
      </c>
      <c r="BB1016">
        <f>IFERROR(INDEX(PP_Grid[#Data],$DD1016,52),0)</f>
        <v/>
      </c>
      <c r="BC1016">
        <f>IFERROR(INDEX(PP_Grid[#Data],$DD1016,53),0)</f>
        <v/>
      </c>
      <c r="BD1016">
        <f>IFERROR(INDEX(PP_Grid[#Data],$DD1016,54),0)</f>
        <v/>
      </c>
      <c r="BE1016">
        <f>IFERROR(INDEX(PP_Grid[#Data],$DD1016,55),0)</f>
        <v/>
      </c>
      <c r="BF1016">
        <f>IFERROR(INDEX(PP_Grid[#Data],$DD1016,56),0)</f>
        <v/>
      </c>
      <c r="BG1016">
        <f>IFERROR(INDEX(PP_Grid[#Data],$DD1016,57),0)</f>
        <v/>
      </c>
      <c r="BH1016">
        <f>IFERROR(INDEX(PP_Grid[#Data],$DD1016,58),0)</f>
        <v/>
      </c>
      <c r="BI1016">
        <f>IFERROR(INDEX(PP_Grid[#Data],$DD1016,59),0)</f>
        <v/>
      </c>
      <c r="BJ1016">
        <f>IFERROR(INDEX(PP_Grid[#Data],$DD1016,60),0)</f>
        <v/>
      </c>
      <c r="BK1016">
        <f>IFERROR(INDEX(PP_Grid[#Data],$DD1016,61),0)</f>
        <v/>
      </c>
      <c r="BL1016">
        <f>IFERROR(INDEX(PP_Grid[#Data],$DD1016,62),0)</f>
        <v/>
      </c>
      <c r="BM1016">
        <f>IFERROR(INDEX(PP_Grid[#Data],$DD1016,63),0)</f>
        <v/>
      </c>
      <c r="BN1016">
        <f>IFERROR(INDEX(PP_Grid[#Data],$DD1016,64),0)</f>
        <v/>
      </c>
      <c r="BO1016">
        <f>IFERROR(INDEX(PP_Grid[#Data],$DD1016,65),0)</f>
        <v/>
      </c>
      <c r="BP1016">
        <f>IFERROR(INDEX(PP_Grid[#Data],$DD1016,66),0)</f>
        <v/>
      </c>
      <c r="BQ1016">
        <f>IFERROR(INDEX(PP_Grid[#Data],$DD1016,67),0)</f>
        <v/>
      </c>
      <c r="BR1016">
        <f>IFERROR(INDEX(PP_Grid[#Data],$DD1016,68),0)</f>
        <v/>
      </c>
      <c r="BS1016">
        <f>IFERROR(INDEX(PP_Grid[#Data],$DD1016,69),0)</f>
        <v/>
      </c>
      <c r="BT1016">
        <f>IFERROR(INDEX(PP_Grid[#Data],$DD1016,70),0)</f>
        <v/>
      </c>
      <c r="BU1016">
        <f>IFERROR(INDEX(PP_Grid[#Data],$DD1016,71),0)</f>
        <v/>
      </c>
      <c r="BV1016">
        <f>IFERROR(INDEX(PP_Grid[#Data],$DD1016,72),0)</f>
        <v/>
      </c>
      <c r="BW1016">
        <f>IFERROR(INDEX(PP_Grid[#Data],$DD1016,73),0)</f>
        <v/>
      </c>
      <c r="BX1016">
        <f>IFERROR(INDEX(PP_Grid[#Data],$DD1016,74),0)</f>
        <v/>
      </c>
      <c r="BY1016">
        <f>IFERROR(INDEX(PP_Grid[#Data],$DD1016,75),0)</f>
        <v/>
      </c>
      <c r="BZ1016">
        <f>IFERROR(INDEX(PP_Grid[#Data],$DD1016,76),0)</f>
        <v/>
      </c>
      <c r="CA1016">
        <f>IFERROR(INDEX(PP_Grid[#Data],$DD1016,77),0)</f>
        <v/>
      </c>
      <c r="CB1016">
        <f>IFERROR(INDEX(PP_Grid[#Data],$DD1016,78),0)</f>
        <v/>
      </c>
      <c r="CC1016">
        <f>IFERROR(INDEX(PP_Grid[#Data],$DD1016,79),0)</f>
        <v/>
      </c>
      <c r="CD1016">
        <f>IFERROR(INDEX(PP_Grid[#Data],$DD1016,80),0)</f>
        <v/>
      </c>
      <c r="CE1016">
        <f>IFERROR(INDEX(PP_Grid[#Data],$DD1016,81),0)</f>
        <v/>
      </c>
      <c r="CF1016">
        <f>IFERROR(INDEX(PP_Grid[#Data],$DD1016,82),0)</f>
        <v/>
      </c>
      <c r="CG1016">
        <f>IFERROR(INDEX(PP_Grid[#Data],$DD1016,83),0)</f>
        <v/>
      </c>
      <c r="CH1016">
        <f>IFERROR(INDEX(PP_Grid[#Data],$DD1016,84),0)</f>
        <v/>
      </c>
      <c r="CI1016">
        <f>IFERROR(INDEX(PP_Grid[#Data],$DD1016,85),0)</f>
        <v/>
      </c>
      <c r="CJ1016">
        <f>IFERROR(INDEX(PP_Grid[#Data],$DD1016,86),0)</f>
        <v/>
      </c>
      <c r="CK1016">
        <f>IFERROR(INDEX(PP_Grid[#Data],$DD1016,87),0)</f>
        <v/>
      </c>
      <c r="CL1016">
        <f>IFERROR(INDEX(PP_Grid[#Data],$DD1016,88),0)</f>
        <v/>
      </c>
      <c r="CM1016">
        <f>IFERROR(INDEX(PP_Grid[#Data],$DD1016,89),0)</f>
        <v/>
      </c>
      <c r="CN1016">
        <f>IFERROR(INDEX(PP_Grid[#Data],$DD1016,90),0)</f>
        <v/>
      </c>
      <c r="CO1016">
        <f>IFERROR(INDEX(PP_Grid[#Data],$DD1016,91),0)</f>
        <v/>
      </c>
      <c r="CP1016">
        <f>IFERROR(INDEX(PP_Grid[#Data],$DD1016,92),0)</f>
        <v/>
      </c>
      <c r="CQ1016">
        <f>IFERROR(INDEX(PP_Grid[#Data],$DD1016,93),0)</f>
        <v/>
      </c>
      <c r="CR1016">
        <f>IFERROR(INDEX(PP_Grid[#Data],$DD1016,94),0)</f>
        <v/>
      </c>
      <c r="CS1016">
        <f>IFERROR(INDEX(PP_Grid[#Data],$DD1016,95),0)</f>
        <v/>
      </c>
      <c r="CT1016">
        <f>IFERROR(INDEX(PP_Grid[#Data],$DD1016,96),0)</f>
        <v/>
      </c>
      <c r="CU1016">
        <f>IFERROR(INDEX(PP_Grid[#Data],$DD1016,97),0)</f>
        <v/>
      </c>
      <c r="CV1016">
        <f>IFERROR(INDEX(PP_Grid[#Data],$DD1016,98),0)</f>
        <v/>
      </c>
      <c r="CW1016">
        <f>IFERROR(INDEX(PP_Grid[#Data],$DD1016,99),0)</f>
        <v/>
      </c>
      <c r="CX1016">
        <f>IFERROR(INDEX(PP_Grid[#Data],$DD1016,100),0)</f>
        <v/>
      </c>
      <c r="CY1016">
        <f>IFERROR(INDEX(PP_Grid[#Data],$DD1016,101),0)</f>
        <v/>
      </c>
      <c r="CZ1016">
        <f>IFERROR(INDEX(PP_Grid[#Data],$DD1016,102),0)</f>
        <v/>
      </c>
      <c r="DA1016">
        <f>IFERROR(INDEX(PP_Grid[#Data],$DD1016,103),0)</f>
        <v/>
      </c>
      <c r="DB1016">
        <f>IFERROR(INDEX(PP_Grid[#Data],$DD1016,104),0)</f>
        <v/>
      </c>
      <c r="DC1016">
        <f>IFERROR(INDEX(PP_Grid[#Data],$DD1016,105),0)</f>
        <v/>
      </c>
      <c r="DD1016" s="12">
        <f>IFERROR(MATCH($B1016,PP_Grid[Intermediate],0),99999)</f>
        <v/>
      </c>
    </row>
    <row r="1017">
      <c r="B1017" t="inlineStr">
        <is>
          <t>使用量(kg)</t>
        </is>
      </c>
      <c r="C1017">
        <f>SUMIFS(M_BOM[RM_Qty_Per_Batch],M_BOM[Intermediate],$B1016,M_BOM[Part Name],$A999)</f>
        <v/>
      </c>
      <c r="D1017">
        <f>$C1017*D1016</f>
        <v/>
      </c>
      <c r="E1017">
        <f>$C1017*E1016</f>
        <v/>
      </c>
      <c r="F1017">
        <f>$C1017*F1016</f>
        <v/>
      </c>
      <c r="G1017">
        <f>$C1017*G1016</f>
        <v/>
      </c>
      <c r="H1017">
        <f>$C1017*H1016</f>
        <v/>
      </c>
      <c r="I1017">
        <f>$C1017*I1016</f>
        <v/>
      </c>
      <c r="J1017">
        <f>$C1017*J1016</f>
        <v/>
      </c>
      <c r="K1017">
        <f>$C1017*K1016</f>
        <v/>
      </c>
      <c r="L1017">
        <f>$C1017*L1016</f>
        <v/>
      </c>
      <c r="M1017">
        <f>$C1017*M1016</f>
        <v/>
      </c>
      <c r="N1017">
        <f>$C1017*N1016</f>
        <v/>
      </c>
      <c r="O1017">
        <f>$C1017*O1016</f>
        <v/>
      </c>
      <c r="P1017">
        <f>$C1017*P1016</f>
        <v/>
      </c>
      <c r="Q1017">
        <f>$C1017*Q1016</f>
        <v/>
      </c>
      <c r="R1017">
        <f>$C1017*R1016</f>
        <v/>
      </c>
      <c r="S1017">
        <f>$C1017*S1016</f>
        <v/>
      </c>
      <c r="T1017">
        <f>$C1017*T1016</f>
        <v/>
      </c>
      <c r="U1017">
        <f>$C1017*U1016</f>
        <v/>
      </c>
      <c r="V1017">
        <f>$C1017*V1016</f>
        <v/>
      </c>
      <c r="W1017">
        <f>$C1017*W1016</f>
        <v/>
      </c>
      <c r="X1017">
        <f>$C1017*X1016</f>
        <v/>
      </c>
      <c r="Y1017">
        <f>$C1017*Y1016</f>
        <v/>
      </c>
      <c r="Z1017">
        <f>$C1017*Z1016</f>
        <v/>
      </c>
      <c r="AA1017">
        <f>$C1017*AA1016</f>
        <v/>
      </c>
      <c r="AB1017">
        <f>$C1017*AB1016</f>
        <v/>
      </c>
      <c r="AC1017">
        <f>$C1017*AC1016</f>
        <v/>
      </c>
      <c r="AD1017">
        <f>$C1017*AD1016</f>
        <v/>
      </c>
      <c r="AE1017">
        <f>$C1017*AE1016</f>
        <v/>
      </c>
      <c r="AF1017">
        <f>$C1017*AF1016</f>
        <v/>
      </c>
      <c r="AG1017">
        <f>$C1017*AG1016</f>
        <v/>
      </c>
      <c r="AH1017">
        <f>$C1017*AH1016</f>
        <v/>
      </c>
      <c r="AI1017">
        <f>$C1017*AI1016</f>
        <v/>
      </c>
      <c r="AJ1017">
        <f>$C1017*AJ1016</f>
        <v/>
      </c>
      <c r="AK1017">
        <f>$C1017*AK1016</f>
        <v/>
      </c>
      <c r="AL1017">
        <f>$C1017*AL1016</f>
        <v/>
      </c>
      <c r="AM1017">
        <f>$C1017*AM1016</f>
        <v/>
      </c>
      <c r="AN1017">
        <f>$C1017*AN1016</f>
        <v/>
      </c>
      <c r="AO1017">
        <f>$C1017*AO1016</f>
        <v/>
      </c>
      <c r="AP1017">
        <f>$C1017*AP1016</f>
        <v/>
      </c>
      <c r="AQ1017">
        <f>$C1017*AQ1016</f>
        <v/>
      </c>
      <c r="AR1017">
        <f>$C1017*AR1016</f>
        <v/>
      </c>
      <c r="AS1017">
        <f>$C1017*AS1016</f>
        <v/>
      </c>
      <c r="AT1017">
        <f>$C1017*AT1016</f>
        <v/>
      </c>
      <c r="AU1017">
        <f>$C1017*AU1016</f>
        <v/>
      </c>
      <c r="AV1017">
        <f>$C1017*AV1016</f>
        <v/>
      </c>
      <c r="AW1017">
        <f>$C1017*AW1016</f>
        <v/>
      </c>
      <c r="AX1017">
        <f>$C1017*AX1016</f>
        <v/>
      </c>
      <c r="AY1017">
        <f>$C1017*AY1016</f>
        <v/>
      </c>
      <c r="AZ1017">
        <f>$C1017*AZ1016</f>
        <v/>
      </c>
      <c r="BA1017">
        <f>$C1017*BA1016</f>
        <v/>
      </c>
      <c r="BB1017">
        <f>$C1017*BB1016</f>
        <v/>
      </c>
      <c r="BC1017">
        <f>$C1017*BC1016</f>
        <v/>
      </c>
      <c r="BD1017">
        <f>$C1017*BD1016</f>
        <v/>
      </c>
      <c r="BE1017">
        <f>$C1017*BE1016</f>
        <v/>
      </c>
      <c r="BF1017">
        <f>$C1017*BF1016</f>
        <v/>
      </c>
      <c r="BG1017">
        <f>$C1017*BG1016</f>
        <v/>
      </c>
      <c r="BH1017">
        <f>$C1017*BH1016</f>
        <v/>
      </c>
      <c r="BI1017">
        <f>$C1017*BI1016</f>
        <v/>
      </c>
      <c r="BJ1017">
        <f>$C1017*BJ1016</f>
        <v/>
      </c>
      <c r="BK1017">
        <f>$C1017*BK1016</f>
        <v/>
      </c>
      <c r="BL1017">
        <f>$C1017*BL1016</f>
        <v/>
      </c>
      <c r="BM1017">
        <f>$C1017*BM1016</f>
        <v/>
      </c>
      <c r="BN1017">
        <f>$C1017*BN1016</f>
        <v/>
      </c>
      <c r="BO1017">
        <f>$C1017*BO1016</f>
        <v/>
      </c>
      <c r="BP1017">
        <f>$C1017*BP1016</f>
        <v/>
      </c>
      <c r="BQ1017">
        <f>$C1017*BQ1016</f>
        <v/>
      </c>
      <c r="BR1017">
        <f>$C1017*BR1016</f>
        <v/>
      </c>
      <c r="BS1017">
        <f>$C1017*BS1016</f>
        <v/>
      </c>
      <c r="BT1017">
        <f>$C1017*BT1016</f>
        <v/>
      </c>
      <c r="BU1017">
        <f>$C1017*BU1016</f>
        <v/>
      </c>
      <c r="BV1017">
        <f>$C1017*BV1016</f>
        <v/>
      </c>
      <c r="BW1017">
        <f>$C1017*BW1016</f>
        <v/>
      </c>
      <c r="BX1017">
        <f>$C1017*BX1016</f>
        <v/>
      </c>
      <c r="BY1017">
        <f>$C1017*BY1016</f>
        <v/>
      </c>
      <c r="BZ1017">
        <f>$C1017*BZ1016</f>
        <v/>
      </c>
      <c r="CA1017">
        <f>$C1017*CA1016</f>
        <v/>
      </c>
      <c r="CB1017">
        <f>$C1017*CB1016</f>
        <v/>
      </c>
      <c r="CC1017">
        <f>$C1017*CC1016</f>
        <v/>
      </c>
      <c r="CD1017">
        <f>$C1017*CD1016</f>
        <v/>
      </c>
      <c r="CE1017">
        <f>$C1017*CE1016</f>
        <v/>
      </c>
      <c r="CF1017">
        <f>$C1017*CF1016</f>
        <v/>
      </c>
      <c r="CG1017">
        <f>$C1017*CG1016</f>
        <v/>
      </c>
      <c r="CH1017">
        <f>$C1017*CH1016</f>
        <v/>
      </c>
      <c r="CI1017">
        <f>$C1017*CI1016</f>
        <v/>
      </c>
      <c r="CJ1017">
        <f>$C1017*CJ1016</f>
        <v/>
      </c>
      <c r="CK1017">
        <f>$C1017*CK1016</f>
        <v/>
      </c>
      <c r="CL1017">
        <f>$C1017*CL1016</f>
        <v/>
      </c>
      <c r="CM1017">
        <f>$C1017*CM1016</f>
        <v/>
      </c>
      <c r="CN1017">
        <f>$C1017*CN1016</f>
        <v/>
      </c>
      <c r="CO1017">
        <f>$C1017*CO1016</f>
        <v/>
      </c>
      <c r="CP1017">
        <f>$C1017*CP1016</f>
        <v/>
      </c>
      <c r="CQ1017">
        <f>$C1017*CQ1016</f>
        <v/>
      </c>
      <c r="CR1017">
        <f>$C1017*CR1016</f>
        <v/>
      </c>
      <c r="CS1017">
        <f>$C1017*CS1016</f>
        <v/>
      </c>
      <c r="CT1017">
        <f>$C1017*CT1016</f>
        <v/>
      </c>
      <c r="CU1017">
        <f>$C1017*CU1016</f>
        <v/>
      </c>
      <c r="CV1017">
        <f>$C1017*CV1016</f>
        <v/>
      </c>
      <c r="CW1017">
        <f>$C1017*CW1016</f>
        <v/>
      </c>
      <c r="CX1017">
        <f>$C1017*CX1016</f>
        <v/>
      </c>
      <c r="CY1017">
        <f>$C1017*CY1016</f>
        <v/>
      </c>
      <c r="CZ1017">
        <f>$C1017*CZ1016</f>
        <v/>
      </c>
      <c r="DA1017">
        <f>$C1017*DA1016</f>
        <v/>
      </c>
      <c r="DB1017">
        <f>$C1017*DB1016</f>
        <v/>
      </c>
      <c r="DC1017">
        <f>$C1017*DC1016</f>
        <v/>
      </c>
    </row>
    <row r="1018">
      <c r="B1018" t="inlineStr">
        <is>
          <t>TSP-929</t>
        </is>
      </c>
      <c r="C1018" t="inlineStr">
        <is>
          <t>No. of batches</t>
        </is>
      </c>
      <c r="D1018">
        <f>IFERROR(INDEX(PP_Grid[#Data],$DD1018,2),0)</f>
        <v/>
      </c>
      <c r="E1018">
        <f>IFERROR(INDEX(PP_Grid[#Data],$DD1018,3),0)</f>
        <v/>
      </c>
      <c r="F1018">
        <f>IFERROR(INDEX(PP_Grid[#Data],$DD1018,4),0)</f>
        <v/>
      </c>
      <c r="G1018">
        <f>IFERROR(INDEX(PP_Grid[#Data],$DD1018,5),0)</f>
        <v/>
      </c>
      <c r="H1018">
        <f>IFERROR(INDEX(PP_Grid[#Data],$DD1018,6),0)</f>
        <v/>
      </c>
      <c r="I1018">
        <f>IFERROR(INDEX(PP_Grid[#Data],$DD1018,7),0)</f>
        <v/>
      </c>
      <c r="J1018">
        <f>IFERROR(INDEX(PP_Grid[#Data],$DD1018,8),0)</f>
        <v/>
      </c>
      <c r="K1018">
        <f>IFERROR(INDEX(PP_Grid[#Data],$DD1018,9),0)</f>
        <v/>
      </c>
      <c r="L1018">
        <f>IFERROR(INDEX(PP_Grid[#Data],$DD1018,10),0)</f>
        <v/>
      </c>
      <c r="M1018">
        <f>IFERROR(INDEX(PP_Grid[#Data],$DD1018,11),0)</f>
        <v/>
      </c>
      <c r="N1018">
        <f>IFERROR(INDEX(PP_Grid[#Data],$DD1018,12),0)</f>
        <v/>
      </c>
      <c r="O1018">
        <f>IFERROR(INDEX(PP_Grid[#Data],$DD1018,13),0)</f>
        <v/>
      </c>
      <c r="P1018">
        <f>IFERROR(INDEX(PP_Grid[#Data],$DD1018,14),0)</f>
        <v/>
      </c>
      <c r="Q1018">
        <f>IFERROR(INDEX(PP_Grid[#Data],$DD1018,15),0)</f>
        <v/>
      </c>
      <c r="R1018">
        <f>IFERROR(INDEX(PP_Grid[#Data],$DD1018,16),0)</f>
        <v/>
      </c>
      <c r="S1018">
        <f>IFERROR(INDEX(PP_Grid[#Data],$DD1018,17),0)</f>
        <v/>
      </c>
      <c r="T1018">
        <f>IFERROR(INDEX(PP_Grid[#Data],$DD1018,18),0)</f>
        <v/>
      </c>
      <c r="U1018">
        <f>IFERROR(INDEX(PP_Grid[#Data],$DD1018,19),0)</f>
        <v/>
      </c>
      <c r="V1018">
        <f>IFERROR(INDEX(PP_Grid[#Data],$DD1018,20),0)</f>
        <v/>
      </c>
      <c r="W1018">
        <f>IFERROR(INDEX(PP_Grid[#Data],$DD1018,21),0)</f>
        <v/>
      </c>
      <c r="X1018">
        <f>IFERROR(INDEX(PP_Grid[#Data],$DD1018,22),0)</f>
        <v/>
      </c>
      <c r="Y1018">
        <f>IFERROR(INDEX(PP_Grid[#Data],$DD1018,23),0)</f>
        <v/>
      </c>
      <c r="Z1018">
        <f>IFERROR(INDEX(PP_Grid[#Data],$DD1018,24),0)</f>
        <v/>
      </c>
      <c r="AA1018">
        <f>IFERROR(INDEX(PP_Grid[#Data],$DD1018,25),0)</f>
        <v/>
      </c>
      <c r="AB1018">
        <f>IFERROR(INDEX(PP_Grid[#Data],$DD1018,26),0)</f>
        <v/>
      </c>
      <c r="AC1018">
        <f>IFERROR(INDEX(PP_Grid[#Data],$DD1018,27),0)</f>
        <v/>
      </c>
      <c r="AD1018">
        <f>IFERROR(INDEX(PP_Grid[#Data],$DD1018,28),0)</f>
        <v/>
      </c>
      <c r="AE1018">
        <f>IFERROR(INDEX(PP_Grid[#Data],$DD1018,29),0)</f>
        <v/>
      </c>
      <c r="AF1018">
        <f>IFERROR(INDEX(PP_Grid[#Data],$DD1018,30),0)</f>
        <v/>
      </c>
      <c r="AG1018">
        <f>IFERROR(INDEX(PP_Grid[#Data],$DD1018,31),0)</f>
        <v/>
      </c>
      <c r="AH1018">
        <f>IFERROR(INDEX(PP_Grid[#Data],$DD1018,32),0)</f>
        <v/>
      </c>
      <c r="AI1018">
        <f>IFERROR(INDEX(PP_Grid[#Data],$DD1018,33),0)</f>
        <v/>
      </c>
      <c r="AJ1018">
        <f>IFERROR(INDEX(PP_Grid[#Data],$DD1018,34),0)</f>
        <v/>
      </c>
      <c r="AK1018">
        <f>IFERROR(INDEX(PP_Grid[#Data],$DD1018,35),0)</f>
        <v/>
      </c>
      <c r="AL1018">
        <f>IFERROR(INDEX(PP_Grid[#Data],$DD1018,36),0)</f>
        <v/>
      </c>
      <c r="AM1018">
        <f>IFERROR(INDEX(PP_Grid[#Data],$DD1018,37),0)</f>
        <v/>
      </c>
      <c r="AN1018">
        <f>IFERROR(INDEX(PP_Grid[#Data],$DD1018,38),0)</f>
        <v/>
      </c>
      <c r="AO1018">
        <f>IFERROR(INDEX(PP_Grid[#Data],$DD1018,39),0)</f>
        <v/>
      </c>
      <c r="AP1018">
        <f>IFERROR(INDEX(PP_Grid[#Data],$DD1018,40),0)</f>
        <v/>
      </c>
      <c r="AQ1018">
        <f>IFERROR(INDEX(PP_Grid[#Data],$DD1018,41),0)</f>
        <v/>
      </c>
      <c r="AR1018">
        <f>IFERROR(INDEX(PP_Grid[#Data],$DD1018,42),0)</f>
        <v/>
      </c>
      <c r="AS1018">
        <f>IFERROR(INDEX(PP_Grid[#Data],$DD1018,43),0)</f>
        <v/>
      </c>
      <c r="AT1018">
        <f>IFERROR(INDEX(PP_Grid[#Data],$DD1018,44),0)</f>
        <v/>
      </c>
      <c r="AU1018">
        <f>IFERROR(INDEX(PP_Grid[#Data],$DD1018,45),0)</f>
        <v/>
      </c>
      <c r="AV1018">
        <f>IFERROR(INDEX(PP_Grid[#Data],$DD1018,46),0)</f>
        <v/>
      </c>
      <c r="AW1018">
        <f>IFERROR(INDEX(PP_Grid[#Data],$DD1018,47),0)</f>
        <v/>
      </c>
      <c r="AX1018">
        <f>IFERROR(INDEX(PP_Grid[#Data],$DD1018,48),0)</f>
        <v/>
      </c>
      <c r="AY1018">
        <f>IFERROR(INDEX(PP_Grid[#Data],$DD1018,49),0)</f>
        <v/>
      </c>
      <c r="AZ1018">
        <f>IFERROR(INDEX(PP_Grid[#Data],$DD1018,50),0)</f>
        <v/>
      </c>
      <c r="BA1018">
        <f>IFERROR(INDEX(PP_Grid[#Data],$DD1018,51),0)</f>
        <v/>
      </c>
      <c r="BB1018">
        <f>IFERROR(INDEX(PP_Grid[#Data],$DD1018,52),0)</f>
        <v/>
      </c>
      <c r="BC1018">
        <f>IFERROR(INDEX(PP_Grid[#Data],$DD1018,53),0)</f>
        <v/>
      </c>
      <c r="BD1018">
        <f>IFERROR(INDEX(PP_Grid[#Data],$DD1018,54),0)</f>
        <v/>
      </c>
      <c r="BE1018">
        <f>IFERROR(INDEX(PP_Grid[#Data],$DD1018,55),0)</f>
        <v/>
      </c>
      <c r="BF1018">
        <f>IFERROR(INDEX(PP_Grid[#Data],$DD1018,56),0)</f>
        <v/>
      </c>
      <c r="BG1018">
        <f>IFERROR(INDEX(PP_Grid[#Data],$DD1018,57),0)</f>
        <v/>
      </c>
      <c r="BH1018">
        <f>IFERROR(INDEX(PP_Grid[#Data],$DD1018,58),0)</f>
        <v/>
      </c>
      <c r="BI1018">
        <f>IFERROR(INDEX(PP_Grid[#Data],$DD1018,59),0)</f>
        <v/>
      </c>
      <c r="BJ1018">
        <f>IFERROR(INDEX(PP_Grid[#Data],$DD1018,60),0)</f>
        <v/>
      </c>
      <c r="BK1018">
        <f>IFERROR(INDEX(PP_Grid[#Data],$DD1018,61),0)</f>
        <v/>
      </c>
      <c r="BL1018">
        <f>IFERROR(INDEX(PP_Grid[#Data],$DD1018,62),0)</f>
        <v/>
      </c>
      <c r="BM1018">
        <f>IFERROR(INDEX(PP_Grid[#Data],$DD1018,63),0)</f>
        <v/>
      </c>
      <c r="BN1018">
        <f>IFERROR(INDEX(PP_Grid[#Data],$DD1018,64),0)</f>
        <v/>
      </c>
      <c r="BO1018">
        <f>IFERROR(INDEX(PP_Grid[#Data],$DD1018,65),0)</f>
        <v/>
      </c>
      <c r="BP1018">
        <f>IFERROR(INDEX(PP_Grid[#Data],$DD1018,66),0)</f>
        <v/>
      </c>
      <c r="BQ1018">
        <f>IFERROR(INDEX(PP_Grid[#Data],$DD1018,67),0)</f>
        <v/>
      </c>
      <c r="BR1018">
        <f>IFERROR(INDEX(PP_Grid[#Data],$DD1018,68),0)</f>
        <v/>
      </c>
      <c r="BS1018">
        <f>IFERROR(INDEX(PP_Grid[#Data],$DD1018,69),0)</f>
        <v/>
      </c>
      <c r="BT1018">
        <f>IFERROR(INDEX(PP_Grid[#Data],$DD1018,70),0)</f>
        <v/>
      </c>
      <c r="BU1018">
        <f>IFERROR(INDEX(PP_Grid[#Data],$DD1018,71),0)</f>
        <v/>
      </c>
      <c r="BV1018">
        <f>IFERROR(INDEX(PP_Grid[#Data],$DD1018,72),0)</f>
        <v/>
      </c>
      <c r="BW1018">
        <f>IFERROR(INDEX(PP_Grid[#Data],$DD1018,73),0)</f>
        <v/>
      </c>
      <c r="BX1018">
        <f>IFERROR(INDEX(PP_Grid[#Data],$DD1018,74),0)</f>
        <v/>
      </c>
      <c r="BY1018">
        <f>IFERROR(INDEX(PP_Grid[#Data],$DD1018,75),0)</f>
        <v/>
      </c>
      <c r="BZ1018">
        <f>IFERROR(INDEX(PP_Grid[#Data],$DD1018,76),0)</f>
        <v/>
      </c>
      <c r="CA1018">
        <f>IFERROR(INDEX(PP_Grid[#Data],$DD1018,77),0)</f>
        <v/>
      </c>
      <c r="CB1018">
        <f>IFERROR(INDEX(PP_Grid[#Data],$DD1018,78),0)</f>
        <v/>
      </c>
      <c r="CC1018">
        <f>IFERROR(INDEX(PP_Grid[#Data],$DD1018,79),0)</f>
        <v/>
      </c>
      <c r="CD1018">
        <f>IFERROR(INDEX(PP_Grid[#Data],$DD1018,80),0)</f>
        <v/>
      </c>
      <c r="CE1018">
        <f>IFERROR(INDEX(PP_Grid[#Data],$DD1018,81),0)</f>
        <v/>
      </c>
      <c r="CF1018">
        <f>IFERROR(INDEX(PP_Grid[#Data],$DD1018,82),0)</f>
        <v/>
      </c>
      <c r="CG1018">
        <f>IFERROR(INDEX(PP_Grid[#Data],$DD1018,83),0)</f>
        <v/>
      </c>
      <c r="CH1018">
        <f>IFERROR(INDEX(PP_Grid[#Data],$DD1018,84),0)</f>
        <v/>
      </c>
      <c r="CI1018">
        <f>IFERROR(INDEX(PP_Grid[#Data],$DD1018,85),0)</f>
        <v/>
      </c>
      <c r="CJ1018">
        <f>IFERROR(INDEX(PP_Grid[#Data],$DD1018,86),0)</f>
        <v/>
      </c>
      <c r="CK1018">
        <f>IFERROR(INDEX(PP_Grid[#Data],$DD1018,87),0)</f>
        <v/>
      </c>
      <c r="CL1018">
        <f>IFERROR(INDEX(PP_Grid[#Data],$DD1018,88),0)</f>
        <v/>
      </c>
      <c r="CM1018">
        <f>IFERROR(INDEX(PP_Grid[#Data],$DD1018,89),0)</f>
        <v/>
      </c>
      <c r="CN1018">
        <f>IFERROR(INDEX(PP_Grid[#Data],$DD1018,90),0)</f>
        <v/>
      </c>
      <c r="CO1018">
        <f>IFERROR(INDEX(PP_Grid[#Data],$DD1018,91),0)</f>
        <v/>
      </c>
      <c r="CP1018">
        <f>IFERROR(INDEX(PP_Grid[#Data],$DD1018,92),0)</f>
        <v/>
      </c>
      <c r="CQ1018">
        <f>IFERROR(INDEX(PP_Grid[#Data],$DD1018,93),0)</f>
        <v/>
      </c>
      <c r="CR1018">
        <f>IFERROR(INDEX(PP_Grid[#Data],$DD1018,94),0)</f>
        <v/>
      </c>
      <c r="CS1018">
        <f>IFERROR(INDEX(PP_Grid[#Data],$DD1018,95),0)</f>
        <v/>
      </c>
      <c r="CT1018">
        <f>IFERROR(INDEX(PP_Grid[#Data],$DD1018,96),0)</f>
        <v/>
      </c>
      <c r="CU1018">
        <f>IFERROR(INDEX(PP_Grid[#Data],$DD1018,97),0)</f>
        <v/>
      </c>
      <c r="CV1018">
        <f>IFERROR(INDEX(PP_Grid[#Data],$DD1018,98),0)</f>
        <v/>
      </c>
      <c r="CW1018">
        <f>IFERROR(INDEX(PP_Grid[#Data],$DD1018,99),0)</f>
        <v/>
      </c>
      <c r="CX1018">
        <f>IFERROR(INDEX(PP_Grid[#Data],$DD1018,100),0)</f>
        <v/>
      </c>
      <c r="CY1018">
        <f>IFERROR(INDEX(PP_Grid[#Data],$DD1018,101),0)</f>
        <v/>
      </c>
      <c r="CZ1018">
        <f>IFERROR(INDEX(PP_Grid[#Data],$DD1018,102),0)</f>
        <v/>
      </c>
      <c r="DA1018">
        <f>IFERROR(INDEX(PP_Grid[#Data],$DD1018,103),0)</f>
        <v/>
      </c>
      <c r="DB1018">
        <f>IFERROR(INDEX(PP_Grid[#Data],$DD1018,104),0)</f>
        <v/>
      </c>
      <c r="DC1018">
        <f>IFERROR(INDEX(PP_Grid[#Data],$DD1018,105),0)</f>
        <v/>
      </c>
      <c r="DD1018" s="12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SUMIFS(M_BOM[RM_Qty_Per_Batch],M_BOM[Intermediate],$B1018,M_BOM[Part Name],$A999)</f>
        <v/>
      </c>
      <c r="D1019">
        <f>$C1019*D1018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</row>
    <row r="1020">
      <c r="B1020" t="inlineStr">
        <is>
          <t>TSP-930</t>
        </is>
      </c>
      <c r="C1020" t="inlineStr">
        <is>
          <t>No. of batches</t>
        </is>
      </c>
      <c r="D1020">
        <f>IFERROR(INDEX(PP_Grid[#Data],$DD1020,2),0)</f>
        <v/>
      </c>
      <c r="E1020">
        <f>IFERROR(INDEX(PP_Grid[#Data],$DD1020,3),0)</f>
        <v/>
      </c>
      <c r="F1020">
        <f>IFERROR(INDEX(PP_Grid[#Data],$DD1020,4),0)</f>
        <v/>
      </c>
      <c r="G1020">
        <f>IFERROR(INDEX(PP_Grid[#Data],$DD1020,5),0)</f>
        <v/>
      </c>
      <c r="H1020">
        <f>IFERROR(INDEX(PP_Grid[#Data],$DD1020,6),0)</f>
        <v/>
      </c>
      <c r="I1020">
        <f>IFERROR(INDEX(PP_Grid[#Data],$DD1020,7),0)</f>
        <v/>
      </c>
      <c r="J1020">
        <f>IFERROR(INDEX(PP_Grid[#Data],$DD1020,8),0)</f>
        <v/>
      </c>
      <c r="K1020">
        <f>IFERROR(INDEX(PP_Grid[#Data],$DD1020,9),0)</f>
        <v/>
      </c>
      <c r="L1020">
        <f>IFERROR(INDEX(PP_Grid[#Data],$DD1020,10),0)</f>
        <v/>
      </c>
      <c r="M1020">
        <f>IFERROR(INDEX(PP_Grid[#Data],$DD1020,11),0)</f>
        <v/>
      </c>
      <c r="N1020">
        <f>IFERROR(INDEX(PP_Grid[#Data],$DD1020,12),0)</f>
        <v/>
      </c>
      <c r="O1020">
        <f>IFERROR(INDEX(PP_Grid[#Data],$DD1020,13),0)</f>
        <v/>
      </c>
      <c r="P1020">
        <f>IFERROR(INDEX(PP_Grid[#Data],$DD1020,14),0)</f>
        <v/>
      </c>
      <c r="Q1020">
        <f>IFERROR(INDEX(PP_Grid[#Data],$DD1020,15),0)</f>
        <v/>
      </c>
      <c r="R1020">
        <f>IFERROR(INDEX(PP_Grid[#Data],$DD1020,16),0)</f>
        <v/>
      </c>
      <c r="S1020">
        <f>IFERROR(INDEX(PP_Grid[#Data],$DD1020,17),0)</f>
        <v/>
      </c>
      <c r="T1020">
        <f>IFERROR(INDEX(PP_Grid[#Data],$DD1020,18),0)</f>
        <v/>
      </c>
      <c r="U1020">
        <f>IFERROR(INDEX(PP_Grid[#Data],$DD1020,19),0)</f>
        <v/>
      </c>
      <c r="V1020">
        <f>IFERROR(INDEX(PP_Grid[#Data],$DD1020,20),0)</f>
        <v/>
      </c>
      <c r="W1020">
        <f>IFERROR(INDEX(PP_Grid[#Data],$DD1020,21),0)</f>
        <v/>
      </c>
      <c r="X1020">
        <f>IFERROR(INDEX(PP_Grid[#Data],$DD1020,22),0)</f>
        <v/>
      </c>
      <c r="Y1020">
        <f>IFERROR(INDEX(PP_Grid[#Data],$DD1020,23),0)</f>
        <v/>
      </c>
      <c r="Z1020">
        <f>IFERROR(INDEX(PP_Grid[#Data],$DD1020,24),0)</f>
        <v/>
      </c>
      <c r="AA1020">
        <f>IFERROR(INDEX(PP_Grid[#Data],$DD1020,25),0)</f>
        <v/>
      </c>
      <c r="AB1020">
        <f>IFERROR(INDEX(PP_Grid[#Data],$DD1020,26),0)</f>
        <v/>
      </c>
      <c r="AC1020">
        <f>IFERROR(INDEX(PP_Grid[#Data],$DD1020,27),0)</f>
        <v/>
      </c>
      <c r="AD1020">
        <f>IFERROR(INDEX(PP_Grid[#Data],$DD1020,28),0)</f>
        <v/>
      </c>
      <c r="AE1020">
        <f>IFERROR(INDEX(PP_Grid[#Data],$DD1020,29),0)</f>
        <v/>
      </c>
      <c r="AF1020">
        <f>IFERROR(INDEX(PP_Grid[#Data],$DD1020,30),0)</f>
        <v/>
      </c>
      <c r="AG1020">
        <f>IFERROR(INDEX(PP_Grid[#Data],$DD1020,31),0)</f>
        <v/>
      </c>
      <c r="AH1020">
        <f>IFERROR(INDEX(PP_Grid[#Data],$DD1020,32),0)</f>
        <v/>
      </c>
      <c r="AI1020">
        <f>IFERROR(INDEX(PP_Grid[#Data],$DD1020,33),0)</f>
        <v/>
      </c>
      <c r="AJ1020">
        <f>IFERROR(INDEX(PP_Grid[#Data],$DD1020,34),0)</f>
        <v/>
      </c>
      <c r="AK1020">
        <f>IFERROR(INDEX(PP_Grid[#Data],$DD1020,35),0)</f>
        <v/>
      </c>
      <c r="AL1020">
        <f>IFERROR(INDEX(PP_Grid[#Data],$DD1020,36),0)</f>
        <v/>
      </c>
      <c r="AM1020">
        <f>IFERROR(INDEX(PP_Grid[#Data],$DD1020,37),0)</f>
        <v/>
      </c>
      <c r="AN1020">
        <f>IFERROR(INDEX(PP_Grid[#Data],$DD1020,38),0)</f>
        <v/>
      </c>
      <c r="AO1020">
        <f>IFERROR(INDEX(PP_Grid[#Data],$DD1020,39),0)</f>
        <v/>
      </c>
      <c r="AP1020">
        <f>IFERROR(INDEX(PP_Grid[#Data],$DD1020,40),0)</f>
        <v/>
      </c>
      <c r="AQ1020">
        <f>IFERROR(INDEX(PP_Grid[#Data],$DD1020,41),0)</f>
        <v/>
      </c>
      <c r="AR1020">
        <f>IFERROR(INDEX(PP_Grid[#Data],$DD1020,42),0)</f>
        <v/>
      </c>
      <c r="AS1020">
        <f>IFERROR(INDEX(PP_Grid[#Data],$DD1020,43),0)</f>
        <v/>
      </c>
      <c r="AT1020">
        <f>IFERROR(INDEX(PP_Grid[#Data],$DD1020,44),0)</f>
        <v/>
      </c>
      <c r="AU1020">
        <f>IFERROR(INDEX(PP_Grid[#Data],$DD1020,45),0)</f>
        <v/>
      </c>
      <c r="AV1020">
        <f>IFERROR(INDEX(PP_Grid[#Data],$DD1020,46),0)</f>
        <v/>
      </c>
      <c r="AW1020">
        <f>IFERROR(INDEX(PP_Grid[#Data],$DD1020,47),0)</f>
        <v/>
      </c>
      <c r="AX1020">
        <f>IFERROR(INDEX(PP_Grid[#Data],$DD1020,48),0)</f>
        <v/>
      </c>
      <c r="AY1020">
        <f>IFERROR(INDEX(PP_Grid[#Data],$DD1020,49),0)</f>
        <v/>
      </c>
      <c r="AZ1020">
        <f>IFERROR(INDEX(PP_Grid[#Data],$DD1020,50),0)</f>
        <v/>
      </c>
      <c r="BA1020">
        <f>IFERROR(INDEX(PP_Grid[#Data],$DD1020,51),0)</f>
        <v/>
      </c>
      <c r="BB1020">
        <f>IFERROR(INDEX(PP_Grid[#Data],$DD1020,52),0)</f>
        <v/>
      </c>
      <c r="BC1020">
        <f>IFERROR(INDEX(PP_Grid[#Data],$DD1020,53),0)</f>
        <v/>
      </c>
      <c r="BD1020">
        <f>IFERROR(INDEX(PP_Grid[#Data],$DD1020,54),0)</f>
        <v/>
      </c>
      <c r="BE1020">
        <f>IFERROR(INDEX(PP_Grid[#Data],$DD1020,55),0)</f>
        <v/>
      </c>
      <c r="BF1020">
        <f>IFERROR(INDEX(PP_Grid[#Data],$DD1020,56),0)</f>
        <v/>
      </c>
      <c r="BG1020">
        <f>IFERROR(INDEX(PP_Grid[#Data],$DD1020,57),0)</f>
        <v/>
      </c>
      <c r="BH1020">
        <f>IFERROR(INDEX(PP_Grid[#Data],$DD1020,58),0)</f>
        <v/>
      </c>
      <c r="BI1020">
        <f>IFERROR(INDEX(PP_Grid[#Data],$DD1020,59),0)</f>
        <v/>
      </c>
      <c r="BJ1020">
        <f>IFERROR(INDEX(PP_Grid[#Data],$DD1020,60),0)</f>
        <v/>
      </c>
      <c r="BK1020">
        <f>IFERROR(INDEX(PP_Grid[#Data],$DD1020,61),0)</f>
        <v/>
      </c>
      <c r="BL1020">
        <f>IFERROR(INDEX(PP_Grid[#Data],$DD1020,62),0)</f>
        <v/>
      </c>
      <c r="BM1020">
        <f>IFERROR(INDEX(PP_Grid[#Data],$DD1020,63),0)</f>
        <v/>
      </c>
      <c r="BN1020">
        <f>IFERROR(INDEX(PP_Grid[#Data],$DD1020,64),0)</f>
        <v/>
      </c>
      <c r="BO1020">
        <f>IFERROR(INDEX(PP_Grid[#Data],$DD1020,65),0)</f>
        <v/>
      </c>
      <c r="BP1020">
        <f>IFERROR(INDEX(PP_Grid[#Data],$DD1020,66),0)</f>
        <v/>
      </c>
      <c r="BQ1020">
        <f>IFERROR(INDEX(PP_Grid[#Data],$DD1020,67),0)</f>
        <v/>
      </c>
      <c r="BR1020">
        <f>IFERROR(INDEX(PP_Grid[#Data],$DD1020,68),0)</f>
        <v/>
      </c>
      <c r="BS1020">
        <f>IFERROR(INDEX(PP_Grid[#Data],$DD1020,69),0)</f>
        <v/>
      </c>
      <c r="BT1020">
        <f>IFERROR(INDEX(PP_Grid[#Data],$DD1020,70),0)</f>
        <v/>
      </c>
      <c r="BU1020">
        <f>IFERROR(INDEX(PP_Grid[#Data],$DD1020,71),0)</f>
        <v/>
      </c>
      <c r="BV1020">
        <f>IFERROR(INDEX(PP_Grid[#Data],$DD1020,72),0)</f>
        <v/>
      </c>
      <c r="BW1020">
        <f>IFERROR(INDEX(PP_Grid[#Data],$DD1020,73),0)</f>
        <v/>
      </c>
      <c r="BX1020">
        <f>IFERROR(INDEX(PP_Grid[#Data],$DD1020,74),0)</f>
        <v/>
      </c>
      <c r="BY1020">
        <f>IFERROR(INDEX(PP_Grid[#Data],$DD1020,75),0)</f>
        <v/>
      </c>
      <c r="BZ1020">
        <f>IFERROR(INDEX(PP_Grid[#Data],$DD1020,76),0)</f>
        <v/>
      </c>
      <c r="CA1020">
        <f>IFERROR(INDEX(PP_Grid[#Data],$DD1020,77),0)</f>
        <v/>
      </c>
      <c r="CB1020">
        <f>IFERROR(INDEX(PP_Grid[#Data],$DD1020,78),0)</f>
        <v/>
      </c>
      <c r="CC1020">
        <f>IFERROR(INDEX(PP_Grid[#Data],$DD1020,79),0)</f>
        <v/>
      </c>
      <c r="CD1020">
        <f>IFERROR(INDEX(PP_Grid[#Data],$DD1020,80),0)</f>
        <v/>
      </c>
      <c r="CE1020">
        <f>IFERROR(INDEX(PP_Grid[#Data],$DD1020,81),0)</f>
        <v/>
      </c>
      <c r="CF1020">
        <f>IFERROR(INDEX(PP_Grid[#Data],$DD1020,82),0)</f>
        <v/>
      </c>
      <c r="CG1020">
        <f>IFERROR(INDEX(PP_Grid[#Data],$DD1020,83),0)</f>
        <v/>
      </c>
      <c r="CH1020">
        <f>IFERROR(INDEX(PP_Grid[#Data],$DD1020,84),0)</f>
        <v/>
      </c>
      <c r="CI1020">
        <f>IFERROR(INDEX(PP_Grid[#Data],$DD1020,85),0)</f>
        <v/>
      </c>
      <c r="CJ1020">
        <f>IFERROR(INDEX(PP_Grid[#Data],$DD1020,86),0)</f>
        <v/>
      </c>
      <c r="CK1020">
        <f>IFERROR(INDEX(PP_Grid[#Data],$DD1020,87),0)</f>
        <v/>
      </c>
      <c r="CL1020">
        <f>IFERROR(INDEX(PP_Grid[#Data],$DD1020,88),0)</f>
        <v/>
      </c>
      <c r="CM1020">
        <f>IFERROR(INDEX(PP_Grid[#Data],$DD1020,89),0)</f>
        <v/>
      </c>
      <c r="CN1020">
        <f>IFERROR(INDEX(PP_Grid[#Data],$DD1020,90),0)</f>
        <v/>
      </c>
      <c r="CO1020">
        <f>IFERROR(INDEX(PP_Grid[#Data],$DD1020,91),0)</f>
        <v/>
      </c>
      <c r="CP1020">
        <f>IFERROR(INDEX(PP_Grid[#Data],$DD1020,92),0)</f>
        <v/>
      </c>
      <c r="CQ1020">
        <f>IFERROR(INDEX(PP_Grid[#Data],$DD1020,93),0)</f>
        <v/>
      </c>
      <c r="CR1020">
        <f>IFERROR(INDEX(PP_Grid[#Data],$DD1020,94),0)</f>
        <v/>
      </c>
      <c r="CS1020">
        <f>IFERROR(INDEX(PP_Grid[#Data],$DD1020,95),0)</f>
        <v/>
      </c>
      <c r="CT1020">
        <f>IFERROR(INDEX(PP_Grid[#Data],$DD1020,96),0)</f>
        <v/>
      </c>
      <c r="CU1020">
        <f>IFERROR(INDEX(PP_Grid[#Data],$DD1020,97),0)</f>
        <v/>
      </c>
      <c r="CV1020">
        <f>IFERROR(INDEX(PP_Grid[#Data],$DD1020,98),0)</f>
        <v/>
      </c>
      <c r="CW1020">
        <f>IFERROR(INDEX(PP_Grid[#Data],$DD1020,99),0)</f>
        <v/>
      </c>
      <c r="CX1020">
        <f>IFERROR(INDEX(PP_Grid[#Data],$DD1020,100),0)</f>
        <v/>
      </c>
      <c r="CY1020">
        <f>IFERROR(INDEX(PP_Grid[#Data],$DD1020,101),0)</f>
        <v/>
      </c>
      <c r="CZ1020">
        <f>IFERROR(INDEX(PP_Grid[#Data],$DD1020,102),0)</f>
        <v/>
      </c>
      <c r="DA1020">
        <f>IFERROR(INDEX(PP_Grid[#Data],$DD1020,103),0)</f>
        <v/>
      </c>
      <c r="DB1020">
        <f>IFERROR(INDEX(PP_Grid[#Data],$DD1020,104),0)</f>
        <v/>
      </c>
      <c r="DC1020">
        <f>IFERROR(INDEX(PP_Grid[#Data],$DD1020,105),0)</f>
        <v/>
      </c>
      <c r="DD1020" s="12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SUMIFS(M_BOM[RM_Qty_Per_Batch],M_BOM[Intermediate],$B1020,M_BOM[Part Name],$A999)</f>
        <v/>
      </c>
      <c r="D1021">
        <f>$C1021*D1020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</row>
    <row r="1022">
      <c r="B1022" t="inlineStr">
        <is>
          <t>TSP-934</t>
        </is>
      </c>
      <c r="C1022" t="inlineStr">
        <is>
          <t>No. of batches</t>
        </is>
      </c>
      <c r="D1022">
        <f>IFERROR(INDEX(PP_Grid[#Data],$DD1022,2),0)</f>
        <v/>
      </c>
      <c r="E1022">
        <f>IFERROR(INDEX(PP_Grid[#Data],$DD1022,3),0)</f>
        <v/>
      </c>
      <c r="F1022">
        <f>IFERROR(INDEX(PP_Grid[#Data],$DD1022,4),0)</f>
        <v/>
      </c>
      <c r="G1022">
        <f>IFERROR(INDEX(PP_Grid[#Data],$DD1022,5),0)</f>
        <v/>
      </c>
      <c r="H1022">
        <f>IFERROR(INDEX(PP_Grid[#Data],$DD1022,6),0)</f>
        <v/>
      </c>
      <c r="I1022">
        <f>IFERROR(INDEX(PP_Grid[#Data],$DD1022,7),0)</f>
        <v/>
      </c>
      <c r="J1022">
        <f>IFERROR(INDEX(PP_Grid[#Data],$DD1022,8),0)</f>
        <v/>
      </c>
      <c r="K1022">
        <f>IFERROR(INDEX(PP_Grid[#Data],$DD1022,9),0)</f>
        <v/>
      </c>
      <c r="L1022">
        <f>IFERROR(INDEX(PP_Grid[#Data],$DD1022,10),0)</f>
        <v/>
      </c>
      <c r="M1022">
        <f>IFERROR(INDEX(PP_Grid[#Data],$DD1022,11),0)</f>
        <v/>
      </c>
      <c r="N1022">
        <f>IFERROR(INDEX(PP_Grid[#Data],$DD1022,12),0)</f>
        <v/>
      </c>
      <c r="O1022">
        <f>IFERROR(INDEX(PP_Grid[#Data],$DD1022,13),0)</f>
        <v/>
      </c>
      <c r="P1022">
        <f>IFERROR(INDEX(PP_Grid[#Data],$DD1022,14),0)</f>
        <v/>
      </c>
      <c r="Q1022">
        <f>IFERROR(INDEX(PP_Grid[#Data],$DD1022,15),0)</f>
        <v/>
      </c>
      <c r="R1022">
        <f>IFERROR(INDEX(PP_Grid[#Data],$DD1022,16),0)</f>
        <v/>
      </c>
      <c r="S1022">
        <f>IFERROR(INDEX(PP_Grid[#Data],$DD1022,17),0)</f>
        <v/>
      </c>
      <c r="T1022">
        <f>IFERROR(INDEX(PP_Grid[#Data],$DD1022,18),0)</f>
        <v/>
      </c>
      <c r="U1022">
        <f>IFERROR(INDEX(PP_Grid[#Data],$DD1022,19),0)</f>
        <v/>
      </c>
      <c r="V1022">
        <f>IFERROR(INDEX(PP_Grid[#Data],$DD1022,20),0)</f>
        <v/>
      </c>
      <c r="W1022">
        <f>IFERROR(INDEX(PP_Grid[#Data],$DD1022,21),0)</f>
        <v/>
      </c>
      <c r="X1022">
        <f>IFERROR(INDEX(PP_Grid[#Data],$DD1022,22),0)</f>
        <v/>
      </c>
      <c r="Y1022">
        <f>IFERROR(INDEX(PP_Grid[#Data],$DD1022,23),0)</f>
        <v/>
      </c>
      <c r="Z1022">
        <f>IFERROR(INDEX(PP_Grid[#Data],$DD1022,24),0)</f>
        <v/>
      </c>
      <c r="AA1022">
        <f>IFERROR(INDEX(PP_Grid[#Data],$DD1022,25),0)</f>
        <v/>
      </c>
      <c r="AB1022">
        <f>IFERROR(INDEX(PP_Grid[#Data],$DD1022,26),0)</f>
        <v/>
      </c>
      <c r="AC1022">
        <f>IFERROR(INDEX(PP_Grid[#Data],$DD1022,27),0)</f>
        <v/>
      </c>
      <c r="AD1022">
        <f>IFERROR(INDEX(PP_Grid[#Data],$DD1022,28),0)</f>
        <v/>
      </c>
      <c r="AE1022">
        <f>IFERROR(INDEX(PP_Grid[#Data],$DD1022,29),0)</f>
        <v/>
      </c>
      <c r="AF1022">
        <f>IFERROR(INDEX(PP_Grid[#Data],$DD1022,30),0)</f>
        <v/>
      </c>
      <c r="AG1022">
        <f>IFERROR(INDEX(PP_Grid[#Data],$DD1022,31),0)</f>
        <v/>
      </c>
      <c r="AH1022">
        <f>IFERROR(INDEX(PP_Grid[#Data],$DD1022,32),0)</f>
        <v/>
      </c>
      <c r="AI1022">
        <f>IFERROR(INDEX(PP_Grid[#Data],$DD1022,33),0)</f>
        <v/>
      </c>
      <c r="AJ1022">
        <f>IFERROR(INDEX(PP_Grid[#Data],$DD1022,34),0)</f>
        <v/>
      </c>
      <c r="AK1022">
        <f>IFERROR(INDEX(PP_Grid[#Data],$DD1022,35),0)</f>
        <v/>
      </c>
      <c r="AL1022">
        <f>IFERROR(INDEX(PP_Grid[#Data],$DD1022,36),0)</f>
        <v/>
      </c>
      <c r="AM1022">
        <f>IFERROR(INDEX(PP_Grid[#Data],$DD1022,37),0)</f>
        <v/>
      </c>
      <c r="AN1022">
        <f>IFERROR(INDEX(PP_Grid[#Data],$DD1022,38),0)</f>
        <v/>
      </c>
      <c r="AO1022">
        <f>IFERROR(INDEX(PP_Grid[#Data],$DD1022,39),0)</f>
        <v/>
      </c>
      <c r="AP1022">
        <f>IFERROR(INDEX(PP_Grid[#Data],$DD1022,40),0)</f>
        <v/>
      </c>
      <c r="AQ1022">
        <f>IFERROR(INDEX(PP_Grid[#Data],$DD1022,41),0)</f>
        <v/>
      </c>
      <c r="AR1022">
        <f>IFERROR(INDEX(PP_Grid[#Data],$DD1022,42),0)</f>
        <v/>
      </c>
      <c r="AS1022">
        <f>IFERROR(INDEX(PP_Grid[#Data],$DD1022,43),0)</f>
        <v/>
      </c>
      <c r="AT1022">
        <f>IFERROR(INDEX(PP_Grid[#Data],$DD1022,44),0)</f>
        <v/>
      </c>
      <c r="AU1022">
        <f>IFERROR(INDEX(PP_Grid[#Data],$DD1022,45),0)</f>
        <v/>
      </c>
      <c r="AV1022">
        <f>IFERROR(INDEX(PP_Grid[#Data],$DD1022,46),0)</f>
        <v/>
      </c>
      <c r="AW1022">
        <f>IFERROR(INDEX(PP_Grid[#Data],$DD1022,47),0)</f>
        <v/>
      </c>
      <c r="AX1022">
        <f>IFERROR(INDEX(PP_Grid[#Data],$DD1022,48),0)</f>
        <v/>
      </c>
      <c r="AY1022">
        <f>IFERROR(INDEX(PP_Grid[#Data],$DD1022,49),0)</f>
        <v/>
      </c>
      <c r="AZ1022">
        <f>IFERROR(INDEX(PP_Grid[#Data],$DD1022,50),0)</f>
        <v/>
      </c>
      <c r="BA1022">
        <f>IFERROR(INDEX(PP_Grid[#Data],$DD1022,51),0)</f>
        <v/>
      </c>
      <c r="BB1022">
        <f>IFERROR(INDEX(PP_Grid[#Data],$DD1022,52),0)</f>
        <v/>
      </c>
      <c r="BC1022">
        <f>IFERROR(INDEX(PP_Grid[#Data],$DD1022,53),0)</f>
        <v/>
      </c>
      <c r="BD1022">
        <f>IFERROR(INDEX(PP_Grid[#Data],$DD1022,54),0)</f>
        <v/>
      </c>
      <c r="BE1022">
        <f>IFERROR(INDEX(PP_Grid[#Data],$DD1022,55),0)</f>
        <v/>
      </c>
      <c r="BF1022">
        <f>IFERROR(INDEX(PP_Grid[#Data],$DD1022,56),0)</f>
        <v/>
      </c>
      <c r="BG1022">
        <f>IFERROR(INDEX(PP_Grid[#Data],$DD1022,57),0)</f>
        <v/>
      </c>
      <c r="BH1022">
        <f>IFERROR(INDEX(PP_Grid[#Data],$DD1022,58),0)</f>
        <v/>
      </c>
      <c r="BI1022">
        <f>IFERROR(INDEX(PP_Grid[#Data],$DD1022,59),0)</f>
        <v/>
      </c>
      <c r="BJ1022">
        <f>IFERROR(INDEX(PP_Grid[#Data],$DD1022,60),0)</f>
        <v/>
      </c>
      <c r="BK1022">
        <f>IFERROR(INDEX(PP_Grid[#Data],$DD1022,61),0)</f>
        <v/>
      </c>
      <c r="BL1022">
        <f>IFERROR(INDEX(PP_Grid[#Data],$DD1022,62),0)</f>
        <v/>
      </c>
      <c r="BM1022">
        <f>IFERROR(INDEX(PP_Grid[#Data],$DD1022,63),0)</f>
        <v/>
      </c>
      <c r="BN1022">
        <f>IFERROR(INDEX(PP_Grid[#Data],$DD1022,64),0)</f>
        <v/>
      </c>
      <c r="BO1022">
        <f>IFERROR(INDEX(PP_Grid[#Data],$DD1022,65),0)</f>
        <v/>
      </c>
      <c r="BP1022">
        <f>IFERROR(INDEX(PP_Grid[#Data],$DD1022,66),0)</f>
        <v/>
      </c>
      <c r="BQ1022">
        <f>IFERROR(INDEX(PP_Grid[#Data],$DD1022,67),0)</f>
        <v/>
      </c>
      <c r="BR1022">
        <f>IFERROR(INDEX(PP_Grid[#Data],$DD1022,68),0)</f>
        <v/>
      </c>
      <c r="BS1022">
        <f>IFERROR(INDEX(PP_Grid[#Data],$DD1022,69),0)</f>
        <v/>
      </c>
      <c r="BT1022">
        <f>IFERROR(INDEX(PP_Grid[#Data],$DD1022,70),0)</f>
        <v/>
      </c>
      <c r="BU1022">
        <f>IFERROR(INDEX(PP_Grid[#Data],$DD1022,71),0)</f>
        <v/>
      </c>
      <c r="BV1022">
        <f>IFERROR(INDEX(PP_Grid[#Data],$DD1022,72),0)</f>
        <v/>
      </c>
      <c r="BW1022">
        <f>IFERROR(INDEX(PP_Grid[#Data],$DD1022,73),0)</f>
        <v/>
      </c>
      <c r="BX1022">
        <f>IFERROR(INDEX(PP_Grid[#Data],$DD1022,74),0)</f>
        <v/>
      </c>
      <c r="BY1022">
        <f>IFERROR(INDEX(PP_Grid[#Data],$DD1022,75),0)</f>
        <v/>
      </c>
      <c r="BZ1022">
        <f>IFERROR(INDEX(PP_Grid[#Data],$DD1022,76),0)</f>
        <v/>
      </c>
      <c r="CA1022">
        <f>IFERROR(INDEX(PP_Grid[#Data],$DD1022,77),0)</f>
        <v/>
      </c>
      <c r="CB1022">
        <f>IFERROR(INDEX(PP_Grid[#Data],$DD1022,78),0)</f>
        <v/>
      </c>
      <c r="CC1022">
        <f>IFERROR(INDEX(PP_Grid[#Data],$DD1022,79),0)</f>
        <v/>
      </c>
      <c r="CD1022">
        <f>IFERROR(INDEX(PP_Grid[#Data],$DD1022,80),0)</f>
        <v/>
      </c>
      <c r="CE1022">
        <f>IFERROR(INDEX(PP_Grid[#Data],$DD1022,81),0)</f>
        <v/>
      </c>
      <c r="CF1022">
        <f>IFERROR(INDEX(PP_Grid[#Data],$DD1022,82),0)</f>
        <v/>
      </c>
      <c r="CG1022">
        <f>IFERROR(INDEX(PP_Grid[#Data],$DD1022,83),0)</f>
        <v/>
      </c>
      <c r="CH1022">
        <f>IFERROR(INDEX(PP_Grid[#Data],$DD1022,84),0)</f>
        <v/>
      </c>
      <c r="CI1022">
        <f>IFERROR(INDEX(PP_Grid[#Data],$DD1022,85),0)</f>
        <v/>
      </c>
      <c r="CJ1022">
        <f>IFERROR(INDEX(PP_Grid[#Data],$DD1022,86),0)</f>
        <v/>
      </c>
      <c r="CK1022">
        <f>IFERROR(INDEX(PP_Grid[#Data],$DD1022,87),0)</f>
        <v/>
      </c>
      <c r="CL1022">
        <f>IFERROR(INDEX(PP_Grid[#Data],$DD1022,88),0)</f>
        <v/>
      </c>
      <c r="CM1022">
        <f>IFERROR(INDEX(PP_Grid[#Data],$DD1022,89),0)</f>
        <v/>
      </c>
      <c r="CN1022">
        <f>IFERROR(INDEX(PP_Grid[#Data],$DD1022,90),0)</f>
        <v/>
      </c>
      <c r="CO1022">
        <f>IFERROR(INDEX(PP_Grid[#Data],$DD1022,91),0)</f>
        <v/>
      </c>
      <c r="CP1022">
        <f>IFERROR(INDEX(PP_Grid[#Data],$DD1022,92),0)</f>
        <v/>
      </c>
      <c r="CQ1022">
        <f>IFERROR(INDEX(PP_Grid[#Data],$DD1022,93),0)</f>
        <v/>
      </c>
      <c r="CR1022">
        <f>IFERROR(INDEX(PP_Grid[#Data],$DD1022,94),0)</f>
        <v/>
      </c>
      <c r="CS1022">
        <f>IFERROR(INDEX(PP_Grid[#Data],$DD1022,95),0)</f>
        <v/>
      </c>
      <c r="CT1022">
        <f>IFERROR(INDEX(PP_Grid[#Data],$DD1022,96),0)</f>
        <v/>
      </c>
      <c r="CU1022">
        <f>IFERROR(INDEX(PP_Grid[#Data],$DD1022,97),0)</f>
        <v/>
      </c>
      <c r="CV1022">
        <f>IFERROR(INDEX(PP_Grid[#Data],$DD1022,98),0)</f>
        <v/>
      </c>
      <c r="CW1022">
        <f>IFERROR(INDEX(PP_Grid[#Data],$DD1022,99),0)</f>
        <v/>
      </c>
      <c r="CX1022">
        <f>IFERROR(INDEX(PP_Grid[#Data],$DD1022,100),0)</f>
        <v/>
      </c>
      <c r="CY1022">
        <f>IFERROR(INDEX(PP_Grid[#Data],$DD1022,101),0)</f>
        <v/>
      </c>
      <c r="CZ1022">
        <f>IFERROR(INDEX(PP_Grid[#Data],$DD1022,102),0)</f>
        <v/>
      </c>
      <c r="DA1022">
        <f>IFERROR(INDEX(PP_Grid[#Data],$DD1022,103),0)</f>
        <v/>
      </c>
      <c r="DB1022">
        <f>IFERROR(INDEX(PP_Grid[#Data],$DD1022,104),0)</f>
        <v/>
      </c>
      <c r="DC1022">
        <f>IFERROR(INDEX(PP_Grid[#Data],$DD1022,105),0)</f>
        <v/>
      </c>
      <c r="DD1022" s="12">
        <f>IFERROR(MATCH($B1022,PP_Grid[Intermediate],0),99999)</f>
        <v/>
      </c>
    </row>
    <row r="1023">
      <c r="B1023" t="inlineStr">
        <is>
          <t>使用量(kg)</t>
        </is>
      </c>
      <c r="C1023">
        <f>SUMIFS(M_BOM[RM_Qty_Per_Batch],M_BOM[Intermediate],$B1022,M_BOM[Part Name],$A999)</f>
        <v/>
      </c>
      <c r="D1023">
        <f>$C1023*D1022</f>
        <v/>
      </c>
      <c r="E1023">
        <f>$C1023*E1022</f>
        <v/>
      </c>
      <c r="F1023">
        <f>$C1023*F1022</f>
        <v/>
      </c>
      <c r="G1023">
        <f>$C1023*G1022</f>
        <v/>
      </c>
      <c r="H1023">
        <f>$C1023*H1022</f>
        <v/>
      </c>
      <c r="I1023">
        <f>$C1023*I1022</f>
        <v/>
      </c>
      <c r="J1023">
        <f>$C1023*J1022</f>
        <v/>
      </c>
      <c r="K1023">
        <f>$C1023*K1022</f>
        <v/>
      </c>
      <c r="L1023">
        <f>$C1023*L1022</f>
        <v/>
      </c>
      <c r="M1023">
        <f>$C1023*M1022</f>
        <v/>
      </c>
      <c r="N1023">
        <f>$C1023*N1022</f>
        <v/>
      </c>
      <c r="O1023">
        <f>$C1023*O1022</f>
        <v/>
      </c>
      <c r="P1023">
        <f>$C1023*P1022</f>
        <v/>
      </c>
      <c r="Q1023">
        <f>$C1023*Q1022</f>
        <v/>
      </c>
      <c r="R1023">
        <f>$C1023*R1022</f>
        <v/>
      </c>
      <c r="S1023">
        <f>$C1023*S1022</f>
        <v/>
      </c>
      <c r="T1023">
        <f>$C1023*T1022</f>
        <v/>
      </c>
      <c r="U1023">
        <f>$C1023*U1022</f>
        <v/>
      </c>
      <c r="V1023">
        <f>$C1023*V1022</f>
        <v/>
      </c>
      <c r="W1023">
        <f>$C1023*W1022</f>
        <v/>
      </c>
      <c r="X1023">
        <f>$C1023*X1022</f>
        <v/>
      </c>
      <c r="Y1023">
        <f>$C1023*Y1022</f>
        <v/>
      </c>
      <c r="Z1023">
        <f>$C1023*Z1022</f>
        <v/>
      </c>
      <c r="AA1023">
        <f>$C1023*AA1022</f>
        <v/>
      </c>
      <c r="AB1023">
        <f>$C1023*AB1022</f>
        <v/>
      </c>
      <c r="AC1023">
        <f>$C1023*AC1022</f>
        <v/>
      </c>
      <c r="AD1023">
        <f>$C1023*AD1022</f>
        <v/>
      </c>
      <c r="AE1023">
        <f>$C1023*AE1022</f>
        <v/>
      </c>
      <c r="AF1023">
        <f>$C1023*AF1022</f>
        <v/>
      </c>
      <c r="AG1023">
        <f>$C1023*AG1022</f>
        <v/>
      </c>
      <c r="AH1023">
        <f>$C1023*AH1022</f>
        <v/>
      </c>
      <c r="AI1023">
        <f>$C1023*AI1022</f>
        <v/>
      </c>
      <c r="AJ1023">
        <f>$C1023*AJ1022</f>
        <v/>
      </c>
      <c r="AK1023">
        <f>$C1023*AK1022</f>
        <v/>
      </c>
      <c r="AL1023">
        <f>$C1023*AL1022</f>
        <v/>
      </c>
      <c r="AM1023">
        <f>$C1023*AM1022</f>
        <v/>
      </c>
      <c r="AN1023">
        <f>$C1023*AN1022</f>
        <v/>
      </c>
      <c r="AO1023">
        <f>$C1023*AO1022</f>
        <v/>
      </c>
      <c r="AP1023">
        <f>$C1023*AP1022</f>
        <v/>
      </c>
      <c r="AQ1023">
        <f>$C1023*AQ1022</f>
        <v/>
      </c>
      <c r="AR1023">
        <f>$C1023*AR1022</f>
        <v/>
      </c>
      <c r="AS1023">
        <f>$C1023*AS1022</f>
        <v/>
      </c>
      <c r="AT1023">
        <f>$C1023*AT1022</f>
        <v/>
      </c>
      <c r="AU1023">
        <f>$C1023*AU1022</f>
        <v/>
      </c>
      <c r="AV1023">
        <f>$C1023*AV1022</f>
        <v/>
      </c>
      <c r="AW1023">
        <f>$C1023*AW1022</f>
        <v/>
      </c>
      <c r="AX1023">
        <f>$C1023*AX1022</f>
        <v/>
      </c>
      <c r="AY1023">
        <f>$C1023*AY1022</f>
        <v/>
      </c>
      <c r="AZ1023">
        <f>$C1023*AZ1022</f>
        <v/>
      </c>
      <c r="BA1023">
        <f>$C1023*BA1022</f>
        <v/>
      </c>
      <c r="BB1023">
        <f>$C1023*BB1022</f>
        <v/>
      </c>
      <c r="BC1023">
        <f>$C1023*BC1022</f>
        <v/>
      </c>
      <c r="BD1023">
        <f>$C1023*BD1022</f>
        <v/>
      </c>
      <c r="BE1023">
        <f>$C1023*BE1022</f>
        <v/>
      </c>
      <c r="BF1023">
        <f>$C1023*BF1022</f>
        <v/>
      </c>
      <c r="BG1023">
        <f>$C1023*BG1022</f>
        <v/>
      </c>
      <c r="BH1023">
        <f>$C1023*BH1022</f>
        <v/>
      </c>
      <c r="BI1023">
        <f>$C1023*BI1022</f>
        <v/>
      </c>
      <c r="BJ1023">
        <f>$C1023*BJ1022</f>
        <v/>
      </c>
      <c r="BK1023">
        <f>$C1023*BK1022</f>
        <v/>
      </c>
      <c r="BL1023">
        <f>$C1023*BL1022</f>
        <v/>
      </c>
      <c r="BM1023">
        <f>$C1023*BM1022</f>
        <v/>
      </c>
      <c r="BN1023">
        <f>$C1023*BN1022</f>
        <v/>
      </c>
      <c r="BO1023">
        <f>$C1023*BO1022</f>
        <v/>
      </c>
      <c r="BP1023">
        <f>$C1023*BP1022</f>
        <v/>
      </c>
      <c r="BQ1023">
        <f>$C1023*BQ1022</f>
        <v/>
      </c>
      <c r="BR1023">
        <f>$C1023*BR1022</f>
        <v/>
      </c>
      <c r="BS1023">
        <f>$C1023*BS1022</f>
        <v/>
      </c>
      <c r="BT1023">
        <f>$C1023*BT1022</f>
        <v/>
      </c>
      <c r="BU1023">
        <f>$C1023*BU1022</f>
        <v/>
      </c>
      <c r="BV1023">
        <f>$C1023*BV1022</f>
        <v/>
      </c>
      <c r="BW1023">
        <f>$C1023*BW1022</f>
        <v/>
      </c>
      <c r="BX1023">
        <f>$C1023*BX1022</f>
        <v/>
      </c>
      <c r="BY1023">
        <f>$C1023*BY1022</f>
        <v/>
      </c>
      <c r="BZ1023">
        <f>$C1023*BZ1022</f>
        <v/>
      </c>
      <c r="CA1023">
        <f>$C1023*CA1022</f>
        <v/>
      </c>
      <c r="CB1023">
        <f>$C1023*CB1022</f>
        <v/>
      </c>
      <c r="CC1023">
        <f>$C1023*CC1022</f>
        <v/>
      </c>
      <c r="CD1023">
        <f>$C1023*CD1022</f>
        <v/>
      </c>
      <c r="CE1023">
        <f>$C1023*CE1022</f>
        <v/>
      </c>
      <c r="CF1023">
        <f>$C1023*CF1022</f>
        <v/>
      </c>
      <c r="CG1023">
        <f>$C1023*CG1022</f>
        <v/>
      </c>
      <c r="CH1023">
        <f>$C1023*CH1022</f>
        <v/>
      </c>
      <c r="CI1023">
        <f>$C1023*CI1022</f>
        <v/>
      </c>
      <c r="CJ1023">
        <f>$C1023*CJ1022</f>
        <v/>
      </c>
      <c r="CK1023">
        <f>$C1023*CK1022</f>
        <v/>
      </c>
      <c r="CL1023">
        <f>$C1023*CL1022</f>
        <v/>
      </c>
      <c r="CM1023">
        <f>$C1023*CM1022</f>
        <v/>
      </c>
      <c r="CN1023">
        <f>$C1023*CN1022</f>
        <v/>
      </c>
      <c r="CO1023">
        <f>$C1023*CO1022</f>
        <v/>
      </c>
      <c r="CP1023">
        <f>$C1023*CP1022</f>
        <v/>
      </c>
      <c r="CQ1023">
        <f>$C1023*CQ1022</f>
        <v/>
      </c>
      <c r="CR1023">
        <f>$C1023*CR1022</f>
        <v/>
      </c>
      <c r="CS1023">
        <f>$C1023*CS1022</f>
        <v/>
      </c>
      <c r="CT1023">
        <f>$C1023*CT1022</f>
        <v/>
      </c>
      <c r="CU1023">
        <f>$C1023*CU1022</f>
        <v/>
      </c>
      <c r="CV1023">
        <f>$C1023*CV1022</f>
        <v/>
      </c>
      <c r="CW1023">
        <f>$C1023*CW1022</f>
        <v/>
      </c>
      <c r="CX1023">
        <f>$C1023*CX1022</f>
        <v/>
      </c>
      <c r="CY1023">
        <f>$C1023*CY1022</f>
        <v/>
      </c>
      <c r="CZ1023">
        <f>$C1023*CZ1022</f>
        <v/>
      </c>
      <c r="DA1023">
        <f>$C1023*DA1022</f>
        <v/>
      </c>
      <c r="DB1023">
        <f>$C1023*DB1022</f>
        <v/>
      </c>
      <c r="DC1023">
        <f>$C1023*DC1022</f>
        <v/>
      </c>
    </row>
    <row r="1024">
      <c r="B1024" t="inlineStr">
        <is>
          <t>TSP-935</t>
        </is>
      </c>
      <c r="C1024" t="inlineStr">
        <is>
          <t>No. of batches</t>
        </is>
      </c>
      <c r="D1024">
        <f>IFERROR(INDEX(PP_Grid[#Data],$DD1024,2),0)</f>
        <v/>
      </c>
      <c r="E1024">
        <f>IFERROR(INDEX(PP_Grid[#Data],$DD1024,3),0)</f>
        <v/>
      </c>
      <c r="F1024">
        <f>IFERROR(INDEX(PP_Grid[#Data],$DD1024,4),0)</f>
        <v/>
      </c>
      <c r="G1024">
        <f>IFERROR(INDEX(PP_Grid[#Data],$DD1024,5),0)</f>
        <v/>
      </c>
      <c r="H1024">
        <f>IFERROR(INDEX(PP_Grid[#Data],$DD1024,6),0)</f>
        <v/>
      </c>
      <c r="I1024">
        <f>IFERROR(INDEX(PP_Grid[#Data],$DD1024,7),0)</f>
        <v/>
      </c>
      <c r="J1024">
        <f>IFERROR(INDEX(PP_Grid[#Data],$DD1024,8),0)</f>
        <v/>
      </c>
      <c r="K1024">
        <f>IFERROR(INDEX(PP_Grid[#Data],$DD1024,9),0)</f>
        <v/>
      </c>
      <c r="L1024">
        <f>IFERROR(INDEX(PP_Grid[#Data],$DD1024,10),0)</f>
        <v/>
      </c>
      <c r="M1024">
        <f>IFERROR(INDEX(PP_Grid[#Data],$DD1024,11),0)</f>
        <v/>
      </c>
      <c r="N1024">
        <f>IFERROR(INDEX(PP_Grid[#Data],$DD1024,12),0)</f>
        <v/>
      </c>
      <c r="O1024">
        <f>IFERROR(INDEX(PP_Grid[#Data],$DD1024,13),0)</f>
        <v/>
      </c>
      <c r="P1024">
        <f>IFERROR(INDEX(PP_Grid[#Data],$DD1024,14),0)</f>
        <v/>
      </c>
      <c r="Q1024">
        <f>IFERROR(INDEX(PP_Grid[#Data],$DD1024,15),0)</f>
        <v/>
      </c>
      <c r="R1024">
        <f>IFERROR(INDEX(PP_Grid[#Data],$DD1024,16),0)</f>
        <v/>
      </c>
      <c r="S1024">
        <f>IFERROR(INDEX(PP_Grid[#Data],$DD1024,17),0)</f>
        <v/>
      </c>
      <c r="T1024">
        <f>IFERROR(INDEX(PP_Grid[#Data],$DD1024,18),0)</f>
        <v/>
      </c>
      <c r="U1024">
        <f>IFERROR(INDEX(PP_Grid[#Data],$DD1024,19),0)</f>
        <v/>
      </c>
      <c r="V1024">
        <f>IFERROR(INDEX(PP_Grid[#Data],$DD1024,20),0)</f>
        <v/>
      </c>
      <c r="W1024">
        <f>IFERROR(INDEX(PP_Grid[#Data],$DD1024,21),0)</f>
        <v/>
      </c>
      <c r="X1024">
        <f>IFERROR(INDEX(PP_Grid[#Data],$DD1024,22),0)</f>
        <v/>
      </c>
      <c r="Y1024">
        <f>IFERROR(INDEX(PP_Grid[#Data],$DD1024,23),0)</f>
        <v/>
      </c>
      <c r="Z1024">
        <f>IFERROR(INDEX(PP_Grid[#Data],$DD1024,24),0)</f>
        <v/>
      </c>
      <c r="AA1024">
        <f>IFERROR(INDEX(PP_Grid[#Data],$DD1024,25),0)</f>
        <v/>
      </c>
      <c r="AB1024">
        <f>IFERROR(INDEX(PP_Grid[#Data],$DD1024,26),0)</f>
        <v/>
      </c>
      <c r="AC1024">
        <f>IFERROR(INDEX(PP_Grid[#Data],$DD1024,27),0)</f>
        <v/>
      </c>
      <c r="AD1024">
        <f>IFERROR(INDEX(PP_Grid[#Data],$DD1024,28),0)</f>
        <v/>
      </c>
      <c r="AE1024">
        <f>IFERROR(INDEX(PP_Grid[#Data],$DD1024,29),0)</f>
        <v/>
      </c>
      <c r="AF1024">
        <f>IFERROR(INDEX(PP_Grid[#Data],$DD1024,30),0)</f>
        <v/>
      </c>
      <c r="AG1024">
        <f>IFERROR(INDEX(PP_Grid[#Data],$DD1024,31),0)</f>
        <v/>
      </c>
      <c r="AH1024">
        <f>IFERROR(INDEX(PP_Grid[#Data],$DD1024,32),0)</f>
        <v/>
      </c>
      <c r="AI1024">
        <f>IFERROR(INDEX(PP_Grid[#Data],$DD1024,33),0)</f>
        <v/>
      </c>
      <c r="AJ1024">
        <f>IFERROR(INDEX(PP_Grid[#Data],$DD1024,34),0)</f>
        <v/>
      </c>
      <c r="AK1024">
        <f>IFERROR(INDEX(PP_Grid[#Data],$DD1024,35),0)</f>
        <v/>
      </c>
      <c r="AL1024">
        <f>IFERROR(INDEX(PP_Grid[#Data],$DD1024,36),0)</f>
        <v/>
      </c>
      <c r="AM1024">
        <f>IFERROR(INDEX(PP_Grid[#Data],$DD1024,37),0)</f>
        <v/>
      </c>
      <c r="AN1024">
        <f>IFERROR(INDEX(PP_Grid[#Data],$DD1024,38),0)</f>
        <v/>
      </c>
      <c r="AO1024">
        <f>IFERROR(INDEX(PP_Grid[#Data],$DD1024,39),0)</f>
        <v/>
      </c>
      <c r="AP1024">
        <f>IFERROR(INDEX(PP_Grid[#Data],$DD1024,40),0)</f>
        <v/>
      </c>
      <c r="AQ1024">
        <f>IFERROR(INDEX(PP_Grid[#Data],$DD1024,41),0)</f>
        <v/>
      </c>
      <c r="AR1024">
        <f>IFERROR(INDEX(PP_Grid[#Data],$DD1024,42),0)</f>
        <v/>
      </c>
      <c r="AS1024">
        <f>IFERROR(INDEX(PP_Grid[#Data],$DD1024,43),0)</f>
        <v/>
      </c>
      <c r="AT1024">
        <f>IFERROR(INDEX(PP_Grid[#Data],$DD1024,44),0)</f>
        <v/>
      </c>
      <c r="AU1024">
        <f>IFERROR(INDEX(PP_Grid[#Data],$DD1024,45),0)</f>
        <v/>
      </c>
      <c r="AV1024">
        <f>IFERROR(INDEX(PP_Grid[#Data],$DD1024,46),0)</f>
        <v/>
      </c>
      <c r="AW1024">
        <f>IFERROR(INDEX(PP_Grid[#Data],$DD1024,47),0)</f>
        <v/>
      </c>
      <c r="AX1024">
        <f>IFERROR(INDEX(PP_Grid[#Data],$DD1024,48),0)</f>
        <v/>
      </c>
      <c r="AY1024">
        <f>IFERROR(INDEX(PP_Grid[#Data],$DD1024,49),0)</f>
        <v/>
      </c>
      <c r="AZ1024">
        <f>IFERROR(INDEX(PP_Grid[#Data],$DD1024,50),0)</f>
        <v/>
      </c>
      <c r="BA1024">
        <f>IFERROR(INDEX(PP_Grid[#Data],$DD1024,51),0)</f>
        <v/>
      </c>
      <c r="BB1024">
        <f>IFERROR(INDEX(PP_Grid[#Data],$DD1024,52),0)</f>
        <v/>
      </c>
      <c r="BC1024">
        <f>IFERROR(INDEX(PP_Grid[#Data],$DD1024,53),0)</f>
        <v/>
      </c>
      <c r="BD1024">
        <f>IFERROR(INDEX(PP_Grid[#Data],$DD1024,54),0)</f>
        <v/>
      </c>
      <c r="BE1024">
        <f>IFERROR(INDEX(PP_Grid[#Data],$DD1024,55),0)</f>
        <v/>
      </c>
      <c r="BF1024">
        <f>IFERROR(INDEX(PP_Grid[#Data],$DD1024,56),0)</f>
        <v/>
      </c>
      <c r="BG1024">
        <f>IFERROR(INDEX(PP_Grid[#Data],$DD1024,57),0)</f>
        <v/>
      </c>
      <c r="BH1024">
        <f>IFERROR(INDEX(PP_Grid[#Data],$DD1024,58),0)</f>
        <v/>
      </c>
      <c r="BI1024">
        <f>IFERROR(INDEX(PP_Grid[#Data],$DD1024,59),0)</f>
        <v/>
      </c>
      <c r="BJ1024">
        <f>IFERROR(INDEX(PP_Grid[#Data],$DD1024,60),0)</f>
        <v/>
      </c>
      <c r="BK1024">
        <f>IFERROR(INDEX(PP_Grid[#Data],$DD1024,61),0)</f>
        <v/>
      </c>
      <c r="BL1024">
        <f>IFERROR(INDEX(PP_Grid[#Data],$DD1024,62),0)</f>
        <v/>
      </c>
      <c r="BM1024">
        <f>IFERROR(INDEX(PP_Grid[#Data],$DD1024,63),0)</f>
        <v/>
      </c>
      <c r="BN1024">
        <f>IFERROR(INDEX(PP_Grid[#Data],$DD1024,64),0)</f>
        <v/>
      </c>
      <c r="BO1024">
        <f>IFERROR(INDEX(PP_Grid[#Data],$DD1024,65),0)</f>
        <v/>
      </c>
      <c r="BP1024">
        <f>IFERROR(INDEX(PP_Grid[#Data],$DD1024,66),0)</f>
        <v/>
      </c>
      <c r="BQ1024">
        <f>IFERROR(INDEX(PP_Grid[#Data],$DD1024,67),0)</f>
        <v/>
      </c>
      <c r="BR1024">
        <f>IFERROR(INDEX(PP_Grid[#Data],$DD1024,68),0)</f>
        <v/>
      </c>
      <c r="BS1024">
        <f>IFERROR(INDEX(PP_Grid[#Data],$DD1024,69),0)</f>
        <v/>
      </c>
      <c r="BT1024">
        <f>IFERROR(INDEX(PP_Grid[#Data],$DD1024,70),0)</f>
        <v/>
      </c>
      <c r="BU1024">
        <f>IFERROR(INDEX(PP_Grid[#Data],$DD1024,71),0)</f>
        <v/>
      </c>
      <c r="BV1024">
        <f>IFERROR(INDEX(PP_Grid[#Data],$DD1024,72),0)</f>
        <v/>
      </c>
      <c r="BW1024">
        <f>IFERROR(INDEX(PP_Grid[#Data],$DD1024,73),0)</f>
        <v/>
      </c>
      <c r="BX1024">
        <f>IFERROR(INDEX(PP_Grid[#Data],$DD1024,74),0)</f>
        <v/>
      </c>
      <c r="BY1024">
        <f>IFERROR(INDEX(PP_Grid[#Data],$DD1024,75),0)</f>
        <v/>
      </c>
      <c r="BZ1024">
        <f>IFERROR(INDEX(PP_Grid[#Data],$DD1024,76),0)</f>
        <v/>
      </c>
      <c r="CA1024">
        <f>IFERROR(INDEX(PP_Grid[#Data],$DD1024,77),0)</f>
        <v/>
      </c>
      <c r="CB1024">
        <f>IFERROR(INDEX(PP_Grid[#Data],$DD1024,78),0)</f>
        <v/>
      </c>
      <c r="CC1024">
        <f>IFERROR(INDEX(PP_Grid[#Data],$DD1024,79),0)</f>
        <v/>
      </c>
      <c r="CD1024">
        <f>IFERROR(INDEX(PP_Grid[#Data],$DD1024,80),0)</f>
        <v/>
      </c>
      <c r="CE1024">
        <f>IFERROR(INDEX(PP_Grid[#Data],$DD1024,81),0)</f>
        <v/>
      </c>
      <c r="CF1024">
        <f>IFERROR(INDEX(PP_Grid[#Data],$DD1024,82),0)</f>
        <v/>
      </c>
      <c r="CG1024">
        <f>IFERROR(INDEX(PP_Grid[#Data],$DD1024,83),0)</f>
        <v/>
      </c>
      <c r="CH1024">
        <f>IFERROR(INDEX(PP_Grid[#Data],$DD1024,84),0)</f>
        <v/>
      </c>
      <c r="CI1024">
        <f>IFERROR(INDEX(PP_Grid[#Data],$DD1024,85),0)</f>
        <v/>
      </c>
      <c r="CJ1024">
        <f>IFERROR(INDEX(PP_Grid[#Data],$DD1024,86),0)</f>
        <v/>
      </c>
      <c r="CK1024">
        <f>IFERROR(INDEX(PP_Grid[#Data],$DD1024,87),0)</f>
        <v/>
      </c>
      <c r="CL1024">
        <f>IFERROR(INDEX(PP_Grid[#Data],$DD1024,88),0)</f>
        <v/>
      </c>
      <c r="CM1024">
        <f>IFERROR(INDEX(PP_Grid[#Data],$DD1024,89),0)</f>
        <v/>
      </c>
      <c r="CN1024">
        <f>IFERROR(INDEX(PP_Grid[#Data],$DD1024,90),0)</f>
        <v/>
      </c>
      <c r="CO1024">
        <f>IFERROR(INDEX(PP_Grid[#Data],$DD1024,91),0)</f>
        <v/>
      </c>
      <c r="CP1024">
        <f>IFERROR(INDEX(PP_Grid[#Data],$DD1024,92),0)</f>
        <v/>
      </c>
      <c r="CQ1024">
        <f>IFERROR(INDEX(PP_Grid[#Data],$DD1024,93),0)</f>
        <v/>
      </c>
      <c r="CR1024">
        <f>IFERROR(INDEX(PP_Grid[#Data],$DD1024,94),0)</f>
        <v/>
      </c>
      <c r="CS1024">
        <f>IFERROR(INDEX(PP_Grid[#Data],$DD1024,95),0)</f>
        <v/>
      </c>
      <c r="CT1024">
        <f>IFERROR(INDEX(PP_Grid[#Data],$DD1024,96),0)</f>
        <v/>
      </c>
      <c r="CU1024">
        <f>IFERROR(INDEX(PP_Grid[#Data],$DD1024,97),0)</f>
        <v/>
      </c>
      <c r="CV1024">
        <f>IFERROR(INDEX(PP_Grid[#Data],$DD1024,98),0)</f>
        <v/>
      </c>
      <c r="CW1024">
        <f>IFERROR(INDEX(PP_Grid[#Data],$DD1024,99),0)</f>
        <v/>
      </c>
      <c r="CX1024">
        <f>IFERROR(INDEX(PP_Grid[#Data],$DD1024,100),0)</f>
        <v/>
      </c>
      <c r="CY1024">
        <f>IFERROR(INDEX(PP_Grid[#Data],$DD1024,101),0)</f>
        <v/>
      </c>
      <c r="CZ1024">
        <f>IFERROR(INDEX(PP_Grid[#Data],$DD1024,102),0)</f>
        <v/>
      </c>
      <c r="DA1024">
        <f>IFERROR(INDEX(PP_Grid[#Data],$DD1024,103),0)</f>
        <v/>
      </c>
      <c r="DB1024">
        <f>IFERROR(INDEX(PP_Grid[#Data],$DD1024,104),0)</f>
        <v/>
      </c>
      <c r="DC1024">
        <f>IFERROR(INDEX(PP_Grid[#Data],$DD1024,105),0)</f>
        <v/>
      </c>
      <c r="DD1024" s="12">
        <f>IFERROR(MATCH($B1024,PP_Grid[Intermediate],0),99999)</f>
        <v/>
      </c>
    </row>
    <row r="1025">
      <c r="B1025" t="inlineStr">
        <is>
          <t>使用量(kg)</t>
        </is>
      </c>
      <c r="C1025">
        <f>SUMIFS(M_BOM[RM_Qty_Per_Batch],M_BOM[Intermediate],$B1024,M_BOM[Part Name],$A999)</f>
        <v/>
      </c>
      <c r="D1025">
        <f>$C1025*D1024</f>
        <v/>
      </c>
      <c r="E1025">
        <f>$C1025*E1024</f>
        <v/>
      </c>
      <c r="F1025">
        <f>$C1025*F1024</f>
        <v/>
      </c>
      <c r="G1025">
        <f>$C1025*G1024</f>
        <v/>
      </c>
      <c r="H1025">
        <f>$C1025*H1024</f>
        <v/>
      </c>
      <c r="I1025">
        <f>$C1025*I1024</f>
        <v/>
      </c>
      <c r="J1025">
        <f>$C1025*J1024</f>
        <v/>
      </c>
      <c r="K1025">
        <f>$C1025*K1024</f>
        <v/>
      </c>
      <c r="L1025">
        <f>$C1025*L1024</f>
        <v/>
      </c>
      <c r="M1025">
        <f>$C1025*M1024</f>
        <v/>
      </c>
      <c r="N1025">
        <f>$C1025*N1024</f>
        <v/>
      </c>
      <c r="O1025">
        <f>$C1025*O1024</f>
        <v/>
      </c>
      <c r="P1025">
        <f>$C1025*P1024</f>
        <v/>
      </c>
      <c r="Q1025">
        <f>$C1025*Q1024</f>
        <v/>
      </c>
      <c r="R1025">
        <f>$C1025*R1024</f>
        <v/>
      </c>
      <c r="S1025">
        <f>$C1025*S1024</f>
        <v/>
      </c>
      <c r="T1025">
        <f>$C1025*T1024</f>
        <v/>
      </c>
      <c r="U1025">
        <f>$C1025*U1024</f>
        <v/>
      </c>
      <c r="V1025">
        <f>$C1025*V1024</f>
        <v/>
      </c>
      <c r="W1025">
        <f>$C1025*W1024</f>
        <v/>
      </c>
      <c r="X1025">
        <f>$C1025*X1024</f>
        <v/>
      </c>
      <c r="Y1025">
        <f>$C1025*Y1024</f>
        <v/>
      </c>
      <c r="Z1025">
        <f>$C1025*Z1024</f>
        <v/>
      </c>
      <c r="AA1025">
        <f>$C1025*AA1024</f>
        <v/>
      </c>
      <c r="AB1025">
        <f>$C1025*AB1024</f>
        <v/>
      </c>
      <c r="AC1025">
        <f>$C1025*AC1024</f>
        <v/>
      </c>
      <c r="AD1025">
        <f>$C1025*AD1024</f>
        <v/>
      </c>
      <c r="AE1025">
        <f>$C1025*AE1024</f>
        <v/>
      </c>
      <c r="AF1025">
        <f>$C1025*AF1024</f>
        <v/>
      </c>
      <c r="AG1025">
        <f>$C1025*AG1024</f>
        <v/>
      </c>
      <c r="AH1025">
        <f>$C1025*AH1024</f>
        <v/>
      </c>
      <c r="AI1025">
        <f>$C1025*AI1024</f>
        <v/>
      </c>
      <c r="AJ1025">
        <f>$C1025*AJ1024</f>
        <v/>
      </c>
      <c r="AK1025">
        <f>$C1025*AK1024</f>
        <v/>
      </c>
      <c r="AL1025">
        <f>$C1025*AL1024</f>
        <v/>
      </c>
      <c r="AM1025">
        <f>$C1025*AM1024</f>
        <v/>
      </c>
      <c r="AN1025">
        <f>$C1025*AN1024</f>
        <v/>
      </c>
      <c r="AO1025">
        <f>$C1025*AO1024</f>
        <v/>
      </c>
      <c r="AP1025">
        <f>$C1025*AP1024</f>
        <v/>
      </c>
      <c r="AQ1025">
        <f>$C1025*AQ1024</f>
        <v/>
      </c>
      <c r="AR1025">
        <f>$C1025*AR1024</f>
        <v/>
      </c>
      <c r="AS1025">
        <f>$C1025*AS1024</f>
        <v/>
      </c>
      <c r="AT1025">
        <f>$C1025*AT1024</f>
        <v/>
      </c>
      <c r="AU1025">
        <f>$C1025*AU1024</f>
        <v/>
      </c>
      <c r="AV1025">
        <f>$C1025*AV1024</f>
        <v/>
      </c>
      <c r="AW1025">
        <f>$C1025*AW1024</f>
        <v/>
      </c>
      <c r="AX1025">
        <f>$C1025*AX1024</f>
        <v/>
      </c>
      <c r="AY1025">
        <f>$C1025*AY1024</f>
        <v/>
      </c>
      <c r="AZ1025">
        <f>$C1025*AZ1024</f>
        <v/>
      </c>
      <c r="BA1025">
        <f>$C1025*BA1024</f>
        <v/>
      </c>
      <c r="BB1025">
        <f>$C1025*BB1024</f>
        <v/>
      </c>
      <c r="BC1025">
        <f>$C1025*BC1024</f>
        <v/>
      </c>
      <c r="BD1025">
        <f>$C1025*BD1024</f>
        <v/>
      </c>
      <c r="BE1025">
        <f>$C1025*BE1024</f>
        <v/>
      </c>
      <c r="BF1025">
        <f>$C1025*BF1024</f>
        <v/>
      </c>
      <c r="BG1025">
        <f>$C1025*BG1024</f>
        <v/>
      </c>
      <c r="BH1025">
        <f>$C1025*BH1024</f>
        <v/>
      </c>
      <c r="BI1025">
        <f>$C1025*BI1024</f>
        <v/>
      </c>
      <c r="BJ1025">
        <f>$C1025*BJ1024</f>
        <v/>
      </c>
      <c r="BK1025">
        <f>$C1025*BK1024</f>
        <v/>
      </c>
      <c r="BL1025">
        <f>$C1025*BL1024</f>
        <v/>
      </c>
      <c r="BM1025">
        <f>$C1025*BM1024</f>
        <v/>
      </c>
      <c r="BN1025">
        <f>$C1025*BN1024</f>
        <v/>
      </c>
      <c r="BO1025">
        <f>$C1025*BO1024</f>
        <v/>
      </c>
      <c r="BP1025">
        <f>$C1025*BP1024</f>
        <v/>
      </c>
      <c r="BQ1025">
        <f>$C1025*BQ1024</f>
        <v/>
      </c>
      <c r="BR1025">
        <f>$C1025*BR1024</f>
        <v/>
      </c>
      <c r="BS1025">
        <f>$C1025*BS1024</f>
        <v/>
      </c>
      <c r="BT1025">
        <f>$C1025*BT1024</f>
        <v/>
      </c>
      <c r="BU1025">
        <f>$C1025*BU1024</f>
        <v/>
      </c>
      <c r="BV1025">
        <f>$C1025*BV1024</f>
        <v/>
      </c>
      <c r="BW1025">
        <f>$C1025*BW1024</f>
        <v/>
      </c>
      <c r="BX1025">
        <f>$C1025*BX1024</f>
        <v/>
      </c>
      <c r="BY1025">
        <f>$C1025*BY1024</f>
        <v/>
      </c>
      <c r="BZ1025">
        <f>$C1025*BZ1024</f>
        <v/>
      </c>
      <c r="CA1025">
        <f>$C1025*CA1024</f>
        <v/>
      </c>
      <c r="CB1025">
        <f>$C1025*CB1024</f>
        <v/>
      </c>
      <c r="CC1025">
        <f>$C1025*CC1024</f>
        <v/>
      </c>
      <c r="CD1025">
        <f>$C1025*CD1024</f>
        <v/>
      </c>
      <c r="CE1025">
        <f>$C1025*CE1024</f>
        <v/>
      </c>
      <c r="CF1025">
        <f>$C1025*CF1024</f>
        <v/>
      </c>
      <c r="CG1025">
        <f>$C1025*CG1024</f>
        <v/>
      </c>
      <c r="CH1025">
        <f>$C1025*CH1024</f>
        <v/>
      </c>
      <c r="CI1025">
        <f>$C1025*CI1024</f>
        <v/>
      </c>
      <c r="CJ1025">
        <f>$C1025*CJ1024</f>
        <v/>
      </c>
      <c r="CK1025">
        <f>$C1025*CK1024</f>
        <v/>
      </c>
      <c r="CL1025">
        <f>$C1025*CL1024</f>
        <v/>
      </c>
      <c r="CM1025">
        <f>$C1025*CM1024</f>
        <v/>
      </c>
      <c r="CN1025">
        <f>$C1025*CN1024</f>
        <v/>
      </c>
      <c r="CO1025">
        <f>$C1025*CO1024</f>
        <v/>
      </c>
      <c r="CP1025">
        <f>$C1025*CP1024</f>
        <v/>
      </c>
      <c r="CQ1025">
        <f>$C1025*CQ1024</f>
        <v/>
      </c>
      <c r="CR1025">
        <f>$C1025*CR1024</f>
        <v/>
      </c>
      <c r="CS1025">
        <f>$C1025*CS1024</f>
        <v/>
      </c>
      <c r="CT1025">
        <f>$C1025*CT1024</f>
        <v/>
      </c>
      <c r="CU1025">
        <f>$C1025*CU1024</f>
        <v/>
      </c>
      <c r="CV1025">
        <f>$C1025*CV1024</f>
        <v/>
      </c>
      <c r="CW1025">
        <f>$C1025*CW1024</f>
        <v/>
      </c>
      <c r="CX1025">
        <f>$C1025*CX1024</f>
        <v/>
      </c>
      <c r="CY1025">
        <f>$C1025*CY1024</f>
        <v/>
      </c>
      <c r="CZ1025">
        <f>$C1025*CZ1024</f>
        <v/>
      </c>
      <c r="DA1025">
        <f>$C1025*DA1024</f>
        <v/>
      </c>
      <c r="DB1025">
        <f>$C1025*DB1024</f>
        <v/>
      </c>
      <c r="DC1025">
        <f>$C1025*DC1024</f>
        <v/>
      </c>
    </row>
    <row r="1026">
      <c r="B1026" t="inlineStr">
        <is>
          <t>TSP-936</t>
        </is>
      </c>
      <c r="C1026" t="inlineStr">
        <is>
          <t>No. of batches</t>
        </is>
      </c>
      <c r="D1026">
        <f>IFERROR(INDEX(PP_Grid[#Data],$DD1026,2),0)</f>
        <v/>
      </c>
      <c r="E1026">
        <f>IFERROR(INDEX(PP_Grid[#Data],$DD1026,3),0)</f>
        <v/>
      </c>
      <c r="F1026">
        <f>IFERROR(INDEX(PP_Grid[#Data],$DD1026,4),0)</f>
        <v/>
      </c>
      <c r="G1026">
        <f>IFERROR(INDEX(PP_Grid[#Data],$DD1026,5),0)</f>
        <v/>
      </c>
      <c r="H1026">
        <f>IFERROR(INDEX(PP_Grid[#Data],$DD1026,6),0)</f>
        <v/>
      </c>
      <c r="I1026">
        <f>IFERROR(INDEX(PP_Grid[#Data],$DD1026,7),0)</f>
        <v/>
      </c>
      <c r="J1026">
        <f>IFERROR(INDEX(PP_Grid[#Data],$DD1026,8),0)</f>
        <v/>
      </c>
      <c r="K1026">
        <f>IFERROR(INDEX(PP_Grid[#Data],$DD1026,9),0)</f>
        <v/>
      </c>
      <c r="L1026">
        <f>IFERROR(INDEX(PP_Grid[#Data],$DD1026,10),0)</f>
        <v/>
      </c>
      <c r="M1026">
        <f>IFERROR(INDEX(PP_Grid[#Data],$DD1026,11),0)</f>
        <v/>
      </c>
      <c r="N1026">
        <f>IFERROR(INDEX(PP_Grid[#Data],$DD1026,12),0)</f>
        <v/>
      </c>
      <c r="O1026">
        <f>IFERROR(INDEX(PP_Grid[#Data],$DD1026,13),0)</f>
        <v/>
      </c>
      <c r="P1026">
        <f>IFERROR(INDEX(PP_Grid[#Data],$DD1026,14),0)</f>
        <v/>
      </c>
      <c r="Q1026">
        <f>IFERROR(INDEX(PP_Grid[#Data],$DD1026,15),0)</f>
        <v/>
      </c>
      <c r="R1026">
        <f>IFERROR(INDEX(PP_Grid[#Data],$DD1026,16),0)</f>
        <v/>
      </c>
      <c r="S1026">
        <f>IFERROR(INDEX(PP_Grid[#Data],$DD1026,17),0)</f>
        <v/>
      </c>
      <c r="T1026">
        <f>IFERROR(INDEX(PP_Grid[#Data],$DD1026,18),0)</f>
        <v/>
      </c>
      <c r="U1026">
        <f>IFERROR(INDEX(PP_Grid[#Data],$DD1026,19),0)</f>
        <v/>
      </c>
      <c r="V1026">
        <f>IFERROR(INDEX(PP_Grid[#Data],$DD1026,20),0)</f>
        <v/>
      </c>
      <c r="W1026">
        <f>IFERROR(INDEX(PP_Grid[#Data],$DD1026,21),0)</f>
        <v/>
      </c>
      <c r="X1026">
        <f>IFERROR(INDEX(PP_Grid[#Data],$DD1026,22),0)</f>
        <v/>
      </c>
      <c r="Y1026">
        <f>IFERROR(INDEX(PP_Grid[#Data],$DD1026,23),0)</f>
        <v/>
      </c>
      <c r="Z1026">
        <f>IFERROR(INDEX(PP_Grid[#Data],$DD1026,24),0)</f>
        <v/>
      </c>
      <c r="AA1026">
        <f>IFERROR(INDEX(PP_Grid[#Data],$DD1026,25),0)</f>
        <v/>
      </c>
      <c r="AB1026">
        <f>IFERROR(INDEX(PP_Grid[#Data],$DD1026,26),0)</f>
        <v/>
      </c>
      <c r="AC1026">
        <f>IFERROR(INDEX(PP_Grid[#Data],$DD1026,27),0)</f>
        <v/>
      </c>
      <c r="AD1026">
        <f>IFERROR(INDEX(PP_Grid[#Data],$DD1026,28),0)</f>
        <v/>
      </c>
      <c r="AE1026">
        <f>IFERROR(INDEX(PP_Grid[#Data],$DD1026,29),0)</f>
        <v/>
      </c>
      <c r="AF1026">
        <f>IFERROR(INDEX(PP_Grid[#Data],$DD1026,30),0)</f>
        <v/>
      </c>
      <c r="AG1026">
        <f>IFERROR(INDEX(PP_Grid[#Data],$DD1026,31),0)</f>
        <v/>
      </c>
      <c r="AH1026">
        <f>IFERROR(INDEX(PP_Grid[#Data],$DD1026,32),0)</f>
        <v/>
      </c>
      <c r="AI1026">
        <f>IFERROR(INDEX(PP_Grid[#Data],$DD1026,33),0)</f>
        <v/>
      </c>
      <c r="AJ1026">
        <f>IFERROR(INDEX(PP_Grid[#Data],$DD1026,34),0)</f>
        <v/>
      </c>
      <c r="AK1026">
        <f>IFERROR(INDEX(PP_Grid[#Data],$DD1026,35),0)</f>
        <v/>
      </c>
      <c r="AL1026">
        <f>IFERROR(INDEX(PP_Grid[#Data],$DD1026,36),0)</f>
        <v/>
      </c>
      <c r="AM1026">
        <f>IFERROR(INDEX(PP_Grid[#Data],$DD1026,37),0)</f>
        <v/>
      </c>
      <c r="AN1026">
        <f>IFERROR(INDEX(PP_Grid[#Data],$DD1026,38),0)</f>
        <v/>
      </c>
      <c r="AO1026">
        <f>IFERROR(INDEX(PP_Grid[#Data],$DD1026,39),0)</f>
        <v/>
      </c>
      <c r="AP1026">
        <f>IFERROR(INDEX(PP_Grid[#Data],$DD1026,40),0)</f>
        <v/>
      </c>
      <c r="AQ1026">
        <f>IFERROR(INDEX(PP_Grid[#Data],$DD1026,41),0)</f>
        <v/>
      </c>
      <c r="AR1026">
        <f>IFERROR(INDEX(PP_Grid[#Data],$DD1026,42),0)</f>
        <v/>
      </c>
      <c r="AS1026">
        <f>IFERROR(INDEX(PP_Grid[#Data],$DD1026,43),0)</f>
        <v/>
      </c>
      <c r="AT1026">
        <f>IFERROR(INDEX(PP_Grid[#Data],$DD1026,44),0)</f>
        <v/>
      </c>
      <c r="AU1026">
        <f>IFERROR(INDEX(PP_Grid[#Data],$DD1026,45),0)</f>
        <v/>
      </c>
      <c r="AV1026">
        <f>IFERROR(INDEX(PP_Grid[#Data],$DD1026,46),0)</f>
        <v/>
      </c>
      <c r="AW1026">
        <f>IFERROR(INDEX(PP_Grid[#Data],$DD1026,47),0)</f>
        <v/>
      </c>
      <c r="AX1026">
        <f>IFERROR(INDEX(PP_Grid[#Data],$DD1026,48),0)</f>
        <v/>
      </c>
      <c r="AY1026">
        <f>IFERROR(INDEX(PP_Grid[#Data],$DD1026,49),0)</f>
        <v/>
      </c>
      <c r="AZ1026">
        <f>IFERROR(INDEX(PP_Grid[#Data],$DD1026,50),0)</f>
        <v/>
      </c>
      <c r="BA1026">
        <f>IFERROR(INDEX(PP_Grid[#Data],$DD1026,51),0)</f>
        <v/>
      </c>
      <c r="BB1026">
        <f>IFERROR(INDEX(PP_Grid[#Data],$DD1026,52),0)</f>
        <v/>
      </c>
      <c r="BC1026">
        <f>IFERROR(INDEX(PP_Grid[#Data],$DD1026,53),0)</f>
        <v/>
      </c>
      <c r="BD1026">
        <f>IFERROR(INDEX(PP_Grid[#Data],$DD1026,54),0)</f>
        <v/>
      </c>
      <c r="BE1026">
        <f>IFERROR(INDEX(PP_Grid[#Data],$DD1026,55),0)</f>
        <v/>
      </c>
      <c r="BF1026">
        <f>IFERROR(INDEX(PP_Grid[#Data],$DD1026,56),0)</f>
        <v/>
      </c>
      <c r="BG1026">
        <f>IFERROR(INDEX(PP_Grid[#Data],$DD1026,57),0)</f>
        <v/>
      </c>
      <c r="BH1026">
        <f>IFERROR(INDEX(PP_Grid[#Data],$DD1026,58),0)</f>
        <v/>
      </c>
      <c r="BI1026">
        <f>IFERROR(INDEX(PP_Grid[#Data],$DD1026,59),0)</f>
        <v/>
      </c>
      <c r="BJ1026">
        <f>IFERROR(INDEX(PP_Grid[#Data],$DD1026,60),0)</f>
        <v/>
      </c>
      <c r="BK1026">
        <f>IFERROR(INDEX(PP_Grid[#Data],$DD1026,61),0)</f>
        <v/>
      </c>
      <c r="BL1026">
        <f>IFERROR(INDEX(PP_Grid[#Data],$DD1026,62),0)</f>
        <v/>
      </c>
      <c r="BM1026">
        <f>IFERROR(INDEX(PP_Grid[#Data],$DD1026,63),0)</f>
        <v/>
      </c>
      <c r="BN1026">
        <f>IFERROR(INDEX(PP_Grid[#Data],$DD1026,64),0)</f>
        <v/>
      </c>
      <c r="BO1026">
        <f>IFERROR(INDEX(PP_Grid[#Data],$DD1026,65),0)</f>
        <v/>
      </c>
      <c r="BP1026">
        <f>IFERROR(INDEX(PP_Grid[#Data],$DD1026,66),0)</f>
        <v/>
      </c>
      <c r="BQ1026">
        <f>IFERROR(INDEX(PP_Grid[#Data],$DD1026,67),0)</f>
        <v/>
      </c>
      <c r="BR1026">
        <f>IFERROR(INDEX(PP_Grid[#Data],$DD1026,68),0)</f>
        <v/>
      </c>
      <c r="BS1026">
        <f>IFERROR(INDEX(PP_Grid[#Data],$DD1026,69),0)</f>
        <v/>
      </c>
      <c r="BT1026">
        <f>IFERROR(INDEX(PP_Grid[#Data],$DD1026,70),0)</f>
        <v/>
      </c>
      <c r="BU1026">
        <f>IFERROR(INDEX(PP_Grid[#Data],$DD1026,71),0)</f>
        <v/>
      </c>
      <c r="BV1026">
        <f>IFERROR(INDEX(PP_Grid[#Data],$DD1026,72),0)</f>
        <v/>
      </c>
      <c r="BW1026">
        <f>IFERROR(INDEX(PP_Grid[#Data],$DD1026,73),0)</f>
        <v/>
      </c>
      <c r="BX1026">
        <f>IFERROR(INDEX(PP_Grid[#Data],$DD1026,74),0)</f>
        <v/>
      </c>
      <c r="BY1026">
        <f>IFERROR(INDEX(PP_Grid[#Data],$DD1026,75),0)</f>
        <v/>
      </c>
      <c r="BZ1026">
        <f>IFERROR(INDEX(PP_Grid[#Data],$DD1026,76),0)</f>
        <v/>
      </c>
      <c r="CA1026">
        <f>IFERROR(INDEX(PP_Grid[#Data],$DD1026,77),0)</f>
        <v/>
      </c>
      <c r="CB1026">
        <f>IFERROR(INDEX(PP_Grid[#Data],$DD1026,78),0)</f>
        <v/>
      </c>
      <c r="CC1026">
        <f>IFERROR(INDEX(PP_Grid[#Data],$DD1026,79),0)</f>
        <v/>
      </c>
      <c r="CD1026">
        <f>IFERROR(INDEX(PP_Grid[#Data],$DD1026,80),0)</f>
        <v/>
      </c>
      <c r="CE1026">
        <f>IFERROR(INDEX(PP_Grid[#Data],$DD1026,81),0)</f>
        <v/>
      </c>
      <c r="CF1026">
        <f>IFERROR(INDEX(PP_Grid[#Data],$DD1026,82),0)</f>
        <v/>
      </c>
      <c r="CG1026">
        <f>IFERROR(INDEX(PP_Grid[#Data],$DD1026,83),0)</f>
        <v/>
      </c>
      <c r="CH1026">
        <f>IFERROR(INDEX(PP_Grid[#Data],$DD1026,84),0)</f>
        <v/>
      </c>
      <c r="CI1026">
        <f>IFERROR(INDEX(PP_Grid[#Data],$DD1026,85),0)</f>
        <v/>
      </c>
      <c r="CJ1026">
        <f>IFERROR(INDEX(PP_Grid[#Data],$DD1026,86),0)</f>
        <v/>
      </c>
      <c r="CK1026">
        <f>IFERROR(INDEX(PP_Grid[#Data],$DD1026,87),0)</f>
        <v/>
      </c>
      <c r="CL1026">
        <f>IFERROR(INDEX(PP_Grid[#Data],$DD1026,88),0)</f>
        <v/>
      </c>
      <c r="CM1026">
        <f>IFERROR(INDEX(PP_Grid[#Data],$DD1026,89),0)</f>
        <v/>
      </c>
      <c r="CN1026">
        <f>IFERROR(INDEX(PP_Grid[#Data],$DD1026,90),0)</f>
        <v/>
      </c>
      <c r="CO1026">
        <f>IFERROR(INDEX(PP_Grid[#Data],$DD1026,91),0)</f>
        <v/>
      </c>
      <c r="CP1026">
        <f>IFERROR(INDEX(PP_Grid[#Data],$DD1026,92),0)</f>
        <v/>
      </c>
      <c r="CQ1026">
        <f>IFERROR(INDEX(PP_Grid[#Data],$DD1026,93),0)</f>
        <v/>
      </c>
      <c r="CR1026">
        <f>IFERROR(INDEX(PP_Grid[#Data],$DD1026,94),0)</f>
        <v/>
      </c>
      <c r="CS1026">
        <f>IFERROR(INDEX(PP_Grid[#Data],$DD1026,95),0)</f>
        <v/>
      </c>
      <c r="CT1026">
        <f>IFERROR(INDEX(PP_Grid[#Data],$DD1026,96),0)</f>
        <v/>
      </c>
      <c r="CU1026">
        <f>IFERROR(INDEX(PP_Grid[#Data],$DD1026,97),0)</f>
        <v/>
      </c>
      <c r="CV1026">
        <f>IFERROR(INDEX(PP_Grid[#Data],$DD1026,98),0)</f>
        <v/>
      </c>
      <c r="CW1026">
        <f>IFERROR(INDEX(PP_Grid[#Data],$DD1026,99),0)</f>
        <v/>
      </c>
      <c r="CX1026">
        <f>IFERROR(INDEX(PP_Grid[#Data],$DD1026,100),0)</f>
        <v/>
      </c>
      <c r="CY1026">
        <f>IFERROR(INDEX(PP_Grid[#Data],$DD1026,101),0)</f>
        <v/>
      </c>
      <c r="CZ1026">
        <f>IFERROR(INDEX(PP_Grid[#Data],$DD1026,102),0)</f>
        <v/>
      </c>
      <c r="DA1026">
        <f>IFERROR(INDEX(PP_Grid[#Data],$DD1026,103),0)</f>
        <v/>
      </c>
      <c r="DB1026">
        <f>IFERROR(INDEX(PP_Grid[#Data],$DD1026,104),0)</f>
        <v/>
      </c>
      <c r="DC1026">
        <f>IFERROR(INDEX(PP_Grid[#Data],$DD1026,105),0)</f>
        <v/>
      </c>
      <c r="DD1026" s="12">
        <f>IFERROR(MATCH($B1026,PP_Grid[Intermediate],0),99999)</f>
        <v/>
      </c>
    </row>
    <row r="1027">
      <c r="B1027" t="inlineStr">
        <is>
          <t>使用量(kg)</t>
        </is>
      </c>
      <c r="C1027">
        <f>SUMIFS(M_BOM[RM_Qty_Per_Batch],M_BOM[Intermediate],$B1026,M_BOM[Part Name],$A999)</f>
        <v/>
      </c>
      <c r="D1027">
        <f>$C1027*D1026</f>
        <v/>
      </c>
      <c r="E1027">
        <f>$C1027*E1026</f>
        <v/>
      </c>
      <c r="F1027">
        <f>$C1027*F1026</f>
        <v/>
      </c>
      <c r="G1027">
        <f>$C1027*G1026</f>
        <v/>
      </c>
      <c r="H1027">
        <f>$C1027*H1026</f>
        <v/>
      </c>
      <c r="I1027">
        <f>$C1027*I1026</f>
        <v/>
      </c>
      <c r="J1027">
        <f>$C1027*J1026</f>
        <v/>
      </c>
      <c r="K1027">
        <f>$C1027*K1026</f>
        <v/>
      </c>
      <c r="L1027">
        <f>$C1027*L1026</f>
        <v/>
      </c>
      <c r="M1027">
        <f>$C1027*M1026</f>
        <v/>
      </c>
      <c r="N1027">
        <f>$C1027*N1026</f>
        <v/>
      </c>
      <c r="O1027">
        <f>$C1027*O1026</f>
        <v/>
      </c>
      <c r="P1027">
        <f>$C1027*P1026</f>
        <v/>
      </c>
      <c r="Q1027">
        <f>$C1027*Q1026</f>
        <v/>
      </c>
      <c r="R1027">
        <f>$C1027*R1026</f>
        <v/>
      </c>
      <c r="S1027">
        <f>$C1027*S1026</f>
        <v/>
      </c>
      <c r="T1027">
        <f>$C1027*T1026</f>
        <v/>
      </c>
      <c r="U1027">
        <f>$C1027*U1026</f>
        <v/>
      </c>
      <c r="V1027">
        <f>$C1027*V1026</f>
        <v/>
      </c>
      <c r="W1027">
        <f>$C1027*W1026</f>
        <v/>
      </c>
      <c r="X1027">
        <f>$C1027*X1026</f>
        <v/>
      </c>
      <c r="Y1027">
        <f>$C1027*Y1026</f>
        <v/>
      </c>
      <c r="Z1027">
        <f>$C1027*Z1026</f>
        <v/>
      </c>
      <c r="AA1027">
        <f>$C1027*AA1026</f>
        <v/>
      </c>
      <c r="AB1027">
        <f>$C1027*AB1026</f>
        <v/>
      </c>
      <c r="AC1027">
        <f>$C1027*AC1026</f>
        <v/>
      </c>
      <c r="AD1027">
        <f>$C1027*AD1026</f>
        <v/>
      </c>
      <c r="AE1027">
        <f>$C1027*AE1026</f>
        <v/>
      </c>
      <c r="AF1027">
        <f>$C1027*AF1026</f>
        <v/>
      </c>
      <c r="AG1027">
        <f>$C1027*AG1026</f>
        <v/>
      </c>
      <c r="AH1027">
        <f>$C1027*AH1026</f>
        <v/>
      </c>
      <c r="AI1027">
        <f>$C1027*AI1026</f>
        <v/>
      </c>
      <c r="AJ1027">
        <f>$C1027*AJ1026</f>
        <v/>
      </c>
      <c r="AK1027">
        <f>$C1027*AK1026</f>
        <v/>
      </c>
      <c r="AL1027">
        <f>$C1027*AL1026</f>
        <v/>
      </c>
      <c r="AM1027">
        <f>$C1027*AM1026</f>
        <v/>
      </c>
      <c r="AN1027">
        <f>$C1027*AN1026</f>
        <v/>
      </c>
      <c r="AO1027">
        <f>$C1027*AO1026</f>
        <v/>
      </c>
      <c r="AP1027">
        <f>$C1027*AP1026</f>
        <v/>
      </c>
      <c r="AQ1027">
        <f>$C1027*AQ1026</f>
        <v/>
      </c>
      <c r="AR1027">
        <f>$C1027*AR1026</f>
        <v/>
      </c>
      <c r="AS1027">
        <f>$C1027*AS1026</f>
        <v/>
      </c>
      <c r="AT1027">
        <f>$C1027*AT1026</f>
        <v/>
      </c>
      <c r="AU1027">
        <f>$C1027*AU1026</f>
        <v/>
      </c>
      <c r="AV1027">
        <f>$C1027*AV1026</f>
        <v/>
      </c>
      <c r="AW1027">
        <f>$C1027*AW1026</f>
        <v/>
      </c>
      <c r="AX1027">
        <f>$C1027*AX1026</f>
        <v/>
      </c>
      <c r="AY1027">
        <f>$C1027*AY1026</f>
        <v/>
      </c>
      <c r="AZ1027">
        <f>$C1027*AZ1026</f>
        <v/>
      </c>
      <c r="BA1027">
        <f>$C1027*BA1026</f>
        <v/>
      </c>
      <c r="BB1027">
        <f>$C1027*BB1026</f>
        <v/>
      </c>
      <c r="BC1027">
        <f>$C1027*BC1026</f>
        <v/>
      </c>
      <c r="BD1027">
        <f>$C1027*BD1026</f>
        <v/>
      </c>
      <c r="BE1027">
        <f>$C1027*BE1026</f>
        <v/>
      </c>
      <c r="BF1027">
        <f>$C1027*BF1026</f>
        <v/>
      </c>
      <c r="BG1027">
        <f>$C1027*BG1026</f>
        <v/>
      </c>
      <c r="BH1027">
        <f>$C1027*BH1026</f>
        <v/>
      </c>
      <c r="BI1027">
        <f>$C1027*BI1026</f>
        <v/>
      </c>
      <c r="BJ1027">
        <f>$C1027*BJ1026</f>
        <v/>
      </c>
      <c r="BK1027">
        <f>$C1027*BK1026</f>
        <v/>
      </c>
      <c r="BL1027">
        <f>$C1027*BL1026</f>
        <v/>
      </c>
      <c r="BM1027">
        <f>$C1027*BM1026</f>
        <v/>
      </c>
      <c r="BN1027">
        <f>$C1027*BN1026</f>
        <v/>
      </c>
      <c r="BO1027">
        <f>$C1027*BO1026</f>
        <v/>
      </c>
      <c r="BP1027">
        <f>$C1027*BP1026</f>
        <v/>
      </c>
      <c r="BQ1027">
        <f>$C1027*BQ1026</f>
        <v/>
      </c>
      <c r="BR1027">
        <f>$C1027*BR1026</f>
        <v/>
      </c>
      <c r="BS1027">
        <f>$C1027*BS1026</f>
        <v/>
      </c>
      <c r="BT1027">
        <f>$C1027*BT1026</f>
        <v/>
      </c>
      <c r="BU1027">
        <f>$C1027*BU1026</f>
        <v/>
      </c>
      <c r="BV1027">
        <f>$C1027*BV1026</f>
        <v/>
      </c>
      <c r="BW1027">
        <f>$C1027*BW1026</f>
        <v/>
      </c>
      <c r="BX1027">
        <f>$C1027*BX1026</f>
        <v/>
      </c>
      <c r="BY1027">
        <f>$C1027*BY1026</f>
        <v/>
      </c>
      <c r="BZ1027">
        <f>$C1027*BZ1026</f>
        <v/>
      </c>
      <c r="CA1027">
        <f>$C1027*CA1026</f>
        <v/>
      </c>
      <c r="CB1027">
        <f>$C1027*CB1026</f>
        <v/>
      </c>
      <c r="CC1027">
        <f>$C1027*CC1026</f>
        <v/>
      </c>
      <c r="CD1027">
        <f>$C1027*CD1026</f>
        <v/>
      </c>
      <c r="CE1027">
        <f>$C1027*CE1026</f>
        <v/>
      </c>
      <c r="CF1027">
        <f>$C1027*CF1026</f>
        <v/>
      </c>
      <c r="CG1027">
        <f>$C1027*CG1026</f>
        <v/>
      </c>
      <c r="CH1027">
        <f>$C1027*CH1026</f>
        <v/>
      </c>
      <c r="CI1027">
        <f>$C1027*CI1026</f>
        <v/>
      </c>
      <c r="CJ1027">
        <f>$C1027*CJ1026</f>
        <v/>
      </c>
      <c r="CK1027">
        <f>$C1027*CK1026</f>
        <v/>
      </c>
      <c r="CL1027">
        <f>$C1027*CL1026</f>
        <v/>
      </c>
      <c r="CM1027">
        <f>$C1027*CM1026</f>
        <v/>
      </c>
      <c r="CN1027">
        <f>$C1027*CN1026</f>
        <v/>
      </c>
      <c r="CO1027">
        <f>$C1027*CO1026</f>
        <v/>
      </c>
      <c r="CP1027">
        <f>$C1027*CP1026</f>
        <v/>
      </c>
      <c r="CQ1027">
        <f>$C1027*CQ1026</f>
        <v/>
      </c>
      <c r="CR1027">
        <f>$C1027*CR1026</f>
        <v/>
      </c>
      <c r="CS1027">
        <f>$C1027*CS1026</f>
        <v/>
      </c>
      <c r="CT1027">
        <f>$C1027*CT1026</f>
        <v/>
      </c>
      <c r="CU1027">
        <f>$C1027*CU1026</f>
        <v/>
      </c>
      <c r="CV1027">
        <f>$C1027*CV1026</f>
        <v/>
      </c>
      <c r="CW1027">
        <f>$C1027*CW1026</f>
        <v/>
      </c>
      <c r="CX1027">
        <f>$C1027*CX1026</f>
        <v/>
      </c>
      <c r="CY1027">
        <f>$C1027*CY1026</f>
        <v/>
      </c>
      <c r="CZ1027">
        <f>$C1027*CZ1026</f>
        <v/>
      </c>
      <c r="DA1027">
        <f>$C1027*DA1026</f>
        <v/>
      </c>
      <c r="DB1027">
        <f>$C1027*DB1026</f>
        <v/>
      </c>
      <c r="DC1027">
        <f>$C1027*DC1026</f>
        <v/>
      </c>
    </row>
    <row r="1028">
      <c r="B1028" t="inlineStr">
        <is>
          <t>TSP-937</t>
        </is>
      </c>
      <c r="C1028" t="inlineStr">
        <is>
          <t>No. of batches</t>
        </is>
      </c>
      <c r="D1028">
        <f>IFERROR(INDEX(PP_Grid[#Data],$DD1028,2),0)</f>
        <v/>
      </c>
      <c r="E1028">
        <f>IFERROR(INDEX(PP_Grid[#Data],$DD1028,3),0)</f>
        <v/>
      </c>
      <c r="F1028">
        <f>IFERROR(INDEX(PP_Grid[#Data],$DD1028,4),0)</f>
        <v/>
      </c>
      <c r="G1028">
        <f>IFERROR(INDEX(PP_Grid[#Data],$DD1028,5),0)</f>
        <v/>
      </c>
      <c r="H1028">
        <f>IFERROR(INDEX(PP_Grid[#Data],$DD1028,6),0)</f>
        <v/>
      </c>
      <c r="I1028">
        <f>IFERROR(INDEX(PP_Grid[#Data],$DD1028,7),0)</f>
        <v/>
      </c>
      <c r="J1028">
        <f>IFERROR(INDEX(PP_Grid[#Data],$DD1028,8),0)</f>
        <v/>
      </c>
      <c r="K1028">
        <f>IFERROR(INDEX(PP_Grid[#Data],$DD1028,9),0)</f>
        <v/>
      </c>
      <c r="L1028">
        <f>IFERROR(INDEX(PP_Grid[#Data],$DD1028,10),0)</f>
        <v/>
      </c>
      <c r="M1028">
        <f>IFERROR(INDEX(PP_Grid[#Data],$DD1028,11),0)</f>
        <v/>
      </c>
      <c r="N1028">
        <f>IFERROR(INDEX(PP_Grid[#Data],$DD1028,12),0)</f>
        <v/>
      </c>
      <c r="O1028">
        <f>IFERROR(INDEX(PP_Grid[#Data],$DD1028,13),0)</f>
        <v/>
      </c>
      <c r="P1028">
        <f>IFERROR(INDEX(PP_Grid[#Data],$DD1028,14),0)</f>
        <v/>
      </c>
      <c r="Q1028">
        <f>IFERROR(INDEX(PP_Grid[#Data],$DD1028,15),0)</f>
        <v/>
      </c>
      <c r="R1028">
        <f>IFERROR(INDEX(PP_Grid[#Data],$DD1028,16),0)</f>
        <v/>
      </c>
      <c r="S1028">
        <f>IFERROR(INDEX(PP_Grid[#Data],$DD1028,17),0)</f>
        <v/>
      </c>
      <c r="T1028">
        <f>IFERROR(INDEX(PP_Grid[#Data],$DD1028,18),0)</f>
        <v/>
      </c>
      <c r="U1028">
        <f>IFERROR(INDEX(PP_Grid[#Data],$DD1028,19),0)</f>
        <v/>
      </c>
      <c r="V1028">
        <f>IFERROR(INDEX(PP_Grid[#Data],$DD1028,20),0)</f>
        <v/>
      </c>
      <c r="W1028">
        <f>IFERROR(INDEX(PP_Grid[#Data],$DD1028,21),0)</f>
        <v/>
      </c>
      <c r="X1028">
        <f>IFERROR(INDEX(PP_Grid[#Data],$DD1028,22),0)</f>
        <v/>
      </c>
      <c r="Y1028">
        <f>IFERROR(INDEX(PP_Grid[#Data],$DD1028,23),0)</f>
        <v/>
      </c>
      <c r="Z1028">
        <f>IFERROR(INDEX(PP_Grid[#Data],$DD1028,24),0)</f>
        <v/>
      </c>
      <c r="AA1028">
        <f>IFERROR(INDEX(PP_Grid[#Data],$DD1028,25),0)</f>
        <v/>
      </c>
      <c r="AB1028">
        <f>IFERROR(INDEX(PP_Grid[#Data],$DD1028,26),0)</f>
        <v/>
      </c>
      <c r="AC1028">
        <f>IFERROR(INDEX(PP_Grid[#Data],$DD1028,27),0)</f>
        <v/>
      </c>
      <c r="AD1028">
        <f>IFERROR(INDEX(PP_Grid[#Data],$DD1028,28),0)</f>
        <v/>
      </c>
      <c r="AE1028">
        <f>IFERROR(INDEX(PP_Grid[#Data],$DD1028,29),0)</f>
        <v/>
      </c>
      <c r="AF1028">
        <f>IFERROR(INDEX(PP_Grid[#Data],$DD1028,30),0)</f>
        <v/>
      </c>
      <c r="AG1028">
        <f>IFERROR(INDEX(PP_Grid[#Data],$DD1028,31),0)</f>
        <v/>
      </c>
      <c r="AH1028">
        <f>IFERROR(INDEX(PP_Grid[#Data],$DD1028,32),0)</f>
        <v/>
      </c>
      <c r="AI1028">
        <f>IFERROR(INDEX(PP_Grid[#Data],$DD1028,33),0)</f>
        <v/>
      </c>
      <c r="AJ1028">
        <f>IFERROR(INDEX(PP_Grid[#Data],$DD1028,34),0)</f>
        <v/>
      </c>
      <c r="AK1028">
        <f>IFERROR(INDEX(PP_Grid[#Data],$DD1028,35),0)</f>
        <v/>
      </c>
      <c r="AL1028">
        <f>IFERROR(INDEX(PP_Grid[#Data],$DD1028,36),0)</f>
        <v/>
      </c>
      <c r="AM1028">
        <f>IFERROR(INDEX(PP_Grid[#Data],$DD1028,37),0)</f>
        <v/>
      </c>
      <c r="AN1028">
        <f>IFERROR(INDEX(PP_Grid[#Data],$DD1028,38),0)</f>
        <v/>
      </c>
      <c r="AO1028">
        <f>IFERROR(INDEX(PP_Grid[#Data],$DD1028,39),0)</f>
        <v/>
      </c>
      <c r="AP1028">
        <f>IFERROR(INDEX(PP_Grid[#Data],$DD1028,40),0)</f>
        <v/>
      </c>
      <c r="AQ1028">
        <f>IFERROR(INDEX(PP_Grid[#Data],$DD1028,41),0)</f>
        <v/>
      </c>
      <c r="AR1028">
        <f>IFERROR(INDEX(PP_Grid[#Data],$DD1028,42),0)</f>
        <v/>
      </c>
      <c r="AS1028">
        <f>IFERROR(INDEX(PP_Grid[#Data],$DD1028,43),0)</f>
        <v/>
      </c>
      <c r="AT1028">
        <f>IFERROR(INDEX(PP_Grid[#Data],$DD1028,44),0)</f>
        <v/>
      </c>
      <c r="AU1028">
        <f>IFERROR(INDEX(PP_Grid[#Data],$DD1028,45),0)</f>
        <v/>
      </c>
      <c r="AV1028">
        <f>IFERROR(INDEX(PP_Grid[#Data],$DD1028,46),0)</f>
        <v/>
      </c>
      <c r="AW1028">
        <f>IFERROR(INDEX(PP_Grid[#Data],$DD1028,47),0)</f>
        <v/>
      </c>
      <c r="AX1028">
        <f>IFERROR(INDEX(PP_Grid[#Data],$DD1028,48),0)</f>
        <v/>
      </c>
      <c r="AY1028">
        <f>IFERROR(INDEX(PP_Grid[#Data],$DD1028,49),0)</f>
        <v/>
      </c>
      <c r="AZ1028">
        <f>IFERROR(INDEX(PP_Grid[#Data],$DD1028,50),0)</f>
        <v/>
      </c>
      <c r="BA1028">
        <f>IFERROR(INDEX(PP_Grid[#Data],$DD1028,51),0)</f>
        <v/>
      </c>
      <c r="BB1028">
        <f>IFERROR(INDEX(PP_Grid[#Data],$DD1028,52),0)</f>
        <v/>
      </c>
      <c r="BC1028">
        <f>IFERROR(INDEX(PP_Grid[#Data],$DD1028,53),0)</f>
        <v/>
      </c>
      <c r="BD1028">
        <f>IFERROR(INDEX(PP_Grid[#Data],$DD1028,54),0)</f>
        <v/>
      </c>
      <c r="BE1028">
        <f>IFERROR(INDEX(PP_Grid[#Data],$DD1028,55),0)</f>
        <v/>
      </c>
      <c r="BF1028">
        <f>IFERROR(INDEX(PP_Grid[#Data],$DD1028,56),0)</f>
        <v/>
      </c>
      <c r="BG1028">
        <f>IFERROR(INDEX(PP_Grid[#Data],$DD1028,57),0)</f>
        <v/>
      </c>
      <c r="BH1028">
        <f>IFERROR(INDEX(PP_Grid[#Data],$DD1028,58),0)</f>
        <v/>
      </c>
      <c r="BI1028">
        <f>IFERROR(INDEX(PP_Grid[#Data],$DD1028,59),0)</f>
        <v/>
      </c>
      <c r="BJ1028">
        <f>IFERROR(INDEX(PP_Grid[#Data],$DD1028,60),0)</f>
        <v/>
      </c>
      <c r="BK1028">
        <f>IFERROR(INDEX(PP_Grid[#Data],$DD1028,61),0)</f>
        <v/>
      </c>
      <c r="BL1028">
        <f>IFERROR(INDEX(PP_Grid[#Data],$DD1028,62),0)</f>
        <v/>
      </c>
      <c r="BM1028">
        <f>IFERROR(INDEX(PP_Grid[#Data],$DD1028,63),0)</f>
        <v/>
      </c>
      <c r="BN1028">
        <f>IFERROR(INDEX(PP_Grid[#Data],$DD1028,64),0)</f>
        <v/>
      </c>
      <c r="BO1028">
        <f>IFERROR(INDEX(PP_Grid[#Data],$DD1028,65),0)</f>
        <v/>
      </c>
      <c r="BP1028">
        <f>IFERROR(INDEX(PP_Grid[#Data],$DD1028,66),0)</f>
        <v/>
      </c>
      <c r="BQ1028">
        <f>IFERROR(INDEX(PP_Grid[#Data],$DD1028,67),0)</f>
        <v/>
      </c>
      <c r="BR1028">
        <f>IFERROR(INDEX(PP_Grid[#Data],$DD1028,68),0)</f>
        <v/>
      </c>
      <c r="BS1028">
        <f>IFERROR(INDEX(PP_Grid[#Data],$DD1028,69),0)</f>
        <v/>
      </c>
      <c r="BT1028">
        <f>IFERROR(INDEX(PP_Grid[#Data],$DD1028,70),0)</f>
        <v/>
      </c>
      <c r="BU1028">
        <f>IFERROR(INDEX(PP_Grid[#Data],$DD1028,71),0)</f>
        <v/>
      </c>
      <c r="BV1028">
        <f>IFERROR(INDEX(PP_Grid[#Data],$DD1028,72),0)</f>
        <v/>
      </c>
      <c r="BW1028">
        <f>IFERROR(INDEX(PP_Grid[#Data],$DD1028,73),0)</f>
        <v/>
      </c>
      <c r="BX1028">
        <f>IFERROR(INDEX(PP_Grid[#Data],$DD1028,74),0)</f>
        <v/>
      </c>
      <c r="BY1028">
        <f>IFERROR(INDEX(PP_Grid[#Data],$DD1028,75),0)</f>
        <v/>
      </c>
      <c r="BZ1028">
        <f>IFERROR(INDEX(PP_Grid[#Data],$DD1028,76),0)</f>
        <v/>
      </c>
      <c r="CA1028">
        <f>IFERROR(INDEX(PP_Grid[#Data],$DD1028,77),0)</f>
        <v/>
      </c>
      <c r="CB1028">
        <f>IFERROR(INDEX(PP_Grid[#Data],$DD1028,78),0)</f>
        <v/>
      </c>
      <c r="CC1028">
        <f>IFERROR(INDEX(PP_Grid[#Data],$DD1028,79),0)</f>
        <v/>
      </c>
      <c r="CD1028">
        <f>IFERROR(INDEX(PP_Grid[#Data],$DD1028,80),0)</f>
        <v/>
      </c>
      <c r="CE1028">
        <f>IFERROR(INDEX(PP_Grid[#Data],$DD1028,81),0)</f>
        <v/>
      </c>
      <c r="CF1028">
        <f>IFERROR(INDEX(PP_Grid[#Data],$DD1028,82),0)</f>
        <v/>
      </c>
      <c r="CG1028">
        <f>IFERROR(INDEX(PP_Grid[#Data],$DD1028,83),0)</f>
        <v/>
      </c>
      <c r="CH1028">
        <f>IFERROR(INDEX(PP_Grid[#Data],$DD1028,84),0)</f>
        <v/>
      </c>
      <c r="CI1028">
        <f>IFERROR(INDEX(PP_Grid[#Data],$DD1028,85),0)</f>
        <v/>
      </c>
      <c r="CJ1028">
        <f>IFERROR(INDEX(PP_Grid[#Data],$DD1028,86),0)</f>
        <v/>
      </c>
      <c r="CK1028">
        <f>IFERROR(INDEX(PP_Grid[#Data],$DD1028,87),0)</f>
        <v/>
      </c>
      <c r="CL1028">
        <f>IFERROR(INDEX(PP_Grid[#Data],$DD1028,88),0)</f>
        <v/>
      </c>
      <c r="CM1028">
        <f>IFERROR(INDEX(PP_Grid[#Data],$DD1028,89),0)</f>
        <v/>
      </c>
      <c r="CN1028">
        <f>IFERROR(INDEX(PP_Grid[#Data],$DD1028,90),0)</f>
        <v/>
      </c>
      <c r="CO1028">
        <f>IFERROR(INDEX(PP_Grid[#Data],$DD1028,91),0)</f>
        <v/>
      </c>
      <c r="CP1028">
        <f>IFERROR(INDEX(PP_Grid[#Data],$DD1028,92),0)</f>
        <v/>
      </c>
      <c r="CQ1028">
        <f>IFERROR(INDEX(PP_Grid[#Data],$DD1028,93),0)</f>
        <v/>
      </c>
      <c r="CR1028">
        <f>IFERROR(INDEX(PP_Grid[#Data],$DD1028,94),0)</f>
        <v/>
      </c>
      <c r="CS1028">
        <f>IFERROR(INDEX(PP_Grid[#Data],$DD1028,95),0)</f>
        <v/>
      </c>
      <c r="CT1028">
        <f>IFERROR(INDEX(PP_Grid[#Data],$DD1028,96),0)</f>
        <v/>
      </c>
      <c r="CU1028">
        <f>IFERROR(INDEX(PP_Grid[#Data],$DD1028,97),0)</f>
        <v/>
      </c>
      <c r="CV1028">
        <f>IFERROR(INDEX(PP_Grid[#Data],$DD1028,98),0)</f>
        <v/>
      </c>
      <c r="CW1028">
        <f>IFERROR(INDEX(PP_Grid[#Data],$DD1028,99),0)</f>
        <v/>
      </c>
      <c r="CX1028">
        <f>IFERROR(INDEX(PP_Grid[#Data],$DD1028,100),0)</f>
        <v/>
      </c>
      <c r="CY1028">
        <f>IFERROR(INDEX(PP_Grid[#Data],$DD1028,101),0)</f>
        <v/>
      </c>
      <c r="CZ1028">
        <f>IFERROR(INDEX(PP_Grid[#Data],$DD1028,102),0)</f>
        <v/>
      </c>
      <c r="DA1028">
        <f>IFERROR(INDEX(PP_Grid[#Data],$DD1028,103),0)</f>
        <v/>
      </c>
      <c r="DB1028">
        <f>IFERROR(INDEX(PP_Grid[#Data],$DD1028,104),0)</f>
        <v/>
      </c>
      <c r="DC1028">
        <f>IFERROR(INDEX(PP_Grid[#Data],$DD1028,105),0)</f>
        <v/>
      </c>
      <c r="DD1028" s="12">
        <f>IFERROR(MATCH($B1028,PP_Grid[Intermediate],0),99999)</f>
        <v/>
      </c>
    </row>
    <row r="1029">
      <c r="B1029" t="inlineStr">
        <is>
          <t>使用量(kg)</t>
        </is>
      </c>
      <c r="C1029">
        <f>SUMIFS(M_BOM[RM_Qty_Per_Batch],M_BOM[Intermediate],$B1028,M_BOM[Part Name],$A999)</f>
        <v/>
      </c>
      <c r="D1029">
        <f>$C1029*D1028</f>
        <v/>
      </c>
      <c r="E1029">
        <f>$C1029*E1028</f>
        <v/>
      </c>
      <c r="F1029">
        <f>$C1029*F1028</f>
        <v/>
      </c>
      <c r="G1029">
        <f>$C1029*G1028</f>
        <v/>
      </c>
      <c r="H1029">
        <f>$C1029*H1028</f>
        <v/>
      </c>
      <c r="I1029">
        <f>$C1029*I1028</f>
        <v/>
      </c>
      <c r="J1029">
        <f>$C1029*J1028</f>
        <v/>
      </c>
      <c r="K1029">
        <f>$C1029*K1028</f>
        <v/>
      </c>
      <c r="L1029">
        <f>$C1029*L1028</f>
        <v/>
      </c>
      <c r="M1029">
        <f>$C1029*M1028</f>
        <v/>
      </c>
      <c r="N1029">
        <f>$C1029*N1028</f>
        <v/>
      </c>
      <c r="O1029">
        <f>$C1029*O1028</f>
        <v/>
      </c>
      <c r="P1029">
        <f>$C1029*P1028</f>
        <v/>
      </c>
      <c r="Q1029">
        <f>$C1029*Q1028</f>
        <v/>
      </c>
      <c r="R1029">
        <f>$C1029*R1028</f>
        <v/>
      </c>
      <c r="S1029">
        <f>$C1029*S1028</f>
        <v/>
      </c>
      <c r="T1029">
        <f>$C1029*T1028</f>
        <v/>
      </c>
      <c r="U1029">
        <f>$C1029*U1028</f>
        <v/>
      </c>
      <c r="V1029">
        <f>$C1029*V1028</f>
        <v/>
      </c>
      <c r="W1029">
        <f>$C1029*W1028</f>
        <v/>
      </c>
      <c r="X1029">
        <f>$C1029*X1028</f>
        <v/>
      </c>
      <c r="Y1029">
        <f>$C1029*Y1028</f>
        <v/>
      </c>
      <c r="Z1029">
        <f>$C1029*Z1028</f>
        <v/>
      </c>
      <c r="AA1029">
        <f>$C1029*AA1028</f>
        <v/>
      </c>
      <c r="AB1029">
        <f>$C1029*AB1028</f>
        <v/>
      </c>
      <c r="AC1029">
        <f>$C1029*AC1028</f>
        <v/>
      </c>
      <c r="AD1029">
        <f>$C1029*AD1028</f>
        <v/>
      </c>
      <c r="AE1029">
        <f>$C1029*AE1028</f>
        <v/>
      </c>
      <c r="AF1029">
        <f>$C1029*AF1028</f>
        <v/>
      </c>
      <c r="AG1029">
        <f>$C1029*AG1028</f>
        <v/>
      </c>
      <c r="AH1029">
        <f>$C1029*AH1028</f>
        <v/>
      </c>
      <c r="AI1029">
        <f>$C1029*AI1028</f>
        <v/>
      </c>
      <c r="AJ1029">
        <f>$C1029*AJ1028</f>
        <v/>
      </c>
      <c r="AK1029">
        <f>$C1029*AK1028</f>
        <v/>
      </c>
      <c r="AL1029">
        <f>$C1029*AL1028</f>
        <v/>
      </c>
      <c r="AM1029">
        <f>$C1029*AM1028</f>
        <v/>
      </c>
      <c r="AN1029">
        <f>$C1029*AN1028</f>
        <v/>
      </c>
      <c r="AO1029">
        <f>$C1029*AO1028</f>
        <v/>
      </c>
      <c r="AP1029">
        <f>$C1029*AP1028</f>
        <v/>
      </c>
      <c r="AQ1029">
        <f>$C1029*AQ1028</f>
        <v/>
      </c>
      <c r="AR1029">
        <f>$C1029*AR1028</f>
        <v/>
      </c>
      <c r="AS1029">
        <f>$C1029*AS1028</f>
        <v/>
      </c>
      <c r="AT1029">
        <f>$C1029*AT1028</f>
        <v/>
      </c>
      <c r="AU1029">
        <f>$C1029*AU1028</f>
        <v/>
      </c>
      <c r="AV1029">
        <f>$C1029*AV1028</f>
        <v/>
      </c>
      <c r="AW1029">
        <f>$C1029*AW1028</f>
        <v/>
      </c>
      <c r="AX1029">
        <f>$C1029*AX1028</f>
        <v/>
      </c>
      <c r="AY1029">
        <f>$C1029*AY1028</f>
        <v/>
      </c>
      <c r="AZ1029">
        <f>$C1029*AZ1028</f>
        <v/>
      </c>
      <c r="BA1029">
        <f>$C1029*BA1028</f>
        <v/>
      </c>
      <c r="BB1029">
        <f>$C1029*BB1028</f>
        <v/>
      </c>
      <c r="BC1029">
        <f>$C1029*BC1028</f>
        <v/>
      </c>
      <c r="BD1029">
        <f>$C1029*BD1028</f>
        <v/>
      </c>
      <c r="BE1029">
        <f>$C1029*BE1028</f>
        <v/>
      </c>
      <c r="BF1029">
        <f>$C1029*BF1028</f>
        <v/>
      </c>
      <c r="BG1029">
        <f>$C1029*BG1028</f>
        <v/>
      </c>
      <c r="BH1029">
        <f>$C1029*BH1028</f>
        <v/>
      </c>
      <c r="BI1029">
        <f>$C1029*BI1028</f>
        <v/>
      </c>
      <c r="BJ1029">
        <f>$C1029*BJ1028</f>
        <v/>
      </c>
      <c r="BK1029">
        <f>$C1029*BK1028</f>
        <v/>
      </c>
      <c r="BL1029">
        <f>$C1029*BL1028</f>
        <v/>
      </c>
      <c r="BM1029">
        <f>$C1029*BM1028</f>
        <v/>
      </c>
      <c r="BN1029">
        <f>$C1029*BN1028</f>
        <v/>
      </c>
      <c r="BO1029">
        <f>$C1029*BO1028</f>
        <v/>
      </c>
      <c r="BP1029">
        <f>$C1029*BP1028</f>
        <v/>
      </c>
      <c r="BQ1029">
        <f>$C1029*BQ1028</f>
        <v/>
      </c>
      <c r="BR1029">
        <f>$C1029*BR1028</f>
        <v/>
      </c>
      <c r="BS1029">
        <f>$C1029*BS1028</f>
        <v/>
      </c>
      <c r="BT1029">
        <f>$C1029*BT1028</f>
        <v/>
      </c>
      <c r="BU1029">
        <f>$C1029*BU1028</f>
        <v/>
      </c>
      <c r="BV1029">
        <f>$C1029*BV1028</f>
        <v/>
      </c>
      <c r="BW1029">
        <f>$C1029*BW1028</f>
        <v/>
      </c>
      <c r="BX1029">
        <f>$C1029*BX1028</f>
        <v/>
      </c>
      <c r="BY1029">
        <f>$C1029*BY1028</f>
        <v/>
      </c>
      <c r="BZ1029">
        <f>$C1029*BZ1028</f>
        <v/>
      </c>
      <c r="CA1029">
        <f>$C1029*CA1028</f>
        <v/>
      </c>
      <c r="CB1029">
        <f>$C1029*CB1028</f>
        <v/>
      </c>
      <c r="CC1029">
        <f>$C1029*CC1028</f>
        <v/>
      </c>
      <c r="CD1029">
        <f>$C1029*CD1028</f>
        <v/>
      </c>
      <c r="CE1029">
        <f>$C1029*CE1028</f>
        <v/>
      </c>
      <c r="CF1029">
        <f>$C1029*CF1028</f>
        <v/>
      </c>
      <c r="CG1029">
        <f>$C1029*CG1028</f>
        <v/>
      </c>
      <c r="CH1029">
        <f>$C1029*CH1028</f>
        <v/>
      </c>
      <c r="CI1029">
        <f>$C1029*CI1028</f>
        <v/>
      </c>
      <c r="CJ1029">
        <f>$C1029*CJ1028</f>
        <v/>
      </c>
      <c r="CK1029">
        <f>$C1029*CK1028</f>
        <v/>
      </c>
      <c r="CL1029">
        <f>$C1029*CL1028</f>
        <v/>
      </c>
      <c r="CM1029">
        <f>$C1029*CM1028</f>
        <v/>
      </c>
      <c r="CN1029">
        <f>$C1029*CN1028</f>
        <v/>
      </c>
      <c r="CO1029">
        <f>$C1029*CO1028</f>
        <v/>
      </c>
      <c r="CP1029">
        <f>$C1029*CP1028</f>
        <v/>
      </c>
      <c r="CQ1029">
        <f>$C1029*CQ1028</f>
        <v/>
      </c>
      <c r="CR1029">
        <f>$C1029*CR1028</f>
        <v/>
      </c>
      <c r="CS1029">
        <f>$C1029*CS1028</f>
        <v/>
      </c>
      <c r="CT1029">
        <f>$C1029*CT1028</f>
        <v/>
      </c>
      <c r="CU1029">
        <f>$C1029*CU1028</f>
        <v/>
      </c>
      <c r="CV1029">
        <f>$C1029*CV1028</f>
        <v/>
      </c>
      <c r="CW1029">
        <f>$C1029*CW1028</f>
        <v/>
      </c>
      <c r="CX1029">
        <f>$C1029*CX1028</f>
        <v/>
      </c>
      <c r="CY1029">
        <f>$C1029*CY1028</f>
        <v/>
      </c>
      <c r="CZ1029">
        <f>$C1029*CZ1028</f>
        <v/>
      </c>
      <c r="DA1029">
        <f>$C1029*DA1028</f>
        <v/>
      </c>
      <c r="DB1029">
        <f>$C1029*DB1028</f>
        <v/>
      </c>
      <c r="DC1029">
        <f>$C1029*DC1028</f>
        <v/>
      </c>
    </row>
    <row r="1030">
      <c r="B1030" s="5" t="inlineStr">
        <is>
          <t>合計使用量(kg)/週</t>
        </is>
      </c>
      <c r="D1030">
        <f>'Grid_Requirement'!B57</f>
        <v/>
      </c>
      <c r="E1030">
        <f>'Grid_Requirement'!C57</f>
        <v/>
      </c>
      <c r="F1030">
        <f>'Grid_Requirement'!D57</f>
        <v/>
      </c>
      <c r="G1030">
        <f>'Grid_Requirement'!E57</f>
        <v/>
      </c>
      <c r="H1030">
        <f>'Grid_Requirement'!F57</f>
        <v/>
      </c>
      <c r="I1030">
        <f>'Grid_Requirement'!G57</f>
        <v/>
      </c>
      <c r="J1030">
        <f>'Grid_Requirement'!H57</f>
        <v/>
      </c>
      <c r="K1030">
        <f>'Grid_Requirement'!I57</f>
        <v/>
      </c>
      <c r="L1030">
        <f>'Grid_Requirement'!J57</f>
        <v/>
      </c>
      <c r="M1030">
        <f>'Grid_Requirement'!K57</f>
        <v/>
      </c>
      <c r="N1030">
        <f>'Grid_Requirement'!L57</f>
        <v/>
      </c>
      <c r="O1030">
        <f>'Grid_Requirement'!M57</f>
        <v/>
      </c>
      <c r="P1030">
        <f>'Grid_Requirement'!N57</f>
        <v/>
      </c>
      <c r="Q1030">
        <f>'Grid_Requirement'!O57</f>
        <v/>
      </c>
      <c r="R1030">
        <f>'Grid_Requirement'!P57</f>
        <v/>
      </c>
      <c r="S1030">
        <f>'Grid_Requirement'!Q57</f>
        <v/>
      </c>
      <c r="T1030">
        <f>'Grid_Requirement'!R57</f>
        <v/>
      </c>
      <c r="U1030">
        <f>'Grid_Requirement'!S57</f>
        <v/>
      </c>
      <c r="V1030">
        <f>'Grid_Requirement'!T57</f>
        <v/>
      </c>
      <c r="W1030">
        <f>'Grid_Requirement'!U57</f>
        <v/>
      </c>
      <c r="X1030">
        <f>'Grid_Requirement'!V57</f>
        <v/>
      </c>
      <c r="Y1030">
        <f>'Grid_Requirement'!W57</f>
        <v/>
      </c>
      <c r="Z1030">
        <f>'Grid_Requirement'!X57</f>
        <v/>
      </c>
      <c r="AA1030">
        <f>'Grid_Requirement'!Y57</f>
        <v/>
      </c>
      <c r="AB1030">
        <f>'Grid_Requirement'!Z57</f>
        <v/>
      </c>
      <c r="AC1030">
        <f>'Grid_Requirement'!AA57</f>
        <v/>
      </c>
      <c r="AD1030">
        <f>'Grid_Requirement'!AB57</f>
        <v/>
      </c>
      <c r="AE1030">
        <f>'Grid_Requirement'!AC57</f>
        <v/>
      </c>
      <c r="AF1030">
        <f>'Grid_Requirement'!AD57</f>
        <v/>
      </c>
      <c r="AG1030">
        <f>'Grid_Requirement'!AE57</f>
        <v/>
      </c>
      <c r="AH1030">
        <f>'Grid_Requirement'!AF57</f>
        <v/>
      </c>
      <c r="AI1030">
        <f>'Grid_Requirement'!AG57</f>
        <v/>
      </c>
      <c r="AJ1030">
        <f>'Grid_Requirement'!AH57</f>
        <v/>
      </c>
      <c r="AK1030">
        <f>'Grid_Requirement'!AI57</f>
        <v/>
      </c>
      <c r="AL1030">
        <f>'Grid_Requirement'!AJ57</f>
        <v/>
      </c>
      <c r="AM1030">
        <f>'Grid_Requirement'!AK57</f>
        <v/>
      </c>
      <c r="AN1030">
        <f>'Grid_Requirement'!AL57</f>
        <v/>
      </c>
      <c r="AO1030">
        <f>'Grid_Requirement'!AM57</f>
        <v/>
      </c>
      <c r="AP1030">
        <f>'Grid_Requirement'!AN57</f>
        <v/>
      </c>
      <c r="AQ1030">
        <f>'Grid_Requirement'!AO57</f>
        <v/>
      </c>
      <c r="AR1030">
        <f>'Grid_Requirement'!AP57</f>
        <v/>
      </c>
      <c r="AS1030">
        <f>'Grid_Requirement'!AQ57</f>
        <v/>
      </c>
      <c r="AT1030">
        <f>'Grid_Requirement'!AR57</f>
        <v/>
      </c>
      <c r="AU1030">
        <f>'Grid_Requirement'!AS57</f>
        <v/>
      </c>
      <c r="AV1030">
        <f>'Grid_Requirement'!AT57</f>
        <v/>
      </c>
      <c r="AW1030">
        <f>'Grid_Requirement'!AU57</f>
        <v/>
      </c>
      <c r="AX1030">
        <f>'Grid_Requirement'!AV57</f>
        <v/>
      </c>
      <c r="AY1030">
        <f>'Grid_Requirement'!AW57</f>
        <v/>
      </c>
      <c r="AZ1030">
        <f>'Grid_Requirement'!AX57</f>
        <v/>
      </c>
      <c r="BA1030">
        <f>'Grid_Requirement'!AY57</f>
        <v/>
      </c>
      <c r="BB1030">
        <f>'Grid_Requirement'!AZ57</f>
        <v/>
      </c>
      <c r="BC1030">
        <f>'Grid_Requirement'!BA57</f>
        <v/>
      </c>
      <c r="BD1030">
        <f>'Grid_Requirement'!BB57</f>
        <v/>
      </c>
      <c r="BE1030">
        <f>'Grid_Requirement'!BC57</f>
        <v/>
      </c>
      <c r="BF1030">
        <f>'Grid_Requirement'!BD57</f>
        <v/>
      </c>
      <c r="BG1030">
        <f>'Grid_Requirement'!BE57</f>
        <v/>
      </c>
      <c r="BH1030">
        <f>'Grid_Requirement'!BF57</f>
        <v/>
      </c>
      <c r="BI1030">
        <f>'Grid_Requirement'!BG57</f>
        <v/>
      </c>
      <c r="BJ1030">
        <f>'Grid_Requirement'!BH57</f>
        <v/>
      </c>
      <c r="BK1030">
        <f>'Grid_Requirement'!BI57</f>
        <v/>
      </c>
      <c r="BL1030">
        <f>'Grid_Requirement'!BJ57</f>
        <v/>
      </c>
      <c r="BM1030">
        <f>'Grid_Requirement'!BK57</f>
        <v/>
      </c>
      <c r="BN1030">
        <f>'Grid_Requirement'!BL57</f>
        <v/>
      </c>
      <c r="BO1030">
        <f>'Grid_Requirement'!BM57</f>
        <v/>
      </c>
      <c r="BP1030">
        <f>'Grid_Requirement'!BN57</f>
        <v/>
      </c>
      <c r="BQ1030">
        <f>'Grid_Requirement'!BO57</f>
        <v/>
      </c>
      <c r="BR1030">
        <f>'Grid_Requirement'!BP57</f>
        <v/>
      </c>
      <c r="BS1030">
        <f>'Grid_Requirement'!BQ57</f>
        <v/>
      </c>
      <c r="BT1030">
        <f>'Grid_Requirement'!BR57</f>
        <v/>
      </c>
      <c r="BU1030">
        <f>'Grid_Requirement'!BS57</f>
        <v/>
      </c>
      <c r="BV1030">
        <f>'Grid_Requirement'!BT57</f>
        <v/>
      </c>
      <c r="BW1030">
        <f>'Grid_Requirement'!BU57</f>
        <v/>
      </c>
      <c r="BX1030">
        <f>'Grid_Requirement'!BV57</f>
        <v/>
      </c>
      <c r="BY1030">
        <f>'Grid_Requirement'!BW57</f>
        <v/>
      </c>
      <c r="BZ1030">
        <f>'Grid_Requirement'!BX57</f>
        <v/>
      </c>
      <c r="CA1030">
        <f>'Grid_Requirement'!BY57</f>
        <v/>
      </c>
      <c r="CB1030">
        <f>'Grid_Requirement'!BZ57</f>
        <v/>
      </c>
      <c r="CC1030">
        <f>'Grid_Requirement'!CA57</f>
        <v/>
      </c>
      <c r="CD1030">
        <f>'Grid_Requirement'!CB57</f>
        <v/>
      </c>
      <c r="CE1030">
        <f>'Grid_Requirement'!CC57</f>
        <v/>
      </c>
      <c r="CF1030">
        <f>'Grid_Requirement'!CD57</f>
        <v/>
      </c>
      <c r="CG1030">
        <f>'Grid_Requirement'!CE57</f>
        <v/>
      </c>
      <c r="CH1030">
        <f>'Grid_Requirement'!CF57</f>
        <v/>
      </c>
      <c r="CI1030">
        <f>'Grid_Requirement'!CG57</f>
        <v/>
      </c>
      <c r="CJ1030">
        <f>'Grid_Requirement'!CH57</f>
        <v/>
      </c>
      <c r="CK1030">
        <f>'Grid_Requirement'!CI57</f>
        <v/>
      </c>
      <c r="CL1030">
        <f>'Grid_Requirement'!CJ57</f>
        <v/>
      </c>
      <c r="CM1030">
        <f>'Grid_Requirement'!CK57</f>
        <v/>
      </c>
      <c r="CN1030">
        <f>'Grid_Requirement'!CL57</f>
        <v/>
      </c>
      <c r="CO1030">
        <f>'Grid_Requirement'!CM57</f>
        <v/>
      </c>
      <c r="CP1030">
        <f>'Grid_Requirement'!CN57</f>
        <v/>
      </c>
      <c r="CQ1030">
        <f>'Grid_Requirement'!CO57</f>
        <v/>
      </c>
      <c r="CR1030">
        <f>'Grid_Requirement'!CP57</f>
        <v/>
      </c>
      <c r="CS1030">
        <f>'Grid_Requirement'!CQ57</f>
        <v/>
      </c>
      <c r="CT1030">
        <f>'Grid_Requirement'!CR57</f>
        <v/>
      </c>
      <c r="CU1030">
        <f>'Grid_Requirement'!CS57</f>
        <v/>
      </c>
      <c r="CV1030">
        <f>'Grid_Requirement'!CT57</f>
        <v/>
      </c>
      <c r="CW1030">
        <f>'Grid_Requirement'!CU57</f>
        <v/>
      </c>
      <c r="CX1030">
        <f>'Grid_Requirement'!CV57</f>
        <v/>
      </c>
      <c r="CY1030">
        <f>'Grid_Requirement'!CW57</f>
        <v/>
      </c>
      <c r="CZ1030">
        <f>'Grid_Requirement'!CX57</f>
        <v/>
      </c>
      <c r="DA1030">
        <f>'Grid_Requirement'!CY57</f>
        <v/>
      </c>
      <c r="DB1030">
        <f>'Grid_Requirement'!CZ57</f>
        <v/>
      </c>
      <c r="DC1030">
        <f>'Grid_Requirement'!DA57</f>
        <v/>
      </c>
    </row>
    <row r="1031">
      <c r="B1031" t="inlineStr">
        <is>
          <t>TTAF在庫(実績,kg)</t>
        </is>
      </c>
      <c r="D1031">
        <f>'T_TTAFStock'!B61</f>
        <v/>
      </c>
      <c r="E1031">
        <f>'T_TTAFStock'!C61</f>
        <v/>
      </c>
      <c r="F1031">
        <f>'T_TTAFStock'!D61</f>
        <v/>
      </c>
      <c r="G1031">
        <f>'T_TTAFStock'!E61</f>
        <v/>
      </c>
      <c r="H1031">
        <f>'T_TTAFStock'!F61</f>
        <v/>
      </c>
      <c r="I1031">
        <f>'T_TTAFStock'!G61</f>
        <v/>
      </c>
      <c r="J1031">
        <f>'T_TTAFStock'!H61</f>
        <v/>
      </c>
      <c r="K1031">
        <f>'T_TTAFStock'!I61</f>
        <v/>
      </c>
      <c r="L1031">
        <f>'T_TTAFStock'!J61</f>
        <v/>
      </c>
      <c r="M1031">
        <f>'T_TTAFStock'!K61</f>
        <v/>
      </c>
      <c r="N1031">
        <f>'T_TTAFStock'!L61</f>
        <v/>
      </c>
      <c r="O1031">
        <f>'T_TTAFStock'!M61</f>
        <v/>
      </c>
      <c r="P1031">
        <f>'T_TTAFStock'!N61</f>
        <v/>
      </c>
      <c r="Q1031">
        <f>'T_TTAFStock'!O61</f>
        <v/>
      </c>
      <c r="R1031">
        <f>'T_TTAFStock'!P61</f>
        <v/>
      </c>
      <c r="S1031">
        <f>'T_TTAFStock'!Q61</f>
        <v/>
      </c>
      <c r="T1031">
        <f>'T_TTAFStock'!R61</f>
        <v/>
      </c>
      <c r="U1031">
        <f>'T_TTAFStock'!S61</f>
        <v/>
      </c>
      <c r="V1031">
        <f>'T_TTAFStock'!T61</f>
        <v/>
      </c>
      <c r="W1031">
        <f>'T_TTAFStock'!U61</f>
        <v/>
      </c>
      <c r="X1031">
        <f>'T_TTAFStock'!V61</f>
        <v/>
      </c>
      <c r="Y1031">
        <f>'T_TTAFStock'!W61</f>
        <v/>
      </c>
      <c r="Z1031">
        <f>'T_TTAFStock'!X61</f>
        <v/>
      </c>
      <c r="AA1031">
        <f>'T_TTAFStock'!Y61</f>
        <v/>
      </c>
      <c r="AB1031">
        <f>'T_TTAFStock'!Z61</f>
        <v/>
      </c>
      <c r="AC1031">
        <f>'T_TTAFStock'!AA61</f>
        <v/>
      </c>
      <c r="AD1031">
        <f>'T_TTAFStock'!AB61</f>
        <v/>
      </c>
      <c r="AE1031">
        <f>'T_TTAFStock'!AC61</f>
        <v/>
      </c>
      <c r="AF1031">
        <f>'T_TTAFStock'!AD61</f>
        <v/>
      </c>
      <c r="AG1031">
        <f>'T_TTAFStock'!AE61</f>
        <v/>
      </c>
      <c r="AH1031">
        <f>'T_TTAFStock'!AF61</f>
        <v/>
      </c>
      <c r="AI1031">
        <f>'T_TTAFStock'!AG61</f>
        <v/>
      </c>
      <c r="AJ1031">
        <f>'T_TTAFStock'!AH61</f>
        <v/>
      </c>
      <c r="AK1031">
        <f>'T_TTAFStock'!AI61</f>
        <v/>
      </c>
      <c r="AL1031">
        <f>'T_TTAFStock'!AJ61</f>
        <v/>
      </c>
      <c r="AM1031">
        <f>'T_TTAFStock'!AK61</f>
        <v/>
      </c>
      <c r="AN1031">
        <f>'T_TTAFStock'!AL61</f>
        <v/>
      </c>
      <c r="AO1031">
        <f>'T_TTAFStock'!AM61</f>
        <v/>
      </c>
      <c r="AP1031">
        <f>'T_TTAFStock'!AN61</f>
        <v/>
      </c>
      <c r="AQ1031">
        <f>'T_TTAFStock'!AO61</f>
        <v/>
      </c>
      <c r="AR1031">
        <f>'T_TTAFStock'!AP61</f>
        <v/>
      </c>
      <c r="AS1031">
        <f>'T_TTAFStock'!AQ61</f>
        <v/>
      </c>
      <c r="AT1031">
        <f>'T_TTAFStock'!AR61</f>
        <v/>
      </c>
      <c r="AU1031">
        <f>'T_TTAFStock'!AS61</f>
        <v/>
      </c>
      <c r="AV1031">
        <f>'T_TTAFStock'!AT61</f>
        <v/>
      </c>
      <c r="AW1031">
        <f>'T_TTAFStock'!AU61</f>
        <v/>
      </c>
      <c r="AX1031">
        <f>'T_TTAFStock'!AV61</f>
        <v/>
      </c>
      <c r="AY1031">
        <f>'T_TTAFStock'!AW61</f>
        <v/>
      </c>
      <c r="AZ1031">
        <f>'T_TTAFStock'!AX61</f>
        <v/>
      </c>
      <c r="BA1031">
        <f>'T_TTAFStock'!AY61</f>
        <v/>
      </c>
      <c r="BB1031">
        <f>'T_TTAFStock'!AZ61</f>
        <v/>
      </c>
      <c r="BC1031">
        <f>'T_TTAFStock'!BA61</f>
        <v/>
      </c>
      <c r="BD1031">
        <f>'T_TTAFStock'!BB61</f>
        <v/>
      </c>
      <c r="BE1031">
        <f>'T_TTAFStock'!BC61</f>
        <v/>
      </c>
      <c r="BF1031">
        <f>'T_TTAFStock'!BD61</f>
        <v/>
      </c>
      <c r="BG1031">
        <f>'T_TTAFStock'!BE61</f>
        <v/>
      </c>
      <c r="BH1031">
        <f>'T_TTAFStock'!BF61</f>
        <v/>
      </c>
      <c r="BI1031">
        <f>'T_TTAFStock'!BG61</f>
        <v/>
      </c>
      <c r="BJ1031">
        <f>'T_TTAFStock'!BH61</f>
        <v/>
      </c>
      <c r="BK1031">
        <f>'T_TTAFStock'!BI61</f>
        <v/>
      </c>
      <c r="BL1031">
        <f>'T_TTAFStock'!BJ61</f>
        <v/>
      </c>
      <c r="BM1031">
        <f>'T_TTAFStock'!BK61</f>
        <v/>
      </c>
      <c r="BN1031">
        <f>'T_TTAFStock'!BL61</f>
        <v/>
      </c>
      <c r="BO1031">
        <f>'T_TTAFStock'!BM61</f>
        <v/>
      </c>
      <c r="BP1031">
        <f>'T_TTAFStock'!BN61</f>
        <v/>
      </c>
      <c r="BQ1031">
        <f>'T_TTAFStock'!BO61</f>
        <v/>
      </c>
      <c r="BR1031">
        <f>'T_TTAFStock'!BP61</f>
        <v/>
      </c>
      <c r="BS1031">
        <f>'T_TTAFStock'!BQ61</f>
        <v/>
      </c>
      <c r="BT1031">
        <f>'T_TTAFStock'!BR61</f>
        <v/>
      </c>
      <c r="BU1031">
        <f>'T_TTAFStock'!BS61</f>
        <v/>
      </c>
      <c r="BV1031">
        <f>'T_TTAFStock'!BT61</f>
        <v/>
      </c>
      <c r="BW1031">
        <f>'T_TTAFStock'!BU61</f>
        <v/>
      </c>
      <c r="BX1031">
        <f>'T_TTAFStock'!BV61</f>
        <v/>
      </c>
      <c r="BY1031">
        <f>'T_TTAFStock'!BW61</f>
        <v/>
      </c>
      <c r="BZ1031">
        <f>'T_TTAFStock'!BX61</f>
        <v/>
      </c>
      <c r="CA1031">
        <f>'T_TTAFStock'!BY61</f>
        <v/>
      </c>
      <c r="CB1031">
        <f>'T_TTAFStock'!BZ61</f>
        <v/>
      </c>
      <c r="CC1031">
        <f>'T_TTAFStock'!CA61</f>
        <v/>
      </c>
      <c r="CD1031">
        <f>'T_TTAFStock'!CB61</f>
        <v/>
      </c>
      <c r="CE1031">
        <f>'T_TTAFStock'!CC61</f>
        <v/>
      </c>
      <c r="CF1031">
        <f>'T_TTAFStock'!CD61</f>
        <v/>
      </c>
      <c r="CG1031">
        <f>'T_TTAFStock'!CE61</f>
        <v/>
      </c>
      <c r="CH1031">
        <f>'T_TTAFStock'!CF61</f>
        <v/>
      </c>
      <c r="CI1031">
        <f>'T_TTAFStock'!CG61</f>
        <v/>
      </c>
      <c r="CJ1031">
        <f>'T_TTAFStock'!CH61</f>
        <v/>
      </c>
      <c r="CK1031">
        <f>'T_TTAFStock'!CI61</f>
        <v/>
      </c>
      <c r="CL1031">
        <f>'T_TTAFStock'!CJ61</f>
        <v/>
      </c>
      <c r="CM1031">
        <f>'T_TTAFStock'!CK61</f>
        <v/>
      </c>
      <c r="CN1031">
        <f>'T_TTAFStock'!CL61</f>
        <v/>
      </c>
      <c r="CO1031">
        <f>'T_TTAFStock'!CM61</f>
        <v/>
      </c>
      <c r="CP1031">
        <f>'T_TTAFStock'!CN61</f>
        <v/>
      </c>
      <c r="CQ1031">
        <f>'T_TTAFStock'!CO61</f>
        <v/>
      </c>
      <c r="CR1031">
        <f>'T_TTAFStock'!CP61</f>
        <v/>
      </c>
      <c r="CS1031">
        <f>'T_TTAFStock'!CQ61</f>
        <v/>
      </c>
      <c r="CT1031">
        <f>'T_TTAFStock'!CR61</f>
        <v/>
      </c>
      <c r="CU1031">
        <f>'T_TTAFStock'!CS61</f>
        <v/>
      </c>
      <c r="CV1031">
        <f>'T_TTAFStock'!CT61</f>
        <v/>
      </c>
      <c r="CW1031">
        <f>'T_TTAFStock'!CU61</f>
        <v/>
      </c>
      <c r="CX1031">
        <f>'T_TTAFStock'!CV61</f>
        <v/>
      </c>
      <c r="CY1031">
        <f>'T_TTAFStock'!CW61</f>
        <v/>
      </c>
      <c r="CZ1031">
        <f>'T_TTAFStock'!CX61</f>
        <v/>
      </c>
      <c r="DA1031">
        <f>'T_TTAFStock'!CY61</f>
        <v/>
      </c>
      <c r="DB1031">
        <f>'T_TTAFStock'!CZ61</f>
        <v/>
      </c>
      <c r="DC1031">
        <f>'T_TTAFStock'!DA61</f>
        <v/>
      </c>
    </row>
    <row r="1032">
      <c r="B1032" t="inlineStr">
        <is>
          <t>自社在庫(実績,kg)</t>
        </is>
      </c>
      <c r="D1032">
        <f>'T_SelfStock'!B61</f>
        <v/>
      </c>
      <c r="E1032">
        <f>'T_SelfStock'!C61</f>
        <v/>
      </c>
      <c r="F1032">
        <f>'T_SelfStock'!D61</f>
        <v/>
      </c>
      <c r="G1032">
        <f>'T_SelfStock'!E61</f>
        <v/>
      </c>
      <c r="H1032">
        <f>'T_SelfStock'!F61</f>
        <v/>
      </c>
      <c r="I1032">
        <f>'T_SelfStock'!G61</f>
        <v/>
      </c>
      <c r="J1032">
        <f>'T_SelfStock'!H61</f>
        <v/>
      </c>
      <c r="K1032">
        <f>'T_SelfStock'!I61</f>
        <v/>
      </c>
      <c r="L1032">
        <f>'T_SelfStock'!J61</f>
        <v/>
      </c>
      <c r="M1032">
        <f>'T_SelfStock'!K61</f>
        <v/>
      </c>
      <c r="N1032">
        <f>'T_SelfStock'!L61</f>
        <v/>
      </c>
      <c r="O1032">
        <f>'T_SelfStock'!M61</f>
        <v/>
      </c>
      <c r="P1032">
        <f>'T_SelfStock'!N61</f>
        <v/>
      </c>
      <c r="Q1032">
        <f>'T_SelfStock'!O61</f>
        <v/>
      </c>
      <c r="R1032">
        <f>'T_SelfStock'!P61</f>
        <v/>
      </c>
      <c r="S1032">
        <f>'T_SelfStock'!Q61</f>
        <v/>
      </c>
      <c r="T1032">
        <f>'T_SelfStock'!R61</f>
        <v/>
      </c>
      <c r="U1032">
        <f>'T_SelfStock'!S61</f>
        <v/>
      </c>
      <c r="V1032">
        <f>'T_SelfStock'!T61</f>
        <v/>
      </c>
      <c r="W1032">
        <f>'T_SelfStock'!U61</f>
        <v/>
      </c>
      <c r="X1032">
        <f>'T_SelfStock'!V61</f>
        <v/>
      </c>
      <c r="Y1032">
        <f>'T_SelfStock'!W61</f>
        <v/>
      </c>
      <c r="Z1032">
        <f>'T_SelfStock'!X61</f>
        <v/>
      </c>
      <c r="AA1032">
        <f>'T_SelfStock'!Y61</f>
        <v/>
      </c>
      <c r="AB1032">
        <f>'T_SelfStock'!Z61</f>
        <v/>
      </c>
      <c r="AC1032">
        <f>'T_SelfStock'!AA61</f>
        <v/>
      </c>
      <c r="AD1032">
        <f>'T_SelfStock'!AB61</f>
        <v/>
      </c>
      <c r="AE1032">
        <f>'T_SelfStock'!AC61</f>
        <v/>
      </c>
      <c r="AF1032">
        <f>'T_SelfStock'!AD61</f>
        <v/>
      </c>
      <c r="AG1032">
        <f>'T_SelfStock'!AE61</f>
        <v/>
      </c>
      <c r="AH1032">
        <f>'T_SelfStock'!AF61</f>
        <v/>
      </c>
      <c r="AI1032">
        <f>'T_SelfStock'!AG61</f>
        <v/>
      </c>
      <c r="AJ1032">
        <f>'T_SelfStock'!AH61</f>
        <v/>
      </c>
      <c r="AK1032">
        <f>'T_SelfStock'!AI61</f>
        <v/>
      </c>
      <c r="AL1032">
        <f>'T_SelfStock'!AJ61</f>
        <v/>
      </c>
      <c r="AM1032">
        <f>'T_SelfStock'!AK61</f>
        <v/>
      </c>
      <c r="AN1032">
        <f>'T_SelfStock'!AL61</f>
        <v/>
      </c>
      <c r="AO1032">
        <f>'T_SelfStock'!AM61</f>
        <v/>
      </c>
      <c r="AP1032">
        <f>'T_SelfStock'!AN61</f>
        <v/>
      </c>
      <c r="AQ1032">
        <f>'T_SelfStock'!AO61</f>
        <v/>
      </c>
      <c r="AR1032">
        <f>'T_SelfStock'!AP61</f>
        <v/>
      </c>
      <c r="AS1032">
        <f>'T_SelfStock'!AQ61</f>
        <v/>
      </c>
      <c r="AT1032">
        <f>'T_SelfStock'!AR61</f>
        <v/>
      </c>
      <c r="AU1032">
        <f>'T_SelfStock'!AS61</f>
        <v/>
      </c>
      <c r="AV1032">
        <f>'T_SelfStock'!AT61</f>
        <v/>
      </c>
      <c r="AW1032">
        <f>'T_SelfStock'!AU61</f>
        <v/>
      </c>
      <c r="AX1032">
        <f>'T_SelfStock'!AV61</f>
        <v/>
      </c>
      <c r="AY1032">
        <f>'T_SelfStock'!AW61</f>
        <v/>
      </c>
      <c r="AZ1032">
        <f>'T_SelfStock'!AX61</f>
        <v/>
      </c>
      <c r="BA1032">
        <f>'T_SelfStock'!AY61</f>
        <v/>
      </c>
      <c r="BB1032">
        <f>'T_SelfStock'!AZ61</f>
        <v/>
      </c>
      <c r="BC1032">
        <f>'T_SelfStock'!BA61</f>
        <v/>
      </c>
      <c r="BD1032">
        <f>'T_SelfStock'!BB61</f>
        <v/>
      </c>
      <c r="BE1032">
        <f>'T_SelfStock'!BC61</f>
        <v/>
      </c>
      <c r="BF1032">
        <f>'T_SelfStock'!BD61</f>
        <v/>
      </c>
      <c r="BG1032">
        <f>'T_SelfStock'!BE61</f>
        <v/>
      </c>
      <c r="BH1032">
        <f>'T_SelfStock'!BF61</f>
        <v/>
      </c>
      <c r="BI1032">
        <f>'T_SelfStock'!BG61</f>
        <v/>
      </c>
      <c r="BJ1032">
        <f>'T_SelfStock'!BH61</f>
        <v/>
      </c>
      <c r="BK1032">
        <f>'T_SelfStock'!BI61</f>
        <v/>
      </c>
      <c r="BL1032">
        <f>'T_SelfStock'!BJ61</f>
        <v/>
      </c>
      <c r="BM1032">
        <f>'T_SelfStock'!BK61</f>
        <v/>
      </c>
      <c r="BN1032">
        <f>'T_SelfStock'!BL61</f>
        <v/>
      </c>
      <c r="BO1032">
        <f>'T_SelfStock'!BM61</f>
        <v/>
      </c>
      <c r="BP1032">
        <f>'T_SelfStock'!BN61</f>
        <v/>
      </c>
      <c r="BQ1032">
        <f>'T_SelfStock'!BO61</f>
        <v/>
      </c>
      <c r="BR1032">
        <f>'T_SelfStock'!BP61</f>
        <v/>
      </c>
      <c r="BS1032">
        <f>'T_SelfStock'!BQ61</f>
        <v/>
      </c>
      <c r="BT1032">
        <f>'T_SelfStock'!BR61</f>
        <v/>
      </c>
      <c r="BU1032">
        <f>'T_SelfStock'!BS61</f>
        <v/>
      </c>
      <c r="BV1032">
        <f>'T_SelfStock'!BT61</f>
        <v/>
      </c>
      <c r="BW1032">
        <f>'T_SelfStock'!BU61</f>
        <v/>
      </c>
      <c r="BX1032">
        <f>'T_SelfStock'!BV61</f>
        <v/>
      </c>
      <c r="BY1032">
        <f>'T_SelfStock'!BW61</f>
        <v/>
      </c>
      <c r="BZ1032">
        <f>'T_SelfStock'!BX61</f>
        <v/>
      </c>
      <c r="CA1032">
        <f>'T_SelfStock'!BY61</f>
        <v/>
      </c>
      <c r="CB1032">
        <f>'T_SelfStock'!BZ61</f>
        <v/>
      </c>
      <c r="CC1032">
        <f>'T_SelfStock'!CA61</f>
        <v/>
      </c>
      <c r="CD1032">
        <f>'T_SelfStock'!CB61</f>
        <v/>
      </c>
      <c r="CE1032">
        <f>'T_SelfStock'!CC61</f>
        <v/>
      </c>
      <c r="CF1032">
        <f>'T_SelfStock'!CD61</f>
        <v/>
      </c>
      <c r="CG1032">
        <f>'T_SelfStock'!CE61</f>
        <v/>
      </c>
      <c r="CH1032">
        <f>'T_SelfStock'!CF61</f>
        <v/>
      </c>
      <c r="CI1032">
        <f>'T_SelfStock'!CG61</f>
        <v/>
      </c>
      <c r="CJ1032">
        <f>'T_SelfStock'!CH61</f>
        <v/>
      </c>
      <c r="CK1032">
        <f>'T_SelfStock'!CI61</f>
        <v/>
      </c>
      <c r="CL1032">
        <f>'T_SelfStock'!CJ61</f>
        <v/>
      </c>
      <c r="CM1032">
        <f>'T_SelfStock'!CK61</f>
        <v/>
      </c>
      <c r="CN1032">
        <f>'T_SelfStock'!CL61</f>
        <v/>
      </c>
      <c r="CO1032">
        <f>'T_SelfStock'!CM61</f>
        <v/>
      </c>
      <c r="CP1032">
        <f>'T_SelfStock'!CN61</f>
        <v/>
      </c>
      <c r="CQ1032">
        <f>'T_SelfStock'!CO61</f>
        <v/>
      </c>
      <c r="CR1032">
        <f>'T_SelfStock'!CP61</f>
        <v/>
      </c>
      <c r="CS1032">
        <f>'T_SelfStock'!CQ61</f>
        <v/>
      </c>
      <c r="CT1032">
        <f>'T_SelfStock'!CR61</f>
        <v/>
      </c>
      <c r="CU1032">
        <f>'T_SelfStock'!CS61</f>
        <v/>
      </c>
      <c r="CV1032">
        <f>'T_SelfStock'!CT61</f>
        <v/>
      </c>
      <c r="CW1032">
        <f>'T_SelfStock'!CU61</f>
        <v/>
      </c>
      <c r="CX1032">
        <f>'T_SelfStock'!CV61</f>
        <v/>
      </c>
      <c r="CY1032">
        <f>'T_SelfStock'!CW61</f>
        <v/>
      </c>
      <c r="CZ1032">
        <f>'T_SelfStock'!CX61</f>
        <v/>
      </c>
      <c r="DA1032">
        <f>'T_SelfStock'!CY61</f>
        <v/>
      </c>
      <c r="DB1032">
        <f>'T_SelfStock'!CZ61</f>
        <v/>
      </c>
      <c r="DC1032">
        <f>'T_SelfStock'!DA61</f>
        <v/>
      </c>
    </row>
    <row r="1033">
      <c r="B1033" t="inlineStr">
        <is>
          <t>Order(発注予定,kg)</t>
        </is>
      </c>
      <c r="D1033">
        <f>IF(SUMIFS(T_PlannedOrders[EffectiveQty],T_PlannedOrders[Part Name],$A999,T_PlannedOrders[WeekIndex],1)=0,"",SUMIFS(T_PlannedOrders[EffectiveQty],T_PlannedOrders[Part Name],$A999,T_PlannedOrders[WeekIndex],1)&amp;" ("&amp;TEXT(SUMPRODUCT(MAX((T_PlannedOrders[Part Name]=$A999)*(T_PlannedOrders[WeekIndex]=1)*(T_PlannedOrders[EffectiveQty]&gt;0)*T_PlannedOrders[Order_Month])),"m月")&amp;"発注)")</f>
        <v/>
      </c>
      <c r="E1033">
        <f>IF(SUMIFS(T_PlannedOrders[EffectiveQty],T_PlannedOrders[Part Name],$A999,T_PlannedOrders[WeekIndex],2)=0,"",SUMIFS(T_PlannedOrders[EffectiveQty],T_PlannedOrders[Part Name],$A999,T_PlannedOrders[WeekIndex],2)&amp;" ("&amp;TEXT(SUMPRODUCT(MAX((T_PlannedOrders[Part Name]=$A999)*(T_PlannedOrders[WeekIndex]=2)*(T_PlannedOrders[EffectiveQty]&gt;0)*T_PlannedOrders[Order_Month])),"m月")&amp;"発注)")</f>
        <v/>
      </c>
      <c r="F1033">
        <f>IF(SUMIFS(T_PlannedOrders[EffectiveQty],T_PlannedOrders[Part Name],$A999,T_PlannedOrders[WeekIndex],3)=0,"",SUMIFS(T_PlannedOrders[EffectiveQty],T_PlannedOrders[Part Name],$A999,T_PlannedOrders[WeekIndex],3)&amp;" ("&amp;TEXT(SUMPRODUCT(MAX((T_PlannedOrders[Part Name]=$A999)*(T_PlannedOrders[WeekIndex]=3)*(T_PlannedOrders[EffectiveQty]&gt;0)*T_PlannedOrders[Order_Month])),"m月")&amp;"発注)")</f>
        <v/>
      </c>
      <c r="G1033">
        <f>IF(SUMIFS(T_PlannedOrders[EffectiveQty],T_PlannedOrders[Part Name],$A999,T_PlannedOrders[WeekIndex],4)=0,"",SUMIFS(T_PlannedOrders[EffectiveQty],T_PlannedOrders[Part Name],$A999,T_PlannedOrders[WeekIndex],4)&amp;" ("&amp;TEXT(SUMPRODUCT(MAX((T_PlannedOrders[Part Name]=$A999)*(T_PlannedOrders[WeekIndex]=4)*(T_PlannedOrders[EffectiveQty]&gt;0)*T_PlannedOrders[Order_Month])),"m月")&amp;"発注)")</f>
        <v/>
      </c>
      <c r="H1033">
        <f>IF(SUMIFS(T_PlannedOrders[EffectiveQty],T_PlannedOrders[Part Name],$A999,T_PlannedOrders[WeekIndex],5)=0,"",SUMIFS(T_PlannedOrders[EffectiveQty],T_PlannedOrders[Part Name],$A999,T_PlannedOrders[WeekIndex],5)&amp;" ("&amp;TEXT(SUMPRODUCT(MAX((T_PlannedOrders[Part Name]=$A999)*(T_PlannedOrders[WeekIndex]=5)*(T_PlannedOrders[EffectiveQty]&gt;0)*T_PlannedOrders[Order_Month])),"m月")&amp;"発注)")</f>
        <v/>
      </c>
      <c r="I1033">
        <f>IF(SUMIFS(T_PlannedOrders[EffectiveQty],T_PlannedOrders[Part Name],$A999,T_PlannedOrders[WeekIndex],6)=0,"",SUMIFS(T_PlannedOrders[EffectiveQty],T_PlannedOrders[Part Name],$A999,T_PlannedOrders[WeekIndex],6)&amp;" ("&amp;TEXT(SUMPRODUCT(MAX((T_PlannedOrders[Part Name]=$A999)*(T_PlannedOrders[WeekIndex]=6)*(T_PlannedOrders[EffectiveQty]&gt;0)*T_PlannedOrders[Order_Month])),"m月")&amp;"発注)")</f>
        <v/>
      </c>
      <c r="J1033">
        <f>IF(SUMIFS(T_PlannedOrders[EffectiveQty],T_PlannedOrders[Part Name],$A999,T_PlannedOrders[WeekIndex],7)=0,"",SUMIFS(T_PlannedOrders[EffectiveQty],T_PlannedOrders[Part Name],$A999,T_PlannedOrders[WeekIndex],7)&amp;" ("&amp;TEXT(SUMPRODUCT(MAX((T_PlannedOrders[Part Name]=$A999)*(T_PlannedOrders[WeekIndex]=7)*(T_PlannedOrders[EffectiveQty]&gt;0)*T_PlannedOrders[Order_Month])),"m月")&amp;"発注)")</f>
        <v/>
      </c>
      <c r="K1033">
        <f>IF(SUMIFS(T_PlannedOrders[EffectiveQty],T_PlannedOrders[Part Name],$A999,T_PlannedOrders[WeekIndex],8)=0,"",SUMIFS(T_PlannedOrders[EffectiveQty],T_PlannedOrders[Part Name],$A999,T_PlannedOrders[WeekIndex],8)&amp;" ("&amp;TEXT(SUMPRODUCT(MAX((T_PlannedOrders[Part Name]=$A999)*(T_PlannedOrders[WeekIndex]=8)*(T_PlannedOrders[EffectiveQty]&gt;0)*T_PlannedOrders[Order_Month])),"m月")&amp;"発注)")</f>
        <v/>
      </c>
      <c r="L1033">
        <f>IF(SUMIFS(T_PlannedOrders[EffectiveQty],T_PlannedOrders[Part Name],$A999,T_PlannedOrders[WeekIndex],9)=0,"",SUMIFS(T_PlannedOrders[EffectiveQty],T_PlannedOrders[Part Name],$A999,T_PlannedOrders[WeekIndex],9)&amp;" ("&amp;TEXT(SUMPRODUCT(MAX((T_PlannedOrders[Part Name]=$A999)*(T_PlannedOrders[WeekIndex]=9)*(T_PlannedOrders[EffectiveQty]&gt;0)*T_PlannedOrders[Order_Month])),"m月")&amp;"発注)")</f>
        <v/>
      </c>
      <c r="M1033">
        <f>IF(SUMIFS(T_PlannedOrders[EffectiveQty],T_PlannedOrders[Part Name],$A999,T_PlannedOrders[WeekIndex],10)=0,"",SUMIFS(T_PlannedOrders[EffectiveQty],T_PlannedOrders[Part Name],$A999,T_PlannedOrders[WeekIndex],10)&amp;" ("&amp;TEXT(SUMPRODUCT(MAX((T_PlannedOrders[Part Name]=$A999)*(T_PlannedOrders[WeekIndex]=10)*(T_PlannedOrders[EffectiveQty]&gt;0)*T_PlannedOrders[Order_Month])),"m月")&amp;"発注)")</f>
        <v/>
      </c>
      <c r="N1033">
        <f>IF(SUMIFS(T_PlannedOrders[EffectiveQty],T_PlannedOrders[Part Name],$A999,T_PlannedOrders[WeekIndex],11)=0,"",SUMIFS(T_PlannedOrders[EffectiveQty],T_PlannedOrders[Part Name],$A999,T_PlannedOrders[WeekIndex],11)&amp;" ("&amp;TEXT(SUMPRODUCT(MAX((T_PlannedOrders[Part Name]=$A999)*(T_PlannedOrders[WeekIndex]=11)*(T_PlannedOrders[EffectiveQty]&gt;0)*T_PlannedOrders[Order_Month])),"m月")&amp;"発注)")</f>
        <v/>
      </c>
      <c r="O1033">
        <f>IF(SUMIFS(T_PlannedOrders[EffectiveQty],T_PlannedOrders[Part Name],$A999,T_PlannedOrders[WeekIndex],12)=0,"",SUMIFS(T_PlannedOrders[EffectiveQty],T_PlannedOrders[Part Name],$A999,T_PlannedOrders[WeekIndex],12)&amp;" ("&amp;TEXT(SUMPRODUCT(MAX((T_PlannedOrders[Part Name]=$A999)*(T_PlannedOrders[WeekIndex]=12)*(T_PlannedOrders[EffectiveQty]&gt;0)*T_PlannedOrders[Order_Month])),"m月")&amp;"発注)")</f>
        <v/>
      </c>
      <c r="P1033">
        <f>IF(SUMIFS(T_PlannedOrders[EffectiveQty],T_PlannedOrders[Part Name],$A999,T_PlannedOrders[WeekIndex],13)=0,"",SUMIFS(T_PlannedOrders[EffectiveQty],T_PlannedOrders[Part Name],$A999,T_PlannedOrders[WeekIndex],13)&amp;" ("&amp;TEXT(SUMPRODUCT(MAX((T_PlannedOrders[Part Name]=$A999)*(T_PlannedOrders[WeekIndex]=13)*(T_PlannedOrders[EffectiveQty]&gt;0)*T_PlannedOrders[Order_Month])),"m月")&amp;"発注)")</f>
        <v/>
      </c>
      <c r="Q1033">
        <f>IF(SUMIFS(T_PlannedOrders[EffectiveQty],T_PlannedOrders[Part Name],$A999,T_PlannedOrders[WeekIndex],14)=0,"",SUMIFS(T_PlannedOrders[EffectiveQty],T_PlannedOrders[Part Name],$A999,T_PlannedOrders[WeekIndex],14)&amp;" ("&amp;TEXT(SUMPRODUCT(MAX((T_PlannedOrders[Part Name]=$A999)*(T_PlannedOrders[WeekIndex]=14)*(T_PlannedOrders[EffectiveQty]&gt;0)*T_PlannedOrders[Order_Month])),"m月")&amp;"発注)")</f>
        <v/>
      </c>
      <c r="R1033">
        <f>IF(SUMIFS(T_PlannedOrders[EffectiveQty],T_PlannedOrders[Part Name],$A999,T_PlannedOrders[WeekIndex],15)=0,"",SUMIFS(T_PlannedOrders[EffectiveQty],T_PlannedOrders[Part Name],$A999,T_PlannedOrders[WeekIndex],15)&amp;" ("&amp;TEXT(SUMPRODUCT(MAX((T_PlannedOrders[Part Name]=$A999)*(T_PlannedOrders[WeekIndex]=15)*(T_PlannedOrders[EffectiveQty]&gt;0)*T_PlannedOrders[Order_Month])),"m月")&amp;"発注)")</f>
        <v/>
      </c>
      <c r="S1033">
        <f>IF(SUMIFS(T_PlannedOrders[EffectiveQty],T_PlannedOrders[Part Name],$A999,T_PlannedOrders[WeekIndex],16)=0,"",SUMIFS(T_PlannedOrders[EffectiveQty],T_PlannedOrders[Part Name],$A999,T_PlannedOrders[WeekIndex],16)&amp;" ("&amp;TEXT(SUMPRODUCT(MAX((T_PlannedOrders[Part Name]=$A999)*(T_PlannedOrders[WeekIndex]=16)*(T_PlannedOrders[EffectiveQty]&gt;0)*T_PlannedOrders[Order_Month])),"m月")&amp;"発注)")</f>
        <v/>
      </c>
      <c r="T1033">
        <f>IF(SUMIFS(T_PlannedOrders[EffectiveQty],T_PlannedOrders[Part Name],$A999,T_PlannedOrders[WeekIndex],17)=0,"",SUMIFS(T_PlannedOrders[EffectiveQty],T_PlannedOrders[Part Name],$A999,T_PlannedOrders[WeekIndex],17)&amp;" ("&amp;TEXT(SUMPRODUCT(MAX((T_PlannedOrders[Part Name]=$A999)*(T_PlannedOrders[WeekIndex]=17)*(T_PlannedOrders[EffectiveQty]&gt;0)*T_PlannedOrders[Order_Month])),"m月")&amp;"発注)")</f>
        <v/>
      </c>
      <c r="U1033">
        <f>IF(SUMIFS(T_PlannedOrders[EffectiveQty],T_PlannedOrders[Part Name],$A999,T_PlannedOrders[WeekIndex],18)=0,"",SUMIFS(T_PlannedOrders[EffectiveQty],T_PlannedOrders[Part Name],$A999,T_PlannedOrders[WeekIndex],18)&amp;" ("&amp;TEXT(SUMPRODUCT(MAX((T_PlannedOrders[Part Name]=$A999)*(T_PlannedOrders[WeekIndex]=18)*(T_PlannedOrders[EffectiveQty]&gt;0)*T_PlannedOrders[Order_Month])),"m月")&amp;"発注)")</f>
        <v/>
      </c>
      <c r="V1033">
        <f>IF(SUMIFS(T_PlannedOrders[EffectiveQty],T_PlannedOrders[Part Name],$A999,T_PlannedOrders[WeekIndex],19)=0,"",SUMIFS(T_PlannedOrders[EffectiveQty],T_PlannedOrders[Part Name],$A999,T_PlannedOrders[WeekIndex],19)&amp;" ("&amp;TEXT(SUMPRODUCT(MAX((T_PlannedOrders[Part Name]=$A999)*(T_PlannedOrders[WeekIndex]=19)*(T_PlannedOrders[EffectiveQty]&gt;0)*T_PlannedOrders[Order_Month])),"m月")&amp;"発注)")</f>
        <v/>
      </c>
      <c r="W1033">
        <f>IF(SUMIFS(T_PlannedOrders[EffectiveQty],T_PlannedOrders[Part Name],$A999,T_PlannedOrders[WeekIndex],20)=0,"",SUMIFS(T_PlannedOrders[EffectiveQty],T_PlannedOrders[Part Name],$A999,T_PlannedOrders[WeekIndex],20)&amp;" ("&amp;TEXT(SUMPRODUCT(MAX((T_PlannedOrders[Part Name]=$A999)*(T_PlannedOrders[WeekIndex]=20)*(T_PlannedOrders[EffectiveQty]&gt;0)*T_PlannedOrders[Order_Month])),"m月")&amp;"発注)")</f>
        <v/>
      </c>
      <c r="X1033">
        <f>IF(SUMIFS(T_PlannedOrders[EffectiveQty],T_PlannedOrders[Part Name],$A999,T_PlannedOrders[WeekIndex],21)=0,"",SUMIFS(T_PlannedOrders[EffectiveQty],T_PlannedOrders[Part Name],$A999,T_PlannedOrders[WeekIndex],21)&amp;" ("&amp;TEXT(SUMPRODUCT(MAX((T_PlannedOrders[Part Name]=$A999)*(T_PlannedOrders[WeekIndex]=21)*(T_PlannedOrders[EffectiveQty]&gt;0)*T_PlannedOrders[Order_Month])),"m月")&amp;"発注)")</f>
        <v/>
      </c>
      <c r="Y1033">
        <f>IF(SUMIFS(T_PlannedOrders[EffectiveQty],T_PlannedOrders[Part Name],$A999,T_PlannedOrders[WeekIndex],22)=0,"",SUMIFS(T_PlannedOrders[EffectiveQty],T_PlannedOrders[Part Name],$A999,T_PlannedOrders[WeekIndex],22)&amp;" ("&amp;TEXT(SUMPRODUCT(MAX((T_PlannedOrders[Part Name]=$A999)*(T_PlannedOrders[WeekIndex]=22)*(T_PlannedOrders[EffectiveQty]&gt;0)*T_PlannedOrders[Order_Month])),"m月")&amp;"発注)")</f>
        <v/>
      </c>
      <c r="Z1033">
        <f>IF(SUMIFS(T_PlannedOrders[EffectiveQty],T_PlannedOrders[Part Name],$A999,T_PlannedOrders[WeekIndex],23)=0,"",SUMIFS(T_PlannedOrders[EffectiveQty],T_PlannedOrders[Part Name],$A999,T_PlannedOrders[WeekIndex],23)&amp;" ("&amp;TEXT(SUMPRODUCT(MAX((T_PlannedOrders[Part Name]=$A999)*(T_PlannedOrders[WeekIndex]=23)*(T_PlannedOrders[EffectiveQty]&gt;0)*T_PlannedOrders[Order_Month])),"m月")&amp;"発注)")</f>
        <v/>
      </c>
      <c r="AA1033">
        <f>IF(SUMIFS(T_PlannedOrders[EffectiveQty],T_PlannedOrders[Part Name],$A999,T_PlannedOrders[WeekIndex],24)=0,"",SUMIFS(T_PlannedOrders[EffectiveQty],T_PlannedOrders[Part Name],$A999,T_PlannedOrders[WeekIndex],24)&amp;" ("&amp;TEXT(SUMPRODUCT(MAX((T_PlannedOrders[Part Name]=$A999)*(T_PlannedOrders[WeekIndex]=24)*(T_PlannedOrders[EffectiveQty]&gt;0)*T_PlannedOrders[Order_Month])),"m月")&amp;"発注)")</f>
        <v/>
      </c>
      <c r="AB1033">
        <f>IF(SUMIFS(T_PlannedOrders[EffectiveQty],T_PlannedOrders[Part Name],$A999,T_PlannedOrders[WeekIndex],25)=0,"",SUMIFS(T_PlannedOrders[EffectiveQty],T_PlannedOrders[Part Name],$A999,T_PlannedOrders[WeekIndex],25)&amp;" ("&amp;TEXT(SUMPRODUCT(MAX((T_PlannedOrders[Part Name]=$A999)*(T_PlannedOrders[WeekIndex]=25)*(T_PlannedOrders[EffectiveQty]&gt;0)*T_PlannedOrders[Order_Month])),"m月")&amp;"発注)")</f>
        <v/>
      </c>
      <c r="AC1033">
        <f>IF(SUMIFS(T_PlannedOrders[EffectiveQty],T_PlannedOrders[Part Name],$A999,T_PlannedOrders[WeekIndex],26)=0,"",SUMIFS(T_PlannedOrders[EffectiveQty],T_PlannedOrders[Part Name],$A999,T_PlannedOrders[WeekIndex],26)&amp;" ("&amp;TEXT(SUMPRODUCT(MAX((T_PlannedOrders[Part Name]=$A999)*(T_PlannedOrders[WeekIndex]=26)*(T_PlannedOrders[EffectiveQty]&gt;0)*T_PlannedOrders[Order_Month])),"m月")&amp;"発注)")</f>
        <v/>
      </c>
      <c r="AD1033">
        <f>IF(SUMIFS(T_PlannedOrders[EffectiveQty],T_PlannedOrders[Part Name],$A999,T_PlannedOrders[WeekIndex],27)=0,"",SUMIFS(T_PlannedOrders[EffectiveQty],T_PlannedOrders[Part Name],$A999,T_PlannedOrders[WeekIndex],27)&amp;" ("&amp;TEXT(SUMPRODUCT(MAX((T_PlannedOrders[Part Name]=$A999)*(T_PlannedOrders[WeekIndex]=27)*(T_PlannedOrders[EffectiveQty]&gt;0)*T_PlannedOrders[Order_Month])),"m月")&amp;"発注)")</f>
        <v/>
      </c>
      <c r="AE1033">
        <f>IF(SUMIFS(T_PlannedOrders[EffectiveQty],T_PlannedOrders[Part Name],$A999,T_PlannedOrders[WeekIndex],28)=0,"",SUMIFS(T_PlannedOrders[EffectiveQty],T_PlannedOrders[Part Name],$A999,T_PlannedOrders[WeekIndex],28)&amp;" ("&amp;TEXT(SUMPRODUCT(MAX((T_PlannedOrders[Part Name]=$A999)*(T_PlannedOrders[WeekIndex]=28)*(T_PlannedOrders[EffectiveQty]&gt;0)*T_PlannedOrders[Order_Month])),"m月")&amp;"発注)")</f>
        <v/>
      </c>
      <c r="AF1033">
        <f>IF(SUMIFS(T_PlannedOrders[EffectiveQty],T_PlannedOrders[Part Name],$A999,T_PlannedOrders[WeekIndex],29)=0,"",SUMIFS(T_PlannedOrders[EffectiveQty],T_PlannedOrders[Part Name],$A999,T_PlannedOrders[WeekIndex],29)&amp;" ("&amp;TEXT(SUMPRODUCT(MAX((T_PlannedOrders[Part Name]=$A999)*(T_PlannedOrders[WeekIndex]=29)*(T_PlannedOrders[EffectiveQty]&gt;0)*T_PlannedOrders[Order_Month])),"m月")&amp;"発注)")</f>
        <v/>
      </c>
      <c r="AG1033">
        <f>IF(SUMIFS(T_PlannedOrders[EffectiveQty],T_PlannedOrders[Part Name],$A999,T_PlannedOrders[WeekIndex],30)=0,"",SUMIFS(T_PlannedOrders[EffectiveQty],T_PlannedOrders[Part Name],$A999,T_PlannedOrders[WeekIndex],30)&amp;" ("&amp;TEXT(SUMPRODUCT(MAX((T_PlannedOrders[Part Name]=$A999)*(T_PlannedOrders[WeekIndex]=30)*(T_PlannedOrders[EffectiveQty]&gt;0)*T_PlannedOrders[Order_Month])),"m月")&amp;"発注)")</f>
        <v/>
      </c>
      <c r="AH1033">
        <f>IF(SUMIFS(T_PlannedOrders[EffectiveQty],T_PlannedOrders[Part Name],$A999,T_PlannedOrders[WeekIndex],31)=0,"",SUMIFS(T_PlannedOrders[EffectiveQty],T_PlannedOrders[Part Name],$A999,T_PlannedOrders[WeekIndex],31)&amp;" ("&amp;TEXT(SUMPRODUCT(MAX((T_PlannedOrders[Part Name]=$A999)*(T_PlannedOrders[WeekIndex]=31)*(T_PlannedOrders[EffectiveQty]&gt;0)*T_PlannedOrders[Order_Month])),"m月")&amp;"発注)")</f>
        <v/>
      </c>
      <c r="AI1033">
        <f>IF(SUMIFS(T_PlannedOrders[EffectiveQty],T_PlannedOrders[Part Name],$A999,T_PlannedOrders[WeekIndex],32)=0,"",SUMIFS(T_PlannedOrders[EffectiveQty],T_PlannedOrders[Part Name],$A999,T_PlannedOrders[WeekIndex],32)&amp;" ("&amp;TEXT(SUMPRODUCT(MAX((T_PlannedOrders[Part Name]=$A999)*(T_PlannedOrders[WeekIndex]=32)*(T_PlannedOrders[EffectiveQty]&gt;0)*T_PlannedOrders[Order_Month])),"m月")&amp;"発注)")</f>
        <v/>
      </c>
      <c r="AJ1033">
        <f>IF(SUMIFS(T_PlannedOrders[EffectiveQty],T_PlannedOrders[Part Name],$A999,T_PlannedOrders[WeekIndex],33)=0,"",SUMIFS(T_PlannedOrders[EffectiveQty],T_PlannedOrders[Part Name],$A999,T_PlannedOrders[WeekIndex],33)&amp;" ("&amp;TEXT(SUMPRODUCT(MAX((T_PlannedOrders[Part Name]=$A999)*(T_PlannedOrders[WeekIndex]=33)*(T_PlannedOrders[EffectiveQty]&gt;0)*T_PlannedOrders[Order_Month])),"m月")&amp;"発注)")</f>
        <v/>
      </c>
      <c r="AK1033">
        <f>IF(SUMIFS(T_PlannedOrders[EffectiveQty],T_PlannedOrders[Part Name],$A999,T_PlannedOrders[WeekIndex],34)=0,"",SUMIFS(T_PlannedOrders[EffectiveQty],T_PlannedOrders[Part Name],$A999,T_PlannedOrders[WeekIndex],34)&amp;" ("&amp;TEXT(SUMPRODUCT(MAX((T_PlannedOrders[Part Name]=$A999)*(T_PlannedOrders[WeekIndex]=34)*(T_PlannedOrders[EffectiveQty]&gt;0)*T_PlannedOrders[Order_Month])),"m月")&amp;"発注)")</f>
        <v/>
      </c>
      <c r="AL1033">
        <f>IF(SUMIFS(T_PlannedOrders[EffectiveQty],T_PlannedOrders[Part Name],$A999,T_PlannedOrders[WeekIndex],35)=0,"",SUMIFS(T_PlannedOrders[EffectiveQty],T_PlannedOrders[Part Name],$A999,T_PlannedOrders[WeekIndex],35)&amp;" ("&amp;TEXT(SUMPRODUCT(MAX((T_PlannedOrders[Part Name]=$A999)*(T_PlannedOrders[WeekIndex]=35)*(T_PlannedOrders[EffectiveQty]&gt;0)*T_PlannedOrders[Order_Month])),"m月")&amp;"発注)")</f>
        <v/>
      </c>
      <c r="AM1033">
        <f>IF(SUMIFS(T_PlannedOrders[EffectiveQty],T_PlannedOrders[Part Name],$A999,T_PlannedOrders[WeekIndex],36)=0,"",SUMIFS(T_PlannedOrders[EffectiveQty],T_PlannedOrders[Part Name],$A999,T_PlannedOrders[WeekIndex],36)&amp;" ("&amp;TEXT(SUMPRODUCT(MAX((T_PlannedOrders[Part Name]=$A999)*(T_PlannedOrders[WeekIndex]=36)*(T_PlannedOrders[EffectiveQty]&gt;0)*T_PlannedOrders[Order_Month])),"m月")&amp;"発注)")</f>
        <v/>
      </c>
      <c r="AN1033">
        <f>IF(SUMIFS(T_PlannedOrders[EffectiveQty],T_PlannedOrders[Part Name],$A999,T_PlannedOrders[WeekIndex],37)=0,"",SUMIFS(T_PlannedOrders[EffectiveQty],T_PlannedOrders[Part Name],$A999,T_PlannedOrders[WeekIndex],37)&amp;" ("&amp;TEXT(SUMPRODUCT(MAX((T_PlannedOrders[Part Name]=$A999)*(T_PlannedOrders[WeekIndex]=37)*(T_PlannedOrders[EffectiveQty]&gt;0)*T_PlannedOrders[Order_Month])),"m月")&amp;"発注)")</f>
        <v/>
      </c>
      <c r="AO1033">
        <f>IF(SUMIFS(T_PlannedOrders[EffectiveQty],T_PlannedOrders[Part Name],$A999,T_PlannedOrders[WeekIndex],38)=0,"",SUMIFS(T_PlannedOrders[EffectiveQty],T_PlannedOrders[Part Name],$A999,T_PlannedOrders[WeekIndex],38)&amp;" ("&amp;TEXT(SUMPRODUCT(MAX((T_PlannedOrders[Part Name]=$A999)*(T_PlannedOrders[WeekIndex]=38)*(T_PlannedOrders[EffectiveQty]&gt;0)*T_PlannedOrders[Order_Month])),"m月")&amp;"発注)")</f>
        <v/>
      </c>
      <c r="AP1033">
        <f>IF(SUMIFS(T_PlannedOrders[EffectiveQty],T_PlannedOrders[Part Name],$A999,T_PlannedOrders[WeekIndex],39)=0,"",SUMIFS(T_PlannedOrders[EffectiveQty],T_PlannedOrders[Part Name],$A999,T_PlannedOrders[WeekIndex],39)&amp;" ("&amp;TEXT(SUMPRODUCT(MAX((T_PlannedOrders[Part Name]=$A999)*(T_PlannedOrders[WeekIndex]=39)*(T_PlannedOrders[EffectiveQty]&gt;0)*T_PlannedOrders[Order_Month])),"m月")&amp;"発注)")</f>
        <v/>
      </c>
      <c r="AQ1033">
        <f>IF(SUMIFS(T_PlannedOrders[EffectiveQty],T_PlannedOrders[Part Name],$A999,T_PlannedOrders[WeekIndex],40)=0,"",SUMIFS(T_PlannedOrders[EffectiveQty],T_PlannedOrders[Part Name],$A999,T_PlannedOrders[WeekIndex],40)&amp;" ("&amp;TEXT(SUMPRODUCT(MAX((T_PlannedOrders[Part Name]=$A999)*(T_PlannedOrders[WeekIndex]=40)*(T_PlannedOrders[EffectiveQty]&gt;0)*T_PlannedOrders[Order_Month])),"m月")&amp;"発注)")</f>
        <v/>
      </c>
      <c r="AR1033">
        <f>IF(SUMIFS(T_PlannedOrders[EffectiveQty],T_PlannedOrders[Part Name],$A999,T_PlannedOrders[WeekIndex],41)=0,"",SUMIFS(T_PlannedOrders[EffectiveQty],T_PlannedOrders[Part Name],$A999,T_PlannedOrders[WeekIndex],41)&amp;" ("&amp;TEXT(SUMPRODUCT(MAX((T_PlannedOrders[Part Name]=$A999)*(T_PlannedOrders[WeekIndex]=41)*(T_PlannedOrders[EffectiveQty]&gt;0)*T_PlannedOrders[Order_Month])),"m月")&amp;"発注)")</f>
        <v/>
      </c>
      <c r="AS1033">
        <f>IF(SUMIFS(T_PlannedOrders[EffectiveQty],T_PlannedOrders[Part Name],$A999,T_PlannedOrders[WeekIndex],42)=0,"",SUMIFS(T_PlannedOrders[EffectiveQty],T_PlannedOrders[Part Name],$A999,T_PlannedOrders[WeekIndex],42)&amp;" ("&amp;TEXT(SUMPRODUCT(MAX((T_PlannedOrders[Part Name]=$A999)*(T_PlannedOrders[WeekIndex]=42)*(T_PlannedOrders[EffectiveQty]&gt;0)*T_PlannedOrders[Order_Month])),"m月")&amp;"発注)")</f>
        <v/>
      </c>
      <c r="AT1033">
        <f>IF(SUMIFS(T_PlannedOrders[EffectiveQty],T_PlannedOrders[Part Name],$A999,T_PlannedOrders[WeekIndex],43)=0,"",SUMIFS(T_PlannedOrders[EffectiveQty],T_PlannedOrders[Part Name],$A999,T_PlannedOrders[WeekIndex],43)&amp;" ("&amp;TEXT(SUMPRODUCT(MAX((T_PlannedOrders[Part Name]=$A999)*(T_PlannedOrders[WeekIndex]=43)*(T_PlannedOrders[EffectiveQty]&gt;0)*T_PlannedOrders[Order_Month])),"m月")&amp;"発注)")</f>
        <v/>
      </c>
      <c r="AU1033">
        <f>IF(SUMIFS(T_PlannedOrders[EffectiveQty],T_PlannedOrders[Part Name],$A999,T_PlannedOrders[WeekIndex],44)=0,"",SUMIFS(T_PlannedOrders[EffectiveQty],T_PlannedOrders[Part Name],$A999,T_PlannedOrders[WeekIndex],44)&amp;" ("&amp;TEXT(SUMPRODUCT(MAX((T_PlannedOrders[Part Name]=$A999)*(T_PlannedOrders[WeekIndex]=44)*(T_PlannedOrders[EffectiveQty]&gt;0)*T_PlannedOrders[Order_Month])),"m月")&amp;"発注)")</f>
        <v/>
      </c>
      <c r="AV1033">
        <f>IF(SUMIFS(T_PlannedOrders[EffectiveQty],T_PlannedOrders[Part Name],$A999,T_PlannedOrders[WeekIndex],45)=0,"",SUMIFS(T_PlannedOrders[EffectiveQty],T_PlannedOrders[Part Name],$A999,T_PlannedOrders[WeekIndex],45)&amp;" ("&amp;TEXT(SUMPRODUCT(MAX((T_PlannedOrders[Part Name]=$A999)*(T_PlannedOrders[WeekIndex]=45)*(T_PlannedOrders[EffectiveQty]&gt;0)*T_PlannedOrders[Order_Month])),"m月")&amp;"発注)")</f>
        <v/>
      </c>
      <c r="AW1033">
        <f>IF(SUMIFS(T_PlannedOrders[EffectiveQty],T_PlannedOrders[Part Name],$A999,T_PlannedOrders[WeekIndex],46)=0,"",SUMIFS(T_PlannedOrders[EffectiveQty],T_PlannedOrders[Part Name],$A999,T_PlannedOrders[WeekIndex],46)&amp;" ("&amp;TEXT(SUMPRODUCT(MAX((T_PlannedOrders[Part Name]=$A999)*(T_PlannedOrders[WeekIndex]=46)*(T_PlannedOrders[EffectiveQty]&gt;0)*T_PlannedOrders[Order_Month])),"m月")&amp;"発注)")</f>
        <v/>
      </c>
      <c r="AX1033">
        <f>IF(SUMIFS(T_PlannedOrders[EffectiveQty],T_PlannedOrders[Part Name],$A999,T_PlannedOrders[WeekIndex],47)=0,"",SUMIFS(T_PlannedOrders[EffectiveQty],T_PlannedOrders[Part Name],$A999,T_PlannedOrders[WeekIndex],47)&amp;" ("&amp;TEXT(SUMPRODUCT(MAX((T_PlannedOrders[Part Name]=$A999)*(T_PlannedOrders[WeekIndex]=47)*(T_PlannedOrders[EffectiveQty]&gt;0)*T_PlannedOrders[Order_Month])),"m月")&amp;"発注)")</f>
        <v/>
      </c>
      <c r="AY1033">
        <f>IF(SUMIFS(T_PlannedOrders[EffectiveQty],T_PlannedOrders[Part Name],$A999,T_PlannedOrders[WeekIndex],48)=0,"",SUMIFS(T_PlannedOrders[EffectiveQty],T_PlannedOrders[Part Name],$A999,T_PlannedOrders[WeekIndex],48)&amp;" ("&amp;TEXT(SUMPRODUCT(MAX((T_PlannedOrders[Part Name]=$A999)*(T_PlannedOrders[WeekIndex]=48)*(T_PlannedOrders[EffectiveQty]&gt;0)*T_PlannedOrders[Order_Month])),"m月")&amp;"発注)")</f>
        <v/>
      </c>
      <c r="AZ1033">
        <f>IF(SUMIFS(T_PlannedOrders[EffectiveQty],T_PlannedOrders[Part Name],$A999,T_PlannedOrders[WeekIndex],49)=0,"",SUMIFS(T_PlannedOrders[EffectiveQty],T_PlannedOrders[Part Name],$A999,T_PlannedOrders[WeekIndex],49)&amp;" ("&amp;TEXT(SUMPRODUCT(MAX((T_PlannedOrders[Part Name]=$A999)*(T_PlannedOrders[WeekIndex]=49)*(T_PlannedOrders[EffectiveQty]&gt;0)*T_PlannedOrders[Order_Month])),"m月")&amp;"発注)")</f>
        <v/>
      </c>
      <c r="BA1033">
        <f>IF(SUMIFS(T_PlannedOrders[EffectiveQty],T_PlannedOrders[Part Name],$A999,T_PlannedOrders[WeekIndex],50)=0,"",SUMIFS(T_PlannedOrders[EffectiveQty],T_PlannedOrders[Part Name],$A999,T_PlannedOrders[WeekIndex],50)&amp;" ("&amp;TEXT(SUMPRODUCT(MAX((T_PlannedOrders[Part Name]=$A999)*(T_PlannedOrders[WeekIndex]=50)*(T_PlannedOrders[EffectiveQty]&gt;0)*T_PlannedOrders[Order_Month])),"m月")&amp;"発注)")</f>
        <v/>
      </c>
      <c r="BB1033">
        <f>IF(SUMIFS(T_PlannedOrders[EffectiveQty],T_PlannedOrders[Part Name],$A999,T_PlannedOrders[WeekIndex],51)=0,"",SUMIFS(T_PlannedOrders[EffectiveQty],T_PlannedOrders[Part Name],$A999,T_PlannedOrders[WeekIndex],51)&amp;" ("&amp;TEXT(SUMPRODUCT(MAX((T_PlannedOrders[Part Name]=$A999)*(T_PlannedOrders[WeekIndex]=51)*(T_PlannedOrders[EffectiveQty]&gt;0)*T_PlannedOrders[Order_Month])),"m月")&amp;"発注)")</f>
        <v/>
      </c>
      <c r="BC1033">
        <f>IF(SUMIFS(T_PlannedOrders[EffectiveQty],T_PlannedOrders[Part Name],$A999,T_PlannedOrders[WeekIndex],52)=0,"",SUMIFS(T_PlannedOrders[EffectiveQty],T_PlannedOrders[Part Name],$A999,T_PlannedOrders[WeekIndex],52)&amp;" ("&amp;TEXT(SUMPRODUCT(MAX((T_PlannedOrders[Part Name]=$A999)*(T_PlannedOrders[WeekIndex]=52)*(T_PlannedOrders[EffectiveQty]&gt;0)*T_PlannedOrders[Order_Month])),"m月")&amp;"発注)")</f>
        <v/>
      </c>
      <c r="BD1033">
        <f>IF(SUMIFS(T_PlannedOrders[EffectiveQty],T_PlannedOrders[Part Name],$A999,T_PlannedOrders[WeekIndex],53)=0,"",SUMIFS(T_PlannedOrders[EffectiveQty],T_PlannedOrders[Part Name],$A999,T_PlannedOrders[WeekIndex],53)&amp;" ("&amp;TEXT(SUMPRODUCT(MAX((T_PlannedOrders[Part Name]=$A999)*(T_PlannedOrders[WeekIndex]=53)*(T_PlannedOrders[EffectiveQty]&gt;0)*T_PlannedOrders[Order_Month])),"m月")&amp;"発注)")</f>
        <v/>
      </c>
      <c r="BE1033">
        <f>IF(SUMIFS(T_PlannedOrders[EffectiveQty],T_PlannedOrders[Part Name],$A999,T_PlannedOrders[WeekIndex],54)=0,"",SUMIFS(T_PlannedOrders[EffectiveQty],T_PlannedOrders[Part Name],$A999,T_PlannedOrders[WeekIndex],54)&amp;" ("&amp;TEXT(SUMPRODUCT(MAX((T_PlannedOrders[Part Name]=$A999)*(T_PlannedOrders[WeekIndex]=54)*(T_PlannedOrders[EffectiveQty]&gt;0)*T_PlannedOrders[Order_Month])),"m月")&amp;"発注)")</f>
        <v/>
      </c>
      <c r="BF1033">
        <f>IF(SUMIFS(T_PlannedOrders[EffectiveQty],T_PlannedOrders[Part Name],$A999,T_PlannedOrders[WeekIndex],55)=0,"",SUMIFS(T_PlannedOrders[EffectiveQty],T_PlannedOrders[Part Name],$A999,T_PlannedOrders[WeekIndex],55)&amp;" ("&amp;TEXT(SUMPRODUCT(MAX((T_PlannedOrders[Part Name]=$A999)*(T_PlannedOrders[WeekIndex]=55)*(T_PlannedOrders[EffectiveQty]&gt;0)*T_PlannedOrders[Order_Month])),"m月")&amp;"発注)")</f>
        <v/>
      </c>
      <c r="BG1033">
        <f>IF(SUMIFS(T_PlannedOrders[EffectiveQty],T_PlannedOrders[Part Name],$A999,T_PlannedOrders[WeekIndex],56)=0,"",SUMIFS(T_PlannedOrders[EffectiveQty],T_PlannedOrders[Part Name],$A999,T_PlannedOrders[WeekIndex],56)&amp;" ("&amp;TEXT(SUMPRODUCT(MAX((T_PlannedOrders[Part Name]=$A999)*(T_PlannedOrders[WeekIndex]=56)*(T_PlannedOrders[EffectiveQty]&gt;0)*T_PlannedOrders[Order_Month])),"m月")&amp;"発注)")</f>
        <v/>
      </c>
      <c r="BH1033">
        <f>IF(SUMIFS(T_PlannedOrders[EffectiveQty],T_PlannedOrders[Part Name],$A999,T_PlannedOrders[WeekIndex],57)=0,"",SUMIFS(T_PlannedOrders[EffectiveQty],T_PlannedOrders[Part Name],$A999,T_PlannedOrders[WeekIndex],57)&amp;" ("&amp;TEXT(SUMPRODUCT(MAX((T_PlannedOrders[Part Name]=$A999)*(T_PlannedOrders[WeekIndex]=57)*(T_PlannedOrders[EffectiveQty]&gt;0)*T_PlannedOrders[Order_Month])),"m月")&amp;"発注)")</f>
        <v/>
      </c>
      <c r="BI1033">
        <f>IF(SUMIFS(T_PlannedOrders[EffectiveQty],T_PlannedOrders[Part Name],$A999,T_PlannedOrders[WeekIndex],58)=0,"",SUMIFS(T_PlannedOrders[EffectiveQty],T_PlannedOrders[Part Name],$A999,T_PlannedOrders[WeekIndex],58)&amp;" ("&amp;TEXT(SUMPRODUCT(MAX((T_PlannedOrders[Part Name]=$A999)*(T_PlannedOrders[WeekIndex]=58)*(T_PlannedOrders[EffectiveQty]&gt;0)*T_PlannedOrders[Order_Month])),"m月")&amp;"発注)")</f>
        <v/>
      </c>
      <c r="BJ1033">
        <f>IF(SUMIFS(T_PlannedOrders[EffectiveQty],T_PlannedOrders[Part Name],$A999,T_PlannedOrders[WeekIndex],59)=0,"",SUMIFS(T_PlannedOrders[EffectiveQty],T_PlannedOrders[Part Name],$A999,T_PlannedOrders[WeekIndex],59)&amp;" ("&amp;TEXT(SUMPRODUCT(MAX((T_PlannedOrders[Part Name]=$A999)*(T_PlannedOrders[WeekIndex]=59)*(T_PlannedOrders[EffectiveQty]&gt;0)*T_PlannedOrders[Order_Month])),"m月")&amp;"発注)")</f>
        <v/>
      </c>
      <c r="BK1033">
        <f>IF(SUMIFS(T_PlannedOrders[EffectiveQty],T_PlannedOrders[Part Name],$A999,T_PlannedOrders[WeekIndex],60)=0,"",SUMIFS(T_PlannedOrders[EffectiveQty],T_PlannedOrders[Part Name],$A999,T_PlannedOrders[WeekIndex],60)&amp;" ("&amp;TEXT(SUMPRODUCT(MAX((T_PlannedOrders[Part Name]=$A999)*(T_PlannedOrders[WeekIndex]=60)*(T_PlannedOrders[EffectiveQty]&gt;0)*T_PlannedOrders[Order_Month])),"m月")&amp;"発注)")</f>
        <v/>
      </c>
      <c r="BL1033">
        <f>IF(SUMIFS(T_PlannedOrders[EffectiveQty],T_PlannedOrders[Part Name],$A999,T_PlannedOrders[WeekIndex],61)=0,"",SUMIFS(T_PlannedOrders[EffectiveQty],T_PlannedOrders[Part Name],$A999,T_PlannedOrders[WeekIndex],61)&amp;" ("&amp;TEXT(SUMPRODUCT(MAX((T_PlannedOrders[Part Name]=$A999)*(T_PlannedOrders[WeekIndex]=61)*(T_PlannedOrders[EffectiveQty]&gt;0)*T_PlannedOrders[Order_Month])),"m月")&amp;"発注)")</f>
        <v/>
      </c>
      <c r="BM1033">
        <f>IF(SUMIFS(T_PlannedOrders[EffectiveQty],T_PlannedOrders[Part Name],$A999,T_PlannedOrders[WeekIndex],62)=0,"",SUMIFS(T_PlannedOrders[EffectiveQty],T_PlannedOrders[Part Name],$A999,T_PlannedOrders[WeekIndex],62)&amp;" ("&amp;TEXT(SUMPRODUCT(MAX((T_PlannedOrders[Part Name]=$A999)*(T_PlannedOrders[WeekIndex]=62)*(T_PlannedOrders[EffectiveQty]&gt;0)*T_PlannedOrders[Order_Month])),"m月")&amp;"発注)")</f>
        <v/>
      </c>
      <c r="BN1033">
        <f>IF(SUMIFS(T_PlannedOrders[EffectiveQty],T_PlannedOrders[Part Name],$A999,T_PlannedOrders[WeekIndex],63)=0,"",SUMIFS(T_PlannedOrders[EffectiveQty],T_PlannedOrders[Part Name],$A999,T_PlannedOrders[WeekIndex],63)&amp;" ("&amp;TEXT(SUMPRODUCT(MAX((T_PlannedOrders[Part Name]=$A999)*(T_PlannedOrders[WeekIndex]=63)*(T_PlannedOrders[EffectiveQty]&gt;0)*T_PlannedOrders[Order_Month])),"m月")&amp;"発注)")</f>
        <v/>
      </c>
      <c r="BO1033">
        <f>IF(SUMIFS(T_PlannedOrders[EffectiveQty],T_PlannedOrders[Part Name],$A999,T_PlannedOrders[WeekIndex],64)=0,"",SUMIFS(T_PlannedOrders[EffectiveQty],T_PlannedOrders[Part Name],$A999,T_PlannedOrders[WeekIndex],64)&amp;" ("&amp;TEXT(SUMPRODUCT(MAX((T_PlannedOrders[Part Name]=$A999)*(T_PlannedOrders[WeekIndex]=64)*(T_PlannedOrders[EffectiveQty]&gt;0)*T_PlannedOrders[Order_Month])),"m月")&amp;"発注)")</f>
        <v/>
      </c>
      <c r="BP1033">
        <f>IF(SUMIFS(T_PlannedOrders[EffectiveQty],T_PlannedOrders[Part Name],$A999,T_PlannedOrders[WeekIndex],65)=0,"",SUMIFS(T_PlannedOrders[EffectiveQty],T_PlannedOrders[Part Name],$A999,T_PlannedOrders[WeekIndex],65)&amp;" ("&amp;TEXT(SUMPRODUCT(MAX((T_PlannedOrders[Part Name]=$A999)*(T_PlannedOrders[WeekIndex]=65)*(T_PlannedOrders[EffectiveQty]&gt;0)*T_PlannedOrders[Order_Month])),"m月")&amp;"発注)")</f>
        <v/>
      </c>
      <c r="BQ1033">
        <f>IF(SUMIFS(T_PlannedOrders[EffectiveQty],T_PlannedOrders[Part Name],$A999,T_PlannedOrders[WeekIndex],66)=0,"",SUMIFS(T_PlannedOrders[EffectiveQty],T_PlannedOrders[Part Name],$A999,T_PlannedOrders[WeekIndex],66)&amp;" ("&amp;TEXT(SUMPRODUCT(MAX((T_PlannedOrders[Part Name]=$A999)*(T_PlannedOrders[WeekIndex]=66)*(T_PlannedOrders[EffectiveQty]&gt;0)*T_PlannedOrders[Order_Month])),"m月")&amp;"発注)")</f>
        <v/>
      </c>
      <c r="BR1033">
        <f>IF(SUMIFS(T_PlannedOrders[EffectiveQty],T_PlannedOrders[Part Name],$A999,T_PlannedOrders[WeekIndex],67)=0,"",SUMIFS(T_PlannedOrders[EffectiveQty],T_PlannedOrders[Part Name],$A999,T_PlannedOrders[WeekIndex],67)&amp;" ("&amp;TEXT(SUMPRODUCT(MAX((T_PlannedOrders[Part Name]=$A999)*(T_PlannedOrders[WeekIndex]=67)*(T_PlannedOrders[EffectiveQty]&gt;0)*T_PlannedOrders[Order_Month])),"m月")&amp;"発注)")</f>
        <v/>
      </c>
      <c r="BS1033">
        <f>IF(SUMIFS(T_PlannedOrders[EffectiveQty],T_PlannedOrders[Part Name],$A999,T_PlannedOrders[WeekIndex],68)=0,"",SUMIFS(T_PlannedOrders[EffectiveQty],T_PlannedOrders[Part Name],$A999,T_PlannedOrders[WeekIndex],68)&amp;" ("&amp;TEXT(SUMPRODUCT(MAX((T_PlannedOrders[Part Name]=$A999)*(T_PlannedOrders[WeekIndex]=68)*(T_PlannedOrders[EffectiveQty]&gt;0)*T_PlannedOrders[Order_Month])),"m月")&amp;"発注)")</f>
        <v/>
      </c>
      <c r="BT1033">
        <f>IF(SUMIFS(T_PlannedOrders[EffectiveQty],T_PlannedOrders[Part Name],$A999,T_PlannedOrders[WeekIndex],69)=0,"",SUMIFS(T_PlannedOrders[EffectiveQty],T_PlannedOrders[Part Name],$A999,T_PlannedOrders[WeekIndex],69)&amp;" ("&amp;TEXT(SUMPRODUCT(MAX((T_PlannedOrders[Part Name]=$A999)*(T_PlannedOrders[WeekIndex]=69)*(T_PlannedOrders[EffectiveQty]&gt;0)*T_PlannedOrders[Order_Month])),"m月")&amp;"発注)")</f>
        <v/>
      </c>
      <c r="BU1033">
        <f>IF(SUMIFS(T_PlannedOrders[EffectiveQty],T_PlannedOrders[Part Name],$A999,T_PlannedOrders[WeekIndex],70)=0,"",SUMIFS(T_PlannedOrders[EffectiveQty],T_PlannedOrders[Part Name],$A999,T_PlannedOrders[WeekIndex],70)&amp;" ("&amp;TEXT(SUMPRODUCT(MAX((T_PlannedOrders[Part Name]=$A999)*(T_PlannedOrders[WeekIndex]=70)*(T_PlannedOrders[EffectiveQty]&gt;0)*T_PlannedOrders[Order_Month])),"m月")&amp;"発注)")</f>
        <v/>
      </c>
      <c r="BV1033">
        <f>IF(SUMIFS(T_PlannedOrders[EffectiveQty],T_PlannedOrders[Part Name],$A999,T_PlannedOrders[WeekIndex],71)=0,"",SUMIFS(T_PlannedOrders[EffectiveQty],T_PlannedOrders[Part Name],$A999,T_PlannedOrders[WeekIndex],71)&amp;" ("&amp;TEXT(SUMPRODUCT(MAX((T_PlannedOrders[Part Name]=$A999)*(T_PlannedOrders[WeekIndex]=71)*(T_PlannedOrders[EffectiveQty]&gt;0)*T_PlannedOrders[Order_Month])),"m月")&amp;"発注)")</f>
        <v/>
      </c>
      <c r="BW1033">
        <f>IF(SUMIFS(T_PlannedOrders[EffectiveQty],T_PlannedOrders[Part Name],$A999,T_PlannedOrders[WeekIndex],72)=0,"",SUMIFS(T_PlannedOrders[EffectiveQty],T_PlannedOrders[Part Name],$A999,T_PlannedOrders[WeekIndex],72)&amp;" ("&amp;TEXT(SUMPRODUCT(MAX((T_PlannedOrders[Part Name]=$A999)*(T_PlannedOrders[WeekIndex]=72)*(T_PlannedOrders[EffectiveQty]&gt;0)*T_PlannedOrders[Order_Month])),"m月")&amp;"発注)")</f>
        <v/>
      </c>
      <c r="BX1033">
        <f>IF(SUMIFS(T_PlannedOrders[EffectiveQty],T_PlannedOrders[Part Name],$A999,T_PlannedOrders[WeekIndex],73)=0,"",SUMIFS(T_PlannedOrders[EffectiveQty],T_PlannedOrders[Part Name],$A999,T_PlannedOrders[WeekIndex],73)&amp;" ("&amp;TEXT(SUMPRODUCT(MAX((T_PlannedOrders[Part Name]=$A999)*(T_PlannedOrders[WeekIndex]=73)*(T_PlannedOrders[EffectiveQty]&gt;0)*T_PlannedOrders[Order_Month])),"m月")&amp;"発注)")</f>
        <v/>
      </c>
      <c r="BY1033">
        <f>IF(SUMIFS(T_PlannedOrders[EffectiveQty],T_PlannedOrders[Part Name],$A999,T_PlannedOrders[WeekIndex],74)=0,"",SUMIFS(T_PlannedOrders[EffectiveQty],T_PlannedOrders[Part Name],$A999,T_PlannedOrders[WeekIndex],74)&amp;" ("&amp;TEXT(SUMPRODUCT(MAX((T_PlannedOrders[Part Name]=$A999)*(T_PlannedOrders[WeekIndex]=74)*(T_PlannedOrders[EffectiveQty]&gt;0)*T_PlannedOrders[Order_Month])),"m月")&amp;"発注)")</f>
        <v/>
      </c>
      <c r="BZ1033">
        <f>IF(SUMIFS(T_PlannedOrders[EffectiveQty],T_PlannedOrders[Part Name],$A999,T_PlannedOrders[WeekIndex],75)=0,"",SUMIFS(T_PlannedOrders[EffectiveQty],T_PlannedOrders[Part Name],$A999,T_PlannedOrders[WeekIndex],75)&amp;" ("&amp;TEXT(SUMPRODUCT(MAX((T_PlannedOrders[Part Name]=$A999)*(T_PlannedOrders[WeekIndex]=75)*(T_PlannedOrders[EffectiveQty]&gt;0)*T_PlannedOrders[Order_Month])),"m月")&amp;"発注)")</f>
        <v/>
      </c>
      <c r="CA1033">
        <f>IF(SUMIFS(T_PlannedOrders[EffectiveQty],T_PlannedOrders[Part Name],$A999,T_PlannedOrders[WeekIndex],76)=0,"",SUMIFS(T_PlannedOrders[EffectiveQty],T_PlannedOrders[Part Name],$A999,T_PlannedOrders[WeekIndex],76)&amp;" ("&amp;TEXT(SUMPRODUCT(MAX((T_PlannedOrders[Part Name]=$A999)*(T_PlannedOrders[WeekIndex]=76)*(T_PlannedOrders[EffectiveQty]&gt;0)*T_PlannedOrders[Order_Month])),"m月")&amp;"発注)")</f>
        <v/>
      </c>
      <c r="CB1033">
        <f>IF(SUMIFS(T_PlannedOrders[EffectiveQty],T_PlannedOrders[Part Name],$A999,T_PlannedOrders[WeekIndex],77)=0,"",SUMIFS(T_PlannedOrders[EffectiveQty],T_PlannedOrders[Part Name],$A999,T_PlannedOrders[WeekIndex],77)&amp;" ("&amp;TEXT(SUMPRODUCT(MAX((T_PlannedOrders[Part Name]=$A999)*(T_PlannedOrders[WeekIndex]=77)*(T_PlannedOrders[EffectiveQty]&gt;0)*T_PlannedOrders[Order_Month])),"m月")&amp;"発注)")</f>
        <v/>
      </c>
      <c r="CC1033">
        <f>IF(SUMIFS(T_PlannedOrders[EffectiveQty],T_PlannedOrders[Part Name],$A999,T_PlannedOrders[WeekIndex],78)=0,"",SUMIFS(T_PlannedOrders[EffectiveQty],T_PlannedOrders[Part Name],$A999,T_PlannedOrders[WeekIndex],78)&amp;" ("&amp;TEXT(SUMPRODUCT(MAX((T_PlannedOrders[Part Name]=$A999)*(T_PlannedOrders[WeekIndex]=78)*(T_PlannedOrders[EffectiveQty]&gt;0)*T_PlannedOrders[Order_Month])),"m月")&amp;"発注)")</f>
        <v/>
      </c>
      <c r="CD1033">
        <f>IF(SUMIFS(T_PlannedOrders[EffectiveQty],T_PlannedOrders[Part Name],$A999,T_PlannedOrders[WeekIndex],79)=0,"",SUMIFS(T_PlannedOrders[EffectiveQty],T_PlannedOrders[Part Name],$A999,T_PlannedOrders[WeekIndex],79)&amp;" ("&amp;TEXT(SUMPRODUCT(MAX((T_PlannedOrders[Part Name]=$A999)*(T_PlannedOrders[WeekIndex]=79)*(T_PlannedOrders[EffectiveQty]&gt;0)*T_PlannedOrders[Order_Month])),"m月")&amp;"発注)")</f>
        <v/>
      </c>
      <c r="CE1033">
        <f>IF(SUMIFS(T_PlannedOrders[EffectiveQty],T_PlannedOrders[Part Name],$A999,T_PlannedOrders[WeekIndex],80)=0,"",SUMIFS(T_PlannedOrders[EffectiveQty],T_PlannedOrders[Part Name],$A999,T_PlannedOrders[WeekIndex],80)&amp;" ("&amp;TEXT(SUMPRODUCT(MAX((T_PlannedOrders[Part Name]=$A999)*(T_PlannedOrders[WeekIndex]=80)*(T_PlannedOrders[EffectiveQty]&gt;0)*T_PlannedOrders[Order_Month])),"m月")&amp;"発注)")</f>
        <v/>
      </c>
      <c r="CF1033">
        <f>IF(SUMIFS(T_PlannedOrders[EffectiveQty],T_PlannedOrders[Part Name],$A999,T_PlannedOrders[WeekIndex],81)=0,"",SUMIFS(T_PlannedOrders[EffectiveQty],T_PlannedOrders[Part Name],$A999,T_PlannedOrders[WeekIndex],81)&amp;" ("&amp;TEXT(SUMPRODUCT(MAX((T_PlannedOrders[Part Name]=$A999)*(T_PlannedOrders[WeekIndex]=81)*(T_PlannedOrders[EffectiveQty]&gt;0)*T_PlannedOrders[Order_Month])),"m月")&amp;"発注)")</f>
        <v/>
      </c>
      <c r="CG1033">
        <f>IF(SUMIFS(T_PlannedOrders[EffectiveQty],T_PlannedOrders[Part Name],$A999,T_PlannedOrders[WeekIndex],82)=0,"",SUMIFS(T_PlannedOrders[EffectiveQty],T_PlannedOrders[Part Name],$A999,T_PlannedOrders[WeekIndex],82)&amp;" ("&amp;TEXT(SUMPRODUCT(MAX((T_PlannedOrders[Part Name]=$A999)*(T_PlannedOrders[WeekIndex]=82)*(T_PlannedOrders[EffectiveQty]&gt;0)*T_PlannedOrders[Order_Month])),"m月")&amp;"発注)")</f>
        <v/>
      </c>
      <c r="CH1033">
        <f>IF(SUMIFS(T_PlannedOrders[EffectiveQty],T_PlannedOrders[Part Name],$A999,T_PlannedOrders[WeekIndex],83)=0,"",SUMIFS(T_PlannedOrders[EffectiveQty],T_PlannedOrders[Part Name],$A999,T_PlannedOrders[WeekIndex],83)&amp;" ("&amp;TEXT(SUMPRODUCT(MAX((T_PlannedOrders[Part Name]=$A999)*(T_PlannedOrders[WeekIndex]=83)*(T_PlannedOrders[EffectiveQty]&gt;0)*T_PlannedOrders[Order_Month])),"m月")&amp;"発注)")</f>
        <v/>
      </c>
      <c r="CI1033">
        <f>IF(SUMIFS(T_PlannedOrders[EffectiveQty],T_PlannedOrders[Part Name],$A999,T_PlannedOrders[WeekIndex],84)=0,"",SUMIFS(T_PlannedOrders[EffectiveQty],T_PlannedOrders[Part Name],$A999,T_PlannedOrders[WeekIndex],84)&amp;" ("&amp;TEXT(SUMPRODUCT(MAX((T_PlannedOrders[Part Name]=$A999)*(T_PlannedOrders[WeekIndex]=84)*(T_PlannedOrders[EffectiveQty]&gt;0)*T_PlannedOrders[Order_Month])),"m月")&amp;"発注)")</f>
        <v/>
      </c>
      <c r="CJ1033">
        <f>IF(SUMIFS(T_PlannedOrders[EffectiveQty],T_PlannedOrders[Part Name],$A999,T_PlannedOrders[WeekIndex],85)=0,"",SUMIFS(T_PlannedOrders[EffectiveQty],T_PlannedOrders[Part Name],$A999,T_PlannedOrders[WeekIndex],85)&amp;" ("&amp;TEXT(SUMPRODUCT(MAX((T_PlannedOrders[Part Name]=$A999)*(T_PlannedOrders[WeekIndex]=85)*(T_PlannedOrders[EffectiveQty]&gt;0)*T_PlannedOrders[Order_Month])),"m月")&amp;"発注)")</f>
        <v/>
      </c>
      <c r="CK1033">
        <f>IF(SUMIFS(T_PlannedOrders[EffectiveQty],T_PlannedOrders[Part Name],$A999,T_PlannedOrders[WeekIndex],86)=0,"",SUMIFS(T_PlannedOrders[EffectiveQty],T_PlannedOrders[Part Name],$A999,T_PlannedOrders[WeekIndex],86)&amp;" ("&amp;TEXT(SUMPRODUCT(MAX((T_PlannedOrders[Part Name]=$A999)*(T_PlannedOrders[WeekIndex]=86)*(T_PlannedOrders[EffectiveQty]&gt;0)*T_PlannedOrders[Order_Month])),"m月")&amp;"発注)")</f>
        <v/>
      </c>
      <c r="CL1033">
        <f>IF(SUMIFS(T_PlannedOrders[EffectiveQty],T_PlannedOrders[Part Name],$A999,T_PlannedOrders[WeekIndex],87)=0,"",SUMIFS(T_PlannedOrders[EffectiveQty],T_PlannedOrders[Part Name],$A999,T_PlannedOrders[WeekIndex],87)&amp;" ("&amp;TEXT(SUMPRODUCT(MAX((T_PlannedOrders[Part Name]=$A999)*(T_PlannedOrders[WeekIndex]=87)*(T_PlannedOrders[EffectiveQty]&gt;0)*T_PlannedOrders[Order_Month])),"m月")&amp;"発注)")</f>
        <v/>
      </c>
      <c r="CM1033">
        <f>IF(SUMIFS(T_PlannedOrders[EffectiveQty],T_PlannedOrders[Part Name],$A999,T_PlannedOrders[WeekIndex],88)=0,"",SUMIFS(T_PlannedOrders[EffectiveQty],T_PlannedOrders[Part Name],$A999,T_PlannedOrders[WeekIndex],88)&amp;" ("&amp;TEXT(SUMPRODUCT(MAX((T_PlannedOrders[Part Name]=$A999)*(T_PlannedOrders[WeekIndex]=88)*(T_PlannedOrders[EffectiveQty]&gt;0)*T_PlannedOrders[Order_Month])),"m月")&amp;"発注)")</f>
        <v/>
      </c>
      <c r="CN1033">
        <f>IF(SUMIFS(T_PlannedOrders[EffectiveQty],T_PlannedOrders[Part Name],$A999,T_PlannedOrders[WeekIndex],89)=0,"",SUMIFS(T_PlannedOrders[EffectiveQty],T_PlannedOrders[Part Name],$A999,T_PlannedOrders[WeekIndex],89)&amp;" ("&amp;TEXT(SUMPRODUCT(MAX((T_PlannedOrders[Part Name]=$A999)*(T_PlannedOrders[WeekIndex]=89)*(T_PlannedOrders[EffectiveQty]&gt;0)*T_PlannedOrders[Order_Month])),"m月")&amp;"発注)")</f>
        <v/>
      </c>
      <c r="CO1033">
        <f>IF(SUMIFS(T_PlannedOrders[EffectiveQty],T_PlannedOrders[Part Name],$A999,T_PlannedOrders[WeekIndex],90)=0,"",SUMIFS(T_PlannedOrders[EffectiveQty],T_PlannedOrders[Part Name],$A999,T_PlannedOrders[WeekIndex],90)&amp;" ("&amp;TEXT(SUMPRODUCT(MAX((T_PlannedOrders[Part Name]=$A999)*(T_PlannedOrders[WeekIndex]=90)*(T_PlannedOrders[EffectiveQty]&gt;0)*T_PlannedOrders[Order_Month])),"m月")&amp;"発注)")</f>
        <v/>
      </c>
      <c r="CP1033">
        <f>IF(SUMIFS(T_PlannedOrders[EffectiveQty],T_PlannedOrders[Part Name],$A999,T_PlannedOrders[WeekIndex],91)=0,"",SUMIFS(T_PlannedOrders[EffectiveQty],T_PlannedOrders[Part Name],$A999,T_PlannedOrders[WeekIndex],91)&amp;" ("&amp;TEXT(SUMPRODUCT(MAX((T_PlannedOrders[Part Name]=$A999)*(T_PlannedOrders[WeekIndex]=91)*(T_PlannedOrders[EffectiveQty]&gt;0)*T_PlannedOrders[Order_Month])),"m月")&amp;"発注)")</f>
        <v/>
      </c>
      <c r="CQ1033">
        <f>IF(SUMIFS(T_PlannedOrders[EffectiveQty],T_PlannedOrders[Part Name],$A999,T_PlannedOrders[WeekIndex],92)=0,"",SUMIFS(T_PlannedOrders[EffectiveQty],T_PlannedOrders[Part Name],$A999,T_PlannedOrders[WeekIndex],92)&amp;" ("&amp;TEXT(SUMPRODUCT(MAX((T_PlannedOrders[Part Name]=$A999)*(T_PlannedOrders[WeekIndex]=92)*(T_PlannedOrders[EffectiveQty]&gt;0)*T_PlannedOrders[Order_Month])),"m月")&amp;"発注)")</f>
        <v/>
      </c>
      <c r="CR1033">
        <f>IF(SUMIFS(T_PlannedOrders[EffectiveQty],T_PlannedOrders[Part Name],$A999,T_PlannedOrders[WeekIndex],93)=0,"",SUMIFS(T_PlannedOrders[EffectiveQty],T_PlannedOrders[Part Name],$A999,T_PlannedOrders[WeekIndex],93)&amp;" ("&amp;TEXT(SUMPRODUCT(MAX((T_PlannedOrders[Part Name]=$A999)*(T_PlannedOrders[WeekIndex]=93)*(T_PlannedOrders[EffectiveQty]&gt;0)*T_PlannedOrders[Order_Month])),"m月")&amp;"発注)")</f>
        <v/>
      </c>
      <c r="CS1033">
        <f>IF(SUMIFS(T_PlannedOrders[EffectiveQty],T_PlannedOrders[Part Name],$A999,T_PlannedOrders[WeekIndex],94)=0,"",SUMIFS(T_PlannedOrders[EffectiveQty],T_PlannedOrders[Part Name],$A999,T_PlannedOrders[WeekIndex],94)&amp;" ("&amp;TEXT(SUMPRODUCT(MAX((T_PlannedOrders[Part Name]=$A999)*(T_PlannedOrders[WeekIndex]=94)*(T_PlannedOrders[EffectiveQty]&gt;0)*T_PlannedOrders[Order_Month])),"m月")&amp;"発注)")</f>
        <v/>
      </c>
      <c r="CT1033">
        <f>IF(SUMIFS(T_PlannedOrders[EffectiveQty],T_PlannedOrders[Part Name],$A999,T_PlannedOrders[WeekIndex],95)=0,"",SUMIFS(T_PlannedOrders[EffectiveQty],T_PlannedOrders[Part Name],$A999,T_PlannedOrders[WeekIndex],95)&amp;" ("&amp;TEXT(SUMPRODUCT(MAX((T_PlannedOrders[Part Name]=$A999)*(T_PlannedOrders[WeekIndex]=95)*(T_PlannedOrders[EffectiveQty]&gt;0)*T_PlannedOrders[Order_Month])),"m月")&amp;"発注)")</f>
        <v/>
      </c>
      <c r="CU1033">
        <f>IF(SUMIFS(T_PlannedOrders[EffectiveQty],T_PlannedOrders[Part Name],$A999,T_PlannedOrders[WeekIndex],96)=0,"",SUMIFS(T_PlannedOrders[EffectiveQty],T_PlannedOrders[Part Name],$A999,T_PlannedOrders[WeekIndex],96)&amp;" ("&amp;TEXT(SUMPRODUCT(MAX((T_PlannedOrders[Part Name]=$A999)*(T_PlannedOrders[WeekIndex]=96)*(T_PlannedOrders[EffectiveQty]&gt;0)*T_PlannedOrders[Order_Month])),"m月")&amp;"発注)")</f>
        <v/>
      </c>
      <c r="CV1033">
        <f>IF(SUMIFS(T_PlannedOrders[EffectiveQty],T_PlannedOrders[Part Name],$A999,T_PlannedOrders[WeekIndex],97)=0,"",SUMIFS(T_PlannedOrders[EffectiveQty],T_PlannedOrders[Part Name],$A999,T_PlannedOrders[WeekIndex],97)&amp;" ("&amp;TEXT(SUMPRODUCT(MAX((T_PlannedOrders[Part Name]=$A999)*(T_PlannedOrders[WeekIndex]=97)*(T_PlannedOrders[EffectiveQty]&gt;0)*T_PlannedOrders[Order_Month])),"m月")&amp;"発注)")</f>
        <v/>
      </c>
      <c r="CW1033">
        <f>IF(SUMIFS(T_PlannedOrders[EffectiveQty],T_PlannedOrders[Part Name],$A999,T_PlannedOrders[WeekIndex],98)=0,"",SUMIFS(T_PlannedOrders[EffectiveQty],T_PlannedOrders[Part Name],$A999,T_PlannedOrders[WeekIndex],98)&amp;" ("&amp;TEXT(SUMPRODUCT(MAX((T_PlannedOrders[Part Name]=$A999)*(T_PlannedOrders[WeekIndex]=98)*(T_PlannedOrders[EffectiveQty]&gt;0)*T_PlannedOrders[Order_Month])),"m月")&amp;"発注)")</f>
        <v/>
      </c>
      <c r="CX1033">
        <f>IF(SUMIFS(T_PlannedOrders[EffectiveQty],T_PlannedOrders[Part Name],$A999,T_PlannedOrders[WeekIndex],99)=0,"",SUMIFS(T_PlannedOrders[EffectiveQty],T_PlannedOrders[Part Name],$A999,T_PlannedOrders[WeekIndex],99)&amp;" ("&amp;TEXT(SUMPRODUCT(MAX((T_PlannedOrders[Part Name]=$A999)*(T_PlannedOrders[WeekIndex]=99)*(T_PlannedOrders[EffectiveQty]&gt;0)*T_PlannedOrders[Order_Month])),"m月")&amp;"発注)")</f>
        <v/>
      </c>
      <c r="CY1033">
        <f>IF(SUMIFS(T_PlannedOrders[EffectiveQty],T_PlannedOrders[Part Name],$A999,T_PlannedOrders[WeekIndex],100)=0,"",SUMIFS(T_PlannedOrders[EffectiveQty],T_PlannedOrders[Part Name],$A999,T_PlannedOrders[WeekIndex],100)&amp;" ("&amp;TEXT(SUMPRODUCT(MAX((T_PlannedOrders[Part Name]=$A999)*(T_PlannedOrders[WeekIndex]=100)*(T_PlannedOrders[EffectiveQty]&gt;0)*T_PlannedOrders[Order_Month])),"m月")&amp;"発注)")</f>
        <v/>
      </c>
      <c r="CZ1033">
        <f>IF(SUMIFS(T_PlannedOrders[EffectiveQty],T_PlannedOrders[Part Name],$A999,T_PlannedOrders[WeekIndex],101)=0,"",SUMIFS(T_PlannedOrders[EffectiveQty],T_PlannedOrders[Part Name],$A999,T_PlannedOrders[WeekIndex],101)&amp;" ("&amp;TEXT(SUMPRODUCT(MAX((T_PlannedOrders[Part Name]=$A999)*(T_PlannedOrders[WeekIndex]=101)*(T_PlannedOrders[EffectiveQty]&gt;0)*T_PlannedOrders[Order_Month])),"m月")&amp;"発注)")</f>
        <v/>
      </c>
      <c r="DA1033">
        <f>IF(SUMIFS(T_PlannedOrders[EffectiveQty],T_PlannedOrders[Part Name],$A999,T_PlannedOrders[WeekIndex],102)=0,"",SUMIFS(T_PlannedOrders[EffectiveQty],T_PlannedOrders[Part Name],$A999,T_PlannedOrders[WeekIndex],102)&amp;" ("&amp;TEXT(SUMPRODUCT(MAX((T_PlannedOrders[Part Name]=$A999)*(T_PlannedOrders[WeekIndex]=102)*(T_PlannedOrders[EffectiveQty]&gt;0)*T_PlannedOrders[Order_Month])),"m月")&amp;"発注)")</f>
        <v/>
      </c>
      <c r="DB1033">
        <f>IF(SUMIFS(T_PlannedOrders[EffectiveQty],T_PlannedOrders[Part Name],$A999,T_PlannedOrders[WeekIndex],103)=0,"",SUMIFS(T_PlannedOrders[EffectiveQty],T_PlannedOrders[Part Name],$A999,T_PlannedOrders[WeekIndex],103)&amp;" ("&amp;TEXT(SUMPRODUCT(MAX((T_PlannedOrders[Part Name]=$A999)*(T_PlannedOrders[WeekIndex]=103)*(T_PlannedOrders[EffectiveQty]&gt;0)*T_PlannedOrders[Order_Month])),"m月")&amp;"発注)")</f>
        <v/>
      </c>
      <c r="DC1033">
        <f>IF(SUMIFS(T_PlannedOrders[EffectiveQty],T_PlannedOrders[Part Name],$A999,T_PlannedOrders[WeekIndex],104)=0,"",SUMIFS(T_PlannedOrders[EffectiveQty],T_PlannedOrders[Part Name],$A999,T_PlannedOrders[WeekIndex],104)&amp;" ("&amp;TEXT(SUMPRODUCT(MAX((T_PlannedOrders[Part Name]=$A999)*(T_PlannedOrders[WeekIndex]=104)*(T_PlannedOrders[EffectiveQty]&gt;0)*T_PlannedOrders[Order_Month])),"m月")&amp;"発注)")</f>
        <v/>
      </c>
    </row>
    <row r="1034">
      <c r="B1034" s="5" t="inlineStr">
        <is>
          <t>合計在庫(週末時点,kg)</t>
        </is>
      </c>
      <c r="D1034">
        <f>'Grid_Stock'!B57</f>
        <v/>
      </c>
      <c r="E1034">
        <f>'Grid_Stock'!C57</f>
        <v/>
      </c>
      <c r="F1034">
        <f>'Grid_Stock'!D57</f>
        <v/>
      </c>
      <c r="G1034">
        <f>'Grid_Stock'!E57</f>
        <v/>
      </c>
      <c r="H1034">
        <f>'Grid_Stock'!F57</f>
        <v/>
      </c>
      <c r="I1034">
        <f>'Grid_Stock'!G57</f>
        <v/>
      </c>
      <c r="J1034">
        <f>'Grid_Stock'!H57</f>
        <v/>
      </c>
      <c r="K1034">
        <f>'Grid_Stock'!I57</f>
        <v/>
      </c>
      <c r="L1034">
        <f>'Grid_Stock'!J57</f>
        <v/>
      </c>
      <c r="M1034">
        <f>'Grid_Stock'!K57</f>
        <v/>
      </c>
      <c r="N1034">
        <f>'Grid_Stock'!L57</f>
        <v/>
      </c>
      <c r="O1034">
        <f>'Grid_Stock'!M57</f>
        <v/>
      </c>
      <c r="P1034">
        <f>'Grid_Stock'!N57</f>
        <v/>
      </c>
      <c r="Q1034">
        <f>'Grid_Stock'!O57</f>
        <v/>
      </c>
      <c r="R1034">
        <f>'Grid_Stock'!P57</f>
        <v/>
      </c>
      <c r="S1034">
        <f>'Grid_Stock'!Q57</f>
        <v/>
      </c>
      <c r="T1034">
        <f>'Grid_Stock'!R57</f>
        <v/>
      </c>
      <c r="U1034">
        <f>'Grid_Stock'!S57</f>
        <v/>
      </c>
      <c r="V1034">
        <f>'Grid_Stock'!T57</f>
        <v/>
      </c>
      <c r="W1034">
        <f>'Grid_Stock'!U57</f>
        <v/>
      </c>
      <c r="X1034">
        <f>'Grid_Stock'!V57</f>
        <v/>
      </c>
      <c r="Y1034">
        <f>'Grid_Stock'!W57</f>
        <v/>
      </c>
      <c r="Z1034">
        <f>'Grid_Stock'!X57</f>
        <v/>
      </c>
      <c r="AA1034">
        <f>'Grid_Stock'!Y57</f>
        <v/>
      </c>
      <c r="AB1034">
        <f>'Grid_Stock'!Z57</f>
        <v/>
      </c>
      <c r="AC1034">
        <f>'Grid_Stock'!AA57</f>
        <v/>
      </c>
      <c r="AD1034">
        <f>'Grid_Stock'!AB57</f>
        <v/>
      </c>
      <c r="AE1034">
        <f>'Grid_Stock'!AC57</f>
        <v/>
      </c>
      <c r="AF1034">
        <f>'Grid_Stock'!AD57</f>
        <v/>
      </c>
      <c r="AG1034">
        <f>'Grid_Stock'!AE57</f>
        <v/>
      </c>
      <c r="AH1034">
        <f>'Grid_Stock'!AF57</f>
        <v/>
      </c>
      <c r="AI1034">
        <f>'Grid_Stock'!AG57</f>
        <v/>
      </c>
      <c r="AJ1034">
        <f>'Grid_Stock'!AH57</f>
        <v/>
      </c>
      <c r="AK1034">
        <f>'Grid_Stock'!AI57</f>
        <v/>
      </c>
      <c r="AL1034">
        <f>'Grid_Stock'!AJ57</f>
        <v/>
      </c>
      <c r="AM1034">
        <f>'Grid_Stock'!AK57</f>
        <v/>
      </c>
      <c r="AN1034">
        <f>'Grid_Stock'!AL57</f>
        <v/>
      </c>
      <c r="AO1034">
        <f>'Grid_Stock'!AM57</f>
        <v/>
      </c>
      <c r="AP1034">
        <f>'Grid_Stock'!AN57</f>
        <v/>
      </c>
      <c r="AQ1034">
        <f>'Grid_Stock'!AO57</f>
        <v/>
      </c>
      <c r="AR1034">
        <f>'Grid_Stock'!AP57</f>
        <v/>
      </c>
      <c r="AS1034">
        <f>'Grid_Stock'!AQ57</f>
        <v/>
      </c>
      <c r="AT1034">
        <f>'Grid_Stock'!AR57</f>
        <v/>
      </c>
      <c r="AU1034">
        <f>'Grid_Stock'!AS57</f>
        <v/>
      </c>
      <c r="AV1034">
        <f>'Grid_Stock'!AT57</f>
        <v/>
      </c>
      <c r="AW1034">
        <f>'Grid_Stock'!AU57</f>
        <v/>
      </c>
      <c r="AX1034">
        <f>'Grid_Stock'!AV57</f>
        <v/>
      </c>
      <c r="AY1034">
        <f>'Grid_Stock'!AW57</f>
        <v/>
      </c>
      <c r="AZ1034">
        <f>'Grid_Stock'!AX57</f>
        <v/>
      </c>
      <c r="BA1034">
        <f>'Grid_Stock'!AY57</f>
        <v/>
      </c>
      <c r="BB1034">
        <f>'Grid_Stock'!AZ57</f>
        <v/>
      </c>
      <c r="BC1034">
        <f>'Grid_Stock'!BA57</f>
        <v/>
      </c>
      <c r="BD1034">
        <f>'Grid_Stock'!BB57</f>
        <v/>
      </c>
      <c r="BE1034">
        <f>'Grid_Stock'!BC57</f>
        <v/>
      </c>
      <c r="BF1034">
        <f>'Grid_Stock'!BD57</f>
        <v/>
      </c>
      <c r="BG1034">
        <f>'Grid_Stock'!BE57</f>
        <v/>
      </c>
      <c r="BH1034">
        <f>'Grid_Stock'!BF57</f>
        <v/>
      </c>
      <c r="BI1034">
        <f>'Grid_Stock'!BG57</f>
        <v/>
      </c>
      <c r="BJ1034">
        <f>'Grid_Stock'!BH57</f>
        <v/>
      </c>
      <c r="BK1034">
        <f>'Grid_Stock'!BI57</f>
        <v/>
      </c>
      <c r="BL1034">
        <f>'Grid_Stock'!BJ57</f>
        <v/>
      </c>
      <c r="BM1034">
        <f>'Grid_Stock'!BK57</f>
        <v/>
      </c>
      <c r="BN1034">
        <f>'Grid_Stock'!BL57</f>
        <v/>
      </c>
      <c r="BO1034">
        <f>'Grid_Stock'!BM57</f>
        <v/>
      </c>
      <c r="BP1034">
        <f>'Grid_Stock'!BN57</f>
        <v/>
      </c>
      <c r="BQ1034">
        <f>'Grid_Stock'!BO57</f>
        <v/>
      </c>
      <c r="BR1034">
        <f>'Grid_Stock'!BP57</f>
        <v/>
      </c>
      <c r="BS1034">
        <f>'Grid_Stock'!BQ57</f>
        <v/>
      </c>
      <c r="BT1034">
        <f>'Grid_Stock'!BR57</f>
        <v/>
      </c>
      <c r="BU1034">
        <f>'Grid_Stock'!BS57</f>
        <v/>
      </c>
      <c r="BV1034">
        <f>'Grid_Stock'!BT57</f>
        <v/>
      </c>
      <c r="BW1034">
        <f>'Grid_Stock'!BU57</f>
        <v/>
      </c>
      <c r="BX1034">
        <f>'Grid_Stock'!BV57</f>
        <v/>
      </c>
      <c r="BY1034">
        <f>'Grid_Stock'!BW57</f>
        <v/>
      </c>
      <c r="BZ1034">
        <f>'Grid_Stock'!BX57</f>
        <v/>
      </c>
      <c r="CA1034">
        <f>'Grid_Stock'!BY57</f>
        <v/>
      </c>
      <c r="CB1034">
        <f>'Grid_Stock'!BZ57</f>
        <v/>
      </c>
      <c r="CC1034">
        <f>'Grid_Stock'!CA57</f>
        <v/>
      </c>
      <c r="CD1034">
        <f>'Grid_Stock'!CB57</f>
        <v/>
      </c>
      <c r="CE1034">
        <f>'Grid_Stock'!CC57</f>
        <v/>
      </c>
      <c r="CF1034">
        <f>'Grid_Stock'!CD57</f>
        <v/>
      </c>
      <c r="CG1034">
        <f>'Grid_Stock'!CE57</f>
        <v/>
      </c>
      <c r="CH1034">
        <f>'Grid_Stock'!CF57</f>
        <v/>
      </c>
      <c r="CI1034">
        <f>'Grid_Stock'!CG57</f>
        <v/>
      </c>
      <c r="CJ1034">
        <f>'Grid_Stock'!CH57</f>
        <v/>
      </c>
      <c r="CK1034">
        <f>'Grid_Stock'!CI57</f>
        <v/>
      </c>
      <c r="CL1034">
        <f>'Grid_Stock'!CJ57</f>
        <v/>
      </c>
      <c r="CM1034">
        <f>'Grid_Stock'!CK57</f>
        <v/>
      </c>
      <c r="CN1034">
        <f>'Grid_Stock'!CL57</f>
        <v/>
      </c>
      <c r="CO1034">
        <f>'Grid_Stock'!CM57</f>
        <v/>
      </c>
      <c r="CP1034">
        <f>'Grid_Stock'!CN57</f>
        <v/>
      </c>
      <c r="CQ1034">
        <f>'Grid_Stock'!CO57</f>
        <v/>
      </c>
      <c r="CR1034">
        <f>'Grid_Stock'!CP57</f>
        <v/>
      </c>
      <c r="CS1034">
        <f>'Grid_Stock'!CQ57</f>
        <v/>
      </c>
      <c r="CT1034">
        <f>'Grid_Stock'!CR57</f>
        <v/>
      </c>
      <c r="CU1034">
        <f>'Grid_Stock'!CS57</f>
        <v/>
      </c>
      <c r="CV1034">
        <f>'Grid_Stock'!CT57</f>
        <v/>
      </c>
      <c r="CW1034">
        <f>'Grid_Stock'!CU57</f>
        <v/>
      </c>
      <c r="CX1034">
        <f>'Grid_Stock'!CV57</f>
        <v/>
      </c>
      <c r="CY1034">
        <f>'Grid_Stock'!CW57</f>
        <v/>
      </c>
      <c r="CZ1034">
        <f>'Grid_Stock'!CX57</f>
        <v/>
      </c>
      <c r="DA1034">
        <f>'Grid_Stock'!CY57</f>
        <v/>
      </c>
      <c r="DB1034">
        <f>'Grid_Stock'!CZ57</f>
        <v/>
      </c>
      <c r="DC1034">
        <f>'Grid_Stock'!DA57</f>
        <v/>
      </c>
    </row>
    <row r="1035">
      <c r="B1035" s="23" t="inlineStr">
        <is>
          <t>（発注の目安はDashboardの基準在庫[下限/上限]と色分けを参照）</t>
        </is>
      </c>
    </row>
    <row r="1037">
      <c r="A1037" s="21" t="inlineStr">
        <is>
          <t>CHEM-1240</t>
        </is>
      </c>
      <c r="B1037" s="21" t="inlineStr">
        <is>
          <t>Alumina Sol [AS-200]</t>
        </is>
      </c>
      <c r="C1037" s="22" t="n"/>
      <c r="D1037" s="21" t="n"/>
      <c r="E1037" s="21" t="n"/>
      <c r="F1037" s="21" t="n"/>
      <c r="G1037" s="21" t="n"/>
      <c r="H1037" s="21" t="n"/>
      <c r="I1037" s="21" t="n"/>
      <c r="J1037" s="21" t="n"/>
      <c r="K1037" s="21" t="n"/>
      <c r="L1037" s="21" t="n"/>
      <c r="M1037" s="21" t="n"/>
      <c r="N1037" s="21" t="n"/>
      <c r="O1037" s="21" t="n"/>
      <c r="P1037" s="21" t="n"/>
      <c r="Q1037" s="21" t="n"/>
      <c r="R1037" s="21" t="n"/>
      <c r="S1037" s="21" t="n"/>
      <c r="T1037" s="21" t="n"/>
      <c r="U1037" s="21" t="n"/>
      <c r="V1037" s="21" t="n"/>
      <c r="W1037" s="21" t="n"/>
      <c r="X1037" s="21" t="n"/>
      <c r="Y1037" s="21" t="n"/>
      <c r="Z1037" s="21" t="n"/>
      <c r="AA1037" s="21" t="n"/>
      <c r="AB1037" s="21" t="n"/>
      <c r="AC1037" s="21" t="n"/>
      <c r="AD1037" s="21" t="n"/>
      <c r="AE1037" s="21" t="n"/>
      <c r="AF1037" s="21" t="n"/>
      <c r="AG1037" s="21" t="n"/>
      <c r="AH1037" s="21" t="n"/>
      <c r="AI1037" s="21" t="n"/>
      <c r="AJ1037" s="21" t="n"/>
      <c r="AK1037" s="21" t="n"/>
      <c r="AL1037" s="21" t="n"/>
      <c r="AM1037" s="21" t="n"/>
      <c r="AN1037" s="21" t="n"/>
      <c r="AO1037" s="21" t="n"/>
      <c r="AP1037" s="21" t="n"/>
      <c r="AQ1037" s="21" t="n"/>
      <c r="AR1037" s="21" t="n"/>
      <c r="AS1037" s="21" t="n"/>
      <c r="AT1037" s="21" t="n"/>
      <c r="AU1037" s="21" t="n"/>
      <c r="AV1037" s="21" t="n"/>
      <c r="AW1037" s="21" t="n"/>
      <c r="AX1037" s="21" t="n"/>
      <c r="AY1037" s="21" t="n"/>
      <c r="AZ1037" s="21" t="n"/>
      <c r="BA1037" s="21" t="n"/>
      <c r="BB1037" s="21" t="n"/>
      <c r="BC1037" s="21" t="n"/>
      <c r="BD1037" s="21" t="n"/>
      <c r="BE1037" s="21" t="n"/>
      <c r="BF1037" s="21" t="n"/>
      <c r="BG1037" s="21" t="n"/>
      <c r="BH1037" s="21" t="n"/>
      <c r="BI1037" s="21" t="n"/>
      <c r="BJ1037" s="21" t="n"/>
      <c r="BK1037" s="21" t="n"/>
      <c r="BL1037" s="21" t="n"/>
      <c r="BM1037" s="21" t="n"/>
      <c r="BN1037" s="21" t="n"/>
      <c r="BO1037" s="21" t="n"/>
      <c r="BP1037" s="21" t="n"/>
      <c r="BQ1037" s="21" t="n"/>
      <c r="BR1037" s="21" t="n"/>
      <c r="BS1037" s="21" t="n"/>
      <c r="BT1037" s="21" t="n"/>
      <c r="BU1037" s="21" t="n"/>
      <c r="BV1037" s="21" t="n"/>
      <c r="BW1037" s="21" t="n"/>
      <c r="BX1037" s="21" t="n"/>
      <c r="BY1037" s="21" t="n"/>
      <c r="BZ1037" s="21" t="n"/>
      <c r="CA1037" s="21" t="n"/>
      <c r="CB1037" s="21" t="n"/>
      <c r="CC1037" s="21" t="n"/>
      <c r="CD1037" s="21" t="n"/>
      <c r="CE1037" s="21" t="n"/>
      <c r="CF1037" s="21" t="n"/>
      <c r="CG1037" s="21" t="n"/>
      <c r="CH1037" s="21" t="n"/>
      <c r="CI1037" s="21" t="n"/>
      <c r="CJ1037" s="21" t="n"/>
      <c r="CK1037" s="21" t="n"/>
      <c r="CL1037" s="21" t="n"/>
      <c r="CM1037" s="21" t="n"/>
      <c r="CN1037" s="21" t="n"/>
      <c r="CO1037" s="21" t="n"/>
      <c r="CP1037" s="21" t="n"/>
      <c r="CQ1037" s="21" t="n"/>
      <c r="CR1037" s="21" t="n"/>
      <c r="CS1037" s="21" t="n"/>
      <c r="CT1037" s="21" t="n"/>
      <c r="CU1037" s="21" t="n"/>
      <c r="CV1037" s="21" t="n"/>
      <c r="CW1037" s="21" t="n"/>
      <c r="CX1037" s="21" t="n"/>
      <c r="CY1037" s="21" t="n"/>
      <c r="CZ1037" s="21" t="n"/>
      <c r="DA1037" s="21" t="n"/>
      <c r="DB1037" s="21" t="n"/>
      <c r="DC1037" s="21" t="n"/>
    </row>
    <row r="1038">
      <c r="B1038" t="inlineStr">
        <is>
          <t>TSP-1448</t>
        </is>
      </c>
      <c r="C1038" t="inlineStr">
        <is>
          <t>No. of batches</t>
        </is>
      </c>
      <c r="D1038">
        <f>IFERROR(INDEX(PP_Grid[#Data],$DD1038,2),0)</f>
        <v/>
      </c>
      <c r="E1038">
        <f>IFERROR(INDEX(PP_Grid[#Data],$DD1038,3),0)</f>
        <v/>
      </c>
      <c r="F1038">
        <f>IFERROR(INDEX(PP_Grid[#Data],$DD1038,4),0)</f>
        <v/>
      </c>
      <c r="G1038">
        <f>IFERROR(INDEX(PP_Grid[#Data],$DD1038,5),0)</f>
        <v/>
      </c>
      <c r="H1038">
        <f>IFERROR(INDEX(PP_Grid[#Data],$DD1038,6),0)</f>
        <v/>
      </c>
      <c r="I1038">
        <f>IFERROR(INDEX(PP_Grid[#Data],$DD1038,7),0)</f>
        <v/>
      </c>
      <c r="J1038">
        <f>IFERROR(INDEX(PP_Grid[#Data],$DD1038,8),0)</f>
        <v/>
      </c>
      <c r="K1038">
        <f>IFERROR(INDEX(PP_Grid[#Data],$DD1038,9),0)</f>
        <v/>
      </c>
      <c r="L1038">
        <f>IFERROR(INDEX(PP_Grid[#Data],$DD1038,10),0)</f>
        <v/>
      </c>
      <c r="M1038">
        <f>IFERROR(INDEX(PP_Grid[#Data],$DD1038,11),0)</f>
        <v/>
      </c>
      <c r="N1038">
        <f>IFERROR(INDEX(PP_Grid[#Data],$DD1038,12),0)</f>
        <v/>
      </c>
      <c r="O1038">
        <f>IFERROR(INDEX(PP_Grid[#Data],$DD1038,13),0)</f>
        <v/>
      </c>
      <c r="P1038">
        <f>IFERROR(INDEX(PP_Grid[#Data],$DD1038,14),0)</f>
        <v/>
      </c>
      <c r="Q1038">
        <f>IFERROR(INDEX(PP_Grid[#Data],$DD1038,15),0)</f>
        <v/>
      </c>
      <c r="R1038">
        <f>IFERROR(INDEX(PP_Grid[#Data],$DD1038,16),0)</f>
        <v/>
      </c>
      <c r="S1038">
        <f>IFERROR(INDEX(PP_Grid[#Data],$DD1038,17),0)</f>
        <v/>
      </c>
      <c r="T1038">
        <f>IFERROR(INDEX(PP_Grid[#Data],$DD1038,18),0)</f>
        <v/>
      </c>
      <c r="U1038">
        <f>IFERROR(INDEX(PP_Grid[#Data],$DD1038,19),0)</f>
        <v/>
      </c>
      <c r="V1038">
        <f>IFERROR(INDEX(PP_Grid[#Data],$DD1038,20),0)</f>
        <v/>
      </c>
      <c r="W1038">
        <f>IFERROR(INDEX(PP_Grid[#Data],$DD1038,21),0)</f>
        <v/>
      </c>
      <c r="X1038">
        <f>IFERROR(INDEX(PP_Grid[#Data],$DD1038,22),0)</f>
        <v/>
      </c>
      <c r="Y1038">
        <f>IFERROR(INDEX(PP_Grid[#Data],$DD1038,23),0)</f>
        <v/>
      </c>
      <c r="Z1038">
        <f>IFERROR(INDEX(PP_Grid[#Data],$DD1038,24),0)</f>
        <v/>
      </c>
      <c r="AA1038">
        <f>IFERROR(INDEX(PP_Grid[#Data],$DD1038,25),0)</f>
        <v/>
      </c>
      <c r="AB1038">
        <f>IFERROR(INDEX(PP_Grid[#Data],$DD1038,26),0)</f>
        <v/>
      </c>
      <c r="AC1038">
        <f>IFERROR(INDEX(PP_Grid[#Data],$DD1038,27),0)</f>
        <v/>
      </c>
      <c r="AD1038">
        <f>IFERROR(INDEX(PP_Grid[#Data],$DD1038,28),0)</f>
        <v/>
      </c>
      <c r="AE1038">
        <f>IFERROR(INDEX(PP_Grid[#Data],$DD1038,29),0)</f>
        <v/>
      </c>
      <c r="AF1038">
        <f>IFERROR(INDEX(PP_Grid[#Data],$DD1038,30),0)</f>
        <v/>
      </c>
      <c r="AG1038">
        <f>IFERROR(INDEX(PP_Grid[#Data],$DD1038,31),0)</f>
        <v/>
      </c>
      <c r="AH1038">
        <f>IFERROR(INDEX(PP_Grid[#Data],$DD1038,32),0)</f>
        <v/>
      </c>
      <c r="AI1038">
        <f>IFERROR(INDEX(PP_Grid[#Data],$DD1038,33),0)</f>
        <v/>
      </c>
      <c r="AJ1038">
        <f>IFERROR(INDEX(PP_Grid[#Data],$DD1038,34),0)</f>
        <v/>
      </c>
      <c r="AK1038">
        <f>IFERROR(INDEX(PP_Grid[#Data],$DD1038,35),0)</f>
        <v/>
      </c>
      <c r="AL1038">
        <f>IFERROR(INDEX(PP_Grid[#Data],$DD1038,36),0)</f>
        <v/>
      </c>
      <c r="AM1038">
        <f>IFERROR(INDEX(PP_Grid[#Data],$DD1038,37),0)</f>
        <v/>
      </c>
      <c r="AN1038">
        <f>IFERROR(INDEX(PP_Grid[#Data],$DD1038,38),0)</f>
        <v/>
      </c>
      <c r="AO1038">
        <f>IFERROR(INDEX(PP_Grid[#Data],$DD1038,39),0)</f>
        <v/>
      </c>
      <c r="AP1038">
        <f>IFERROR(INDEX(PP_Grid[#Data],$DD1038,40),0)</f>
        <v/>
      </c>
      <c r="AQ1038">
        <f>IFERROR(INDEX(PP_Grid[#Data],$DD1038,41),0)</f>
        <v/>
      </c>
      <c r="AR1038">
        <f>IFERROR(INDEX(PP_Grid[#Data],$DD1038,42),0)</f>
        <v/>
      </c>
      <c r="AS1038">
        <f>IFERROR(INDEX(PP_Grid[#Data],$DD1038,43),0)</f>
        <v/>
      </c>
      <c r="AT1038">
        <f>IFERROR(INDEX(PP_Grid[#Data],$DD1038,44),0)</f>
        <v/>
      </c>
      <c r="AU1038">
        <f>IFERROR(INDEX(PP_Grid[#Data],$DD1038,45),0)</f>
        <v/>
      </c>
      <c r="AV1038">
        <f>IFERROR(INDEX(PP_Grid[#Data],$DD1038,46),0)</f>
        <v/>
      </c>
      <c r="AW1038">
        <f>IFERROR(INDEX(PP_Grid[#Data],$DD1038,47),0)</f>
        <v/>
      </c>
      <c r="AX1038">
        <f>IFERROR(INDEX(PP_Grid[#Data],$DD1038,48),0)</f>
        <v/>
      </c>
      <c r="AY1038">
        <f>IFERROR(INDEX(PP_Grid[#Data],$DD1038,49),0)</f>
        <v/>
      </c>
      <c r="AZ1038">
        <f>IFERROR(INDEX(PP_Grid[#Data],$DD1038,50),0)</f>
        <v/>
      </c>
      <c r="BA1038">
        <f>IFERROR(INDEX(PP_Grid[#Data],$DD1038,51),0)</f>
        <v/>
      </c>
      <c r="BB1038">
        <f>IFERROR(INDEX(PP_Grid[#Data],$DD1038,52),0)</f>
        <v/>
      </c>
      <c r="BC1038">
        <f>IFERROR(INDEX(PP_Grid[#Data],$DD1038,53),0)</f>
        <v/>
      </c>
      <c r="BD1038">
        <f>IFERROR(INDEX(PP_Grid[#Data],$DD1038,54),0)</f>
        <v/>
      </c>
      <c r="BE1038">
        <f>IFERROR(INDEX(PP_Grid[#Data],$DD1038,55),0)</f>
        <v/>
      </c>
      <c r="BF1038">
        <f>IFERROR(INDEX(PP_Grid[#Data],$DD1038,56),0)</f>
        <v/>
      </c>
      <c r="BG1038">
        <f>IFERROR(INDEX(PP_Grid[#Data],$DD1038,57),0)</f>
        <v/>
      </c>
      <c r="BH1038">
        <f>IFERROR(INDEX(PP_Grid[#Data],$DD1038,58),0)</f>
        <v/>
      </c>
      <c r="BI1038">
        <f>IFERROR(INDEX(PP_Grid[#Data],$DD1038,59),0)</f>
        <v/>
      </c>
      <c r="BJ1038">
        <f>IFERROR(INDEX(PP_Grid[#Data],$DD1038,60),0)</f>
        <v/>
      </c>
      <c r="BK1038">
        <f>IFERROR(INDEX(PP_Grid[#Data],$DD1038,61),0)</f>
        <v/>
      </c>
      <c r="BL1038">
        <f>IFERROR(INDEX(PP_Grid[#Data],$DD1038,62),0)</f>
        <v/>
      </c>
      <c r="BM1038">
        <f>IFERROR(INDEX(PP_Grid[#Data],$DD1038,63),0)</f>
        <v/>
      </c>
      <c r="BN1038">
        <f>IFERROR(INDEX(PP_Grid[#Data],$DD1038,64),0)</f>
        <v/>
      </c>
      <c r="BO1038">
        <f>IFERROR(INDEX(PP_Grid[#Data],$DD1038,65),0)</f>
        <v/>
      </c>
      <c r="BP1038">
        <f>IFERROR(INDEX(PP_Grid[#Data],$DD1038,66),0)</f>
        <v/>
      </c>
      <c r="BQ1038">
        <f>IFERROR(INDEX(PP_Grid[#Data],$DD1038,67),0)</f>
        <v/>
      </c>
      <c r="BR1038">
        <f>IFERROR(INDEX(PP_Grid[#Data],$DD1038,68),0)</f>
        <v/>
      </c>
      <c r="BS1038">
        <f>IFERROR(INDEX(PP_Grid[#Data],$DD1038,69),0)</f>
        <v/>
      </c>
      <c r="BT1038">
        <f>IFERROR(INDEX(PP_Grid[#Data],$DD1038,70),0)</f>
        <v/>
      </c>
      <c r="BU1038">
        <f>IFERROR(INDEX(PP_Grid[#Data],$DD1038,71),0)</f>
        <v/>
      </c>
      <c r="BV1038">
        <f>IFERROR(INDEX(PP_Grid[#Data],$DD1038,72),0)</f>
        <v/>
      </c>
      <c r="BW1038">
        <f>IFERROR(INDEX(PP_Grid[#Data],$DD1038,73),0)</f>
        <v/>
      </c>
      <c r="BX1038">
        <f>IFERROR(INDEX(PP_Grid[#Data],$DD1038,74),0)</f>
        <v/>
      </c>
      <c r="BY1038">
        <f>IFERROR(INDEX(PP_Grid[#Data],$DD1038,75),0)</f>
        <v/>
      </c>
      <c r="BZ1038">
        <f>IFERROR(INDEX(PP_Grid[#Data],$DD1038,76),0)</f>
        <v/>
      </c>
      <c r="CA1038">
        <f>IFERROR(INDEX(PP_Grid[#Data],$DD1038,77),0)</f>
        <v/>
      </c>
      <c r="CB1038">
        <f>IFERROR(INDEX(PP_Grid[#Data],$DD1038,78),0)</f>
        <v/>
      </c>
      <c r="CC1038">
        <f>IFERROR(INDEX(PP_Grid[#Data],$DD1038,79),0)</f>
        <v/>
      </c>
      <c r="CD1038">
        <f>IFERROR(INDEX(PP_Grid[#Data],$DD1038,80),0)</f>
        <v/>
      </c>
      <c r="CE1038">
        <f>IFERROR(INDEX(PP_Grid[#Data],$DD1038,81),0)</f>
        <v/>
      </c>
      <c r="CF1038">
        <f>IFERROR(INDEX(PP_Grid[#Data],$DD1038,82),0)</f>
        <v/>
      </c>
      <c r="CG1038">
        <f>IFERROR(INDEX(PP_Grid[#Data],$DD1038,83),0)</f>
        <v/>
      </c>
      <c r="CH1038">
        <f>IFERROR(INDEX(PP_Grid[#Data],$DD1038,84),0)</f>
        <v/>
      </c>
      <c r="CI1038">
        <f>IFERROR(INDEX(PP_Grid[#Data],$DD1038,85),0)</f>
        <v/>
      </c>
      <c r="CJ1038">
        <f>IFERROR(INDEX(PP_Grid[#Data],$DD1038,86),0)</f>
        <v/>
      </c>
      <c r="CK1038">
        <f>IFERROR(INDEX(PP_Grid[#Data],$DD1038,87),0)</f>
        <v/>
      </c>
      <c r="CL1038">
        <f>IFERROR(INDEX(PP_Grid[#Data],$DD1038,88),0)</f>
        <v/>
      </c>
      <c r="CM1038">
        <f>IFERROR(INDEX(PP_Grid[#Data],$DD1038,89),0)</f>
        <v/>
      </c>
      <c r="CN1038">
        <f>IFERROR(INDEX(PP_Grid[#Data],$DD1038,90),0)</f>
        <v/>
      </c>
      <c r="CO1038">
        <f>IFERROR(INDEX(PP_Grid[#Data],$DD1038,91),0)</f>
        <v/>
      </c>
      <c r="CP1038">
        <f>IFERROR(INDEX(PP_Grid[#Data],$DD1038,92),0)</f>
        <v/>
      </c>
      <c r="CQ1038">
        <f>IFERROR(INDEX(PP_Grid[#Data],$DD1038,93),0)</f>
        <v/>
      </c>
      <c r="CR1038">
        <f>IFERROR(INDEX(PP_Grid[#Data],$DD1038,94),0)</f>
        <v/>
      </c>
      <c r="CS1038">
        <f>IFERROR(INDEX(PP_Grid[#Data],$DD1038,95),0)</f>
        <v/>
      </c>
      <c r="CT1038">
        <f>IFERROR(INDEX(PP_Grid[#Data],$DD1038,96),0)</f>
        <v/>
      </c>
      <c r="CU1038">
        <f>IFERROR(INDEX(PP_Grid[#Data],$DD1038,97),0)</f>
        <v/>
      </c>
      <c r="CV1038">
        <f>IFERROR(INDEX(PP_Grid[#Data],$DD1038,98),0)</f>
        <v/>
      </c>
      <c r="CW1038">
        <f>IFERROR(INDEX(PP_Grid[#Data],$DD1038,99),0)</f>
        <v/>
      </c>
      <c r="CX1038">
        <f>IFERROR(INDEX(PP_Grid[#Data],$DD1038,100),0)</f>
        <v/>
      </c>
      <c r="CY1038">
        <f>IFERROR(INDEX(PP_Grid[#Data],$DD1038,101),0)</f>
        <v/>
      </c>
      <c r="CZ1038">
        <f>IFERROR(INDEX(PP_Grid[#Data],$DD1038,102),0)</f>
        <v/>
      </c>
      <c r="DA1038">
        <f>IFERROR(INDEX(PP_Grid[#Data],$DD1038,103),0)</f>
        <v/>
      </c>
      <c r="DB1038">
        <f>IFERROR(INDEX(PP_Grid[#Data],$DD1038,104),0)</f>
        <v/>
      </c>
      <c r="DC1038">
        <f>IFERROR(INDEX(PP_Grid[#Data],$DD1038,105),0)</f>
        <v/>
      </c>
      <c r="DD1038" s="12">
        <f>IFERROR(MATCH($B1038,PP_Grid[Intermediate],0),99999)</f>
        <v/>
      </c>
    </row>
    <row r="1039">
      <c r="B1039" t="inlineStr">
        <is>
          <t>使用量(kg)</t>
        </is>
      </c>
      <c r="C1039">
        <f>SUMIFS(M_BOM[RM_Qty_Per_Batch],M_BOM[Intermediate],$B1038,M_BOM[Part Name],$A1037)</f>
        <v/>
      </c>
      <c r="D1039">
        <f>$C1039*D1038</f>
        <v/>
      </c>
      <c r="E1039">
        <f>$C1039*E1038</f>
        <v/>
      </c>
      <c r="F1039">
        <f>$C1039*F1038</f>
        <v/>
      </c>
      <c r="G1039">
        <f>$C1039*G1038</f>
        <v/>
      </c>
      <c r="H1039">
        <f>$C1039*H1038</f>
        <v/>
      </c>
      <c r="I1039">
        <f>$C1039*I1038</f>
        <v/>
      </c>
      <c r="J1039">
        <f>$C1039*J1038</f>
        <v/>
      </c>
      <c r="K1039">
        <f>$C1039*K1038</f>
        <v/>
      </c>
      <c r="L1039">
        <f>$C1039*L1038</f>
        <v/>
      </c>
      <c r="M1039">
        <f>$C1039*M1038</f>
        <v/>
      </c>
      <c r="N1039">
        <f>$C1039*N1038</f>
        <v/>
      </c>
      <c r="O1039">
        <f>$C1039*O1038</f>
        <v/>
      </c>
      <c r="P1039">
        <f>$C1039*P1038</f>
        <v/>
      </c>
      <c r="Q1039">
        <f>$C1039*Q1038</f>
        <v/>
      </c>
      <c r="R1039">
        <f>$C1039*R1038</f>
        <v/>
      </c>
      <c r="S1039">
        <f>$C1039*S1038</f>
        <v/>
      </c>
      <c r="T1039">
        <f>$C1039*T1038</f>
        <v/>
      </c>
      <c r="U1039">
        <f>$C1039*U1038</f>
        <v/>
      </c>
      <c r="V1039">
        <f>$C1039*V1038</f>
        <v/>
      </c>
      <c r="W1039">
        <f>$C1039*W1038</f>
        <v/>
      </c>
      <c r="X1039">
        <f>$C1039*X1038</f>
        <v/>
      </c>
      <c r="Y1039">
        <f>$C1039*Y1038</f>
        <v/>
      </c>
      <c r="Z1039">
        <f>$C1039*Z1038</f>
        <v/>
      </c>
      <c r="AA1039">
        <f>$C1039*AA1038</f>
        <v/>
      </c>
      <c r="AB1039">
        <f>$C1039*AB1038</f>
        <v/>
      </c>
      <c r="AC1039">
        <f>$C1039*AC1038</f>
        <v/>
      </c>
      <c r="AD1039">
        <f>$C1039*AD1038</f>
        <v/>
      </c>
      <c r="AE1039">
        <f>$C1039*AE1038</f>
        <v/>
      </c>
      <c r="AF1039">
        <f>$C1039*AF1038</f>
        <v/>
      </c>
      <c r="AG1039">
        <f>$C1039*AG1038</f>
        <v/>
      </c>
      <c r="AH1039">
        <f>$C1039*AH1038</f>
        <v/>
      </c>
      <c r="AI1039">
        <f>$C1039*AI1038</f>
        <v/>
      </c>
      <c r="AJ1039">
        <f>$C1039*AJ1038</f>
        <v/>
      </c>
      <c r="AK1039">
        <f>$C1039*AK1038</f>
        <v/>
      </c>
      <c r="AL1039">
        <f>$C1039*AL1038</f>
        <v/>
      </c>
      <c r="AM1039">
        <f>$C1039*AM1038</f>
        <v/>
      </c>
      <c r="AN1039">
        <f>$C1039*AN1038</f>
        <v/>
      </c>
      <c r="AO1039">
        <f>$C1039*AO1038</f>
        <v/>
      </c>
      <c r="AP1039">
        <f>$C1039*AP1038</f>
        <v/>
      </c>
      <c r="AQ1039">
        <f>$C1039*AQ1038</f>
        <v/>
      </c>
      <c r="AR1039">
        <f>$C1039*AR1038</f>
        <v/>
      </c>
      <c r="AS1039">
        <f>$C1039*AS1038</f>
        <v/>
      </c>
      <c r="AT1039">
        <f>$C1039*AT1038</f>
        <v/>
      </c>
      <c r="AU1039">
        <f>$C1039*AU1038</f>
        <v/>
      </c>
      <c r="AV1039">
        <f>$C1039*AV1038</f>
        <v/>
      </c>
      <c r="AW1039">
        <f>$C1039*AW1038</f>
        <v/>
      </c>
      <c r="AX1039">
        <f>$C1039*AX1038</f>
        <v/>
      </c>
      <c r="AY1039">
        <f>$C1039*AY1038</f>
        <v/>
      </c>
      <c r="AZ1039">
        <f>$C1039*AZ1038</f>
        <v/>
      </c>
      <c r="BA1039">
        <f>$C1039*BA1038</f>
        <v/>
      </c>
      <c r="BB1039">
        <f>$C1039*BB1038</f>
        <v/>
      </c>
      <c r="BC1039">
        <f>$C1039*BC1038</f>
        <v/>
      </c>
      <c r="BD1039">
        <f>$C1039*BD1038</f>
        <v/>
      </c>
      <c r="BE1039">
        <f>$C1039*BE1038</f>
        <v/>
      </c>
      <c r="BF1039">
        <f>$C1039*BF1038</f>
        <v/>
      </c>
      <c r="BG1039">
        <f>$C1039*BG1038</f>
        <v/>
      </c>
      <c r="BH1039">
        <f>$C1039*BH1038</f>
        <v/>
      </c>
      <c r="BI1039">
        <f>$C1039*BI1038</f>
        <v/>
      </c>
      <c r="BJ1039">
        <f>$C1039*BJ1038</f>
        <v/>
      </c>
      <c r="BK1039">
        <f>$C1039*BK1038</f>
        <v/>
      </c>
      <c r="BL1039">
        <f>$C1039*BL1038</f>
        <v/>
      </c>
      <c r="BM1039">
        <f>$C1039*BM1038</f>
        <v/>
      </c>
      <c r="BN1039">
        <f>$C1039*BN1038</f>
        <v/>
      </c>
      <c r="BO1039">
        <f>$C1039*BO1038</f>
        <v/>
      </c>
      <c r="BP1039">
        <f>$C1039*BP1038</f>
        <v/>
      </c>
      <c r="BQ1039">
        <f>$C1039*BQ1038</f>
        <v/>
      </c>
      <c r="BR1039">
        <f>$C1039*BR1038</f>
        <v/>
      </c>
      <c r="BS1039">
        <f>$C1039*BS1038</f>
        <v/>
      </c>
      <c r="BT1039">
        <f>$C1039*BT1038</f>
        <v/>
      </c>
      <c r="BU1039">
        <f>$C1039*BU1038</f>
        <v/>
      </c>
      <c r="BV1039">
        <f>$C1039*BV1038</f>
        <v/>
      </c>
      <c r="BW1039">
        <f>$C1039*BW1038</f>
        <v/>
      </c>
      <c r="BX1039">
        <f>$C1039*BX1038</f>
        <v/>
      </c>
      <c r="BY1039">
        <f>$C1039*BY1038</f>
        <v/>
      </c>
      <c r="BZ1039">
        <f>$C1039*BZ1038</f>
        <v/>
      </c>
      <c r="CA1039">
        <f>$C1039*CA1038</f>
        <v/>
      </c>
      <c r="CB1039">
        <f>$C1039*CB1038</f>
        <v/>
      </c>
      <c r="CC1039">
        <f>$C1039*CC1038</f>
        <v/>
      </c>
      <c r="CD1039">
        <f>$C1039*CD1038</f>
        <v/>
      </c>
      <c r="CE1039">
        <f>$C1039*CE1038</f>
        <v/>
      </c>
      <c r="CF1039">
        <f>$C1039*CF1038</f>
        <v/>
      </c>
      <c r="CG1039">
        <f>$C1039*CG1038</f>
        <v/>
      </c>
      <c r="CH1039">
        <f>$C1039*CH1038</f>
        <v/>
      </c>
      <c r="CI1039">
        <f>$C1039*CI1038</f>
        <v/>
      </c>
      <c r="CJ1039">
        <f>$C1039*CJ1038</f>
        <v/>
      </c>
      <c r="CK1039">
        <f>$C1039*CK1038</f>
        <v/>
      </c>
      <c r="CL1039">
        <f>$C1039*CL1038</f>
        <v/>
      </c>
      <c r="CM1039">
        <f>$C1039*CM1038</f>
        <v/>
      </c>
      <c r="CN1039">
        <f>$C1039*CN1038</f>
        <v/>
      </c>
      <c r="CO1039">
        <f>$C1039*CO1038</f>
        <v/>
      </c>
      <c r="CP1039">
        <f>$C1039*CP1038</f>
        <v/>
      </c>
      <c r="CQ1039">
        <f>$C1039*CQ1038</f>
        <v/>
      </c>
      <c r="CR1039">
        <f>$C1039*CR1038</f>
        <v/>
      </c>
      <c r="CS1039">
        <f>$C1039*CS1038</f>
        <v/>
      </c>
      <c r="CT1039">
        <f>$C1039*CT1038</f>
        <v/>
      </c>
      <c r="CU1039">
        <f>$C1039*CU1038</f>
        <v/>
      </c>
      <c r="CV1039">
        <f>$C1039*CV1038</f>
        <v/>
      </c>
      <c r="CW1039">
        <f>$C1039*CW1038</f>
        <v/>
      </c>
      <c r="CX1039">
        <f>$C1039*CX1038</f>
        <v/>
      </c>
      <c r="CY1039">
        <f>$C1039*CY1038</f>
        <v/>
      </c>
      <c r="CZ1039">
        <f>$C1039*CZ1038</f>
        <v/>
      </c>
      <c r="DA1039">
        <f>$C1039*DA1038</f>
        <v/>
      </c>
      <c r="DB1039">
        <f>$C1039*DB1038</f>
        <v/>
      </c>
      <c r="DC1039">
        <f>$C1039*DC1038</f>
        <v/>
      </c>
    </row>
    <row r="1040">
      <c r="B1040" t="inlineStr">
        <is>
          <t>TSP-1449</t>
        </is>
      </c>
      <c r="C1040" t="inlineStr">
        <is>
          <t>No. of batches</t>
        </is>
      </c>
      <c r="D1040">
        <f>IFERROR(INDEX(PP_Grid[#Data],$DD1040,2),0)</f>
        <v/>
      </c>
      <c r="E1040">
        <f>IFERROR(INDEX(PP_Grid[#Data],$DD1040,3),0)</f>
        <v/>
      </c>
      <c r="F1040">
        <f>IFERROR(INDEX(PP_Grid[#Data],$DD1040,4),0)</f>
        <v/>
      </c>
      <c r="G1040">
        <f>IFERROR(INDEX(PP_Grid[#Data],$DD1040,5),0)</f>
        <v/>
      </c>
      <c r="H1040">
        <f>IFERROR(INDEX(PP_Grid[#Data],$DD1040,6),0)</f>
        <v/>
      </c>
      <c r="I1040">
        <f>IFERROR(INDEX(PP_Grid[#Data],$DD1040,7),0)</f>
        <v/>
      </c>
      <c r="J1040">
        <f>IFERROR(INDEX(PP_Grid[#Data],$DD1040,8),0)</f>
        <v/>
      </c>
      <c r="K1040">
        <f>IFERROR(INDEX(PP_Grid[#Data],$DD1040,9),0)</f>
        <v/>
      </c>
      <c r="L1040">
        <f>IFERROR(INDEX(PP_Grid[#Data],$DD1040,10),0)</f>
        <v/>
      </c>
      <c r="M1040">
        <f>IFERROR(INDEX(PP_Grid[#Data],$DD1040,11),0)</f>
        <v/>
      </c>
      <c r="N1040">
        <f>IFERROR(INDEX(PP_Grid[#Data],$DD1040,12),0)</f>
        <v/>
      </c>
      <c r="O1040">
        <f>IFERROR(INDEX(PP_Grid[#Data],$DD1040,13),0)</f>
        <v/>
      </c>
      <c r="P1040">
        <f>IFERROR(INDEX(PP_Grid[#Data],$DD1040,14),0)</f>
        <v/>
      </c>
      <c r="Q1040">
        <f>IFERROR(INDEX(PP_Grid[#Data],$DD1040,15),0)</f>
        <v/>
      </c>
      <c r="R1040">
        <f>IFERROR(INDEX(PP_Grid[#Data],$DD1040,16),0)</f>
        <v/>
      </c>
      <c r="S1040">
        <f>IFERROR(INDEX(PP_Grid[#Data],$DD1040,17),0)</f>
        <v/>
      </c>
      <c r="T1040">
        <f>IFERROR(INDEX(PP_Grid[#Data],$DD1040,18),0)</f>
        <v/>
      </c>
      <c r="U1040">
        <f>IFERROR(INDEX(PP_Grid[#Data],$DD1040,19),0)</f>
        <v/>
      </c>
      <c r="V1040">
        <f>IFERROR(INDEX(PP_Grid[#Data],$DD1040,20),0)</f>
        <v/>
      </c>
      <c r="W1040">
        <f>IFERROR(INDEX(PP_Grid[#Data],$DD1040,21),0)</f>
        <v/>
      </c>
      <c r="X1040">
        <f>IFERROR(INDEX(PP_Grid[#Data],$DD1040,22),0)</f>
        <v/>
      </c>
      <c r="Y1040">
        <f>IFERROR(INDEX(PP_Grid[#Data],$DD1040,23),0)</f>
        <v/>
      </c>
      <c r="Z1040">
        <f>IFERROR(INDEX(PP_Grid[#Data],$DD1040,24),0)</f>
        <v/>
      </c>
      <c r="AA1040">
        <f>IFERROR(INDEX(PP_Grid[#Data],$DD1040,25),0)</f>
        <v/>
      </c>
      <c r="AB1040">
        <f>IFERROR(INDEX(PP_Grid[#Data],$DD1040,26),0)</f>
        <v/>
      </c>
      <c r="AC1040">
        <f>IFERROR(INDEX(PP_Grid[#Data],$DD1040,27),0)</f>
        <v/>
      </c>
      <c r="AD1040">
        <f>IFERROR(INDEX(PP_Grid[#Data],$DD1040,28),0)</f>
        <v/>
      </c>
      <c r="AE1040">
        <f>IFERROR(INDEX(PP_Grid[#Data],$DD1040,29),0)</f>
        <v/>
      </c>
      <c r="AF1040">
        <f>IFERROR(INDEX(PP_Grid[#Data],$DD1040,30),0)</f>
        <v/>
      </c>
      <c r="AG1040">
        <f>IFERROR(INDEX(PP_Grid[#Data],$DD1040,31),0)</f>
        <v/>
      </c>
      <c r="AH1040">
        <f>IFERROR(INDEX(PP_Grid[#Data],$DD1040,32),0)</f>
        <v/>
      </c>
      <c r="AI1040">
        <f>IFERROR(INDEX(PP_Grid[#Data],$DD1040,33),0)</f>
        <v/>
      </c>
      <c r="AJ1040">
        <f>IFERROR(INDEX(PP_Grid[#Data],$DD1040,34),0)</f>
        <v/>
      </c>
      <c r="AK1040">
        <f>IFERROR(INDEX(PP_Grid[#Data],$DD1040,35),0)</f>
        <v/>
      </c>
      <c r="AL1040">
        <f>IFERROR(INDEX(PP_Grid[#Data],$DD1040,36),0)</f>
        <v/>
      </c>
      <c r="AM1040">
        <f>IFERROR(INDEX(PP_Grid[#Data],$DD1040,37),0)</f>
        <v/>
      </c>
      <c r="AN1040">
        <f>IFERROR(INDEX(PP_Grid[#Data],$DD1040,38),0)</f>
        <v/>
      </c>
      <c r="AO1040">
        <f>IFERROR(INDEX(PP_Grid[#Data],$DD1040,39),0)</f>
        <v/>
      </c>
      <c r="AP1040">
        <f>IFERROR(INDEX(PP_Grid[#Data],$DD1040,40),0)</f>
        <v/>
      </c>
      <c r="AQ1040">
        <f>IFERROR(INDEX(PP_Grid[#Data],$DD1040,41),0)</f>
        <v/>
      </c>
      <c r="AR1040">
        <f>IFERROR(INDEX(PP_Grid[#Data],$DD1040,42),0)</f>
        <v/>
      </c>
      <c r="AS1040">
        <f>IFERROR(INDEX(PP_Grid[#Data],$DD1040,43),0)</f>
        <v/>
      </c>
      <c r="AT1040">
        <f>IFERROR(INDEX(PP_Grid[#Data],$DD1040,44),0)</f>
        <v/>
      </c>
      <c r="AU1040">
        <f>IFERROR(INDEX(PP_Grid[#Data],$DD1040,45),0)</f>
        <v/>
      </c>
      <c r="AV1040">
        <f>IFERROR(INDEX(PP_Grid[#Data],$DD1040,46),0)</f>
        <v/>
      </c>
      <c r="AW1040">
        <f>IFERROR(INDEX(PP_Grid[#Data],$DD1040,47),0)</f>
        <v/>
      </c>
      <c r="AX1040">
        <f>IFERROR(INDEX(PP_Grid[#Data],$DD1040,48),0)</f>
        <v/>
      </c>
      <c r="AY1040">
        <f>IFERROR(INDEX(PP_Grid[#Data],$DD1040,49),0)</f>
        <v/>
      </c>
      <c r="AZ1040">
        <f>IFERROR(INDEX(PP_Grid[#Data],$DD1040,50),0)</f>
        <v/>
      </c>
      <c r="BA1040">
        <f>IFERROR(INDEX(PP_Grid[#Data],$DD1040,51),0)</f>
        <v/>
      </c>
      <c r="BB1040">
        <f>IFERROR(INDEX(PP_Grid[#Data],$DD1040,52),0)</f>
        <v/>
      </c>
      <c r="BC1040">
        <f>IFERROR(INDEX(PP_Grid[#Data],$DD1040,53),0)</f>
        <v/>
      </c>
      <c r="BD1040">
        <f>IFERROR(INDEX(PP_Grid[#Data],$DD1040,54),0)</f>
        <v/>
      </c>
      <c r="BE1040">
        <f>IFERROR(INDEX(PP_Grid[#Data],$DD1040,55),0)</f>
        <v/>
      </c>
      <c r="BF1040">
        <f>IFERROR(INDEX(PP_Grid[#Data],$DD1040,56),0)</f>
        <v/>
      </c>
      <c r="BG1040">
        <f>IFERROR(INDEX(PP_Grid[#Data],$DD1040,57),0)</f>
        <v/>
      </c>
      <c r="BH1040">
        <f>IFERROR(INDEX(PP_Grid[#Data],$DD1040,58),0)</f>
        <v/>
      </c>
      <c r="BI1040">
        <f>IFERROR(INDEX(PP_Grid[#Data],$DD1040,59),0)</f>
        <v/>
      </c>
      <c r="BJ1040">
        <f>IFERROR(INDEX(PP_Grid[#Data],$DD1040,60),0)</f>
        <v/>
      </c>
      <c r="BK1040">
        <f>IFERROR(INDEX(PP_Grid[#Data],$DD1040,61),0)</f>
        <v/>
      </c>
      <c r="BL1040">
        <f>IFERROR(INDEX(PP_Grid[#Data],$DD1040,62),0)</f>
        <v/>
      </c>
      <c r="BM1040">
        <f>IFERROR(INDEX(PP_Grid[#Data],$DD1040,63),0)</f>
        <v/>
      </c>
      <c r="BN1040">
        <f>IFERROR(INDEX(PP_Grid[#Data],$DD1040,64),0)</f>
        <v/>
      </c>
      <c r="BO1040">
        <f>IFERROR(INDEX(PP_Grid[#Data],$DD1040,65),0)</f>
        <v/>
      </c>
      <c r="BP1040">
        <f>IFERROR(INDEX(PP_Grid[#Data],$DD1040,66),0)</f>
        <v/>
      </c>
      <c r="BQ1040">
        <f>IFERROR(INDEX(PP_Grid[#Data],$DD1040,67),0)</f>
        <v/>
      </c>
      <c r="BR1040">
        <f>IFERROR(INDEX(PP_Grid[#Data],$DD1040,68),0)</f>
        <v/>
      </c>
      <c r="BS1040">
        <f>IFERROR(INDEX(PP_Grid[#Data],$DD1040,69),0)</f>
        <v/>
      </c>
      <c r="BT1040">
        <f>IFERROR(INDEX(PP_Grid[#Data],$DD1040,70),0)</f>
        <v/>
      </c>
      <c r="BU1040">
        <f>IFERROR(INDEX(PP_Grid[#Data],$DD1040,71),0)</f>
        <v/>
      </c>
      <c r="BV1040">
        <f>IFERROR(INDEX(PP_Grid[#Data],$DD1040,72),0)</f>
        <v/>
      </c>
      <c r="BW1040">
        <f>IFERROR(INDEX(PP_Grid[#Data],$DD1040,73),0)</f>
        <v/>
      </c>
      <c r="BX1040">
        <f>IFERROR(INDEX(PP_Grid[#Data],$DD1040,74),0)</f>
        <v/>
      </c>
      <c r="BY1040">
        <f>IFERROR(INDEX(PP_Grid[#Data],$DD1040,75),0)</f>
        <v/>
      </c>
      <c r="BZ1040">
        <f>IFERROR(INDEX(PP_Grid[#Data],$DD1040,76),0)</f>
        <v/>
      </c>
      <c r="CA1040">
        <f>IFERROR(INDEX(PP_Grid[#Data],$DD1040,77),0)</f>
        <v/>
      </c>
      <c r="CB1040">
        <f>IFERROR(INDEX(PP_Grid[#Data],$DD1040,78),0)</f>
        <v/>
      </c>
      <c r="CC1040">
        <f>IFERROR(INDEX(PP_Grid[#Data],$DD1040,79),0)</f>
        <v/>
      </c>
      <c r="CD1040">
        <f>IFERROR(INDEX(PP_Grid[#Data],$DD1040,80),0)</f>
        <v/>
      </c>
      <c r="CE1040">
        <f>IFERROR(INDEX(PP_Grid[#Data],$DD1040,81),0)</f>
        <v/>
      </c>
      <c r="CF1040">
        <f>IFERROR(INDEX(PP_Grid[#Data],$DD1040,82),0)</f>
        <v/>
      </c>
      <c r="CG1040">
        <f>IFERROR(INDEX(PP_Grid[#Data],$DD1040,83),0)</f>
        <v/>
      </c>
      <c r="CH1040">
        <f>IFERROR(INDEX(PP_Grid[#Data],$DD1040,84),0)</f>
        <v/>
      </c>
      <c r="CI1040">
        <f>IFERROR(INDEX(PP_Grid[#Data],$DD1040,85),0)</f>
        <v/>
      </c>
      <c r="CJ1040">
        <f>IFERROR(INDEX(PP_Grid[#Data],$DD1040,86),0)</f>
        <v/>
      </c>
      <c r="CK1040">
        <f>IFERROR(INDEX(PP_Grid[#Data],$DD1040,87),0)</f>
        <v/>
      </c>
      <c r="CL1040">
        <f>IFERROR(INDEX(PP_Grid[#Data],$DD1040,88),0)</f>
        <v/>
      </c>
      <c r="CM1040">
        <f>IFERROR(INDEX(PP_Grid[#Data],$DD1040,89),0)</f>
        <v/>
      </c>
      <c r="CN1040">
        <f>IFERROR(INDEX(PP_Grid[#Data],$DD1040,90),0)</f>
        <v/>
      </c>
      <c r="CO1040">
        <f>IFERROR(INDEX(PP_Grid[#Data],$DD1040,91),0)</f>
        <v/>
      </c>
      <c r="CP1040">
        <f>IFERROR(INDEX(PP_Grid[#Data],$DD1040,92),0)</f>
        <v/>
      </c>
      <c r="CQ1040">
        <f>IFERROR(INDEX(PP_Grid[#Data],$DD1040,93),0)</f>
        <v/>
      </c>
      <c r="CR1040">
        <f>IFERROR(INDEX(PP_Grid[#Data],$DD1040,94),0)</f>
        <v/>
      </c>
      <c r="CS1040">
        <f>IFERROR(INDEX(PP_Grid[#Data],$DD1040,95),0)</f>
        <v/>
      </c>
      <c r="CT1040">
        <f>IFERROR(INDEX(PP_Grid[#Data],$DD1040,96),0)</f>
        <v/>
      </c>
      <c r="CU1040">
        <f>IFERROR(INDEX(PP_Grid[#Data],$DD1040,97),0)</f>
        <v/>
      </c>
      <c r="CV1040">
        <f>IFERROR(INDEX(PP_Grid[#Data],$DD1040,98),0)</f>
        <v/>
      </c>
      <c r="CW1040">
        <f>IFERROR(INDEX(PP_Grid[#Data],$DD1040,99),0)</f>
        <v/>
      </c>
      <c r="CX1040">
        <f>IFERROR(INDEX(PP_Grid[#Data],$DD1040,100),0)</f>
        <v/>
      </c>
      <c r="CY1040">
        <f>IFERROR(INDEX(PP_Grid[#Data],$DD1040,101),0)</f>
        <v/>
      </c>
      <c r="CZ1040">
        <f>IFERROR(INDEX(PP_Grid[#Data],$DD1040,102),0)</f>
        <v/>
      </c>
      <c r="DA1040">
        <f>IFERROR(INDEX(PP_Grid[#Data],$DD1040,103),0)</f>
        <v/>
      </c>
      <c r="DB1040">
        <f>IFERROR(INDEX(PP_Grid[#Data],$DD1040,104),0)</f>
        <v/>
      </c>
      <c r="DC1040">
        <f>IFERROR(INDEX(PP_Grid[#Data],$DD1040,105),0)</f>
        <v/>
      </c>
      <c r="DD1040" s="12">
        <f>IFERROR(MATCH($B1040,PP_Grid[Intermediate],0),99999)</f>
        <v/>
      </c>
    </row>
    <row r="1041">
      <c r="B1041" t="inlineStr">
        <is>
          <t>使用量(kg)</t>
        </is>
      </c>
      <c r="C1041">
        <f>SUMIFS(M_BOM[RM_Qty_Per_Batch],M_BOM[Intermediate],$B1040,M_BOM[Part Name],$A1037)</f>
        <v/>
      </c>
      <c r="D1041">
        <f>$C1041*D1040</f>
        <v/>
      </c>
      <c r="E1041">
        <f>$C1041*E1040</f>
        <v/>
      </c>
      <c r="F1041">
        <f>$C1041*F1040</f>
        <v/>
      </c>
      <c r="G1041">
        <f>$C1041*G1040</f>
        <v/>
      </c>
      <c r="H1041">
        <f>$C1041*H1040</f>
        <v/>
      </c>
      <c r="I1041">
        <f>$C1041*I1040</f>
        <v/>
      </c>
      <c r="J1041">
        <f>$C1041*J1040</f>
        <v/>
      </c>
      <c r="K1041">
        <f>$C1041*K1040</f>
        <v/>
      </c>
      <c r="L1041">
        <f>$C1041*L1040</f>
        <v/>
      </c>
      <c r="M1041">
        <f>$C1041*M1040</f>
        <v/>
      </c>
      <c r="N1041">
        <f>$C1041*N1040</f>
        <v/>
      </c>
      <c r="O1041">
        <f>$C1041*O1040</f>
        <v/>
      </c>
      <c r="P1041">
        <f>$C1041*P1040</f>
        <v/>
      </c>
      <c r="Q1041">
        <f>$C1041*Q1040</f>
        <v/>
      </c>
      <c r="R1041">
        <f>$C1041*R1040</f>
        <v/>
      </c>
      <c r="S1041">
        <f>$C1041*S1040</f>
        <v/>
      </c>
      <c r="T1041">
        <f>$C1041*T1040</f>
        <v/>
      </c>
      <c r="U1041">
        <f>$C1041*U1040</f>
        <v/>
      </c>
      <c r="V1041">
        <f>$C1041*V1040</f>
        <v/>
      </c>
      <c r="W1041">
        <f>$C1041*W1040</f>
        <v/>
      </c>
      <c r="X1041">
        <f>$C1041*X1040</f>
        <v/>
      </c>
      <c r="Y1041">
        <f>$C1041*Y1040</f>
        <v/>
      </c>
      <c r="Z1041">
        <f>$C1041*Z1040</f>
        <v/>
      </c>
      <c r="AA1041">
        <f>$C1041*AA1040</f>
        <v/>
      </c>
      <c r="AB1041">
        <f>$C1041*AB1040</f>
        <v/>
      </c>
      <c r="AC1041">
        <f>$C1041*AC1040</f>
        <v/>
      </c>
      <c r="AD1041">
        <f>$C1041*AD1040</f>
        <v/>
      </c>
      <c r="AE1041">
        <f>$C1041*AE1040</f>
        <v/>
      </c>
      <c r="AF1041">
        <f>$C1041*AF1040</f>
        <v/>
      </c>
      <c r="AG1041">
        <f>$C1041*AG1040</f>
        <v/>
      </c>
      <c r="AH1041">
        <f>$C1041*AH1040</f>
        <v/>
      </c>
      <c r="AI1041">
        <f>$C1041*AI1040</f>
        <v/>
      </c>
      <c r="AJ1041">
        <f>$C1041*AJ1040</f>
        <v/>
      </c>
      <c r="AK1041">
        <f>$C1041*AK1040</f>
        <v/>
      </c>
      <c r="AL1041">
        <f>$C1041*AL1040</f>
        <v/>
      </c>
      <c r="AM1041">
        <f>$C1041*AM1040</f>
        <v/>
      </c>
      <c r="AN1041">
        <f>$C1041*AN1040</f>
        <v/>
      </c>
      <c r="AO1041">
        <f>$C1041*AO1040</f>
        <v/>
      </c>
      <c r="AP1041">
        <f>$C1041*AP1040</f>
        <v/>
      </c>
      <c r="AQ1041">
        <f>$C1041*AQ1040</f>
        <v/>
      </c>
      <c r="AR1041">
        <f>$C1041*AR1040</f>
        <v/>
      </c>
      <c r="AS1041">
        <f>$C1041*AS1040</f>
        <v/>
      </c>
      <c r="AT1041">
        <f>$C1041*AT1040</f>
        <v/>
      </c>
      <c r="AU1041">
        <f>$C1041*AU1040</f>
        <v/>
      </c>
      <c r="AV1041">
        <f>$C1041*AV1040</f>
        <v/>
      </c>
      <c r="AW1041">
        <f>$C1041*AW1040</f>
        <v/>
      </c>
      <c r="AX1041">
        <f>$C1041*AX1040</f>
        <v/>
      </c>
      <c r="AY1041">
        <f>$C1041*AY1040</f>
        <v/>
      </c>
      <c r="AZ1041">
        <f>$C1041*AZ1040</f>
        <v/>
      </c>
      <c r="BA1041">
        <f>$C1041*BA1040</f>
        <v/>
      </c>
      <c r="BB1041">
        <f>$C1041*BB1040</f>
        <v/>
      </c>
      <c r="BC1041">
        <f>$C1041*BC1040</f>
        <v/>
      </c>
      <c r="BD1041">
        <f>$C1041*BD1040</f>
        <v/>
      </c>
      <c r="BE1041">
        <f>$C1041*BE1040</f>
        <v/>
      </c>
      <c r="BF1041">
        <f>$C1041*BF1040</f>
        <v/>
      </c>
      <c r="BG1041">
        <f>$C1041*BG1040</f>
        <v/>
      </c>
      <c r="BH1041">
        <f>$C1041*BH1040</f>
        <v/>
      </c>
      <c r="BI1041">
        <f>$C1041*BI1040</f>
        <v/>
      </c>
      <c r="BJ1041">
        <f>$C1041*BJ1040</f>
        <v/>
      </c>
      <c r="BK1041">
        <f>$C1041*BK1040</f>
        <v/>
      </c>
      <c r="BL1041">
        <f>$C1041*BL1040</f>
        <v/>
      </c>
      <c r="BM1041">
        <f>$C1041*BM1040</f>
        <v/>
      </c>
      <c r="BN1041">
        <f>$C1041*BN1040</f>
        <v/>
      </c>
      <c r="BO1041">
        <f>$C1041*BO1040</f>
        <v/>
      </c>
      <c r="BP1041">
        <f>$C1041*BP1040</f>
        <v/>
      </c>
      <c r="BQ1041">
        <f>$C1041*BQ1040</f>
        <v/>
      </c>
      <c r="BR1041">
        <f>$C1041*BR1040</f>
        <v/>
      </c>
      <c r="BS1041">
        <f>$C1041*BS1040</f>
        <v/>
      </c>
      <c r="BT1041">
        <f>$C1041*BT1040</f>
        <v/>
      </c>
      <c r="BU1041">
        <f>$C1041*BU1040</f>
        <v/>
      </c>
      <c r="BV1041">
        <f>$C1041*BV1040</f>
        <v/>
      </c>
      <c r="BW1041">
        <f>$C1041*BW1040</f>
        <v/>
      </c>
      <c r="BX1041">
        <f>$C1041*BX1040</f>
        <v/>
      </c>
      <c r="BY1041">
        <f>$C1041*BY1040</f>
        <v/>
      </c>
      <c r="BZ1041">
        <f>$C1041*BZ1040</f>
        <v/>
      </c>
      <c r="CA1041">
        <f>$C1041*CA1040</f>
        <v/>
      </c>
      <c r="CB1041">
        <f>$C1041*CB1040</f>
        <v/>
      </c>
      <c r="CC1041">
        <f>$C1041*CC1040</f>
        <v/>
      </c>
      <c r="CD1041">
        <f>$C1041*CD1040</f>
        <v/>
      </c>
      <c r="CE1041">
        <f>$C1041*CE1040</f>
        <v/>
      </c>
      <c r="CF1041">
        <f>$C1041*CF1040</f>
        <v/>
      </c>
      <c r="CG1041">
        <f>$C1041*CG1040</f>
        <v/>
      </c>
      <c r="CH1041">
        <f>$C1041*CH1040</f>
        <v/>
      </c>
      <c r="CI1041">
        <f>$C1041*CI1040</f>
        <v/>
      </c>
      <c r="CJ1041">
        <f>$C1041*CJ1040</f>
        <v/>
      </c>
      <c r="CK1041">
        <f>$C1041*CK1040</f>
        <v/>
      </c>
      <c r="CL1041">
        <f>$C1041*CL1040</f>
        <v/>
      </c>
      <c r="CM1041">
        <f>$C1041*CM1040</f>
        <v/>
      </c>
      <c r="CN1041">
        <f>$C1041*CN1040</f>
        <v/>
      </c>
      <c r="CO1041">
        <f>$C1041*CO1040</f>
        <v/>
      </c>
      <c r="CP1041">
        <f>$C1041*CP1040</f>
        <v/>
      </c>
      <c r="CQ1041">
        <f>$C1041*CQ1040</f>
        <v/>
      </c>
      <c r="CR1041">
        <f>$C1041*CR1040</f>
        <v/>
      </c>
      <c r="CS1041">
        <f>$C1041*CS1040</f>
        <v/>
      </c>
      <c r="CT1041">
        <f>$C1041*CT1040</f>
        <v/>
      </c>
      <c r="CU1041">
        <f>$C1041*CU1040</f>
        <v/>
      </c>
      <c r="CV1041">
        <f>$C1041*CV1040</f>
        <v/>
      </c>
      <c r="CW1041">
        <f>$C1041*CW1040</f>
        <v/>
      </c>
      <c r="CX1041">
        <f>$C1041*CX1040</f>
        <v/>
      </c>
      <c r="CY1041">
        <f>$C1041*CY1040</f>
        <v/>
      </c>
      <c r="CZ1041">
        <f>$C1041*CZ1040</f>
        <v/>
      </c>
      <c r="DA1041">
        <f>$C1041*DA1040</f>
        <v/>
      </c>
      <c r="DB1041">
        <f>$C1041*DB1040</f>
        <v/>
      </c>
      <c r="DC1041">
        <f>$C1041*DC1040</f>
        <v/>
      </c>
    </row>
    <row r="1042">
      <c r="B1042" t="inlineStr">
        <is>
          <t>TSP-1558</t>
        </is>
      </c>
      <c r="C1042" t="inlineStr">
        <is>
          <t>No. of batches</t>
        </is>
      </c>
      <c r="D1042">
        <f>IFERROR(INDEX(PP_Grid[#Data],$DD1042,2),0)</f>
        <v/>
      </c>
      <c r="E1042">
        <f>IFERROR(INDEX(PP_Grid[#Data],$DD1042,3),0)</f>
        <v/>
      </c>
      <c r="F1042">
        <f>IFERROR(INDEX(PP_Grid[#Data],$DD1042,4),0)</f>
        <v/>
      </c>
      <c r="G1042">
        <f>IFERROR(INDEX(PP_Grid[#Data],$DD1042,5),0)</f>
        <v/>
      </c>
      <c r="H1042">
        <f>IFERROR(INDEX(PP_Grid[#Data],$DD1042,6),0)</f>
        <v/>
      </c>
      <c r="I1042">
        <f>IFERROR(INDEX(PP_Grid[#Data],$DD1042,7),0)</f>
        <v/>
      </c>
      <c r="J1042">
        <f>IFERROR(INDEX(PP_Grid[#Data],$DD1042,8),0)</f>
        <v/>
      </c>
      <c r="K1042">
        <f>IFERROR(INDEX(PP_Grid[#Data],$DD1042,9),0)</f>
        <v/>
      </c>
      <c r="L1042">
        <f>IFERROR(INDEX(PP_Grid[#Data],$DD1042,10),0)</f>
        <v/>
      </c>
      <c r="M1042">
        <f>IFERROR(INDEX(PP_Grid[#Data],$DD1042,11),0)</f>
        <v/>
      </c>
      <c r="N1042">
        <f>IFERROR(INDEX(PP_Grid[#Data],$DD1042,12),0)</f>
        <v/>
      </c>
      <c r="O1042">
        <f>IFERROR(INDEX(PP_Grid[#Data],$DD1042,13),0)</f>
        <v/>
      </c>
      <c r="P1042">
        <f>IFERROR(INDEX(PP_Grid[#Data],$DD1042,14),0)</f>
        <v/>
      </c>
      <c r="Q1042">
        <f>IFERROR(INDEX(PP_Grid[#Data],$DD1042,15),0)</f>
        <v/>
      </c>
      <c r="R1042">
        <f>IFERROR(INDEX(PP_Grid[#Data],$DD1042,16),0)</f>
        <v/>
      </c>
      <c r="S1042">
        <f>IFERROR(INDEX(PP_Grid[#Data],$DD1042,17),0)</f>
        <v/>
      </c>
      <c r="T1042">
        <f>IFERROR(INDEX(PP_Grid[#Data],$DD1042,18),0)</f>
        <v/>
      </c>
      <c r="U1042">
        <f>IFERROR(INDEX(PP_Grid[#Data],$DD1042,19),0)</f>
        <v/>
      </c>
      <c r="V1042">
        <f>IFERROR(INDEX(PP_Grid[#Data],$DD1042,20),0)</f>
        <v/>
      </c>
      <c r="W1042">
        <f>IFERROR(INDEX(PP_Grid[#Data],$DD1042,21),0)</f>
        <v/>
      </c>
      <c r="X1042">
        <f>IFERROR(INDEX(PP_Grid[#Data],$DD1042,22),0)</f>
        <v/>
      </c>
      <c r="Y1042">
        <f>IFERROR(INDEX(PP_Grid[#Data],$DD1042,23),0)</f>
        <v/>
      </c>
      <c r="Z1042">
        <f>IFERROR(INDEX(PP_Grid[#Data],$DD1042,24),0)</f>
        <v/>
      </c>
      <c r="AA1042">
        <f>IFERROR(INDEX(PP_Grid[#Data],$DD1042,25),0)</f>
        <v/>
      </c>
      <c r="AB1042">
        <f>IFERROR(INDEX(PP_Grid[#Data],$DD1042,26),0)</f>
        <v/>
      </c>
      <c r="AC1042">
        <f>IFERROR(INDEX(PP_Grid[#Data],$DD1042,27),0)</f>
        <v/>
      </c>
      <c r="AD1042">
        <f>IFERROR(INDEX(PP_Grid[#Data],$DD1042,28),0)</f>
        <v/>
      </c>
      <c r="AE1042">
        <f>IFERROR(INDEX(PP_Grid[#Data],$DD1042,29),0)</f>
        <v/>
      </c>
      <c r="AF1042">
        <f>IFERROR(INDEX(PP_Grid[#Data],$DD1042,30),0)</f>
        <v/>
      </c>
      <c r="AG1042">
        <f>IFERROR(INDEX(PP_Grid[#Data],$DD1042,31),0)</f>
        <v/>
      </c>
      <c r="AH1042">
        <f>IFERROR(INDEX(PP_Grid[#Data],$DD1042,32),0)</f>
        <v/>
      </c>
      <c r="AI1042">
        <f>IFERROR(INDEX(PP_Grid[#Data],$DD1042,33),0)</f>
        <v/>
      </c>
      <c r="AJ1042">
        <f>IFERROR(INDEX(PP_Grid[#Data],$DD1042,34),0)</f>
        <v/>
      </c>
      <c r="AK1042">
        <f>IFERROR(INDEX(PP_Grid[#Data],$DD1042,35),0)</f>
        <v/>
      </c>
      <c r="AL1042">
        <f>IFERROR(INDEX(PP_Grid[#Data],$DD1042,36),0)</f>
        <v/>
      </c>
      <c r="AM1042">
        <f>IFERROR(INDEX(PP_Grid[#Data],$DD1042,37),0)</f>
        <v/>
      </c>
      <c r="AN1042">
        <f>IFERROR(INDEX(PP_Grid[#Data],$DD1042,38),0)</f>
        <v/>
      </c>
      <c r="AO1042">
        <f>IFERROR(INDEX(PP_Grid[#Data],$DD1042,39),0)</f>
        <v/>
      </c>
      <c r="AP1042">
        <f>IFERROR(INDEX(PP_Grid[#Data],$DD1042,40),0)</f>
        <v/>
      </c>
      <c r="AQ1042">
        <f>IFERROR(INDEX(PP_Grid[#Data],$DD1042,41),0)</f>
        <v/>
      </c>
      <c r="AR1042">
        <f>IFERROR(INDEX(PP_Grid[#Data],$DD1042,42),0)</f>
        <v/>
      </c>
      <c r="AS1042">
        <f>IFERROR(INDEX(PP_Grid[#Data],$DD1042,43),0)</f>
        <v/>
      </c>
      <c r="AT1042">
        <f>IFERROR(INDEX(PP_Grid[#Data],$DD1042,44),0)</f>
        <v/>
      </c>
      <c r="AU1042">
        <f>IFERROR(INDEX(PP_Grid[#Data],$DD1042,45),0)</f>
        <v/>
      </c>
      <c r="AV1042">
        <f>IFERROR(INDEX(PP_Grid[#Data],$DD1042,46),0)</f>
        <v/>
      </c>
      <c r="AW1042">
        <f>IFERROR(INDEX(PP_Grid[#Data],$DD1042,47),0)</f>
        <v/>
      </c>
      <c r="AX1042">
        <f>IFERROR(INDEX(PP_Grid[#Data],$DD1042,48),0)</f>
        <v/>
      </c>
      <c r="AY1042">
        <f>IFERROR(INDEX(PP_Grid[#Data],$DD1042,49),0)</f>
        <v/>
      </c>
      <c r="AZ1042">
        <f>IFERROR(INDEX(PP_Grid[#Data],$DD1042,50),0)</f>
        <v/>
      </c>
      <c r="BA1042">
        <f>IFERROR(INDEX(PP_Grid[#Data],$DD1042,51),0)</f>
        <v/>
      </c>
      <c r="BB1042">
        <f>IFERROR(INDEX(PP_Grid[#Data],$DD1042,52),0)</f>
        <v/>
      </c>
      <c r="BC1042">
        <f>IFERROR(INDEX(PP_Grid[#Data],$DD1042,53),0)</f>
        <v/>
      </c>
      <c r="BD1042">
        <f>IFERROR(INDEX(PP_Grid[#Data],$DD1042,54),0)</f>
        <v/>
      </c>
      <c r="BE1042">
        <f>IFERROR(INDEX(PP_Grid[#Data],$DD1042,55),0)</f>
        <v/>
      </c>
      <c r="BF1042">
        <f>IFERROR(INDEX(PP_Grid[#Data],$DD1042,56),0)</f>
        <v/>
      </c>
      <c r="BG1042">
        <f>IFERROR(INDEX(PP_Grid[#Data],$DD1042,57),0)</f>
        <v/>
      </c>
      <c r="BH1042">
        <f>IFERROR(INDEX(PP_Grid[#Data],$DD1042,58),0)</f>
        <v/>
      </c>
      <c r="BI1042">
        <f>IFERROR(INDEX(PP_Grid[#Data],$DD1042,59),0)</f>
        <v/>
      </c>
      <c r="BJ1042">
        <f>IFERROR(INDEX(PP_Grid[#Data],$DD1042,60),0)</f>
        <v/>
      </c>
      <c r="BK1042">
        <f>IFERROR(INDEX(PP_Grid[#Data],$DD1042,61),0)</f>
        <v/>
      </c>
      <c r="BL1042">
        <f>IFERROR(INDEX(PP_Grid[#Data],$DD1042,62),0)</f>
        <v/>
      </c>
      <c r="BM1042">
        <f>IFERROR(INDEX(PP_Grid[#Data],$DD1042,63),0)</f>
        <v/>
      </c>
      <c r="BN1042">
        <f>IFERROR(INDEX(PP_Grid[#Data],$DD1042,64),0)</f>
        <v/>
      </c>
      <c r="BO1042">
        <f>IFERROR(INDEX(PP_Grid[#Data],$DD1042,65),0)</f>
        <v/>
      </c>
      <c r="BP1042">
        <f>IFERROR(INDEX(PP_Grid[#Data],$DD1042,66),0)</f>
        <v/>
      </c>
      <c r="BQ1042">
        <f>IFERROR(INDEX(PP_Grid[#Data],$DD1042,67),0)</f>
        <v/>
      </c>
      <c r="BR1042">
        <f>IFERROR(INDEX(PP_Grid[#Data],$DD1042,68),0)</f>
        <v/>
      </c>
      <c r="BS1042">
        <f>IFERROR(INDEX(PP_Grid[#Data],$DD1042,69),0)</f>
        <v/>
      </c>
      <c r="BT1042">
        <f>IFERROR(INDEX(PP_Grid[#Data],$DD1042,70),0)</f>
        <v/>
      </c>
      <c r="BU1042">
        <f>IFERROR(INDEX(PP_Grid[#Data],$DD1042,71),0)</f>
        <v/>
      </c>
      <c r="BV1042">
        <f>IFERROR(INDEX(PP_Grid[#Data],$DD1042,72),0)</f>
        <v/>
      </c>
      <c r="BW1042">
        <f>IFERROR(INDEX(PP_Grid[#Data],$DD1042,73),0)</f>
        <v/>
      </c>
      <c r="BX1042">
        <f>IFERROR(INDEX(PP_Grid[#Data],$DD1042,74),0)</f>
        <v/>
      </c>
      <c r="BY1042">
        <f>IFERROR(INDEX(PP_Grid[#Data],$DD1042,75),0)</f>
        <v/>
      </c>
      <c r="BZ1042">
        <f>IFERROR(INDEX(PP_Grid[#Data],$DD1042,76),0)</f>
        <v/>
      </c>
      <c r="CA1042">
        <f>IFERROR(INDEX(PP_Grid[#Data],$DD1042,77),0)</f>
        <v/>
      </c>
      <c r="CB1042">
        <f>IFERROR(INDEX(PP_Grid[#Data],$DD1042,78),0)</f>
        <v/>
      </c>
      <c r="CC1042">
        <f>IFERROR(INDEX(PP_Grid[#Data],$DD1042,79),0)</f>
        <v/>
      </c>
      <c r="CD1042">
        <f>IFERROR(INDEX(PP_Grid[#Data],$DD1042,80),0)</f>
        <v/>
      </c>
      <c r="CE1042">
        <f>IFERROR(INDEX(PP_Grid[#Data],$DD1042,81),0)</f>
        <v/>
      </c>
      <c r="CF1042">
        <f>IFERROR(INDEX(PP_Grid[#Data],$DD1042,82),0)</f>
        <v/>
      </c>
      <c r="CG1042">
        <f>IFERROR(INDEX(PP_Grid[#Data],$DD1042,83),0)</f>
        <v/>
      </c>
      <c r="CH1042">
        <f>IFERROR(INDEX(PP_Grid[#Data],$DD1042,84),0)</f>
        <v/>
      </c>
      <c r="CI1042">
        <f>IFERROR(INDEX(PP_Grid[#Data],$DD1042,85),0)</f>
        <v/>
      </c>
      <c r="CJ1042">
        <f>IFERROR(INDEX(PP_Grid[#Data],$DD1042,86),0)</f>
        <v/>
      </c>
      <c r="CK1042">
        <f>IFERROR(INDEX(PP_Grid[#Data],$DD1042,87),0)</f>
        <v/>
      </c>
      <c r="CL1042">
        <f>IFERROR(INDEX(PP_Grid[#Data],$DD1042,88),0)</f>
        <v/>
      </c>
      <c r="CM1042">
        <f>IFERROR(INDEX(PP_Grid[#Data],$DD1042,89),0)</f>
        <v/>
      </c>
      <c r="CN1042">
        <f>IFERROR(INDEX(PP_Grid[#Data],$DD1042,90),0)</f>
        <v/>
      </c>
      <c r="CO1042">
        <f>IFERROR(INDEX(PP_Grid[#Data],$DD1042,91),0)</f>
        <v/>
      </c>
      <c r="CP1042">
        <f>IFERROR(INDEX(PP_Grid[#Data],$DD1042,92),0)</f>
        <v/>
      </c>
      <c r="CQ1042">
        <f>IFERROR(INDEX(PP_Grid[#Data],$DD1042,93),0)</f>
        <v/>
      </c>
      <c r="CR1042">
        <f>IFERROR(INDEX(PP_Grid[#Data],$DD1042,94),0)</f>
        <v/>
      </c>
      <c r="CS1042">
        <f>IFERROR(INDEX(PP_Grid[#Data],$DD1042,95),0)</f>
        <v/>
      </c>
      <c r="CT1042">
        <f>IFERROR(INDEX(PP_Grid[#Data],$DD1042,96),0)</f>
        <v/>
      </c>
      <c r="CU1042">
        <f>IFERROR(INDEX(PP_Grid[#Data],$DD1042,97),0)</f>
        <v/>
      </c>
      <c r="CV1042">
        <f>IFERROR(INDEX(PP_Grid[#Data],$DD1042,98),0)</f>
        <v/>
      </c>
      <c r="CW1042">
        <f>IFERROR(INDEX(PP_Grid[#Data],$DD1042,99),0)</f>
        <v/>
      </c>
      <c r="CX1042">
        <f>IFERROR(INDEX(PP_Grid[#Data],$DD1042,100),0)</f>
        <v/>
      </c>
      <c r="CY1042">
        <f>IFERROR(INDEX(PP_Grid[#Data],$DD1042,101),0)</f>
        <v/>
      </c>
      <c r="CZ1042">
        <f>IFERROR(INDEX(PP_Grid[#Data],$DD1042,102),0)</f>
        <v/>
      </c>
      <c r="DA1042">
        <f>IFERROR(INDEX(PP_Grid[#Data],$DD1042,103),0)</f>
        <v/>
      </c>
      <c r="DB1042">
        <f>IFERROR(INDEX(PP_Grid[#Data],$DD1042,104),0)</f>
        <v/>
      </c>
      <c r="DC1042">
        <f>IFERROR(INDEX(PP_Grid[#Data],$DD1042,105),0)</f>
        <v/>
      </c>
      <c r="DD1042" s="12">
        <f>IFERROR(MATCH($B1042,PP_Grid[Intermediate],0),99999)</f>
        <v/>
      </c>
    </row>
    <row r="1043">
      <c r="B1043" t="inlineStr">
        <is>
          <t>使用量(kg)</t>
        </is>
      </c>
      <c r="C1043">
        <f>SUMIFS(M_BOM[RM_Qty_Per_Batch],M_BOM[Intermediate],$B1042,M_BOM[Part Name],$A1037)</f>
        <v/>
      </c>
      <c r="D1043">
        <f>$C1043*D1042</f>
        <v/>
      </c>
      <c r="E1043">
        <f>$C1043*E1042</f>
        <v/>
      </c>
      <c r="F1043">
        <f>$C1043*F1042</f>
        <v/>
      </c>
      <c r="G1043">
        <f>$C1043*G1042</f>
        <v/>
      </c>
      <c r="H1043">
        <f>$C1043*H1042</f>
        <v/>
      </c>
      <c r="I1043">
        <f>$C1043*I1042</f>
        <v/>
      </c>
      <c r="J1043">
        <f>$C1043*J1042</f>
        <v/>
      </c>
      <c r="K1043">
        <f>$C1043*K1042</f>
        <v/>
      </c>
      <c r="L1043">
        <f>$C1043*L1042</f>
        <v/>
      </c>
      <c r="M1043">
        <f>$C1043*M1042</f>
        <v/>
      </c>
      <c r="N1043">
        <f>$C1043*N1042</f>
        <v/>
      </c>
      <c r="O1043">
        <f>$C1043*O1042</f>
        <v/>
      </c>
      <c r="P1043">
        <f>$C1043*P1042</f>
        <v/>
      </c>
      <c r="Q1043">
        <f>$C1043*Q1042</f>
        <v/>
      </c>
      <c r="R1043">
        <f>$C1043*R1042</f>
        <v/>
      </c>
      <c r="S1043">
        <f>$C1043*S1042</f>
        <v/>
      </c>
      <c r="T1043">
        <f>$C1043*T1042</f>
        <v/>
      </c>
      <c r="U1043">
        <f>$C1043*U1042</f>
        <v/>
      </c>
      <c r="V1043">
        <f>$C1043*V1042</f>
        <v/>
      </c>
      <c r="W1043">
        <f>$C1043*W1042</f>
        <v/>
      </c>
      <c r="X1043">
        <f>$C1043*X1042</f>
        <v/>
      </c>
      <c r="Y1043">
        <f>$C1043*Y1042</f>
        <v/>
      </c>
      <c r="Z1043">
        <f>$C1043*Z1042</f>
        <v/>
      </c>
      <c r="AA1043">
        <f>$C1043*AA1042</f>
        <v/>
      </c>
      <c r="AB1043">
        <f>$C1043*AB1042</f>
        <v/>
      </c>
      <c r="AC1043">
        <f>$C1043*AC1042</f>
        <v/>
      </c>
      <c r="AD1043">
        <f>$C1043*AD1042</f>
        <v/>
      </c>
      <c r="AE1043">
        <f>$C1043*AE1042</f>
        <v/>
      </c>
      <c r="AF1043">
        <f>$C1043*AF1042</f>
        <v/>
      </c>
      <c r="AG1043">
        <f>$C1043*AG1042</f>
        <v/>
      </c>
      <c r="AH1043">
        <f>$C1043*AH1042</f>
        <v/>
      </c>
      <c r="AI1043">
        <f>$C1043*AI1042</f>
        <v/>
      </c>
      <c r="AJ1043">
        <f>$C1043*AJ1042</f>
        <v/>
      </c>
      <c r="AK1043">
        <f>$C1043*AK1042</f>
        <v/>
      </c>
      <c r="AL1043">
        <f>$C1043*AL1042</f>
        <v/>
      </c>
      <c r="AM1043">
        <f>$C1043*AM1042</f>
        <v/>
      </c>
      <c r="AN1043">
        <f>$C1043*AN1042</f>
        <v/>
      </c>
      <c r="AO1043">
        <f>$C1043*AO1042</f>
        <v/>
      </c>
      <c r="AP1043">
        <f>$C1043*AP1042</f>
        <v/>
      </c>
      <c r="AQ1043">
        <f>$C1043*AQ1042</f>
        <v/>
      </c>
      <c r="AR1043">
        <f>$C1043*AR1042</f>
        <v/>
      </c>
      <c r="AS1043">
        <f>$C1043*AS1042</f>
        <v/>
      </c>
      <c r="AT1043">
        <f>$C1043*AT1042</f>
        <v/>
      </c>
      <c r="AU1043">
        <f>$C1043*AU1042</f>
        <v/>
      </c>
      <c r="AV1043">
        <f>$C1043*AV1042</f>
        <v/>
      </c>
      <c r="AW1043">
        <f>$C1043*AW1042</f>
        <v/>
      </c>
      <c r="AX1043">
        <f>$C1043*AX1042</f>
        <v/>
      </c>
      <c r="AY1043">
        <f>$C1043*AY1042</f>
        <v/>
      </c>
      <c r="AZ1043">
        <f>$C1043*AZ1042</f>
        <v/>
      </c>
      <c r="BA1043">
        <f>$C1043*BA1042</f>
        <v/>
      </c>
      <c r="BB1043">
        <f>$C1043*BB1042</f>
        <v/>
      </c>
      <c r="BC1043">
        <f>$C1043*BC1042</f>
        <v/>
      </c>
      <c r="BD1043">
        <f>$C1043*BD1042</f>
        <v/>
      </c>
      <c r="BE1043">
        <f>$C1043*BE1042</f>
        <v/>
      </c>
      <c r="BF1043">
        <f>$C1043*BF1042</f>
        <v/>
      </c>
      <c r="BG1043">
        <f>$C1043*BG1042</f>
        <v/>
      </c>
      <c r="BH1043">
        <f>$C1043*BH1042</f>
        <v/>
      </c>
      <c r="BI1043">
        <f>$C1043*BI1042</f>
        <v/>
      </c>
      <c r="BJ1043">
        <f>$C1043*BJ1042</f>
        <v/>
      </c>
      <c r="BK1043">
        <f>$C1043*BK1042</f>
        <v/>
      </c>
      <c r="BL1043">
        <f>$C1043*BL1042</f>
        <v/>
      </c>
      <c r="BM1043">
        <f>$C1043*BM1042</f>
        <v/>
      </c>
      <c r="BN1043">
        <f>$C1043*BN1042</f>
        <v/>
      </c>
      <c r="BO1043">
        <f>$C1043*BO1042</f>
        <v/>
      </c>
      <c r="BP1043">
        <f>$C1043*BP1042</f>
        <v/>
      </c>
      <c r="BQ1043">
        <f>$C1043*BQ1042</f>
        <v/>
      </c>
      <c r="BR1043">
        <f>$C1043*BR1042</f>
        <v/>
      </c>
      <c r="BS1043">
        <f>$C1043*BS1042</f>
        <v/>
      </c>
      <c r="BT1043">
        <f>$C1043*BT1042</f>
        <v/>
      </c>
      <c r="BU1043">
        <f>$C1043*BU1042</f>
        <v/>
      </c>
      <c r="BV1043">
        <f>$C1043*BV1042</f>
        <v/>
      </c>
      <c r="BW1043">
        <f>$C1043*BW1042</f>
        <v/>
      </c>
      <c r="BX1043">
        <f>$C1043*BX1042</f>
        <v/>
      </c>
      <c r="BY1043">
        <f>$C1043*BY1042</f>
        <v/>
      </c>
      <c r="BZ1043">
        <f>$C1043*BZ1042</f>
        <v/>
      </c>
      <c r="CA1043">
        <f>$C1043*CA1042</f>
        <v/>
      </c>
      <c r="CB1043">
        <f>$C1043*CB1042</f>
        <v/>
      </c>
      <c r="CC1043">
        <f>$C1043*CC1042</f>
        <v/>
      </c>
      <c r="CD1043">
        <f>$C1043*CD1042</f>
        <v/>
      </c>
      <c r="CE1043">
        <f>$C1043*CE1042</f>
        <v/>
      </c>
      <c r="CF1043">
        <f>$C1043*CF1042</f>
        <v/>
      </c>
      <c r="CG1043">
        <f>$C1043*CG1042</f>
        <v/>
      </c>
      <c r="CH1043">
        <f>$C1043*CH1042</f>
        <v/>
      </c>
      <c r="CI1043">
        <f>$C1043*CI1042</f>
        <v/>
      </c>
      <c r="CJ1043">
        <f>$C1043*CJ1042</f>
        <v/>
      </c>
      <c r="CK1043">
        <f>$C1043*CK1042</f>
        <v/>
      </c>
      <c r="CL1043">
        <f>$C1043*CL1042</f>
        <v/>
      </c>
      <c r="CM1043">
        <f>$C1043*CM1042</f>
        <v/>
      </c>
      <c r="CN1043">
        <f>$C1043*CN1042</f>
        <v/>
      </c>
      <c r="CO1043">
        <f>$C1043*CO1042</f>
        <v/>
      </c>
      <c r="CP1043">
        <f>$C1043*CP1042</f>
        <v/>
      </c>
      <c r="CQ1043">
        <f>$C1043*CQ1042</f>
        <v/>
      </c>
      <c r="CR1043">
        <f>$C1043*CR1042</f>
        <v/>
      </c>
      <c r="CS1043">
        <f>$C1043*CS1042</f>
        <v/>
      </c>
      <c r="CT1043">
        <f>$C1043*CT1042</f>
        <v/>
      </c>
      <c r="CU1043">
        <f>$C1043*CU1042</f>
        <v/>
      </c>
      <c r="CV1043">
        <f>$C1043*CV1042</f>
        <v/>
      </c>
      <c r="CW1043">
        <f>$C1043*CW1042</f>
        <v/>
      </c>
      <c r="CX1043">
        <f>$C1043*CX1042</f>
        <v/>
      </c>
      <c r="CY1043">
        <f>$C1043*CY1042</f>
        <v/>
      </c>
      <c r="CZ1043">
        <f>$C1043*CZ1042</f>
        <v/>
      </c>
      <c r="DA1043">
        <f>$C1043*DA1042</f>
        <v/>
      </c>
      <c r="DB1043">
        <f>$C1043*DB1042</f>
        <v/>
      </c>
      <c r="DC1043">
        <f>$C1043*DC1042</f>
        <v/>
      </c>
    </row>
    <row r="1044">
      <c r="B1044" t="inlineStr">
        <is>
          <t>TSP-1559</t>
        </is>
      </c>
      <c r="C1044" t="inlineStr">
        <is>
          <t>No. of batches</t>
        </is>
      </c>
      <c r="D1044">
        <f>IFERROR(INDEX(PP_Grid[#Data],$DD1044,2),0)</f>
        <v/>
      </c>
      <c r="E1044">
        <f>IFERROR(INDEX(PP_Grid[#Data],$DD1044,3),0)</f>
        <v/>
      </c>
      <c r="F1044">
        <f>IFERROR(INDEX(PP_Grid[#Data],$DD1044,4),0)</f>
        <v/>
      </c>
      <c r="G1044">
        <f>IFERROR(INDEX(PP_Grid[#Data],$DD1044,5),0)</f>
        <v/>
      </c>
      <c r="H1044">
        <f>IFERROR(INDEX(PP_Grid[#Data],$DD1044,6),0)</f>
        <v/>
      </c>
      <c r="I1044">
        <f>IFERROR(INDEX(PP_Grid[#Data],$DD1044,7),0)</f>
        <v/>
      </c>
      <c r="J1044">
        <f>IFERROR(INDEX(PP_Grid[#Data],$DD1044,8),0)</f>
        <v/>
      </c>
      <c r="K1044">
        <f>IFERROR(INDEX(PP_Grid[#Data],$DD1044,9),0)</f>
        <v/>
      </c>
      <c r="L1044">
        <f>IFERROR(INDEX(PP_Grid[#Data],$DD1044,10),0)</f>
        <v/>
      </c>
      <c r="M1044">
        <f>IFERROR(INDEX(PP_Grid[#Data],$DD1044,11),0)</f>
        <v/>
      </c>
      <c r="N1044">
        <f>IFERROR(INDEX(PP_Grid[#Data],$DD1044,12),0)</f>
        <v/>
      </c>
      <c r="O1044">
        <f>IFERROR(INDEX(PP_Grid[#Data],$DD1044,13),0)</f>
        <v/>
      </c>
      <c r="P1044">
        <f>IFERROR(INDEX(PP_Grid[#Data],$DD1044,14),0)</f>
        <v/>
      </c>
      <c r="Q1044">
        <f>IFERROR(INDEX(PP_Grid[#Data],$DD1044,15),0)</f>
        <v/>
      </c>
      <c r="R1044">
        <f>IFERROR(INDEX(PP_Grid[#Data],$DD1044,16),0)</f>
        <v/>
      </c>
      <c r="S1044">
        <f>IFERROR(INDEX(PP_Grid[#Data],$DD1044,17),0)</f>
        <v/>
      </c>
      <c r="T1044">
        <f>IFERROR(INDEX(PP_Grid[#Data],$DD1044,18),0)</f>
        <v/>
      </c>
      <c r="U1044">
        <f>IFERROR(INDEX(PP_Grid[#Data],$DD1044,19),0)</f>
        <v/>
      </c>
      <c r="V1044">
        <f>IFERROR(INDEX(PP_Grid[#Data],$DD1044,20),0)</f>
        <v/>
      </c>
      <c r="W1044">
        <f>IFERROR(INDEX(PP_Grid[#Data],$DD1044,21),0)</f>
        <v/>
      </c>
      <c r="X1044">
        <f>IFERROR(INDEX(PP_Grid[#Data],$DD1044,22),0)</f>
        <v/>
      </c>
      <c r="Y1044">
        <f>IFERROR(INDEX(PP_Grid[#Data],$DD1044,23),0)</f>
        <v/>
      </c>
      <c r="Z1044">
        <f>IFERROR(INDEX(PP_Grid[#Data],$DD1044,24),0)</f>
        <v/>
      </c>
      <c r="AA1044">
        <f>IFERROR(INDEX(PP_Grid[#Data],$DD1044,25),0)</f>
        <v/>
      </c>
      <c r="AB1044">
        <f>IFERROR(INDEX(PP_Grid[#Data],$DD1044,26),0)</f>
        <v/>
      </c>
      <c r="AC1044">
        <f>IFERROR(INDEX(PP_Grid[#Data],$DD1044,27),0)</f>
        <v/>
      </c>
      <c r="AD1044">
        <f>IFERROR(INDEX(PP_Grid[#Data],$DD1044,28),0)</f>
        <v/>
      </c>
      <c r="AE1044">
        <f>IFERROR(INDEX(PP_Grid[#Data],$DD1044,29),0)</f>
        <v/>
      </c>
      <c r="AF1044">
        <f>IFERROR(INDEX(PP_Grid[#Data],$DD1044,30),0)</f>
        <v/>
      </c>
      <c r="AG1044">
        <f>IFERROR(INDEX(PP_Grid[#Data],$DD1044,31),0)</f>
        <v/>
      </c>
      <c r="AH1044">
        <f>IFERROR(INDEX(PP_Grid[#Data],$DD1044,32),0)</f>
        <v/>
      </c>
      <c r="AI1044">
        <f>IFERROR(INDEX(PP_Grid[#Data],$DD1044,33),0)</f>
        <v/>
      </c>
      <c r="AJ1044">
        <f>IFERROR(INDEX(PP_Grid[#Data],$DD1044,34),0)</f>
        <v/>
      </c>
      <c r="AK1044">
        <f>IFERROR(INDEX(PP_Grid[#Data],$DD1044,35),0)</f>
        <v/>
      </c>
      <c r="AL1044">
        <f>IFERROR(INDEX(PP_Grid[#Data],$DD1044,36),0)</f>
        <v/>
      </c>
      <c r="AM1044">
        <f>IFERROR(INDEX(PP_Grid[#Data],$DD1044,37),0)</f>
        <v/>
      </c>
      <c r="AN1044">
        <f>IFERROR(INDEX(PP_Grid[#Data],$DD1044,38),0)</f>
        <v/>
      </c>
      <c r="AO1044">
        <f>IFERROR(INDEX(PP_Grid[#Data],$DD1044,39),0)</f>
        <v/>
      </c>
      <c r="AP1044">
        <f>IFERROR(INDEX(PP_Grid[#Data],$DD1044,40),0)</f>
        <v/>
      </c>
      <c r="AQ1044">
        <f>IFERROR(INDEX(PP_Grid[#Data],$DD1044,41),0)</f>
        <v/>
      </c>
      <c r="AR1044">
        <f>IFERROR(INDEX(PP_Grid[#Data],$DD1044,42),0)</f>
        <v/>
      </c>
      <c r="AS1044">
        <f>IFERROR(INDEX(PP_Grid[#Data],$DD1044,43),0)</f>
        <v/>
      </c>
      <c r="AT1044">
        <f>IFERROR(INDEX(PP_Grid[#Data],$DD1044,44),0)</f>
        <v/>
      </c>
      <c r="AU1044">
        <f>IFERROR(INDEX(PP_Grid[#Data],$DD1044,45),0)</f>
        <v/>
      </c>
      <c r="AV1044">
        <f>IFERROR(INDEX(PP_Grid[#Data],$DD1044,46),0)</f>
        <v/>
      </c>
      <c r="AW1044">
        <f>IFERROR(INDEX(PP_Grid[#Data],$DD1044,47),0)</f>
        <v/>
      </c>
      <c r="AX1044">
        <f>IFERROR(INDEX(PP_Grid[#Data],$DD1044,48),0)</f>
        <v/>
      </c>
      <c r="AY1044">
        <f>IFERROR(INDEX(PP_Grid[#Data],$DD1044,49),0)</f>
        <v/>
      </c>
      <c r="AZ1044">
        <f>IFERROR(INDEX(PP_Grid[#Data],$DD1044,50),0)</f>
        <v/>
      </c>
      <c r="BA1044">
        <f>IFERROR(INDEX(PP_Grid[#Data],$DD1044,51),0)</f>
        <v/>
      </c>
      <c r="BB1044">
        <f>IFERROR(INDEX(PP_Grid[#Data],$DD1044,52),0)</f>
        <v/>
      </c>
      <c r="BC1044">
        <f>IFERROR(INDEX(PP_Grid[#Data],$DD1044,53),0)</f>
        <v/>
      </c>
      <c r="BD1044">
        <f>IFERROR(INDEX(PP_Grid[#Data],$DD1044,54),0)</f>
        <v/>
      </c>
      <c r="BE1044">
        <f>IFERROR(INDEX(PP_Grid[#Data],$DD1044,55),0)</f>
        <v/>
      </c>
      <c r="BF1044">
        <f>IFERROR(INDEX(PP_Grid[#Data],$DD1044,56),0)</f>
        <v/>
      </c>
      <c r="BG1044">
        <f>IFERROR(INDEX(PP_Grid[#Data],$DD1044,57),0)</f>
        <v/>
      </c>
      <c r="BH1044">
        <f>IFERROR(INDEX(PP_Grid[#Data],$DD1044,58),0)</f>
        <v/>
      </c>
      <c r="BI1044">
        <f>IFERROR(INDEX(PP_Grid[#Data],$DD1044,59),0)</f>
        <v/>
      </c>
      <c r="BJ1044">
        <f>IFERROR(INDEX(PP_Grid[#Data],$DD1044,60),0)</f>
        <v/>
      </c>
      <c r="BK1044">
        <f>IFERROR(INDEX(PP_Grid[#Data],$DD1044,61),0)</f>
        <v/>
      </c>
      <c r="BL1044">
        <f>IFERROR(INDEX(PP_Grid[#Data],$DD1044,62),0)</f>
        <v/>
      </c>
      <c r="BM1044">
        <f>IFERROR(INDEX(PP_Grid[#Data],$DD1044,63),0)</f>
        <v/>
      </c>
      <c r="BN1044">
        <f>IFERROR(INDEX(PP_Grid[#Data],$DD1044,64),0)</f>
        <v/>
      </c>
      <c r="BO1044">
        <f>IFERROR(INDEX(PP_Grid[#Data],$DD1044,65),0)</f>
        <v/>
      </c>
      <c r="BP1044">
        <f>IFERROR(INDEX(PP_Grid[#Data],$DD1044,66),0)</f>
        <v/>
      </c>
      <c r="BQ1044">
        <f>IFERROR(INDEX(PP_Grid[#Data],$DD1044,67),0)</f>
        <v/>
      </c>
      <c r="BR1044">
        <f>IFERROR(INDEX(PP_Grid[#Data],$DD1044,68),0)</f>
        <v/>
      </c>
      <c r="BS1044">
        <f>IFERROR(INDEX(PP_Grid[#Data],$DD1044,69),0)</f>
        <v/>
      </c>
      <c r="BT1044">
        <f>IFERROR(INDEX(PP_Grid[#Data],$DD1044,70),0)</f>
        <v/>
      </c>
      <c r="BU1044">
        <f>IFERROR(INDEX(PP_Grid[#Data],$DD1044,71),0)</f>
        <v/>
      </c>
      <c r="BV1044">
        <f>IFERROR(INDEX(PP_Grid[#Data],$DD1044,72),0)</f>
        <v/>
      </c>
      <c r="BW1044">
        <f>IFERROR(INDEX(PP_Grid[#Data],$DD1044,73),0)</f>
        <v/>
      </c>
      <c r="BX1044">
        <f>IFERROR(INDEX(PP_Grid[#Data],$DD1044,74),0)</f>
        <v/>
      </c>
      <c r="BY1044">
        <f>IFERROR(INDEX(PP_Grid[#Data],$DD1044,75),0)</f>
        <v/>
      </c>
      <c r="BZ1044">
        <f>IFERROR(INDEX(PP_Grid[#Data],$DD1044,76),0)</f>
        <v/>
      </c>
      <c r="CA1044">
        <f>IFERROR(INDEX(PP_Grid[#Data],$DD1044,77),0)</f>
        <v/>
      </c>
      <c r="CB1044">
        <f>IFERROR(INDEX(PP_Grid[#Data],$DD1044,78),0)</f>
        <v/>
      </c>
      <c r="CC1044">
        <f>IFERROR(INDEX(PP_Grid[#Data],$DD1044,79),0)</f>
        <v/>
      </c>
      <c r="CD1044">
        <f>IFERROR(INDEX(PP_Grid[#Data],$DD1044,80),0)</f>
        <v/>
      </c>
      <c r="CE1044">
        <f>IFERROR(INDEX(PP_Grid[#Data],$DD1044,81),0)</f>
        <v/>
      </c>
      <c r="CF1044">
        <f>IFERROR(INDEX(PP_Grid[#Data],$DD1044,82),0)</f>
        <v/>
      </c>
      <c r="CG1044">
        <f>IFERROR(INDEX(PP_Grid[#Data],$DD1044,83),0)</f>
        <v/>
      </c>
      <c r="CH1044">
        <f>IFERROR(INDEX(PP_Grid[#Data],$DD1044,84),0)</f>
        <v/>
      </c>
      <c r="CI1044">
        <f>IFERROR(INDEX(PP_Grid[#Data],$DD1044,85),0)</f>
        <v/>
      </c>
      <c r="CJ1044">
        <f>IFERROR(INDEX(PP_Grid[#Data],$DD1044,86),0)</f>
        <v/>
      </c>
      <c r="CK1044">
        <f>IFERROR(INDEX(PP_Grid[#Data],$DD1044,87),0)</f>
        <v/>
      </c>
      <c r="CL1044">
        <f>IFERROR(INDEX(PP_Grid[#Data],$DD1044,88),0)</f>
        <v/>
      </c>
      <c r="CM1044">
        <f>IFERROR(INDEX(PP_Grid[#Data],$DD1044,89),0)</f>
        <v/>
      </c>
      <c r="CN1044">
        <f>IFERROR(INDEX(PP_Grid[#Data],$DD1044,90),0)</f>
        <v/>
      </c>
      <c r="CO1044">
        <f>IFERROR(INDEX(PP_Grid[#Data],$DD1044,91),0)</f>
        <v/>
      </c>
      <c r="CP1044">
        <f>IFERROR(INDEX(PP_Grid[#Data],$DD1044,92),0)</f>
        <v/>
      </c>
      <c r="CQ1044">
        <f>IFERROR(INDEX(PP_Grid[#Data],$DD1044,93),0)</f>
        <v/>
      </c>
      <c r="CR1044">
        <f>IFERROR(INDEX(PP_Grid[#Data],$DD1044,94),0)</f>
        <v/>
      </c>
      <c r="CS1044">
        <f>IFERROR(INDEX(PP_Grid[#Data],$DD1044,95),0)</f>
        <v/>
      </c>
      <c r="CT1044">
        <f>IFERROR(INDEX(PP_Grid[#Data],$DD1044,96),0)</f>
        <v/>
      </c>
      <c r="CU1044">
        <f>IFERROR(INDEX(PP_Grid[#Data],$DD1044,97),0)</f>
        <v/>
      </c>
      <c r="CV1044">
        <f>IFERROR(INDEX(PP_Grid[#Data],$DD1044,98),0)</f>
        <v/>
      </c>
      <c r="CW1044">
        <f>IFERROR(INDEX(PP_Grid[#Data],$DD1044,99),0)</f>
        <v/>
      </c>
      <c r="CX1044">
        <f>IFERROR(INDEX(PP_Grid[#Data],$DD1044,100),0)</f>
        <v/>
      </c>
      <c r="CY1044">
        <f>IFERROR(INDEX(PP_Grid[#Data],$DD1044,101),0)</f>
        <v/>
      </c>
      <c r="CZ1044">
        <f>IFERROR(INDEX(PP_Grid[#Data],$DD1044,102),0)</f>
        <v/>
      </c>
      <c r="DA1044">
        <f>IFERROR(INDEX(PP_Grid[#Data],$DD1044,103),0)</f>
        <v/>
      </c>
      <c r="DB1044">
        <f>IFERROR(INDEX(PP_Grid[#Data],$DD1044,104),0)</f>
        <v/>
      </c>
      <c r="DC1044">
        <f>IFERROR(INDEX(PP_Grid[#Data],$DD1044,105),0)</f>
        <v/>
      </c>
      <c r="DD1044" s="12">
        <f>IFERROR(MATCH($B1044,PP_Grid[Intermediate],0),99999)</f>
        <v/>
      </c>
    </row>
    <row r="1045">
      <c r="B1045" t="inlineStr">
        <is>
          <t>使用量(kg)</t>
        </is>
      </c>
      <c r="C1045">
        <f>SUMIFS(M_BOM[RM_Qty_Per_Batch],M_BOM[Intermediate],$B1044,M_BOM[Part Name],$A1037)</f>
        <v/>
      </c>
      <c r="D1045">
        <f>$C1045*D1044</f>
        <v/>
      </c>
      <c r="E1045">
        <f>$C1045*E1044</f>
        <v/>
      </c>
      <c r="F1045">
        <f>$C1045*F1044</f>
        <v/>
      </c>
      <c r="G1045">
        <f>$C1045*G1044</f>
        <v/>
      </c>
      <c r="H1045">
        <f>$C1045*H1044</f>
        <v/>
      </c>
      <c r="I1045">
        <f>$C1045*I1044</f>
        <v/>
      </c>
      <c r="J1045">
        <f>$C1045*J1044</f>
        <v/>
      </c>
      <c r="K1045">
        <f>$C1045*K1044</f>
        <v/>
      </c>
      <c r="L1045">
        <f>$C1045*L1044</f>
        <v/>
      </c>
      <c r="M1045">
        <f>$C1045*M1044</f>
        <v/>
      </c>
      <c r="N1045">
        <f>$C1045*N1044</f>
        <v/>
      </c>
      <c r="O1045">
        <f>$C1045*O1044</f>
        <v/>
      </c>
      <c r="P1045">
        <f>$C1045*P1044</f>
        <v/>
      </c>
      <c r="Q1045">
        <f>$C1045*Q1044</f>
        <v/>
      </c>
      <c r="R1045">
        <f>$C1045*R1044</f>
        <v/>
      </c>
      <c r="S1045">
        <f>$C1045*S1044</f>
        <v/>
      </c>
      <c r="T1045">
        <f>$C1045*T1044</f>
        <v/>
      </c>
      <c r="U1045">
        <f>$C1045*U1044</f>
        <v/>
      </c>
      <c r="V1045">
        <f>$C1045*V1044</f>
        <v/>
      </c>
      <c r="W1045">
        <f>$C1045*W1044</f>
        <v/>
      </c>
      <c r="X1045">
        <f>$C1045*X1044</f>
        <v/>
      </c>
      <c r="Y1045">
        <f>$C1045*Y1044</f>
        <v/>
      </c>
      <c r="Z1045">
        <f>$C1045*Z1044</f>
        <v/>
      </c>
      <c r="AA1045">
        <f>$C1045*AA1044</f>
        <v/>
      </c>
      <c r="AB1045">
        <f>$C1045*AB1044</f>
        <v/>
      </c>
      <c r="AC1045">
        <f>$C1045*AC1044</f>
        <v/>
      </c>
      <c r="AD1045">
        <f>$C1045*AD1044</f>
        <v/>
      </c>
      <c r="AE1045">
        <f>$C1045*AE1044</f>
        <v/>
      </c>
      <c r="AF1045">
        <f>$C1045*AF1044</f>
        <v/>
      </c>
      <c r="AG1045">
        <f>$C1045*AG1044</f>
        <v/>
      </c>
      <c r="AH1045">
        <f>$C1045*AH1044</f>
        <v/>
      </c>
      <c r="AI1045">
        <f>$C1045*AI1044</f>
        <v/>
      </c>
      <c r="AJ1045">
        <f>$C1045*AJ1044</f>
        <v/>
      </c>
      <c r="AK1045">
        <f>$C1045*AK1044</f>
        <v/>
      </c>
      <c r="AL1045">
        <f>$C1045*AL1044</f>
        <v/>
      </c>
      <c r="AM1045">
        <f>$C1045*AM1044</f>
        <v/>
      </c>
      <c r="AN1045">
        <f>$C1045*AN1044</f>
        <v/>
      </c>
      <c r="AO1045">
        <f>$C1045*AO1044</f>
        <v/>
      </c>
      <c r="AP1045">
        <f>$C1045*AP1044</f>
        <v/>
      </c>
      <c r="AQ1045">
        <f>$C1045*AQ1044</f>
        <v/>
      </c>
      <c r="AR1045">
        <f>$C1045*AR1044</f>
        <v/>
      </c>
      <c r="AS1045">
        <f>$C1045*AS1044</f>
        <v/>
      </c>
      <c r="AT1045">
        <f>$C1045*AT1044</f>
        <v/>
      </c>
      <c r="AU1045">
        <f>$C1045*AU1044</f>
        <v/>
      </c>
      <c r="AV1045">
        <f>$C1045*AV1044</f>
        <v/>
      </c>
      <c r="AW1045">
        <f>$C1045*AW1044</f>
        <v/>
      </c>
      <c r="AX1045">
        <f>$C1045*AX1044</f>
        <v/>
      </c>
      <c r="AY1045">
        <f>$C1045*AY1044</f>
        <v/>
      </c>
      <c r="AZ1045">
        <f>$C1045*AZ1044</f>
        <v/>
      </c>
      <c r="BA1045">
        <f>$C1045*BA1044</f>
        <v/>
      </c>
      <c r="BB1045">
        <f>$C1045*BB1044</f>
        <v/>
      </c>
      <c r="BC1045">
        <f>$C1045*BC1044</f>
        <v/>
      </c>
      <c r="BD1045">
        <f>$C1045*BD1044</f>
        <v/>
      </c>
      <c r="BE1045">
        <f>$C1045*BE1044</f>
        <v/>
      </c>
      <c r="BF1045">
        <f>$C1045*BF1044</f>
        <v/>
      </c>
      <c r="BG1045">
        <f>$C1045*BG1044</f>
        <v/>
      </c>
      <c r="BH1045">
        <f>$C1045*BH1044</f>
        <v/>
      </c>
      <c r="BI1045">
        <f>$C1045*BI1044</f>
        <v/>
      </c>
      <c r="BJ1045">
        <f>$C1045*BJ1044</f>
        <v/>
      </c>
      <c r="BK1045">
        <f>$C1045*BK1044</f>
        <v/>
      </c>
      <c r="BL1045">
        <f>$C1045*BL1044</f>
        <v/>
      </c>
      <c r="BM1045">
        <f>$C1045*BM1044</f>
        <v/>
      </c>
      <c r="BN1045">
        <f>$C1045*BN1044</f>
        <v/>
      </c>
      <c r="BO1045">
        <f>$C1045*BO1044</f>
        <v/>
      </c>
      <c r="BP1045">
        <f>$C1045*BP1044</f>
        <v/>
      </c>
      <c r="BQ1045">
        <f>$C1045*BQ1044</f>
        <v/>
      </c>
      <c r="BR1045">
        <f>$C1045*BR1044</f>
        <v/>
      </c>
      <c r="BS1045">
        <f>$C1045*BS1044</f>
        <v/>
      </c>
      <c r="BT1045">
        <f>$C1045*BT1044</f>
        <v/>
      </c>
      <c r="BU1045">
        <f>$C1045*BU1044</f>
        <v/>
      </c>
      <c r="BV1045">
        <f>$C1045*BV1044</f>
        <v/>
      </c>
      <c r="BW1045">
        <f>$C1045*BW1044</f>
        <v/>
      </c>
      <c r="BX1045">
        <f>$C1045*BX1044</f>
        <v/>
      </c>
      <c r="BY1045">
        <f>$C1045*BY1044</f>
        <v/>
      </c>
      <c r="BZ1045">
        <f>$C1045*BZ1044</f>
        <v/>
      </c>
      <c r="CA1045">
        <f>$C1045*CA1044</f>
        <v/>
      </c>
      <c r="CB1045">
        <f>$C1045*CB1044</f>
        <v/>
      </c>
      <c r="CC1045">
        <f>$C1045*CC1044</f>
        <v/>
      </c>
      <c r="CD1045">
        <f>$C1045*CD1044</f>
        <v/>
      </c>
      <c r="CE1045">
        <f>$C1045*CE1044</f>
        <v/>
      </c>
      <c r="CF1045">
        <f>$C1045*CF1044</f>
        <v/>
      </c>
      <c r="CG1045">
        <f>$C1045*CG1044</f>
        <v/>
      </c>
      <c r="CH1045">
        <f>$C1045*CH1044</f>
        <v/>
      </c>
      <c r="CI1045">
        <f>$C1045*CI1044</f>
        <v/>
      </c>
      <c r="CJ1045">
        <f>$C1045*CJ1044</f>
        <v/>
      </c>
      <c r="CK1045">
        <f>$C1045*CK1044</f>
        <v/>
      </c>
      <c r="CL1045">
        <f>$C1045*CL1044</f>
        <v/>
      </c>
      <c r="CM1045">
        <f>$C1045*CM1044</f>
        <v/>
      </c>
      <c r="CN1045">
        <f>$C1045*CN1044</f>
        <v/>
      </c>
      <c r="CO1045">
        <f>$C1045*CO1044</f>
        <v/>
      </c>
      <c r="CP1045">
        <f>$C1045*CP1044</f>
        <v/>
      </c>
      <c r="CQ1045">
        <f>$C1045*CQ1044</f>
        <v/>
      </c>
      <c r="CR1045">
        <f>$C1045*CR1044</f>
        <v/>
      </c>
      <c r="CS1045">
        <f>$C1045*CS1044</f>
        <v/>
      </c>
      <c r="CT1045">
        <f>$C1045*CT1044</f>
        <v/>
      </c>
      <c r="CU1045">
        <f>$C1045*CU1044</f>
        <v/>
      </c>
      <c r="CV1045">
        <f>$C1045*CV1044</f>
        <v/>
      </c>
      <c r="CW1045">
        <f>$C1045*CW1044</f>
        <v/>
      </c>
      <c r="CX1045">
        <f>$C1045*CX1044</f>
        <v/>
      </c>
      <c r="CY1045">
        <f>$C1045*CY1044</f>
        <v/>
      </c>
      <c r="CZ1045">
        <f>$C1045*CZ1044</f>
        <v/>
      </c>
      <c r="DA1045">
        <f>$C1045*DA1044</f>
        <v/>
      </c>
      <c r="DB1045">
        <f>$C1045*DB1044</f>
        <v/>
      </c>
      <c r="DC1045">
        <f>$C1045*DC1044</f>
        <v/>
      </c>
    </row>
    <row r="1046">
      <c r="B1046" t="inlineStr">
        <is>
          <t>TSP-224</t>
        </is>
      </c>
      <c r="C1046" t="inlineStr">
        <is>
          <t>No. of batches</t>
        </is>
      </c>
      <c r="D1046">
        <f>IFERROR(INDEX(PP_Grid[#Data],$DD1046,2),0)</f>
        <v/>
      </c>
      <c r="E1046">
        <f>IFERROR(INDEX(PP_Grid[#Data],$DD1046,3),0)</f>
        <v/>
      </c>
      <c r="F1046">
        <f>IFERROR(INDEX(PP_Grid[#Data],$DD1046,4),0)</f>
        <v/>
      </c>
      <c r="G1046">
        <f>IFERROR(INDEX(PP_Grid[#Data],$DD1046,5),0)</f>
        <v/>
      </c>
      <c r="H1046">
        <f>IFERROR(INDEX(PP_Grid[#Data],$DD1046,6),0)</f>
        <v/>
      </c>
      <c r="I1046">
        <f>IFERROR(INDEX(PP_Grid[#Data],$DD1046,7),0)</f>
        <v/>
      </c>
      <c r="J1046">
        <f>IFERROR(INDEX(PP_Grid[#Data],$DD1046,8),0)</f>
        <v/>
      </c>
      <c r="K1046">
        <f>IFERROR(INDEX(PP_Grid[#Data],$DD1046,9),0)</f>
        <v/>
      </c>
      <c r="L1046">
        <f>IFERROR(INDEX(PP_Grid[#Data],$DD1046,10),0)</f>
        <v/>
      </c>
      <c r="M1046">
        <f>IFERROR(INDEX(PP_Grid[#Data],$DD1046,11),0)</f>
        <v/>
      </c>
      <c r="N1046">
        <f>IFERROR(INDEX(PP_Grid[#Data],$DD1046,12),0)</f>
        <v/>
      </c>
      <c r="O1046">
        <f>IFERROR(INDEX(PP_Grid[#Data],$DD1046,13),0)</f>
        <v/>
      </c>
      <c r="P1046">
        <f>IFERROR(INDEX(PP_Grid[#Data],$DD1046,14),0)</f>
        <v/>
      </c>
      <c r="Q1046">
        <f>IFERROR(INDEX(PP_Grid[#Data],$DD1046,15),0)</f>
        <v/>
      </c>
      <c r="R1046">
        <f>IFERROR(INDEX(PP_Grid[#Data],$DD1046,16),0)</f>
        <v/>
      </c>
      <c r="S1046">
        <f>IFERROR(INDEX(PP_Grid[#Data],$DD1046,17),0)</f>
        <v/>
      </c>
      <c r="T1046">
        <f>IFERROR(INDEX(PP_Grid[#Data],$DD1046,18),0)</f>
        <v/>
      </c>
      <c r="U1046">
        <f>IFERROR(INDEX(PP_Grid[#Data],$DD1046,19),0)</f>
        <v/>
      </c>
      <c r="V1046">
        <f>IFERROR(INDEX(PP_Grid[#Data],$DD1046,20),0)</f>
        <v/>
      </c>
      <c r="W1046">
        <f>IFERROR(INDEX(PP_Grid[#Data],$DD1046,21),0)</f>
        <v/>
      </c>
      <c r="X1046">
        <f>IFERROR(INDEX(PP_Grid[#Data],$DD1046,22),0)</f>
        <v/>
      </c>
      <c r="Y1046">
        <f>IFERROR(INDEX(PP_Grid[#Data],$DD1046,23),0)</f>
        <v/>
      </c>
      <c r="Z1046">
        <f>IFERROR(INDEX(PP_Grid[#Data],$DD1046,24),0)</f>
        <v/>
      </c>
      <c r="AA1046">
        <f>IFERROR(INDEX(PP_Grid[#Data],$DD1046,25),0)</f>
        <v/>
      </c>
      <c r="AB1046">
        <f>IFERROR(INDEX(PP_Grid[#Data],$DD1046,26),0)</f>
        <v/>
      </c>
      <c r="AC1046">
        <f>IFERROR(INDEX(PP_Grid[#Data],$DD1046,27),0)</f>
        <v/>
      </c>
      <c r="AD1046">
        <f>IFERROR(INDEX(PP_Grid[#Data],$DD1046,28),0)</f>
        <v/>
      </c>
      <c r="AE1046">
        <f>IFERROR(INDEX(PP_Grid[#Data],$DD1046,29),0)</f>
        <v/>
      </c>
      <c r="AF1046">
        <f>IFERROR(INDEX(PP_Grid[#Data],$DD1046,30),0)</f>
        <v/>
      </c>
      <c r="AG1046">
        <f>IFERROR(INDEX(PP_Grid[#Data],$DD1046,31),0)</f>
        <v/>
      </c>
      <c r="AH1046">
        <f>IFERROR(INDEX(PP_Grid[#Data],$DD1046,32),0)</f>
        <v/>
      </c>
      <c r="AI1046">
        <f>IFERROR(INDEX(PP_Grid[#Data],$DD1046,33),0)</f>
        <v/>
      </c>
      <c r="AJ1046">
        <f>IFERROR(INDEX(PP_Grid[#Data],$DD1046,34),0)</f>
        <v/>
      </c>
      <c r="AK1046">
        <f>IFERROR(INDEX(PP_Grid[#Data],$DD1046,35),0)</f>
        <v/>
      </c>
      <c r="AL1046">
        <f>IFERROR(INDEX(PP_Grid[#Data],$DD1046,36),0)</f>
        <v/>
      </c>
      <c r="AM1046">
        <f>IFERROR(INDEX(PP_Grid[#Data],$DD1046,37),0)</f>
        <v/>
      </c>
      <c r="AN1046">
        <f>IFERROR(INDEX(PP_Grid[#Data],$DD1046,38),0)</f>
        <v/>
      </c>
      <c r="AO1046">
        <f>IFERROR(INDEX(PP_Grid[#Data],$DD1046,39),0)</f>
        <v/>
      </c>
      <c r="AP1046">
        <f>IFERROR(INDEX(PP_Grid[#Data],$DD1046,40),0)</f>
        <v/>
      </c>
      <c r="AQ1046">
        <f>IFERROR(INDEX(PP_Grid[#Data],$DD1046,41),0)</f>
        <v/>
      </c>
      <c r="AR1046">
        <f>IFERROR(INDEX(PP_Grid[#Data],$DD1046,42),0)</f>
        <v/>
      </c>
      <c r="AS1046">
        <f>IFERROR(INDEX(PP_Grid[#Data],$DD1046,43),0)</f>
        <v/>
      </c>
      <c r="AT1046">
        <f>IFERROR(INDEX(PP_Grid[#Data],$DD1046,44),0)</f>
        <v/>
      </c>
      <c r="AU1046">
        <f>IFERROR(INDEX(PP_Grid[#Data],$DD1046,45),0)</f>
        <v/>
      </c>
      <c r="AV1046">
        <f>IFERROR(INDEX(PP_Grid[#Data],$DD1046,46),0)</f>
        <v/>
      </c>
      <c r="AW1046">
        <f>IFERROR(INDEX(PP_Grid[#Data],$DD1046,47),0)</f>
        <v/>
      </c>
      <c r="AX1046">
        <f>IFERROR(INDEX(PP_Grid[#Data],$DD1046,48),0)</f>
        <v/>
      </c>
      <c r="AY1046">
        <f>IFERROR(INDEX(PP_Grid[#Data],$DD1046,49),0)</f>
        <v/>
      </c>
      <c r="AZ1046">
        <f>IFERROR(INDEX(PP_Grid[#Data],$DD1046,50),0)</f>
        <v/>
      </c>
      <c r="BA1046">
        <f>IFERROR(INDEX(PP_Grid[#Data],$DD1046,51),0)</f>
        <v/>
      </c>
      <c r="BB1046">
        <f>IFERROR(INDEX(PP_Grid[#Data],$DD1046,52),0)</f>
        <v/>
      </c>
      <c r="BC1046">
        <f>IFERROR(INDEX(PP_Grid[#Data],$DD1046,53),0)</f>
        <v/>
      </c>
      <c r="BD1046">
        <f>IFERROR(INDEX(PP_Grid[#Data],$DD1046,54),0)</f>
        <v/>
      </c>
      <c r="BE1046">
        <f>IFERROR(INDEX(PP_Grid[#Data],$DD1046,55),0)</f>
        <v/>
      </c>
      <c r="BF1046">
        <f>IFERROR(INDEX(PP_Grid[#Data],$DD1046,56),0)</f>
        <v/>
      </c>
      <c r="BG1046">
        <f>IFERROR(INDEX(PP_Grid[#Data],$DD1046,57),0)</f>
        <v/>
      </c>
      <c r="BH1046">
        <f>IFERROR(INDEX(PP_Grid[#Data],$DD1046,58),0)</f>
        <v/>
      </c>
      <c r="BI1046">
        <f>IFERROR(INDEX(PP_Grid[#Data],$DD1046,59),0)</f>
        <v/>
      </c>
      <c r="BJ1046">
        <f>IFERROR(INDEX(PP_Grid[#Data],$DD1046,60),0)</f>
        <v/>
      </c>
      <c r="BK1046">
        <f>IFERROR(INDEX(PP_Grid[#Data],$DD1046,61),0)</f>
        <v/>
      </c>
      <c r="BL1046">
        <f>IFERROR(INDEX(PP_Grid[#Data],$DD1046,62),0)</f>
        <v/>
      </c>
      <c r="BM1046">
        <f>IFERROR(INDEX(PP_Grid[#Data],$DD1046,63),0)</f>
        <v/>
      </c>
      <c r="BN1046">
        <f>IFERROR(INDEX(PP_Grid[#Data],$DD1046,64),0)</f>
        <v/>
      </c>
      <c r="BO1046">
        <f>IFERROR(INDEX(PP_Grid[#Data],$DD1046,65),0)</f>
        <v/>
      </c>
      <c r="BP1046">
        <f>IFERROR(INDEX(PP_Grid[#Data],$DD1046,66),0)</f>
        <v/>
      </c>
      <c r="BQ1046">
        <f>IFERROR(INDEX(PP_Grid[#Data],$DD1046,67),0)</f>
        <v/>
      </c>
      <c r="BR1046">
        <f>IFERROR(INDEX(PP_Grid[#Data],$DD1046,68),0)</f>
        <v/>
      </c>
      <c r="BS1046">
        <f>IFERROR(INDEX(PP_Grid[#Data],$DD1046,69),0)</f>
        <v/>
      </c>
      <c r="BT1046">
        <f>IFERROR(INDEX(PP_Grid[#Data],$DD1046,70),0)</f>
        <v/>
      </c>
      <c r="BU1046">
        <f>IFERROR(INDEX(PP_Grid[#Data],$DD1046,71),0)</f>
        <v/>
      </c>
      <c r="BV1046">
        <f>IFERROR(INDEX(PP_Grid[#Data],$DD1046,72),0)</f>
        <v/>
      </c>
      <c r="BW1046">
        <f>IFERROR(INDEX(PP_Grid[#Data],$DD1046,73),0)</f>
        <v/>
      </c>
      <c r="BX1046">
        <f>IFERROR(INDEX(PP_Grid[#Data],$DD1046,74),0)</f>
        <v/>
      </c>
      <c r="BY1046">
        <f>IFERROR(INDEX(PP_Grid[#Data],$DD1046,75),0)</f>
        <v/>
      </c>
      <c r="BZ1046">
        <f>IFERROR(INDEX(PP_Grid[#Data],$DD1046,76),0)</f>
        <v/>
      </c>
      <c r="CA1046">
        <f>IFERROR(INDEX(PP_Grid[#Data],$DD1046,77),0)</f>
        <v/>
      </c>
      <c r="CB1046">
        <f>IFERROR(INDEX(PP_Grid[#Data],$DD1046,78),0)</f>
        <v/>
      </c>
      <c r="CC1046">
        <f>IFERROR(INDEX(PP_Grid[#Data],$DD1046,79),0)</f>
        <v/>
      </c>
      <c r="CD1046">
        <f>IFERROR(INDEX(PP_Grid[#Data],$DD1046,80),0)</f>
        <v/>
      </c>
      <c r="CE1046">
        <f>IFERROR(INDEX(PP_Grid[#Data],$DD1046,81),0)</f>
        <v/>
      </c>
      <c r="CF1046">
        <f>IFERROR(INDEX(PP_Grid[#Data],$DD1046,82),0)</f>
        <v/>
      </c>
      <c r="CG1046">
        <f>IFERROR(INDEX(PP_Grid[#Data],$DD1046,83),0)</f>
        <v/>
      </c>
      <c r="CH1046">
        <f>IFERROR(INDEX(PP_Grid[#Data],$DD1046,84),0)</f>
        <v/>
      </c>
      <c r="CI1046">
        <f>IFERROR(INDEX(PP_Grid[#Data],$DD1046,85),0)</f>
        <v/>
      </c>
      <c r="CJ1046">
        <f>IFERROR(INDEX(PP_Grid[#Data],$DD1046,86),0)</f>
        <v/>
      </c>
      <c r="CK1046">
        <f>IFERROR(INDEX(PP_Grid[#Data],$DD1046,87),0)</f>
        <v/>
      </c>
      <c r="CL1046">
        <f>IFERROR(INDEX(PP_Grid[#Data],$DD1046,88),0)</f>
        <v/>
      </c>
      <c r="CM1046">
        <f>IFERROR(INDEX(PP_Grid[#Data],$DD1046,89),0)</f>
        <v/>
      </c>
      <c r="CN1046">
        <f>IFERROR(INDEX(PP_Grid[#Data],$DD1046,90),0)</f>
        <v/>
      </c>
      <c r="CO1046">
        <f>IFERROR(INDEX(PP_Grid[#Data],$DD1046,91),0)</f>
        <v/>
      </c>
      <c r="CP1046">
        <f>IFERROR(INDEX(PP_Grid[#Data],$DD1046,92),0)</f>
        <v/>
      </c>
      <c r="CQ1046">
        <f>IFERROR(INDEX(PP_Grid[#Data],$DD1046,93),0)</f>
        <v/>
      </c>
      <c r="CR1046">
        <f>IFERROR(INDEX(PP_Grid[#Data],$DD1046,94),0)</f>
        <v/>
      </c>
      <c r="CS1046">
        <f>IFERROR(INDEX(PP_Grid[#Data],$DD1046,95),0)</f>
        <v/>
      </c>
      <c r="CT1046">
        <f>IFERROR(INDEX(PP_Grid[#Data],$DD1046,96),0)</f>
        <v/>
      </c>
      <c r="CU1046">
        <f>IFERROR(INDEX(PP_Grid[#Data],$DD1046,97),0)</f>
        <v/>
      </c>
      <c r="CV1046">
        <f>IFERROR(INDEX(PP_Grid[#Data],$DD1046,98),0)</f>
        <v/>
      </c>
      <c r="CW1046">
        <f>IFERROR(INDEX(PP_Grid[#Data],$DD1046,99),0)</f>
        <v/>
      </c>
      <c r="CX1046">
        <f>IFERROR(INDEX(PP_Grid[#Data],$DD1046,100),0)</f>
        <v/>
      </c>
      <c r="CY1046">
        <f>IFERROR(INDEX(PP_Grid[#Data],$DD1046,101),0)</f>
        <v/>
      </c>
      <c r="CZ1046">
        <f>IFERROR(INDEX(PP_Grid[#Data],$DD1046,102),0)</f>
        <v/>
      </c>
      <c r="DA1046">
        <f>IFERROR(INDEX(PP_Grid[#Data],$DD1046,103),0)</f>
        <v/>
      </c>
      <c r="DB1046">
        <f>IFERROR(INDEX(PP_Grid[#Data],$DD1046,104),0)</f>
        <v/>
      </c>
      <c r="DC1046">
        <f>IFERROR(INDEX(PP_Grid[#Data],$DD1046,105),0)</f>
        <v/>
      </c>
      <c r="DD1046" s="12">
        <f>IFERROR(MATCH($B1046,PP_Grid[Intermediate],0),99999)</f>
        <v/>
      </c>
    </row>
    <row r="1047">
      <c r="B1047" t="inlineStr">
        <is>
          <t>使用量(kg)</t>
        </is>
      </c>
      <c r="C1047">
        <f>SUMIFS(M_BOM[RM_Qty_Per_Batch],M_BOM[Intermediate],$B1046,M_BOM[Part Name],$A1037)</f>
        <v/>
      </c>
      <c r="D1047">
        <f>$C1047*D1046</f>
        <v/>
      </c>
      <c r="E1047">
        <f>$C1047*E1046</f>
        <v/>
      </c>
      <c r="F1047">
        <f>$C1047*F1046</f>
        <v/>
      </c>
      <c r="G1047">
        <f>$C1047*G1046</f>
        <v/>
      </c>
      <c r="H1047">
        <f>$C1047*H1046</f>
        <v/>
      </c>
      <c r="I1047">
        <f>$C1047*I1046</f>
        <v/>
      </c>
      <c r="J1047">
        <f>$C1047*J1046</f>
        <v/>
      </c>
      <c r="K1047">
        <f>$C1047*K1046</f>
        <v/>
      </c>
      <c r="L1047">
        <f>$C1047*L1046</f>
        <v/>
      </c>
      <c r="M1047">
        <f>$C1047*M1046</f>
        <v/>
      </c>
      <c r="N1047">
        <f>$C1047*N1046</f>
        <v/>
      </c>
      <c r="O1047">
        <f>$C1047*O1046</f>
        <v/>
      </c>
      <c r="P1047">
        <f>$C1047*P1046</f>
        <v/>
      </c>
      <c r="Q1047">
        <f>$C1047*Q1046</f>
        <v/>
      </c>
      <c r="R1047">
        <f>$C1047*R1046</f>
        <v/>
      </c>
      <c r="S1047">
        <f>$C1047*S1046</f>
        <v/>
      </c>
      <c r="T1047">
        <f>$C1047*T1046</f>
        <v/>
      </c>
      <c r="U1047">
        <f>$C1047*U1046</f>
        <v/>
      </c>
      <c r="V1047">
        <f>$C1047*V1046</f>
        <v/>
      </c>
      <c r="W1047">
        <f>$C1047*W1046</f>
        <v/>
      </c>
      <c r="X1047">
        <f>$C1047*X1046</f>
        <v/>
      </c>
      <c r="Y1047">
        <f>$C1047*Y1046</f>
        <v/>
      </c>
      <c r="Z1047">
        <f>$C1047*Z1046</f>
        <v/>
      </c>
      <c r="AA1047">
        <f>$C1047*AA1046</f>
        <v/>
      </c>
      <c r="AB1047">
        <f>$C1047*AB1046</f>
        <v/>
      </c>
      <c r="AC1047">
        <f>$C1047*AC1046</f>
        <v/>
      </c>
      <c r="AD1047">
        <f>$C1047*AD1046</f>
        <v/>
      </c>
      <c r="AE1047">
        <f>$C1047*AE1046</f>
        <v/>
      </c>
      <c r="AF1047">
        <f>$C1047*AF1046</f>
        <v/>
      </c>
      <c r="AG1047">
        <f>$C1047*AG1046</f>
        <v/>
      </c>
      <c r="AH1047">
        <f>$C1047*AH1046</f>
        <v/>
      </c>
      <c r="AI1047">
        <f>$C1047*AI1046</f>
        <v/>
      </c>
      <c r="AJ1047">
        <f>$C1047*AJ1046</f>
        <v/>
      </c>
      <c r="AK1047">
        <f>$C1047*AK1046</f>
        <v/>
      </c>
      <c r="AL1047">
        <f>$C1047*AL1046</f>
        <v/>
      </c>
      <c r="AM1047">
        <f>$C1047*AM1046</f>
        <v/>
      </c>
      <c r="AN1047">
        <f>$C1047*AN1046</f>
        <v/>
      </c>
      <c r="AO1047">
        <f>$C1047*AO1046</f>
        <v/>
      </c>
      <c r="AP1047">
        <f>$C1047*AP1046</f>
        <v/>
      </c>
      <c r="AQ1047">
        <f>$C1047*AQ1046</f>
        <v/>
      </c>
      <c r="AR1047">
        <f>$C1047*AR1046</f>
        <v/>
      </c>
      <c r="AS1047">
        <f>$C1047*AS1046</f>
        <v/>
      </c>
      <c r="AT1047">
        <f>$C1047*AT1046</f>
        <v/>
      </c>
      <c r="AU1047">
        <f>$C1047*AU1046</f>
        <v/>
      </c>
      <c r="AV1047">
        <f>$C1047*AV1046</f>
        <v/>
      </c>
      <c r="AW1047">
        <f>$C1047*AW1046</f>
        <v/>
      </c>
      <c r="AX1047">
        <f>$C1047*AX1046</f>
        <v/>
      </c>
      <c r="AY1047">
        <f>$C1047*AY1046</f>
        <v/>
      </c>
      <c r="AZ1047">
        <f>$C1047*AZ1046</f>
        <v/>
      </c>
      <c r="BA1047">
        <f>$C1047*BA1046</f>
        <v/>
      </c>
      <c r="BB1047">
        <f>$C1047*BB1046</f>
        <v/>
      </c>
      <c r="BC1047">
        <f>$C1047*BC1046</f>
        <v/>
      </c>
      <c r="BD1047">
        <f>$C1047*BD1046</f>
        <v/>
      </c>
      <c r="BE1047">
        <f>$C1047*BE1046</f>
        <v/>
      </c>
      <c r="BF1047">
        <f>$C1047*BF1046</f>
        <v/>
      </c>
      <c r="BG1047">
        <f>$C1047*BG1046</f>
        <v/>
      </c>
      <c r="BH1047">
        <f>$C1047*BH1046</f>
        <v/>
      </c>
      <c r="BI1047">
        <f>$C1047*BI1046</f>
        <v/>
      </c>
      <c r="BJ1047">
        <f>$C1047*BJ1046</f>
        <v/>
      </c>
      <c r="BK1047">
        <f>$C1047*BK1046</f>
        <v/>
      </c>
      <c r="BL1047">
        <f>$C1047*BL1046</f>
        <v/>
      </c>
      <c r="BM1047">
        <f>$C1047*BM1046</f>
        <v/>
      </c>
      <c r="BN1047">
        <f>$C1047*BN1046</f>
        <v/>
      </c>
      <c r="BO1047">
        <f>$C1047*BO1046</f>
        <v/>
      </c>
      <c r="BP1047">
        <f>$C1047*BP1046</f>
        <v/>
      </c>
      <c r="BQ1047">
        <f>$C1047*BQ1046</f>
        <v/>
      </c>
      <c r="BR1047">
        <f>$C1047*BR1046</f>
        <v/>
      </c>
      <c r="BS1047">
        <f>$C1047*BS1046</f>
        <v/>
      </c>
      <c r="BT1047">
        <f>$C1047*BT1046</f>
        <v/>
      </c>
      <c r="BU1047">
        <f>$C1047*BU1046</f>
        <v/>
      </c>
      <c r="BV1047">
        <f>$C1047*BV1046</f>
        <v/>
      </c>
      <c r="BW1047">
        <f>$C1047*BW1046</f>
        <v/>
      </c>
      <c r="BX1047">
        <f>$C1047*BX1046</f>
        <v/>
      </c>
      <c r="BY1047">
        <f>$C1047*BY1046</f>
        <v/>
      </c>
      <c r="BZ1047">
        <f>$C1047*BZ1046</f>
        <v/>
      </c>
      <c r="CA1047">
        <f>$C1047*CA1046</f>
        <v/>
      </c>
      <c r="CB1047">
        <f>$C1047*CB1046</f>
        <v/>
      </c>
      <c r="CC1047">
        <f>$C1047*CC1046</f>
        <v/>
      </c>
      <c r="CD1047">
        <f>$C1047*CD1046</f>
        <v/>
      </c>
      <c r="CE1047">
        <f>$C1047*CE1046</f>
        <v/>
      </c>
      <c r="CF1047">
        <f>$C1047*CF1046</f>
        <v/>
      </c>
      <c r="CG1047">
        <f>$C1047*CG1046</f>
        <v/>
      </c>
      <c r="CH1047">
        <f>$C1047*CH1046</f>
        <v/>
      </c>
      <c r="CI1047">
        <f>$C1047*CI1046</f>
        <v/>
      </c>
      <c r="CJ1047">
        <f>$C1047*CJ1046</f>
        <v/>
      </c>
      <c r="CK1047">
        <f>$C1047*CK1046</f>
        <v/>
      </c>
      <c r="CL1047">
        <f>$C1047*CL1046</f>
        <v/>
      </c>
      <c r="CM1047">
        <f>$C1047*CM1046</f>
        <v/>
      </c>
      <c r="CN1047">
        <f>$C1047*CN1046</f>
        <v/>
      </c>
      <c r="CO1047">
        <f>$C1047*CO1046</f>
        <v/>
      </c>
      <c r="CP1047">
        <f>$C1047*CP1046</f>
        <v/>
      </c>
      <c r="CQ1047">
        <f>$C1047*CQ1046</f>
        <v/>
      </c>
      <c r="CR1047">
        <f>$C1047*CR1046</f>
        <v/>
      </c>
      <c r="CS1047">
        <f>$C1047*CS1046</f>
        <v/>
      </c>
      <c r="CT1047">
        <f>$C1047*CT1046</f>
        <v/>
      </c>
      <c r="CU1047">
        <f>$C1047*CU1046</f>
        <v/>
      </c>
      <c r="CV1047">
        <f>$C1047*CV1046</f>
        <v/>
      </c>
      <c r="CW1047">
        <f>$C1047*CW1046</f>
        <v/>
      </c>
      <c r="CX1047">
        <f>$C1047*CX1046</f>
        <v/>
      </c>
      <c r="CY1047">
        <f>$C1047*CY1046</f>
        <v/>
      </c>
      <c r="CZ1047">
        <f>$C1047*CZ1046</f>
        <v/>
      </c>
      <c r="DA1047">
        <f>$C1047*DA1046</f>
        <v/>
      </c>
      <c r="DB1047">
        <f>$C1047*DB1046</f>
        <v/>
      </c>
      <c r="DC1047">
        <f>$C1047*DC1046</f>
        <v/>
      </c>
    </row>
    <row r="1048">
      <c r="B1048" t="inlineStr">
        <is>
          <t>TSP-668</t>
        </is>
      </c>
      <c r="C1048" t="inlineStr">
        <is>
          <t>No. of batches</t>
        </is>
      </c>
      <c r="D1048">
        <f>IFERROR(INDEX(PP_Grid[#Data],$DD1048,2),0)</f>
        <v/>
      </c>
      <c r="E1048">
        <f>IFERROR(INDEX(PP_Grid[#Data],$DD1048,3),0)</f>
        <v/>
      </c>
      <c r="F1048">
        <f>IFERROR(INDEX(PP_Grid[#Data],$DD1048,4),0)</f>
        <v/>
      </c>
      <c r="G1048">
        <f>IFERROR(INDEX(PP_Grid[#Data],$DD1048,5),0)</f>
        <v/>
      </c>
      <c r="H1048">
        <f>IFERROR(INDEX(PP_Grid[#Data],$DD1048,6),0)</f>
        <v/>
      </c>
      <c r="I1048">
        <f>IFERROR(INDEX(PP_Grid[#Data],$DD1048,7),0)</f>
        <v/>
      </c>
      <c r="J1048">
        <f>IFERROR(INDEX(PP_Grid[#Data],$DD1048,8),0)</f>
        <v/>
      </c>
      <c r="K1048">
        <f>IFERROR(INDEX(PP_Grid[#Data],$DD1048,9),0)</f>
        <v/>
      </c>
      <c r="L1048">
        <f>IFERROR(INDEX(PP_Grid[#Data],$DD1048,10),0)</f>
        <v/>
      </c>
      <c r="M1048">
        <f>IFERROR(INDEX(PP_Grid[#Data],$DD1048,11),0)</f>
        <v/>
      </c>
      <c r="N1048">
        <f>IFERROR(INDEX(PP_Grid[#Data],$DD1048,12),0)</f>
        <v/>
      </c>
      <c r="O1048">
        <f>IFERROR(INDEX(PP_Grid[#Data],$DD1048,13),0)</f>
        <v/>
      </c>
      <c r="P1048">
        <f>IFERROR(INDEX(PP_Grid[#Data],$DD1048,14),0)</f>
        <v/>
      </c>
      <c r="Q1048">
        <f>IFERROR(INDEX(PP_Grid[#Data],$DD1048,15),0)</f>
        <v/>
      </c>
      <c r="R1048">
        <f>IFERROR(INDEX(PP_Grid[#Data],$DD1048,16),0)</f>
        <v/>
      </c>
      <c r="S1048">
        <f>IFERROR(INDEX(PP_Grid[#Data],$DD1048,17),0)</f>
        <v/>
      </c>
      <c r="T1048">
        <f>IFERROR(INDEX(PP_Grid[#Data],$DD1048,18),0)</f>
        <v/>
      </c>
      <c r="U1048">
        <f>IFERROR(INDEX(PP_Grid[#Data],$DD1048,19),0)</f>
        <v/>
      </c>
      <c r="V1048">
        <f>IFERROR(INDEX(PP_Grid[#Data],$DD1048,20),0)</f>
        <v/>
      </c>
      <c r="W1048">
        <f>IFERROR(INDEX(PP_Grid[#Data],$DD1048,21),0)</f>
        <v/>
      </c>
      <c r="X1048">
        <f>IFERROR(INDEX(PP_Grid[#Data],$DD1048,22),0)</f>
        <v/>
      </c>
      <c r="Y1048">
        <f>IFERROR(INDEX(PP_Grid[#Data],$DD1048,23),0)</f>
        <v/>
      </c>
      <c r="Z1048">
        <f>IFERROR(INDEX(PP_Grid[#Data],$DD1048,24),0)</f>
        <v/>
      </c>
      <c r="AA1048">
        <f>IFERROR(INDEX(PP_Grid[#Data],$DD1048,25),0)</f>
        <v/>
      </c>
      <c r="AB1048">
        <f>IFERROR(INDEX(PP_Grid[#Data],$DD1048,26),0)</f>
        <v/>
      </c>
      <c r="AC1048">
        <f>IFERROR(INDEX(PP_Grid[#Data],$DD1048,27),0)</f>
        <v/>
      </c>
      <c r="AD1048">
        <f>IFERROR(INDEX(PP_Grid[#Data],$DD1048,28),0)</f>
        <v/>
      </c>
      <c r="AE1048">
        <f>IFERROR(INDEX(PP_Grid[#Data],$DD1048,29),0)</f>
        <v/>
      </c>
      <c r="AF1048">
        <f>IFERROR(INDEX(PP_Grid[#Data],$DD1048,30),0)</f>
        <v/>
      </c>
      <c r="AG1048">
        <f>IFERROR(INDEX(PP_Grid[#Data],$DD1048,31),0)</f>
        <v/>
      </c>
      <c r="AH1048">
        <f>IFERROR(INDEX(PP_Grid[#Data],$DD1048,32),0)</f>
        <v/>
      </c>
      <c r="AI1048">
        <f>IFERROR(INDEX(PP_Grid[#Data],$DD1048,33),0)</f>
        <v/>
      </c>
      <c r="AJ1048">
        <f>IFERROR(INDEX(PP_Grid[#Data],$DD1048,34),0)</f>
        <v/>
      </c>
      <c r="AK1048">
        <f>IFERROR(INDEX(PP_Grid[#Data],$DD1048,35),0)</f>
        <v/>
      </c>
      <c r="AL1048">
        <f>IFERROR(INDEX(PP_Grid[#Data],$DD1048,36),0)</f>
        <v/>
      </c>
      <c r="AM1048">
        <f>IFERROR(INDEX(PP_Grid[#Data],$DD1048,37),0)</f>
        <v/>
      </c>
      <c r="AN1048">
        <f>IFERROR(INDEX(PP_Grid[#Data],$DD1048,38),0)</f>
        <v/>
      </c>
      <c r="AO1048">
        <f>IFERROR(INDEX(PP_Grid[#Data],$DD1048,39),0)</f>
        <v/>
      </c>
      <c r="AP1048">
        <f>IFERROR(INDEX(PP_Grid[#Data],$DD1048,40),0)</f>
        <v/>
      </c>
      <c r="AQ1048">
        <f>IFERROR(INDEX(PP_Grid[#Data],$DD1048,41),0)</f>
        <v/>
      </c>
      <c r="AR1048">
        <f>IFERROR(INDEX(PP_Grid[#Data],$DD1048,42),0)</f>
        <v/>
      </c>
      <c r="AS1048">
        <f>IFERROR(INDEX(PP_Grid[#Data],$DD1048,43),0)</f>
        <v/>
      </c>
      <c r="AT1048">
        <f>IFERROR(INDEX(PP_Grid[#Data],$DD1048,44),0)</f>
        <v/>
      </c>
      <c r="AU1048">
        <f>IFERROR(INDEX(PP_Grid[#Data],$DD1048,45),0)</f>
        <v/>
      </c>
      <c r="AV1048">
        <f>IFERROR(INDEX(PP_Grid[#Data],$DD1048,46),0)</f>
        <v/>
      </c>
      <c r="AW1048">
        <f>IFERROR(INDEX(PP_Grid[#Data],$DD1048,47),0)</f>
        <v/>
      </c>
      <c r="AX1048">
        <f>IFERROR(INDEX(PP_Grid[#Data],$DD1048,48),0)</f>
        <v/>
      </c>
      <c r="AY1048">
        <f>IFERROR(INDEX(PP_Grid[#Data],$DD1048,49),0)</f>
        <v/>
      </c>
      <c r="AZ1048">
        <f>IFERROR(INDEX(PP_Grid[#Data],$DD1048,50),0)</f>
        <v/>
      </c>
      <c r="BA1048">
        <f>IFERROR(INDEX(PP_Grid[#Data],$DD1048,51),0)</f>
        <v/>
      </c>
      <c r="BB1048">
        <f>IFERROR(INDEX(PP_Grid[#Data],$DD1048,52),0)</f>
        <v/>
      </c>
      <c r="BC1048">
        <f>IFERROR(INDEX(PP_Grid[#Data],$DD1048,53),0)</f>
        <v/>
      </c>
      <c r="BD1048">
        <f>IFERROR(INDEX(PP_Grid[#Data],$DD1048,54),0)</f>
        <v/>
      </c>
      <c r="BE1048">
        <f>IFERROR(INDEX(PP_Grid[#Data],$DD1048,55),0)</f>
        <v/>
      </c>
      <c r="BF1048">
        <f>IFERROR(INDEX(PP_Grid[#Data],$DD1048,56),0)</f>
        <v/>
      </c>
      <c r="BG1048">
        <f>IFERROR(INDEX(PP_Grid[#Data],$DD1048,57),0)</f>
        <v/>
      </c>
      <c r="BH1048">
        <f>IFERROR(INDEX(PP_Grid[#Data],$DD1048,58),0)</f>
        <v/>
      </c>
      <c r="BI1048">
        <f>IFERROR(INDEX(PP_Grid[#Data],$DD1048,59),0)</f>
        <v/>
      </c>
      <c r="BJ1048">
        <f>IFERROR(INDEX(PP_Grid[#Data],$DD1048,60),0)</f>
        <v/>
      </c>
      <c r="BK1048">
        <f>IFERROR(INDEX(PP_Grid[#Data],$DD1048,61),0)</f>
        <v/>
      </c>
      <c r="BL1048">
        <f>IFERROR(INDEX(PP_Grid[#Data],$DD1048,62),0)</f>
        <v/>
      </c>
      <c r="BM1048">
        <f>IFERROR(INDEX(PP_Grid[#Data],$DD1048,63),0)</f>
        <v/>
      </c>
      <c r="BN1048">
        <f>IFERROR(INDEX(PP_Grid[#Data],$DD1048,64),0)</f>
        <v/>
      </c>
      <c r="BO1048">
        <f>IFERROR(INDEX(PP_Grid[#Data],$DD1048,65),0)</f>
        <v/>
      </c>
      <c r="BP1048">
        <f>IFERROR(INDEX(PP_Grid[#Data],$DD1048,66),0)</f>
        <v/>
      </c>
      <c r="BQ1048">
        <f>IFERROR(INDEX(PP_Grid[#Data],$DD1048,67),0)</f>
        <v/>
      </c>
      <c r="BR1048">
        <f>IFERROR(INDEX(PP_Grid[#Data],$DD1048,68),0)</f>
        <v/>
      </c>
      <c r="BS1048">
        <f>IFERROR(INDEX(PP_Grid[#Data],$DD1048,69),0)</f>
        <v/>
      </c>
      <c r="BT1048">
        <f>IFERROR(INDEX(PP_Grid[#Data],$DD1048,70),0)</f>
        <v/>
      </c>
      <c r="BU1048">
        <f>IFERROR(INDEX(PP_Grid[#Data],$DD1048,71),0)</f>
        <v/>
      </c>
      <c r="BV1048">
        <f>IFERROR(INDEX(PP_Grid[#Data],$DD1048,72),0)</f>
        <v/>
      </c>
      <c r="BW1048">
        <f>IFERROR(INDEX(PP_Grid[#Data],$DD1048,73),0)</f>
        <v/>
      </c>
      <c r="BX1048">
        <f>IFERROR(INDEX(PP_Grid[#Data],$DD1048,74),0)</f>
        <v/>
      </c>
      <c r="BY1048">
        <f>IFERROR(INDEX(PP_Grid[#Data],$DD1048,75),0)</f>
        <v/>
      </c>
      <c r="BZ1048">
        <f>IFERROR(INDEX(PP_Grid[#Data],$DD1048,76),0)</f>
        <v/>
      </c>
      <c r="CA1048">
        <f>IFERROR(INDEX(PP_Grid[#Data],$DD1048,77),0)</f>
        <v/>
      </c>
      <c r="CB1048">
        <f>IFERROR(INDEX(PP_Grid[#Data],$DD1048,78),0)</f>
        <v/>
      </c>
      <c r="CC1048">
        <f>IFERROR(INDEX(PP_Grid[#Data],$DD1048,79),0)</f>
        <v/>
      </c>
      <c r="CD1048">
        <f>IFERROR(INDEX(PP_Grid[#Data],$DD1048,80),0)</f>
        <v/>
      </c>
      <c r="CE1048">
        <f>IFERROR(INDEX(PP_Grid[#Data],$DD1048,81),0)</f>
        <v/>
      </c>
      <c r="CF1048">
        <f>IFERROR(INDEX(PP_Grid[#Data],$DD1048,82),0)</f>
        <v/>
      </c>
      <c r="CG1048">
        <f>IFERROR(INDEX(PP_Grid[#Data],$DD1048,83),0)</f>
        <v/>
      </c>
      <c r="CH1048">
        <f>IFERROR(INDEX(PP_Grid[#Data],$DD1048,84),0)</f>
        <v/>
      </c>
      <c r="CI1048">
        <f>IFERROR(INDEX(PP_Grid[#Data],$DD1048,85),0)</f>
        <v/>
      </c>
      <c r="CJ1048">
        <f>IFERROR(INDEX(PP_Grid[#Data],$DD1048,86),0)</f>
        <v/>
      </c>
      <c r="CK1048">
        <f>IFERROR(INDEX(PP_Grid[#Data],$DD1048,87),0)</f>
        <v/>
      </c>
      <c r="CL1048">
        <f>IFERROR(INDEX(PP_Grid[#Data],$DD1048,88),0)</f>
        <v/>
      </c>
      <c r="CM1048">
        <f>IFERROR(INDEX(PP_Grid[#Data],$DD1048,89),0)</f>
        <v/>
      </c>
      <c r="CN1048">
        <f>IFERROR(INDEX(PP_Grid[#Data],$DD1048,90),0)</f>
        <v/>
      </c>
      <c r="CO1048">
        <f>IFERROR(INDEX(PP_Grid[#Data],$DD1048,91),0)</f>
        <v/>
      </c>
      <c r="CP1048">
        <f>IFERROR(INDEX(PP_Grid[#Data],$DD1048,92),0)</f>
        <v/>
      </c>
      <c r="CQ1048">
        <f>IFERROR(INDEX(PP_Grid[#Data],$DD1048,93),0)</f>
        <v/>
      </c>
      <c r="CR1048">
        <f>IFERROR(INDEX(PP_Grid[#Data],$DD1048,94),0)</f>
        <v/>
      </c>
      <c r="CS1048">
        <f>IFERROR(INDEX(PP_Grid[#Data],$DD1048,95),0)</f>
        <v/>
      </c>
      <c r="CT1048">
        <f>IFERROR(INDEX(PP_Grid[#Data],$DD1048,96),0)</f>
        <v/>
      </c>
      <c r="CU1048">
        <f>IFERROR(INDEX(PP_Grid[#Data],$DD1048,97),0)</f>
        <v/>
      </c>
      <c r="CV1048">
        <f>IFERROR(INDEX(PP_Grid[#Data],$DD1048,98),0)</f>
        <v/>
      </c>
      <c r="CW1048">
        <f>IFERROR(INDEX(PP_Grid[#Data],$DD1048,99),0)</f>
        <v/>
      </c>
      <c r="CX1048">
        <f>IFERROR(INDEX(PP_Grid[#Data],$DD1048,100),0)</f>
        <v/>
      </c>
      <c r="CY1048">
        <f>IFERROR(INDEX(PP_Grid[#Data],$DD1048,101),0)</f>
        <v/>
      </c>
      <c r="CZ1048">
        <f>IFERROR(INDEX(PP_Grid[#Data],$DD1048,102),0)</f>
        <v/>
      </c>
      <c r="DA1048">
        <f>IFERROR(INDEX(PP_Grid[#Data],$DD1048,103),0)</f>
        <v/>
      </c>
      <c r="DB1048">
        <f>IFERROR(INDEX(PP_Grid[#Data],$DD1048,104),0)</f>
        <v/>
      </c>
      <c r="DC1048">
        <f>IFERROR(INDEX(PP_Grid[#Data],$DD1048,105),0)</f>
        <v/>
      </c>
      <c r="DD1048" s="12">
        <f>IFERROR(MATCH($B1048,PP_Grid[Intermediate],0),99999)</f>
        <v/>
      </c>
    </row>
    <row r="1049">
      <c r="B1049" t="inlineStr">
        <is>
          <t>使用量(kg)</t>
        </is>
      </c>
      <c r="C1049">
        <f>SUMIFS(M_BOM[RM_Qty_Per_Batch],M_BOM[Intermediate],$B1048,M_BOM[Part Name],$A1037)</f>
        <v/>
      </c>
      <c r="D1049">
        <f>$C1049*D1048</f>
        <v/>
      </c>
      <c r="E1049">
        <f>$C1049*E1048</f>
        <v/>
      </c>
      <c r="F1049">
        <f>$C1049*F1048</f>
        <v/>
      </c>
      <c r="G1049">
        <f>$C1049*G1048</f>
        <v/>
      </c>
      <c r="H1049">
        <f>$C1049*H1048</f>
        <v/>
      </c>
      <c r="I1049">
        <f>$C1049*I1048</f>
        <v/>
      </c>
      <c r="J1049">
        <f>$C1049*J1048</f>
        <v/>
      </c>
      <c r="K1049">
        <f>$C1049*K1048</f>
        <v/>
      </c>
      <c r="L1049">
        <f>$C1049*L1048</f>
        <v/>
      </c>
      <c r="M1049">
        <f>$C1049*M1048</f>
        <v/>
      </c>
      <c r="N1049">
        <f>$C1049*N1048</f>
        <v/>
      </c>
      <c r="O1049">
        <f>$C1049*O1048</f>
        <v/>
      </c>
      <c r="P1049">
        <f>$C1049*P1048</f>
        <v/>
      </c>
      <c r="Q1049">
        <f>$C1049*Q1048</f>
        <v/>
      </c>
      <c r="R1049">
        <f>$C1049*R1048</f>
        <v/>
      </c>
      <c r="S1049">
        <f>$C1049*S1048</f>
        <v/>
      </c>
      <c r="T1049">
        <f>$C1049*T1048</f>
        <v/>
      </c>
      <c r="U1049">
        <f>$C1049*U1048</f>
        <v/>
      </c>
      <c r="V1049">
        <f>$C1049*V1048</f>
        <v/>
      </c>
      <c r="W1049">
        <f>$C1049*W1048</f>
        <v/>
      </c>
      <c r="X1049">
        <f>$C1049*X1048</f>
        <v/>
      </c>
      <c r="Y1049">
        <f>$C1049*Y1048</f>
        <v/>
      </c>
      <c r="Z1049">
        <f>$C1049*Z1048</f>
        <v/>
      </c>
      <c r="AA1049">
        <f>$C1049*AA1048</f>
        <v/>
      </c>
      <c r="AB1049">
        <f>$C1049*AB1048</f>
        <v/>
      </c>
      <c r="AC1049">
        <f>$C1049*AC1048</f>
        <v/>
      </c>
      <c r="AD1049">
        <f>$C1049*AD1048</f>
        <v/>
      </c>
      <c r="AE1049">
        <f>$C1049*AE1048</f>
        <v/>
      </c>
      <c r="AF1049">
        <f>$C1049*AF1048</f>
        <v/>
      </c>
      <c r="AG1049">
        <f>$C1049*AG1048</f>
        <v/>
      </c>
      <c r="AH1049">
        <f>$C1049*AH1048</f>
        <v/>
      </c>
      <c r="AI1049">
        <f>$C1049*AI1048</f>
        <v/>
      </c>
      <c r="AJ1049">
        <f>$C1049*AJ1048</f>
        <v/>
      </c>
      <c r="AK1049">
        <f>$C1049*AK1048</f>
        <v/>
      </c>
      <c r="AL1049">
        <f>$C1049*AL1048</f>
        <v/>
      </c>
      <c r="AM1049">
        <f>$C1049*AM1048</f>
        <v/>
      </c>
      <c r="AN1049">
        <f>$C1049*AN1048</f>
        <v/>
      </c>
      <c r="AO1049">
        <f>$C1049*AO1048</f>
        <v/>
      </c>
      <c r="AP1049">
        <f>$C1049*AP1048</f>
        <v/>
      </c>
      <c r="AQ1049">
        <f>$C1049*AQ1048</f>
        <v/>
      </c>
      <c r="AR1049">
        <f>$C1049*AR1048</f>
        <v/>
      </c>
      <c r="AS1049">
        <f>$C1049*AS1048</f>
        <v/>
      </c>
      <c r="AT1049">
        <f>$C1049*AT1048</f>
        <v/>
      </c>
      <c r="AU1049">
        <f>$C1049*AU1048</f>
        <v/>
      </c>
      <c r="AV1049">
        <f>$C1049*AV1048</f>
        <v/>
      </c>
      <c r="AW1049">
        <f>$C1049*AW1048</f>
        <v/>
      </c>
      <c r="AX1049">
        <f>$C1049*AX1048</f>
        <v/>
      </c>
      <c r="AY1049">
        <f>$C1049*AY1048</f>
        <v/>
      </c>
      <c r="AZ1049">
        <f>$C1049*AZ1048</f>
        <v/>
      </c>
      <c r="BA1049">
        <f>$C1049*BA1048</f>
        <v/>
      </c>
      <c r="BB1049">
        <f>$C1049*BB1048</f>
        <v/>
      </c>
      <c r="BC1049">
        <f>$C1049*BC1048</f>
        <v/>
      </c>
      <c r="BD1049">
        <f>$C1049*BD1048</f>
        <v/>
      </c>
      <c r="BE1049">
        <f>$C1049*BE1048</f>
        <v/>
      </c>
      <c r="BF1049">
        <f>$C1049*BF1048</f>
        <v/>
      </c>
      <c r="BG1049">
        <f>$C1049*BG1048</f>
        <v/>
      </c>
      <c r="BH1049">
        <f>$C1049*BH1048</f>
        <v/>
      </c>
      <c r="BI1049">
        <f>$C1049*BI1048</f>
        <v/>
      </c>
      <c r="BJ1049">
        <f>$C1049*BJ1048</f>
        <v/>
      </c>
      <c r="BK1049">
        <f>$C1049*BK1048</f>
        <v/>
      </c>
      <c r="BL1049">
        <f>$C1049*BL1048</f>
        <v/>
      </c>
      <c r="BM1049">
        <f>$C1049*BM1048</f>
        <v/>
      </c>
      <c r="BN1049">
        <f>$C1049*BN1048</f>
        <v/>
      </c>
      <c r="BO1049">
        <f>$C1049*BO1048</f>
        <v/>
      </c>
      <c r="BP1049">
        <f>$C1049*BP1048</f>
        <v/>
      </c>
      <c r="BQ1049">
        <f>$C1049*BQ1048</f>
        <v/>
      </c>
      <c r="BR1049">
        <f>$C1049*BR1048</f>
        <v/>
      </c>
      <c r="BS1049">
        <f>$C1049*BS1048</f>
        <v/>
      </c>
      <c r="BT1049">
        <f>$C1049*BT1048</f>
        <v/>
      </c>
      <c r="BU1049">
        <f>$C1049*BU1048</f>
        <v/>
      </c>
      <c r="BV1049">
        <f>$C1049*BV1048</f>
        <v/>
      </c>
      <c r="BW1049">
        <f>$C1049*BW1048</f>
        <v/>
      </c>
      <c r="BX1049">
        <f>$C1049*BX1048</f>
        <v/>
      </c>
      <c r="BY1049">
        <f>$C1049*BY1048</f>
        <v/>
      </c>
      <c r="BZ1049">
        <f>$C1049*BZ1048</f>
        <v/>
      </c>
      <c r="CA1049">
        <f>$C1049*CA1048</f>
        <v/>
      </c>
      <c r="CB1049">
        <f>$C1049*CB1048</f>
        <v/>
      </c>
      <c r="CC1049">
        <f>$C1049*CC1048</f>
        <v/>
      </c>
      <c r="CD1049">
        <f>$C1049*CD1048</f>
        <v/>
      </c>
      <c r="CE1049">
        <f>$C1049*CE1048</f>
        <v/>
      </c>
      <c r="CF1049">
        <f>$C1049*CF1048</f>
        <v/>
      </c>
      <c r="CG1049">
        <f>$C1049*CG1048</f>
        <v/>
      </c>
      <c r="CH1049">
        <f>$C1049*CH1048</f>
        <v/>
      </c>
      <c r="CI1049">
        <f>$C1049*CI1048</f>
        <v/>
      </c>
      <c r="CJ1049">
        <f>$C1049*CJ1048</f>
        <v/>
      </c>
      <c r="CK1049">
        <f>$C1049*CK1048</f>
        <v/>
      </c>
      <c r="CL1049">
        <f>$C1049*CL1048</f>
        <v/>
      </c>
      <c r="CM1049">
        <f>$C1049*CM1048</f>
        <v/>
      </c>
      <c r="CN1049">
        <f>$C1049*CN1048</f>
        <v/>
      </c>
      <c r="CO1049">
        <f>$C1049*CO1048</f>
        <v/>
      </c>
      <c r="CP1049">
        <f>$C1049*CP1048</f>
        <v/>
      </c>
      <c r="CQ1049">
        <f>$C1049*CQ1048</f>
        <v/>
      </c>
      <c r="CR1049">
        <f>$C1049*CR1048</f>
        <v/>
      </c>
      <c r="CS1049">
        <f>$C1049*CS1048</f>
        <v/>
      </c>
      <c r="CT1049">
        <f>$C1049*CT1048</f>
        <v/>
      </c>
      <c r="CU1049">
        <f>$C1049*CU1048</f>
        <v/>
      </c>
      <c r="CV1049">
        <f>$C1049*CV1048</f>
        <v/>
      </c>
      <c r="CW1049">
        <f>$C1049*CW1048</f>
        <v/>
      </c>
      <c r="CX1049">
        <f>$C1049*CX1048</f>
        <v/>
      </c>
      <c r="CY1049">
        <f>$C1049*CY1048</f>
        <v/>
      </c>
      <c r="CZ1049">
        <f>$C1049*CZ1048</f>
        <v/>
      </c>
      <c r="DA1049">
        <f>$C1049*DA1048</f>
        <v/>
      </c>
      <c r="DB1049">
        <f>$C1049*DB1048</f>
        <v/>
      </c>
      <c r="DC1049">
        <f>$C1049*DC1048</f>
        <v/>
      </c>
    </row>
    <row r="1050">
      <c r="B1050" t="inlineStr">
        <is>
          <t>TSP-669</t>
        </is>
      </c>
      <c r="C1050" t="inlineStr">
        <is>
          <t>No. of batches</t>
        </is>
      </c>
      <c r="D1050">
        <f>IFERROR(INDEX(PP_Grid[#Data],$DD1050,2),0)</f>
        <v/>
      </c>
      <c r="E1050">
        <f>IFERROR(INDEX(PP_Grid[#Data],$DD1050,3),0)</f>
        <v/>
      </c>
      <c r="F1050">
        <f>IFERROR(INDEX(PP_Grid[#Data],$DD1050,4),0)</f>
        <v/>
      </c>
      <c r="G1050">
        <f>IFERROR(INDEX(PP_Grid[#Data],$DD1050,5),0)</f>
        <v/>
      </c>
      <c r="H1050">
        <f>IFERROR(INDEX(PP_Grid[#Data],$DD1050,6),0)</f>
        <v/>
      </c>
      <c r="I1050">
        <f>IFERROR(INDEX(PP_Grid[#Data],$DD1050,7),0)</f>
        <v/>
      </c>
      <c r="J1050">
        <f>IFERROR(INDEX(PP_Grid[#Data],$DD1050,8),0)</f>
        <v/>
      </c>
      <c r="K1050">
        <f>IFERROR(INDEX(PP_Grid[#Data],$DD1050,9),0)</f>
        <v/>
      </c>
      <c r="L1050">
        <f>IFERROR(INDEX(PP_Grid[#Data],$DD1050,10),0)</f>
        <v/>
      </c>
      <c r="M1050">
        <f>IFERROR(INDEX(PP_Grid[#Data],$DD1050,11),0)</f>
        <v/>
      </c>
      <c r="N1050">
        <f>IFERROR(INDEX(PP_Grid[#Data],$DD1050,12),0)</f>
        <v/>
      </c>
      <c r="O1050">
        <f>IFERROR(INDEX(PP_Grid[#Data],$DD1050,13),0)</f>
        <v/>
      </c>
      <c r="P1050">
        <f>IFERROR(INDEX(PP_Grid[#Data],$DD1050,14),0)</f>
        <v/>
      </c>
      <c r="Q1050">
        <f>IFERROR(INDEX(PP_Grid[#Data],$DD1050,15),0)</f>
        <v/>
      </c>
      <c r="R1050">
        <f>IFERROR(INDEX(PP_Grid[#Data],$DD1050,16),0)</f>
        <v/>
      </c>
      <c r="S1050">
        <f>IFERROR(INDEX(PP_Grid[#Data],$DD1050,17),0)</f>
        <v/>
      </c>
      <c r="T1050">
        <f>IFERROR(INDEX(PP_Grid[#Data],$DD1050,18),0)</f>
        <v/>
      </c>
      <c r="U1050">
        <f>IFERROR(INDEX(PP_Grid[#Data],$DD1050,19),0)</f>
        <v/>
      </c>
      <c r="V1050">
        <f>IFERROR(INDEX(PP_Grid[#Data],$DD1050,20),0)</f>
        <v/>
      </c>
      <c r="W1050">
        <f>IFERROR(INDEX(PP_Grid[#Data],$DD1050,21),0)</f>
        <v/>
      </c>
      <c r="X1050">
        <f>IFERROR(INDEX(PP_Grid[#Data],$DD1050,22),0)</f>
        <v/>
      </c>
      <c r="Y1050">
        <f>IFERROR(INDEX(PP_Grid[#Data],$DD1050,23),0)</f>
        <v/>
      </c>
      <c r="Z1050">
        <f>IFERROR(INDEX(PP_Grid[#Data],$DD1050,24),0)</f>
        <v/>
      </c>
      <c r="AA1050">
        <f>IFERROR(INDEX(PP_Grid[#Data],$DD1050,25),0)</f>
        <v/>
      </c>
      <c r="AB1050">
        <f>IFERROR(INDEX(PP_Grid[#Data],$DD1050,26),0)</f>
        <v/>
      </c>
      <c r="AC1050">
        <f>IFERROR(INDEX(PP_Grid[#Data],$DD1050,27),0)</f>
        <v/>
      </c>
      <c r="AD1050">
        <f>IFERROR(INDEX(PP_Grid[#Data],$DD1050,28),0)</f>
        <v/>
      </c>
      <c r="AE1050">
        <f>IFERROR(INDEX(PP_Grid[#Data],$DD1050,29),0)</f>
        <v/>
      </c>
      <c r="AF1050">
        <f>IFERROR(INDEX(PP_Grid[#Data],$DD1050,30),0)</f>
        <v/>
      </c>
      <c r="AG1050">
        <f>IFERROR(INDEX(PP_Grid[#Data],$DD1050,31),0)</f>
        <v/>
      </c>
      <c r="AH1050">
        <f>IFERROR(INDEX(PP_Grid[#Data],$DD1050,32),0)</f>
        <v/>
      </c>
      <c r="AI1050">
        <f>IFERROR(INDEX(PP_Grid[#Data],$DD1050,33),0)</f>
        <v/>
      </c>
      <c r="AJ1050">
        <f>IFERROR(INDEX(PP_Grid[#Data],$DD1050,34),0)</f>
        <v/>
      </c>
      <c r="AK1050">
        <f>IFERROR(INDEX(PP_Grid[#Data],$DD1050,35),0)</f>
        <v/>
      </c>
      <c r="AL1050">
        <f>IFERROR(INDEX(PP_Grid[#Data],$DD1050,36),0)</f>
        <v/>
      </c>
      <c r="AM1050">
        <f>IFERROR(INDEX(PP_Grid[#Data],$DD1050,37),0)</f>
        <v/>
      </c>
      <c r="AN1050">
        <f>IFERROR(INDEX(PP_Grid[#Data],$DD1050,38),0)</f>
        <v/>
      </c>
      <c r="AO1050">
        <f>IFERROR(INDEX(PP_Grid[#Data],$DD1050,39),0)</f>
        <v/>
      </c>
      <c r="AP1050">
        <f>IFERROR(INDEX(PP_Grid[#Data],$DD1050,40),0)</f>
        <v/>
      </c>
      <c r="AQ1050">
        <f>IFERROR(INDEX(PP_Grid[#Data],$DD1050,41),0)</f>
        <v/>
      </c>
      <c r="AR1050">
        <f>IFERROR(INDEX(PP_Grid[#Data],$DD1050,42),0)</f>
        <v/>
      </c>
      <c r="AS1050">
        <f>IFERROR(INDEX(PP_Grid[#Data],$DD1050,43),0)</f>
        <v/>
      </c>
      <c r="AT1050">
        <f>IFERROR(INDEX(PP_Grid[#Data],$DD1050,44),0)</f>
        <v/>
      </c>
      <c r="AU1050">
        <f>IFERROR(INDEX(PP_Grid[#Data],$DD1050,45),0)</f>
        <v/>
      </c>
      <c r="AV1050">
        <f>IFERROR(INDEX(PP_Grid[#Data],$DD1050,46),0)</f>
        <v/>
      </c>
      <c r="AW1050">
        <f>IFERROR(INDEX(PP_Grid[#Data],$DD1050,47),0)</f>
        <v/>
      </c>
      <c r="AX1050">
        <f>IFERROR(INDEX(PP_Grid[#Data],$DD1050,48),0)</f>
        <v/>
      </c>
      <c r="AY1050">
        <f>IFERROR(INDEX(PP_Grid[#Data],$DD1050,49),0)</f>
        <v/>
      </c>
      <c r="AZ1050">
        <f>IFERROR(INDEX(PP_Grid[#Data],$DD1050,50),0)</f>
        <v/>
      </c>
      <c r="BA1050">
        <f>IFERROR(INDEX(PP_Grid[#Data],$DD1050,51),0)</f>
        <v/>
      </c>
      <c r="BB1050">
        <f>IFERROR(INDEX(PP_Grid[#Data],$DD1050,52),0)</f>
        <v/>
      </c>
      <c r="BC1050">
        <f>IFERROR(INDEX(PP_Grid[#Data],$DD1050,53),0)</f>
        <v/>
      </c>
      <c r="BD1050">
        <f>IFERROR(INDEX(PP_Grid[#Data],$DD1050,54),0)</f>
        <v/>
      </c>
      <c r="BE1050">
        <f>IFERROR(INDEX(PP_Grid[#Data],$DD1050,55),0)</f>
        <v/>
      </c>
      <c r="BF1050">
        <f>IFERROR(INDEX(PP_Grid[#Data],$DD1050,56),0)</f>
        <v/>
      </c>
      <c r="BG1050">
        <f>IFERROR(INDEX(PP_Grid[#Data],$DD1050,57),0)</f>
        <v/>
      </c>
      <c r="BH1050">
        <f>IFERROR(INDEX(PP_Grid[#Data],$DD1050,58),0)</f>
        <v/>
      </c>
      <c r="BI1050">
        <f>IFERROR(INDEX(PP_Grid[#Data],$DD1050,59),0)</f>
        <v/>
      </c>
      <c r="BJ1050">
        <f>IFERROR(INDEX(PP_Grid[#Data],$DD1050,60),0)</f>
        <v/>
      </c>
      <c r="BK1050">
        <f>IFERROR(INDEX(PP_Grid[#Data],$DD1050,61),0)</f>
        <v/>
      </c>
      <c r="BL1050">
        <f>IFERROR(INDEX(PP_Grid[#Data],$DD1050,62),0)</f>
        <v/>
      </c>
      <c r="BM1050">
        <f>IFERROR(INDEX(PP_Grid[#Data],$DD1050,63),0)</f>
        <v/>
      </c>
      <c r="BN1050">
        <f>IFERROR(INDEX(PP_Grid[#Data],$DD1050,64),0)</f>
        <v/>
      </c>
      <c r="BO1050">
        <f>IFERROR(INDEX(PP_Grid[#Data],$DD1050,65),0)</f>
        <v/>
      </c>
      <c r="BP1050">
        <f>IFERROR(INDEX(PP_Grid[#Data],$DD1050,66),0)</f>
        <v/>
      </c>
      <c r="BQ1050">
        <f>IFERROR(INDEX(PP_Grid[#Data],$DD1050,67),0)</f>
        <v/>
      </c>
      <c r="BR1050">
        <f>IFERROR(INDEX(PP_Grid[#Data],$DD1050,68),0)</f>
        <v/>
      </c>
      <c r="BS1050">
        <f>IFERROR(INDEX(PP_Grid[#Data],$DD1050,69),0)</f>
        <v/>
      </c>
      <c r="BT1050">
        <f>IFERROR(INDEX(PP_Grid[#Data],$DD1050,70),0)</f>
        <v/>
      </c>
      <c r="BU1050">
        <f>IFERROR(INDEX(PP_Grid[#Data],$DD1050,71),0)</f>
        <v/>
      </c>
      <c r="BV1050">
        <f>IFERROR(INDEX(PP_Grid[#Data],$DD1050,72),0)</f>
        <v/>
      </c>
      <c r="BW1050">
        <f>IFERROR(INDEX(PP_Grid[#Data],$DD1050,73),0)</f>
        <v/>
      </c>
      <c r="BX1050">
        <f>IFERROR(INDEX(PP_Grid[#Data],$DD1050,74),0)</f>
        <v/>
      </c>
      <c r="BY1050">
        <f>IFERROR(INDEX(PP_Grid[#Data],$DD1050,75),0)</f>
        <v/>
      </c>
      <c r="BZ1050">
        <f>IFERROR(INDEX(PP_Grid[#Data],$DD1050,76),0)</f>
        <v/>
      </c>
      <c r="CA1050">
        <f>IFERROR(INDEX(PP_Grid[#Data],$DD1050,77),0)</f>
        <v/>
      </c>
      <c r="CB1050">
        <f>IFERROR(INDEX(PP_Grid[#Data],$DD1050,78),0)</f>
        <v/>
      </c>
      <c r="CC1050">
        <f>IFERROR(INDEX(PP_Grid[#Data],$DD1050,79),0)</f>
        <v/>
      </c>
      <c r="CD1050">
        <f>IFERROR(INDEX(PP_Grid[#Data],$DD1050,80),0)</f>
        <v/>
      </c>
      <c r="CE1050">
        <f>IFERROR(INDEX(PP_Grid[#Data],$DD1050,81),0)</f>
        <v/>
      </c>
      <c r="CF1050">
        <f>IFERROR(INDEX(PP_Grid[#Data],$DD1050,82),0)</f>
        <v/>
      </c>
      <c r="CG1050">
        <f>IFERROR(INDEX(PP_Grid[#Data],$DD1050,83),0)</f>
        <v/>
      </c>
      <c r="CH1050">
        <f>IFERROR(INDEX(PP_Grid[#Data],$DD1050,84),0)</f>
        <v/>
      </c>
      <c r="CI1050">
        <f>IFERROR(INDEX(PP_Grid[#Data],$DD1050,85),0)</f>
        <v/>
      </c>
      <c r="CJ1050">
        <f>IFERROR(INDEX(PP_Grid[#Data],$DD1050,86),0)</f>
        <v/>
      </c>
      <c r="CK1050">
        <f>IFERROR(INDEX(PP_Grid[#Data],$DD1050,87),0)</f>
        <v/>
      </c>
      <c r="CL1050">
        <f>IFERROR(INDEX(PP_Grid[#Data],$DD1050,88),0)</f>
        <v/>
      </c>
      <c r="CM1050">
        <f>IFERROR(INDEX(PP_Grid[#Data],$DD1050,89),0)</f>
        <v/>
      </c>
      <c r="CN1050">
        <f>IFERROR(INDEX(PP_Grid[#Data],$DD1050,90),0)</f>
        <v/>
      </c>
      <c r="CO1050">
        <f>IFERROR(INDEX(PP_Grid[#Data],$DD1050,91),0)</f>
        <v/>
      </c>
      <c r="CP1050">
        <f>IFERROR(INDEX(PP_Grid[#Data],$DD1050,92),0)</f>
        <v/>
      </c>
      <c r="CQ1050">
        <f>IFERROR(INDEX(PP_Grid[#Data],$DD1050,93),0)</f>
        <v/>
      </c>
      <c r="CR1050">
        <f>IFERROR(INDEX(PP_Grid[#Data],$DD1050,94),0)</f>
        <v/>
      </c>
      <c r="CS1050">
        <f>IFERROR(INDEX(PP_Grid[#Data],$DD1050,95),0)</f>
        <v/>
      </c>
      <c r="CT1050">
        <f>IFERROR(INDEX(PP_Grid[#Data],$DD1050,96),0)</f>
        <v/>
      </c>
      <c r="CU1050">
        <f>IFERROR(INDEX(PP_Grid[#Data],$DD1050,97),0)</f>
        <v/>
      </c>
      <c r="CV1050">
        <f>IFERROR(INDEX(PP_Grid[#Data],$DD1050,98),0)</f>
        <v/>
      </c>
      <c r="CW1050">
        <f>IFERROR(INDEX(PP_Grid[#Data],$DD1050,99),0)</f>
        <v/>
      </c>
      <c r="CX1050">
        <f>IFERROR(INDEX(PP_Grid[#Data],$DD1050,100),0)</f>
        <v/>
      </c>
      <c r="CY1050">
        <f>IFERROR(INDEX(PP_Grid[#Data],$DD1050,101),0)</f>
        <v/>
      </c>
      <c r="CZ1050">
        <f>IFERROR(INDEX(PP_Grid[#Data],$DD1050,102),0)</f>
        <v/>
      </c>
      <c r="DA1050">
        <f>IFERROR(INDEX(PP_Grid[#Data],$DD1050,103),0)</f>
        <v/>
      </c>
      <c r="DB1050">
        <f>IFERROR(INDEX(PP_Grid[#Data],$DD1050,104),0)</f>
        <v/>
      </c>
      <c r="DC1050">
        <f>IFERROR(INDEX(PP_Grid[#Data],$DD1050,105),0)</f>
        <v/>
      </c>
      <c r="DD1050" s="12">
        <f>IFERROR(MATCH($B1050,PP_Grid[Intermediate],0),99999)</f>
        <v/>
      </c>
    </row>
    <row r="1051">
      <c r="B1051" t="inlineStr">
        <is>
          <t>使用量(kg)</t>
        </is>
      </c>
      <c r="C1051">
        <f>SUMIFS(M_BOM[RM_Qty_Per_Batch],M_BOM[Intermediate],$B1050,M_BOM[Part Name],$A1037)</f>
        <v/>
      </c>
      <c r="D1051">
        <f>$C1051*D1050</f>
        <v/>
      </c>
      <c r="E1051">
        <f>$C1051*E1050</f>
        <v/>
      </c>
      <c r="F1051">
        <f>$C1051*F1050</f>
        <v/>
      </c>
      <c r="G1051">
        <f>$C1051*G1050</f>
        <v/>
      </c>
      <c r="H1051">
        <f>$C1051*H1050</f>
        <v/>
      </c>
      <c r="I1051">
        <f>$C1051*I1050</f>
        <v/>
      </c>
      <c r="J1051">
        <f>$C1051*J1050</f>
        <v/>
      </c>
      <c r="K1051">
        <f>$C1051*K1050</f>
        <v/>
      </c>
      <c r="L1051">
        <f>$C1051*L1050</f>
        <v/>
      </c>
      <c r="M1051">
        <f>$C1051*M1050</f>
        <v/>
      </c>
      <c r="N1051">
        <f>$C1051*N1050</f>
        <v/>
      </c>
      <c r="O1051">
        <f>$C1051*O1050</f>
        <v/>
      </c>
      <c r="P1051">
        <f>$C1051*P1050</f>
        <v/>
      </c>
      <c r="Q1051">
        <f>$C1051*Q1050</f>
        <v/>
      </c>
      <c r="R1051">
        <f>$C1051*R1050</f>
        <v/>
      </c>
      <c r="S1051">
        <f>$C1051*S1050</f>
        <v/>
      </c>
      <c r="T1051">
        <f>$C1051*T1050</f>
        <v/>
      </c>
      <c r="U1051">
        <f>$C1051*U1050</f>
        <v/>
      </c>
      <c r="V1051">
        <f>$C1051*V1050</f>
        <v/>
      </c>
      <c r="W1051">
        <f>$C1051*W1050</f>
        <v/>
      </c>
      <c r="X1051">
        <f>$C1051*X1050</f>
        <v/>
      </c>
      <c r="Y1051">
        <f>$C1051*Y1050</f>
        <v/>
      </c>
      <c r="Z1051">
        <f>$C1051*Z1050</f>
        <v/>
      </c>
      <c r="AA1051">
        <f>$C1051*AA1050</f>
        <v/>
      </c>
      <c r="AB1051">
        <f>$C1051*AB1050</f>
        <v/>
      </c>
      <c r="AC1051">
        <f>$C1051*AC1050</f>
        <v/>
      </c>
      <c r="AD1051">
        <f>$C1051*AD1050</f>
        <v/>
      </c>
      <c r="AE1051">
        <f>$C1051*AE1050</f>
        <v/>
      </c>
      <c r="AF1051">
        <f>$C1051*AF1050</f>
        <v/>
      </c>
      <c r="AG1051">
        <f>$C1051*AG1050</f>
        <v/>
      </c>
      <c r="AH1051">
        <f>$C1051*AH1050</f>
        <v/>
      </c>
      <c r="AI1051">
        <f>$C1051*AI1050</f>
        <v/>
      </c>
      <c r="AJ1051">
        <f>$C1051*AJ1050</f>
        <v/>
      </c>
      <c r="AK1051">
        <f>$C1051*AK1050</f>
        <v/>
      </c>
      <c r="AL1051">
        <f>$C1051*AL1050</f>
        <v/>
      </c>
      <c r="AM1051">
        <f>$C1051*AM1050</f>
        <v/>
      </c>
      <c r="AN1051">
        <f>$C1051*AN1050</f>
        <v/>
      </c>
      <c r="AO1051">
        <f>$C1051*AO1050</f>
        <v/>
      </c>
      <c r="AP1051">
        <f>$C1051*AP1050</f>
        <v/>
      </c>
      <c r="AQ1051">
        <f>$C1051*AQ1050</f>
        <v/>
      </c>
      <c r="AR1051">
        <f>$C1051*AR1050</f>
        <v/>
      </c>
      <c r="AS1051">
        <f>$C1051*AS1050</f>
        <v/>
      </c>
      <c r="AT1051">
        <f>$C1051*AT1050</f>
        <v/>
      </c>
      <c r="AU1051">
        <f>$C1051*AU1050</f>
        <v/>
      </c>
      <c r="AV1051">
        <f>$C1051*AV1050</f>
        <v/>
      </c>
      <c r="AW1051">
        <f>$C1051*AW1050</f>
        <v/>
      </c>
      <c r="AX1051">
        <f>$C1051*AX1050</f>
        <v/>
      </c>
      <c r="AY1051">
        <f>$C1051*AY1050</f>
        <v/>
      </c>
      <c r="AZ1051">
        <f>$C1051*AZ1050</f>
        <v/>
      </c>
      <c r="BA1051">
        <f>$C1051*BA1050</f>
        <v/>
      </c>
      <c r="BB1051">
        <f>$C1051*BB1050</f>
        <v/>
      </c>
      <c r="BC1051">
        <f>$C1051*BC1050</f>
        <v/>
      </c>
      <c r="BD1051">
        <f>$C1051*BD1050</f>
        <v/>
      </c>
      <c r="BE1051">
        <f>$C1051*BE1050</f>
        <v/>
      </c>
      <c r="BF1051">
        <f>$C1051*BF1050</f>
        <v/>
      </c>
      <c r="BG1051">
        <f>$C1051*BG1050</f>
        <v/>
      </c>
      <c r="BH1051">
        <f>$C1051*BH1050</f>
        <v/>
      </c>
      <c r="BI1051">
        <f>$C1051*BI1050</f>
        <v/>
      </c>
      <c r="BJ1051">
        <f>$C1051*BJ1050</f>
        <v/>
      </c>
      <c r="BK1051">
        <f>$C1051*BK1050</f>
        <v/>
      </c>
      <c r="BL1051">
        <f>$C1051*BL1050</f>
        <v/>
      </c>
      <c r="BM1051">
        <f>$C1051*BM1050</f>
        <v/>
      </c>
      <c r="BN1051">
        <f>$C1051*BN1050</f>
        <v/>
      </c>
      <c r="BO1051">
        <f>$C1051*BO1050</f>
        <v/>
      </c>
      <c r="BP1051">
        <f>$C1051*BP1050</f>
        <v/>
      </c>
      <c r="BQ1051">
        <f>$C1051*BQ1050</f>
        <v/>
      </c>
      <c r="BR1051">
        <f>$C1051*BR1050</f>
        <v/>
      </c>
      <c r="BS1051">
        <f>$C1051*BS1050</f>
        <v/>
      </c>
      <c r="BT1051">
        <f>$C1051*BT1050</f>
        <v/>
      </c>
      <c r="BU1051">
        <f>$C1051*BU1050</f>
        <v/>
      </c>
      <c r="BV1051">
        <f>$C1051*BV1050</f>
        <v/>
      </c>
      <c r="BW1051">
        <f>$C1051*BW1050</f>
        <v/>
      </c>
      <c r="BX1051">
        <f>$C1051*BX1050</f>
        <v/>
      </c>
      <c r="BY1051">
        <f>$C1051*BY1050</f>
        <v/>
      </c>
      <c r="BZ1051">
        <f>$C1051*BZ1050</f>
        <v/>
      </c>
      <c r="CA1051">
        <f>$C1051*CA1050</f>
        <v/>
      </c>
      <c r="CB1051">
        <f>$C1051*CB1050</f>
        <v/>
      </c>
      <c r="CC1051">
        <f>$C1051*CC1050</f>
        <v/>
      </c>
      <c r="CD1051">
        <f>$C1051*CD1050</f>
        <v/>
      </c>
      <c r="CE1051">
        <f>$C1051*CE1050</f>
        <v/>
      </c>
      <c r="CF1051">
        <f>$C1051*CF1050</f>
        <v/>
      </c>
      <c r="CG1051">
        <f>$C1051*CG1050</f>
        <v/>
      </c>
      <c r="CH1051">
        <f>$C1051*CH1050</f>
        <v/>
      </c>
      <c r="CI1051">
        <f>$C1051*CI1050</f>
        <v/>
      </c>
      <c r="CJ1051">
        <f>$C1051*CJ1050</f>
        <v/>
      </c>
      <c r="CK1051">
        <f>$C1051*CK1050</f>
        <v/>
      </c>
      <c r="CL1051">
        <f>$C1051*CL1050</f>
        <v/>
      </c>
      <c r="CM1051">
        <f>$C1051*CM1050</f>
        <v/>
      </c>
      <c r="CN1051">
        <f>$C1051*CN1050</f>
        <v/>
      </c>
      <c r="CO1051">
        <f>$C1051*CO1050</f>
        <v/>
      </c>
      <c r="CP1051">
        <f>$C1051*CP1050</f>
        <v/>
      </c>
      <c r="CQ1051">
        <f>$C1051*CQ1050</f>
        <v/>
      </c>
      <c r="CR1051">
        <f>$C1051*CR1050</f>
        <v/>
      </c>
      <c r="CS1051">
        <f>$C1051*CS1050</f>
        <v/>
      </c>
      <c r="CT1051">
        <f>$C1051*CT1050</f>
        <v/>
      </c>
      <c r="CU1051">
        <f>$C1051*CU1050</f>
        <v/>
      </c>
      <c r="CV1051">
        <f>$C1051*CV1050</f>
        <v/>
      </c>
      <c r="CW1051">
        <f>$C1051*CW1050</f>
        <v/>
      </c>
      <c r="CX1051">
        <f>$C1051*CX1050</f>
        <v/>
      </c>
      <c r="CY1051">
        <f>$C1051*CY1050</f>
        <v/>
      </c>
      <c r="CZ1051">
        <f>$C1051*CZ1050</f>
        <v/>
      </c>
      <c r="DA1051">
        <f>$C1051*DA1050</f>
        <v/>
      </c>
      <c r="DB1051">
        <f>$C1051*DB1050</f>
        <v/>
      </c>
      <c r="DC1051">
        <f>$C1051*DC1050</f>
        <v/>
      </c>
    </row>
    <row r="1052">
      <c r="B1052" t="inlineStr">
        <is>
          <t>TSP-670</t>
        </is>
      </c>
      <c r="C1052" t="inlineStr">
        <is>
          <t>No. of batches</t>
        </is>
      </c>
      <c r="D1052">
        <f>IFERROR(INDEX(PP_Grid[#Data],$DD1052,2),0)</f>
        <v/>
      </c>
      <c r="E1052">
        <f>IFERROR(INDEX(PP_Grid[#Data],$DD1052,3),0)</f>
        <v/>
      </c>
      <c r="F1052">
        <f>IFERROR(INDEX(PP_Grid[#Data],$DD1052,4),0)</f>
        <v/>
      </c>
      <c r="G1052">
        <f>IFERROR(INDEX(PP_Grid[#Data],$DD1052,5),0)</f>
        <v/>
      </c>
      <c r="H1052">
        <f>IFERROR(INDEX(PP_Grid[#Data],$DD1052,6),0)</f>
        <v/>
      </c>
      <c r="I1052">
        <f>IFERROR(INDEX(PP_Grid[#Data],$DD1052,7),0)</f>
        <v/>
      </c>
      <c r="J1052">
        <f>IFERROR(INDEX(PP_Grid[#Data],$DD1052,8),0)</f>
        <v/>
      </c>
      <c r="K1052">
        <f>IFERROR(INDEX(PP_Grid[#Data],$DD1052,9),0)</f>
        <v/>
      </c>
      <c r="L1052">
        <f>IFERROR(INDEX(PP_Grid[#Data],$DD1052,10),0)</f>
        <v/>
      </c>
      <c r="M1052">
        <f>IFERROR(INDEX(PP_Grid[#Data],$DD1052,11),0)</f>
        <v/>
      </c>
      <c r="N1052">
        <f>IFERROR(INDEX(PP_Grid[#Data],$DD1052,12),0)</f>
        <v/>
      </c>
      <c r="O1052">
        <f>IFERROR(INDEX(PP_Grid[#Data],$DD1052,13),0)</f>
        <v/>
      </c>
      <c r="P1052">
        <f>IFERROR(INDEX(PP_Grid[#Data],$DD1052,14),0)</f>
        <v/>
      </c>
      <c r="Q1052">
        <f>IFERROR(INDEX(PP_Grid[#Data],$DD1052,15),0)</f>
        <v/>
      </c>
      <c r="R1052">
        <f>IFERROR(INDEX(PP_Grid[#Data],$DD1052,16),0)</f>
        <v/>
      </c>
      <c r="S1052">
        <f>IFERROR(INDEX(PP_Grid[#Data],$DD1052,17),0)</f>
        <v/>
      </c>
      <c r="T1052">
        <f>IFERROR(INDEX(PP_Grid[#Data],$DD1052,18),0)</f>
        <v/>
      </c>
      <c r="U1052">
        <f>IFERROR(INDEX(PP_Grid[#Data],$DD1052,19),0)</f>
        <v/>
      </c>
      <c r="V1052">
        <f>IFERROR(INDEX(PP_Grid[#Data],$DD1052,20),0)</f>
        <v/>
      </c>
      <c r="W1052">
        <f>IFERROR(INDEX(PP_Grid[#Data],$DD1052,21),0)</f>
        <v/>
      </c>
      <c r="X1052">
        <f>IFERROR(INDEX(PP_Grid[#Data],$DD1052,22),0)</f>
        <v/>
      </c>
      <c r="Y1052">
        <f>IFERROR(INDEX(PP_Grid[#Data],$DD1052,23),0)</f>
        <v/>
      </c>
      <c r="Z1052">
        <f>IFERROR(INDEX(PP_Grid[#Data],$DD1052,24),0)</f>
        <v/>
      </c>
      <c r="AA1052">
        <f>IFERROR(INDEX(PP_Grid[#Data],$DD1052,25),0)</f>
        <v/>
      </c>
      <c r="AB1052">
        <f>IFERROR(INDEX(PP_Grid[#Data],$DD1052,26),0)</f>
        <v/>
      </c>
      <c r="AC1052">
        <f>IFERROR(INDEX(PP_Grid[#Data],$DD1052,27),0)</f>
        <v/>
      </c>
      <c r="AD1052">
        <f>IFERROR(INDEX(PP_Grid[#Data],$DD1052,28),0)</f>
        <v/>
      </c>
      <c r="AE1052">
        <f>IFERROR(INDEX(PP_Grid[#Data],$DD1052,29),0)</f>
        <v/>
      </c>
      <c r="AF1052">
        <f>IFERROR(INDEX(PP_Grid[#Data],$DD1052,30),0)</f>
        <v/>
      </c>
      <c r="AG1052">
        <f>IFERROR(INDEX(PP_Grid[#Data],$DD1052,31),0)</f>
        <v/>
      </c>
      <c r="AH1052">
        <f>IFERROR(INDEX(PP_Grid[#Data],$DD1052,32),0)</f>
        <v/>
      </c>
      <c r="AI1052">
        <f>IFERROR(INDEX(PP_Grid[#Data],$DD1052,33),0)</f>
        <v/>
      </c>
      <c r="AJ1052">
        <f>IFERROR(INDEX(PP_Grid[#Data],$DD1052,34),0)</f>
        <v/>
      </c>
      <c r="AK1052">
        <f>IFERROR(INDEX(PP_Grid[#Data],$DD1052,35),0)</f>
        <v/>
      </c>
      <c r="AL1052">
        <f>IFERROR(INDEX(PP_Grid[#Data],$DD1052,36),0)</f>
        <v/>
      </c>
      <c r="AM1052">
        <f>IFERROR(INDEX(PP_Grid[#Data],$DD1052,37),0)</f>
        <v/>
      </c>
      <c r="AN1052">
        <f>IFERROR(INDEX(PP_Grid[#Data],$DD1052,38),0)</f>
        <v/>
      </c>
      <c r="AO1052">
        <f>IFERROR(INDEX(PP_Grid[#Data],$DD1052,39),0)</f>
        <v/>
      </c>
      <c r="AP1052">
        <f>IFERROR(INDEX(PP_Grid[#Data],$DD1052,40),0)</f>
        <v/>
      </c>
      <c r="AQ1052">
        <f>IFERROR(INDEX(PP_Grid[#Data],$DD1052,41),0)</f>
        <v/>
      </c>
      <c r="AR1052">
        <f>IFERROR(INDEX(PP_Grid[#Data],$DD1052,42),0)</f>
        <v/>
      </c>
      <c r="AS1052">
        <f>IFERROR(INDEX(PP_Grid[#Data],$DD1052,43),0)</f>
        <v/>
      </c>
      <c r="AT1052">
        <f>IFERROR(INDEX(PP_Grid[#Data],$DD1052,44),0)</f>
        <v/>
      </c>
      <c r="AU1052">
        <f>IFERROR(INDEX(PP_Grid[#Data],$DD1052,45),0)</f>
        <v/>
      </c>
      <c r="AV1052">
        <f>IFERROR(INDEX(PP_Grid[#Data],$DD1052,46),0)</f>
        <v/>
      </c>
      <c r="AW1052">
        <f>IFERROR(INDEX(PP_Grid[#Data],$DD1052,47),0)</f>
        <v/>
      </c>
      <c r="AX1052">
        <f>IFERROR(INDEX(PP_Grid[#Data],$DD1052,48),0)</f>
        <v/>
      </c>
      <c r="AY1052">
        <f>IFERROR(INDEX(PP_Grid[#Data],$DD1052,49),0)</f>
        <v/>
      </c>
      <c r="AZ1052">
        <f>IFERROR(INDEX(PP_Grid[#Data],$DD1052,50),0)</f>
        <v/>
      </c>
      <c r="BA1052">
        <f>IFERROR(INDEX(PP_Grid[#Data],$DD1052,51),0)</f>
        <v/>
      </c>
      <c r="BB1052">
        <f>IFERROR(INDEX(PP_Grid[#Data],$DD1052,52),0)</f>
        <v/>
      </c>
      <c r="BC1052">
        <f>IFERROR(INDEX(PP_Grid[#Data],$DD1052,53),0)</f>
        <v/>
      </c>
      <c r="BD1052">
        <f>IFERROR(INDEX(PP_Grid[#Data],$DD1052,54),0)</f>
        <v/>
      </c>
      <c r="BE1052">
        <f>IFERROR(INDEX(PP_Grid[#Data],$DD1052,55),0)</f>
        <v/>
      </c>
      <c r="BF1052">
        <f>IFERROR(INDEX(PP_Grid[#Data],$DD1052,56),0)</f>
        <v/>
      </c>
      <c r="BG1052">
        <f>IFERROR(INDEX(PP_Grid[#Data],$DD1052,57),0)</f>
        <v/>
      </c>
      <c r="BH1052">
        <f>IFERROR(INDEX(PP_Grid[#Data],$DD1052,58),0)</f>
        <v/>
      </c>
      <c r="BI1052">
        <f>IFERROR(INDEX(PP_Grid[#Data],$DD1052,59),0)</f>
        <v/>
      </c>
      <c r="BJ1052">
        <f>IFERROR(INDEX(PP_Grid[#Data],$DD1052,60),0)</f>
        <v/>
      </c>
      <c r="BK1052">
        <f>IFERROR(INDEX(PP_Grid[#Data],$DD1052,61),0)</f>
        <v/>
      </c>
      <c r="BL1052">
        <f>IFERROR(INDEX(PP_Grid[#Data],$DD1052,62),0)</f>
        <v/>
      </c>
      <c r="BM1052">
        <f>IFERROR(INDEX(PP_Grid[#Data],$DD1052,63),0)</f>
        <v/>
      </c>
      <c r="BN1052">
        <f>IFERROR(INDEX(PP_Grid[#Data],$DD1052,64),0)</f>
        <v/>
      </c>
      <c r="BO1052">
        <f>IFERROR(INDEX(PP_Grid[#Data],$DD1052,65),0)</f>
        <v/>
      </c>
      <c r="BP1052">
        <f>IFERROR(INDEX(PP_Grid[#Data],$DD1052,66),0)</f>
        <v/>
      </c>
      <c r="BQ1052">
        <f>IFERROR(INDEX(PP_Grid[#Data],$DD1052,67),0)</f>
        <v/>
      </c>
      <c r="BR1052">
        <f>IFERROR(INDEX(PP_Grid[#Data],$DD1052,68),0)</f>
        <v/>
      </c>
      <c r="BS1052">
        <f>IFERROR(INDEX(PP_Grid[#Data],$DD1052,69),0)</f>
        <v/>
      </c>
      <c r="BT1052">
        <f>IFERROR(INDEX(PP_Grid[#Data],$DD1052,70),0)</f>
        <v/>
      </c>
      <c r="BU1052">
        <f>IFERROR(INDEX(PP_Grid[#Data],$DD1052,71),0)</f>
        <v/>
      </c>
      <c r="BV1052">
        <f>IFERROR(INDEX(PP_Grid[#Data],$DD1052,72),0)</f>
        <v/>
      </c>
      <c r="BW1052">
        <f>IFERROR(INDEX(PP_Grid[#Data],$DD1052,73),0)</f>
        <v/>
      </c>
      <c r="BX1052">
        <f>IFERROR(INDEX(PP_Grid[#Data],$DD1052,74),0)</f>
        <v/>
      </c>
      <c r="BY1052">
        <f>IFERROR(INDEX(PP_Grid[#Data],$DD1052,75),0)</f>
        <v/>
      </c>
      <c r="BZ1052">
        <f>IFERROR(INDEX(PP_Grid[#Data],$DD1052,76),0)</f>
        <v/>
      </c>
      <c r="CA1052">
        <f>IFERROR(INDEX(PP_Grid[#Data],$DD1052,77),0)</f>
        <v/>
      </c>
      <c r="CB1052">
        <f>IFERROR(INDEX(PP_Grid[#Data],$DD1052,78),0)</f>
        <v/>
      </c>
      <c r="CC1052">
        <f>IFERROR(INDEX(PP_Grid[#Data],$DD1052,79),0)</f>
        <v/>
      </c>
      <c r="CD1052">
        <f>IFERROR(INDEX(PP_Grid[#Data],$DD1052,80),0)</f>
        <v/>
      </c>
      <c r="CE1052">
        <f>IFERROR(INDEX(PP_Grid[#Data],$DD1052,81),0)</f>
        <v/>
      </c>
      <c r="CF1052">
        <f>IFERROR(INDEX(PP_Grid[#Data],$DD1052,82),0)</f>
        <v/>
      </c>
      <c r="CG1052">
        <f>IFERROR(INDEX(PP_Grid[#Data],$DD1052,83),0)</f>
        <v/>
      </c>
      <c r="CH1052">
        <f>IFERROR(INDEX(PP_Grid[#Data],$DD1052,84),0)</f>
        <v/>
      </c>
      <c r="CI1052">
        <f>IFERROR(INDEX(PP_Grid[#Data],$DD1052,85),0)</f>
        <v/>
      </c>
      <c r="CJ1052">
        <f>IFERROR(INDEX(PP_Grid[#Data],$DD1052,86),0)</f>
        <v/>
      </c>
      <c r="CK1052">
        <f>IFERROR(INDEX(PP_Grid[#Data],$DD1052,87),0)</f>
        <v/>
      </c>
      <c r="CL1052">
        <f>IFERROR(INDEX(PP_Grid[#Data],$DD1052,88),0)</f>
        <v/>
      </c>
      <c r="CM1052">
        <f>IFERROR(INDEX(PP_Grid[#Data],$DD1052,89),0)</f>
        <v/>
      </c>
      <c r="CN1052">
        <f>IFERROR(INDEX(PP_Grid[#Data],$DD1052,90),0)</f>
        <v/>
      </c>
      <c r="CO1052">
        <f>IFERROR(INDEX(PP_Grid[#Data],$DD1052,91),0)</f>
        <v/>
      </c>
      <c r="CP1052">
        <f>IFERROR(INDEX(PP_Grid[#Data],$DD1052,92),0)</f>
        <v/>
      </c>
      <c r="CQ1052">
        <f>IFERROR(INDEX(PP_Grid[#Data],$DD1052,93),0)</f>
        <v/>
      </c>
      <c r="CR1052">
        <f>IFERROR(INDEX(PP_Grid[#Data],$DD1052,94),0)</f>
        <v/>
      </c>
      <c r="CS1052">
        <f>IFERROR(INDEX(PP_Grid[#Data],$DD1052,95),0)</f>
        <v/>
      </c>
      <c r="CT1052">
        <f>IFERROR(INDEX(PP_Grid[#Data],$DD1052,96),0)</f>
        <v/>
      </c>
      <c r="CU1052">
        <f>IFERROR(INDEX(PP_Grid[#Data],$DD1052,97),0)</f>
        <v/>
      </c>
      <c r="CV1052">
        <f>IFERROR(INDEX(PP_Grid[#Data],$DD1052,98),0)</f>
        <v/>
      </c>
      <c r="CW1052">
        <f>IFERROR(INDEX(PP_Grid[#Data],$DD1052,99),0)</f>
        <v/>
      </c>
      <c r="CX1052">
        <f>IFERROR(INDEX(PP_Grid[#Data],$DD1052,100),0)</f>
        <v/>
      </c>
      <c r="CY1052">
        <f>IFERROR(INDEX(PP_Grid[#Data],$DD1052,101),0)</f>
        <v/>
      </c>
      <c r="CZ1052">
        <f>IFERROR(INDEX(PP_Grid[#Data],$DD1052,102),0)</f>
        <v/>
      </c>
      <c r="DA1052">
        <f>IFERROR(INDEX(PP_Grid[#Data],$DD1052,103),0)</f>
        <v/>
      </c>
      <c r="DB1052">
        <f>IFERROR(INDEX(PP_Grid[#Data],$DD1052,104),0)</f>
        <v/>
      </c>
      <c r="DC1052">
        <f>IFERROR(INDEX(PP_Grid[#Data],$DD1052,105),0)</f>
        <v/>
      </c>
      <c r="DD1052" s="12">
        <f>IFERROR(MATCH($B1052,PP_Grid[Intermediate],0),99999)</f>
        <v/>
      </c>
    </row>
    <row r="1053">
      <c r="B1053" t="inlineStr">
        <is>
          <t>使用量(kg)</t>
        </is>
      </c>
      <c r="C1053">
        <f>SUMIFS(M_BOM[RM_Qty_Per_Batch],M_BOM[Intermediate],$B1052,M_BOM[Part Name],$A1037)</f>
        <v/>
      </c>
      <c r="D1053">
        <f>$C1053*D1052</f>
        <v/>
      </c>
      <c r="E1053">
        <f>$C1053*E1052</f>
        <v/>
      </c>
      <c r="F1053">
        <f>$C1053*F1052</f>
        <v/>
      </c>
      <c r="G1053">
        <f>$C1053*G1052</f>
        <v/>
      </c>
      <c r="H1053">
        <f>$C1053*H1052</f>
        <v/>
      </c>
      <c r="I1053">
        <f>$C1053*I1052</f>
        <v/>
      </c>
      <c r="J1053">
        <f>$C1053*J1052</f>
        <v/>
      </c>
      <c r="K1053">
        <f>$C1053*K1052</f>
        <v/>
      </c>
      <c r="L1053">
        <f>$C1053*L1052</f>
        <v/>
      </c>
      <c r="M1053">
        <f>$C1053*M1052</f>
        <v/>
      </c>
      <c r="N1053">
        <f>$C1053*N1052</f>
        <v/>
      </c>
      <c r="O1053">
        <f>$C1053*O1052</f>
        <v/>
      </c>
      <c r="P1053">
        <f>$C1053*P1052</f>
        <v/>
      </c>
      <c r="Q1053">
        <f>$C1053*Q1052</f>
        <v/>
      </c>
      <c r="R1053">
        <f>$C1053*R1052</f>
        <v/>
      </c>
      <c r="S1053">
        <f>$C1053*S1052</f>
        <v/>
      </c>
      <c r="T1053">
        <f>$C1053*T1052</f>
        <v/>
      </c>
      <c r="U1053">
        <f>$C1053*U1052</f>
        <v/>
      </c>
      <c r="V1053">
        <f>$C1053*V1052</f>
        <v/>
      </c>
      <c r="W1053">
        <f>$C1053*W1052</f>
        <v/>
      </c>
      <c r="X1053">
        <f>$C1053*X1052</f>
        <v/>
      </c>
      <c r="Y1053">
        <f>$C1053*Y1052</f>
        <v/>
      </c>
      <c r="Z1053">
        <f>$C1053*Z1052</f>
        <v/>
      </c>
      <c r="AA1053">
        <f>$C1053*AA1052</f>
        <v/>
      </c>
      <c r="AB1053">
        <f>$C1053*AB1052</f>
        <v/>
      </c>
      <c r="AC1053">
        <f>$C1053*AC1052</f>
        <v/>
      </c>
      <c r="AD1053">
        <f>$C1053*AD1052</f>
        <v/>
      </c>
      <c r="AE1053">
        <f>$C1053*AE1052</f>
        <v/>
      </c>
      <c r="AF1053">
        <f>$C1053*AF1052</f>
        <v/>
      </c>
      <c r="AG1053">
        <f>$C1053*AG1052</f>
        <v/>
      </c>
      <c r="AH1053">
        <f>$C1053*AH1052</f>
        <v/>
      </c>
      <c r="AI1053">
        <f>$C1053*AI1052</f>
        <v/>
      </c>
      <c r="AJ1053">
        <f>$C1053*AJ1052</f>
        <v/>
      </c>
      <c r="AK1053">
        <f>$C1053*AK1052</f>
        <v/>
      </c>
      <c r="AL1053">
        <f>$C1053*AL1052</f>
        <v/>
      </c>
      <c r="AM1053">
        <f>$C1053*AM1052</f>
        <v/>
      </c>
      <c r="AN1053">
        <f>$C1053*AN1052</f>
        <v/>
      </c>
      <c r="AO1053">
        <f>$C1053*AO1052</f>
        <v/>
      </c>
      <c r="AP1053">
        <f>$C1053*AP1052</f>
        <v/>
      </c>
      <c r="AQ1053">
        <f>$C1053*AQ1052</f>
        <v/>
      </c>
      <c r="AR1053">
        <f>$C1053*AR1052</f>
        <v/>
      </c>
      <c r="AS1053">
        <f>$C1053*AS1052</f>
        <v/>
      </c>
      <c r="AT1053">
        <f>$C1053*AT1052</f>
        <v/>
      </c>
      <c r="AU1053">
        <f>$C1053*AU1052</f>
        <v/>
      </c>
      <c r="AV1053">
        <f>$C1053*AV1052</f>
        <v/>
      </c>
      <c r="AW1053">
        <f>$C1053*AW1052</f>
        <v/>
      </c>
      <c r="AX1053">
        <f>$C1053*AX1052</f>
        <v/>
      </c>
      <c r="AY1053">
        <f>$C1053*AY1052</f>
        <v/>
      </c>
      <c r="AZ1053">
        <f>$C1053*AZ1052</f>
        <v/>
      </c>
      <c r="BA1053">
        <f>$C1053*BA1052</f>
        <v/>
      </c>
      <c r="BB1053">
        <f>$C1053*BB1052</f>
        <v/>
      </c>
      <c r="BC1053">
        <f>$C1053*BC1052</f>
        <v/>
      </c>
      <c r="BD1053">
        <f>$C1053*BD1052</f>
        <v/>
      </c>
      <c r="BE1053">
        <f>$C1053*BE1052</f>
        <v/>
      </c>
      <c r="BF1053">
        <f>$C1053*BF1052</f>
        <v/>
      </c>
      <c r="BG1053">
        <f>$C1053*BG1052</f>
        <v/>
      </c>
      <c r="BH1053">
        <f>$C1053*BH1052</f>
        <v/>
      </c>
      <c r="BI1053">
        <f>$C1053*BI1052</f>
        <v/>
      </c>
      <c r="BJ1053">
        <f>$C1053*BJ1052</f>
        <v/>
      </c>
      <c r="BK1053">
        <f>$C1053*BK1052</f>
        <v/>
      </c>
      <c r="BL1053">
        <f>$C1053*BL1052</f>
        <v/>
      </c>
      <c r="BM1053">
        <f>$C1053*BM1052</f>
        <v/>
      </c>
      <c r="BN1053">
        <f>$C1053*BN1052</f>
        <v/>
      </c>
      <c r="BO1053">
        <f>$C1053*BO1052</f>
        <v/>
      </c>
      <c r="BP1053">
        <f>$C1053*BP1052</f>
        <v/>
      </c>
      <c r="BQ1053">
        <f>$C1053*BQ1052</f>
        <v/>
      </c>
      <c r="BR1053">
        <f>$C1053*BR1052</f>
        <v/>
      </c>
      <c r="BS1053">
        <f>$C1053*BS1052</f>
        <v/>
      </c>
      <c r="BT1053">
        <f>$C1053*BT1052</f>
        <v/>
      </c>
      <c r="BU1053">
        <f>$C1053*BU1052</f>
        <v/>
      </c>
      <c r="BV1053">
        <f>$C1053*BV1052</f>
        <v/>
      </c>
      <c r="BW1053">
        <f>$C1053*BW1052</f>
        <v/>
      </c>
      <c r="BX1053">
        <f>$C1053*BX1052</f>
        <v/>
      </c>
      <c r="BY1053">
        <f>$C1053*BY1052</f>
        <v/>
      </c>
      <c r="BZ1053">
        <f>$C1053*BZ1052</f>
        <v/>
      </c>
      <c r="CA1053">
        <f>$C1053*CA1052</f>
        <v/>
      </c>
      <c r="CB1053">
        <f>$C1053*CB1052</f>
        <v/>
      </c>
      <c r="CC1053">
        <f>$C1053*CC1052</f>
        <v/>
      </c>
      <c r="CD1053">
        <f>$C1053*CD1052</f>
        <v/>
      </c>
      <c r="CE1053">
        <f>$C1053*CE1052</f>
        <v/>
      </c>
      <c r="CF1053">
        <f>$C1053*CF1052</f>
        <v/>
      </c>
      <c r="CG1053">
        <f>$C1053*CG1052</f>
        <v/>
      </c>
      <c r="CH1053">
        <f>$C1053*CH1052</f>
        <v/>
      </c>
      <c r="CI1053">
        <f>$C1053*CI1052</f>
        <v/>
      </c>
      <c r="CJ1053">
        <f>$C1053*CJ1052</f>
        <v/>
      </c>
      <c r="CK1053">
        <f>$C1053*CK1052</f>
        <v/>
      </c>
      <c r="CL1053">
        <f>$C1053*CL1052</f>
        <v/>
      </c>
      <c r="CM1053">
        <f>$C1053*CM1052</f>
        <v/>
      </c>
      <c r="CN1053">
        <f>$C1053*CN1052</f>
        <v/>
      </c>
      <c r="CO1053">
        <f>$C1053*CO1052</f>
        <v/>
      </c>
      <c r="CP1053">
        <f>$C1053*CP1052</f>
        <v/>
      </c>
      <c r="CQ1053">
        <f>$C1053*CQ1052</f>
        <v/>
      </c>
      <c r="CR1053">
        <f>$C1053*CR1052</f>
        <v/>
      </c>
      <c r="CS1053">
        <f>$C1053*CS1052</f>
        <v/>
      </c>
      <c r="CT1053">
        <f>$C1053*CT1052</f>
        <v/>
      </c>
      <c r="CU1053">
        <f>$C1053*CU1052</f>
        <v/>
      </c>
      <c r="CV1053">
        <f>$C1053*CV1052</f>
        <v/>
      </c>
      <c r="CW1053">
        <f>$C1053*CW1052</f>
        <v/>
      </c>
      <c r="CX1053">
        <f>$C1053*CX1052</f>
        <v/>
      </c>
      <c r="CY1053">
        <f>$C1053*CY1052</f>
        <v/>
      </c>
      <c r="CZ1053">
        <f>$C1053*CZ1052</f>
        <v/>
      </c>
      <c r="DA1053">
        <f>$C1053*DA1052</f>
        <v/>
      </c>
      <c r="DB1053">
        <f>$C1053*DB1052</f>
        <v/>
      </c>
      <c r="DC1053">
        <f>$C1053*DC1052</f>
        <v/>
      </c>
    </row>
    <row r="1054">
      <c r="B1054" s="5" t="inlineStr">
        <is>
          <t>合計使用量(kg)/週</t>
        </is>
      </c>
      <c r="D1054">
        <f>'Grid_Requirement'!B24</f>
        <v/>
      </c>
      <c r="E1054">
        <f>'Grid_Requirement'!C24</f>
        <v/>
      </c>
      <c r="F1054">
        <f>'Grid_Requirement'!D24</f>
        <v/>
      </c>
      <c r="G1054">
        <f>'Grid_Requirement'!E24</f>
        <v/>
      </c>
      <c r="H1054">
        <f>'Grid_Requirement'!F24</f>
        <v/>
      </c>
      <c r="I1054">
        <f>'Grid_Requirement'!G24</f>
        <v/>
      </c>
      <c r="J1054">
        <f>'Grid_Requirement'!H24</f>
        <v/>
      </c>
      <c r="K1054">
        <f>'Grid_Requirement'!I24</f>
        <v/>
      </c>
      <c r="L1054">
        <f>'Grid_Requirement'!J24</f>
        <v/>
      </c>
      <c r="M1054">
        <f>'Grid_Requirement'!K24</f>
        <v/>
      </c>
      <c r="N1054">
        <f>'Grid_Requirement'!L24</f>
        <v/>
      </c>
      <c r="O1054">
        <f>'Grid_Requirement'!M24</f>
        <v/>
      </c>
      <c r="P1054">
        <f>'Grid_Requirement'!N24</f>
        <v/>
      </c>
      <c r="Q1054">
        <f>'Grid_Requirement'!O24</f>
        <v/>
      </c>
      <c r="R1054">
        <f>'Grid_Requirement'!P24</f>
        <v/>
      </c>
      <c r="S1054">
        <f>'Grid_Requirement'!Q24</f>
        <v/>
      </c>
      <c r="T1054">
        <f>'Grid_Requirement'!R24</f>
        <v/>
      </c>
      <c r="U1054">
        <f>'Grid_Requirement'!S24</f>
        <v/>
      </c>
      <c r="V1054">
        <f>'Grid_Requirement'!T24</f>
        <v/>
      </c>
      <c r="W1054">
        <f>'Grid_Requirement'!U24</f>
        <v/>
      </c>
      <c r="X1054">
        <f>'Grid_Requirement'!V24</f>
        <v/>
      </c>
      <c r="Y1054">
        <f>'Grid_Requirement'!W24</f>
        <v/>
      </c>
      <c r="Z1054">
        <f>'Grid_Requirement'!X24</f>
        <v/>
      </c>
      <c r="AA1054">
        <f>'Grid_Requirement'!Y24</f>
        <v/>
      </c>
      <c r="AB1054">
        <f>'Grid_Requirement'!Z24</f>
        <v/>
      </c>
      <c r="AC1054">
        <f>'Grid_Requirement'!AA24</f>
        <v/>
      </c>
      <c r="AD1054">
        <f>'Grid_Requirement'!AB24</f>
        <v/>
      </c>
      <c r="AE1054">
        <f>'Grid_Requirement'!AC24</f>
        <v/>
      </c>
      <c r="AF1054">
        <f>'Grid_Requirement'!AD24</f>
        <v/>
      </c>
      <c r="AG1054">
        <f>'Grid_Requirement'!AE24</f>
        <v/>
      </c>
      <c r="AH1054">
        <f>'Grid_Requirement'!AF24</f>
        <v/>
      </c>
      <c r="AI1054">
        <f>'Grid_Requirement'!AG24</f>
        <v/>
      </c>
      <c r="AJ1054">
        <f>'Grid_Requirement'!AH24</f>
        <v/>
      </c>
      <c r="AK1054">
        <f>'Grid_Requirement'!AI24</f>
        <v/>
      </c>
      <c r="AL1054">
        <f>'Grid_Requirement'!AJ24</f>
        <v/>
      </c>
      <c r="AM1054">
        <f>'Grid_Requirement'!AK24</f>
        <v/>
      </c>
      <c r="AN1054">
        <f>'Grid_Requirement'!AL24</f>
        <v/>
      </c>
      <c r="AO1054">
        <f>'Grid_Requirement'!AM24</f>
        <v/>
      </c>
      <c r="AP1054">
        <f>'Grid_Requirement'!AN24</f>
        <v/>
      </c>
      <c r="AQ1054">
        <f>'Grid_Requirement'!AO24</f>
        <v/>
      </c>
      <c r="AR1054">
        <f>'Grid_Requirement'!AP24</f>
        <v/>
      </c>
      <c r="AS1054">
        <f>'Grid_Requirement'!AQ24</f>
        <v/>
      </c>
      <c r="AT1054">
        <f>'Grid_Requirement'!AR24</f>
        <v/>
      </c>
      <c r="AU1054">
        <f>'Grid_Requirement'!AS24</f>
        <v/>
      </c>
      <c r="AV1054">
        <f>'Grid_Requirement'!AT24</f>
        <v/>
      </c>
      <c r="AW1054">
        <f>'Grid_Requirement'!AU24</f>
        <v/>
      </c>
      <c r="AX1054">
        <f>'Grid_Requirement'!AV24</f>
        <v/>
      </c>
      <c r="AY1054">
        <f>'Grid_Requirement'!AW24</f>
        <v/>
      </c>
      <c r="AZ1054">
        <f>'Grid_Requirement'!AX24</f>
        <v/>
      </c>
      <c r="BA1054">
        <f>'Grid_Requirement'!AY24</f>
        <v/>
      </c>
      <c r="BB1054">
        <f>'Grid_Requirement'!AZ24</f>
        <v/>
      </c>
      <c r="BC1054">
        <f>'Grid_Requirement'!BA24</f>
        <v/>
      </c>
      <c r="BD1054">
        <f>'Grid_Requirement'!BB24</f>
        <v/>
      </c>
      <c r="BE1054">
        <f>'Grid_Requirement'!BC24</f>
        <v/>
      </c>
      <c r="BF1054">
        <f>'Grid_Requirement'!BD24</f>
        <v/>
      </c>
      <c r="BG1054">
        <f>'Grid_Requirement'!BE24</f>
        <v/>
      </c>
      <c r="BH1054">
        <f>'Grid_Requirement'!BF24</f>
        <v/>
      </c>
      <c r="BI1054">
        <f>'Grid_Requirement'!BG24</f>
        <v/>
      </c>
      <c r="BJ1054">
        <f>'Grid_Requirement'!BH24</f>
        <v/>
      </c>
      <c r="BK1054">
        <f>'Grid_Requirement'!BI24</f>
        <v/>
      </c>
      <c r="BL1054">
        <f>'Grid_Requirement'!BJ24</f>
        <v/>
      </c>
      <c r="BM1054">
        <f>'Grid_Requirement'!BK24</f>
        <v/>
      </c>
      <c r="BN1054">
        <f>'Grid_Requirement'!BL24</f>
        <v/>
      </c>
      <c r="BO1054">
        <f>'Grid_Requirement'!BM24</f>
        <v/>
      </c>
      <c r="BP1054">
        <f>'Grid_Requirement'!BN24</f>
        <v/>
      </c>
      <c r="BQ1054">
        <f>'Grid_Requirement'!BO24</f>
        <v/>
      </c>
      <c r="BR1054">
        <f>'Grid_Requirement'!BP24</f>
        <v/>
      </c>
      <c r="BS1054">
        <f>'Grid_Requirement'!BQ24</f>
        <v/>
      </c>
      <c r="BT1054">
        <f>'Grid_Requirement'!BR24</f>
        <v/>
      </c>
      <c r="BU1054">
        <f>'Grid_Requirement'!BS24</f>
        <v/>
      </c>
      <c r="BV1054">
        <f>'Grid_Requirement'!BT24</f>
        <v/>
      </c>
      <c r="BW1054">
        <f>'Grid_Requirement'!BU24</f>
        <v/>
      </c>
      <c r="BX1054">
        <f>'Grid_Requirement'!BV24</f>
        <v/>
      </c>
      <c r="BY1054">
        <f>'Grid_Requirement'!BW24</f>
        <v/>
      </c>
      <c r="BZ1054">
        <f>'Grid_Requirement'!BX24</f>
        <v/>
      </c>
      <c r="CA1054">
        <f>'Grid_Requirement'!BY24</f>
        <v/>
      </c>
      <c r="CB1054">
        <f>'Grid_Requirement'!BZ24</f>
        <v/>
      </c>
      <c r="CC1054">
        <f>'Grid_Requirement'!CA24</f>
        <v/>
      </c>
      <c r="CD1054">
        <f>'Grid_Requirement'!CB24</f>
        <v/>
      </c>
      <c r="CE1054">
        <f>'Grid_Requirement'!CC24</f>
        <v/>
      </c>
      <c r="CF1054">
        <f>'Grid_Requirement'!CD24</f>
        <v/>
      </c>
      <c r="CG1054">
        <f>'Grid_Requirement'!CE24</f>
        <v/>
      </c>
      <c r="CH1054">
        <f>'Grid_Requirement'!CF24</f>
        <v/>
      </c>
      <c r="CI1054">
        <f>'Grid_Requirement'!CG24</f>
        <v/>
      </c>
      <c r="CJ1054">
        <f>'Grid_Requirement'!CH24</f>
        <v/>
      </c>
      <c r="CK1054">
        <f>'Grid_Requirement'!CI24</f>
        <v/>
      </c>
      <c r="CL1054">
        <f>'Grid_Requirement'!CJ24</f>
        <v/>
      </c>
      <c r="CM1054">
        <f>'Grid_Requirement'!CK24</f>
        <v/>
      </c>
      <c r="CN1054">
        <f>'Grid_Requirement'!CL24</f>
        <v/>
      </c>
      <c r="CO1054">
        <f>'Grid_Requirement'!CM24</f>
        <v/>
      </c>
      <c r="CP1054">
        <f>'Grid_Requirement'!CN24</f>
        <v/>
      </c>
      <c r="CQ1054">
        <f>'Grid_Requirement'!CO24</f>
        <v/>
      </c>
      <c r="CR1054">
        <f>'Grid_Requirement'!CP24</f>
        <v/>
      </c>
      <c r="CS1054">
        <f>'Grid_Requirement'!CQ24</f>
        <v/>
      </c>
      <c r="CT1054">
        <f>'Grid_Requirement'!CR24</f>
        <v/>
      </c>
      <c r="CU1054">
        <f>'Grid_Requirement'!CS24</f>
        <v/>
      </c>
      <c r="CV1054">
        <f>'Grid_Requirement'!CT24</f>
        <v/>
      </c>
      <c r="CW1054">
        <f>'Grid_Requirement'!CU24</f>
        <v/>
      </c>
      <c r="CX1054">
        <f>'Grid_Requirement'!CV24</f>
        <v/>
      </c>
      <c r="CY1054">
        <f>'Grid_Requirement'!CW24</f>
        <v/>
      </c>
      <c r="CZ1054">
        <f>'Grid_Requirement'!CX24</f>
        <v/>
      </c>
      <c r="DA1054">
        <f>'Grid_Requirement'!CY24</f>
        <v/>
      </c>
      <c r="DB1054">
        <f>'Grid_Requirement'!CZ24</f>
        <v/>
      </c>
      <c r="DC1054">
        <f>'Grid_Requirement'!DA24</f>
        <v/>
      </c>
    </row>
    <row r="1055">
      <c r="B1055" t="inlineStr">
        <is>
          <t>TTAF在庫(実績,kg)</t>
        </is>
      </c>
      <c r="D1055">
        <f>'T_TTAFStock'!B28</f>
        <v/>
      </c>
      <c r="E1055">
        <f>'T_TTAFStock'!C28</f>
        <v/>
      </c>
      <c r="F1055">
        <f>'T_TTAFStock'!D28</f>
        <v/>
      </c>
      <c r="G1055">
        <f>'T_TTAFStock'!E28</f>
        <v/>
      </c>
      <c r="H1055">
        <f>'T_TTAFStock'!F28</f>
        <v/>
      </c>
      <c r="I1055">
        <f>'T_TTAFStock'!G28</f>
        <v/>
      </c>
      <c r="J1055">
        <f>'T_TTAFStock'!H28</f>
        <v/>
      </c>
      <c r="K1055">
        <f>'T_TTAFStock'!I28</f>
        <v/>
      </c>
      <c r="L1055">
        <f>'T_TTAFStock'!J28</f>
        <v/>
      </c>
      <c r="M1055">
        <f>'T_TTAFStock'!K28</f>
        <v/>
      </c>
      <c r="N1055">
        <f>'T_TTAFStock'!L28</f>
        <v/>
      </c>
      <c r="O1055">
        <f>'T_TTAFStock'!M28</f>
        <v/>
      </c>
      <c r="P1055">
        <f>'T_TTAFStock'!N28</f>
        <v/>
      </c>
      <c r="Q1055">
        <f>'T_TTAFStock'!O28</f>
        <v/>
      </c>
      <c r="R1055">
        <f>'T_TTAFStock'!P28</f>
        <v/>
      </c>
      <c r="S1055">
        <f>'T_TTAFStock'!Q28</f>
        <v/>
      </c>
      <c r="T1055">
        <f>'T_TTAFStock'!R28</f>
        <v/>
      </c>
      <c r="U1055">
        <f>'T_TTAFStock'!S28</f>
        <v/>
      </c>
      <c r="V1055">
        <f>'T_TTAFStock'!T28</f>
        <v/>
      </c>
      <c r="W1055">
        <f>'T_TTAFStock'!U28</f>
        <v/>
      </c>
      <c r="X1055">
        <f>'T_TTAFStock'!V28</f>
        <v/>
      </c>
      <c r="Y1055">
        <f>'T_TTAFStock'!W28</f>
        <v/>
      </c>
      <c r="Z1055">
        <f>'T_TTAFStock'!X28</f>
        <v/>
      </c>
      <c r="AA1055">
        <f>'T_TTAFStock'!Y28</f>
        <v/>
      </c>
      <c r="AB1055">
        <f>'T_TTAFStock'!Z28</f>
        <v/>
      </c>
      <c r="AC1055">
        <f>'T_TTAFStock'!AA28</f>
        <v/>
      </c>
      <c r="AD1055">
        <f>'T_TTAFStock'!AB28</f>
        <v/>
      </c>
      <c r="AE1055">
        <f>'T_TTAFStock'!AC28</f>
        <v/>
      </c>
      <c r="AF1055">
        <f>'T_TTAFStock'!AD28</f>
        <v/>
      </c>
      <c r="AG1055">
        <f>'T_TTAFStock'!AE28</f>
        <v/>
      </c>
      <c r="AH1055">
        <f>'T_TTAFStock'!AF28</f>
        <v/>
      </c>
      <c r="AI1055">
        <f>'T_TTAFStock'!AG28</f>
        <v/>
      </c>
      <c r="AJ1055">
        <f>'T_TTAFStock'!AH28</f>
        <v/>
      </c>
      <c r="AK1055">
        <f>'T_TTAFStock'!AI28</f>
        <v/>
      </c>
      <c r="AL1055">
        <f>'T_TTAFStock'!AJ28</f>
        <v/>
      </c>
      <c r="AM1055">
        <f>'T_TTAFStock'!AK28</f>
        <v/>
      </c>
      <c r="AN1055">
        <f>'T_TTAFStock'!AL28</f>
        <v/>
      </c>
      <c r="AO1055">
        <f>'T_TTAFStock'!AM28</f>
        <v/>
      </c>
      <c r="AP1055">
        <f>'T_TTAFStock'!AN28</f>
        <v/>
      </c>
      <c r="AQ1055">
        <f>'T_TTAFStock'!AO28</f>
        <v/>
      </c>
      <c r="AR1055">
        <f>'T_TTAFStock'!AP28</f>
        <v/>
      </c>
      <c r="AS1055">
        <f>'T_TTAFStock'!AQ28</f>
        <v/>
      </c>
      <c r="AT1055">
        <f>'T_TTAFStock'!AR28</f>
        <v/>
      </c>
      <c r="AU1055">
        <f>'T_TTAFStock'!AS28</f>
        <v/>
      </c>
      <c r="AV1055">
        <f>'T_TTAFStock'!AT28</f>
        <v/>
      </c>
      <c r="AW1055">
        <f>'T_TTAFStock'!AU28</f>
        <v/>
      </c>
      <c r="AX1055">
        <f>'T_TTAFStock'!AV28</f>
        <v/>
      </c>
      <c r="AY1055">
        <f>'T_TTAFStock'!AW28</f>
        <v/>
      </c>
      <c r="AZ1055">
        <f>'T_TTAFStock'!AX28</f>
        <v/>
      </c>
      <c r="BA1055">
        <f>'T_TTAFStock'!AY28</f>
        <v/>
      </c>
      <c r="BB1055">
        <f>'T_TTAFStock'!AZ28</f>
        <v/>
      </c>
      <c r="BC1055">
        <f>'T_TTAFStock'!BA28</f>
        <v/>
      </c>
      <c r="BD1055">
        <f>'T_TTAFStock'!BB28</f>
        <v/>
      </c>
      <c r="BE1055">
        <f>'T_TTAFStock'!BC28</f>
        <v/>
      </c>
      <c r="BF1055">
        <f>'T_TTAFStock'!BD28</f>
        <v/>
      </c>
      <c r="BG1055">
        <f>'T_TTAFStock'!BE28</f>
        <v/>
      </c>
      <c r="BH1055">
        <f>'T_TTAFStock'!BF28</f>
        <v/>
      </c>
      <c r="BI1055">
        <f>'T_TTAFStock'!BG28</f>
        <v/>
      </c>
      <c r="BJ1055">
        <f>'T_TTAFStock'!BH28</f>
        <v/>
      </c>
      <c r="BK1055">
        <f>'T_TTAFStock'!BI28</f>
        <v/>
      </c>
      <c r="BL1055">
        <f>'T_TTAFStock'!BJ28</f>
        <v/>
      </c>
      <c r="BM1055">
        <f>'T_TTAFStock'!BK28</f>
        <v/>
      </c>
      <c r="BN1055">
        <f>'T_TTAFStock'!BL28</f>
        <v/>
      </c>
      <c r="BO1055">
        <f>'T_TTAFStock'!BM28</f>
        <v/>
      </c>
      <c r="BP1055">
        <f>'T_TTAFStock'!BN28</f>
        <v/>
      </c>
      <c r="BQ1055">
        <f>'T_TTAFStock'!BO28</f>
        <v/>
      </c>
      <c r="BR1055">
        <f>'T_TTAFStock'!BP28</f>
        <v/>
      </c>
      <c r="BS1055">
        <f>'T_TTAFStock'!BQ28</f>
        <v/>
      </c>
      <c r="BT1055">
        <f>'T_TTAFStock'!BR28</f>
        <v/>
      </c>
      <c r="BU1055">
        <f>'T_TTAFStock'!BS28</f>
        <v/>
      </c>
      <c r="BV1055">
        <f>'T_TTAFStock'!BT28</f>
        <v/>
      </c>
      <c r="BW1055">
        <f>'T_TTAFStock'!BU28</f>
        <v/>
      </c>
      <c r="BX1055">
        <f>'T_TTAFStock'!BV28</f>
        <v/>
      </c>
      <c r="BY1055">
        <f>'T_TTAFStock'!BW28</f>
        <v/>
      </c>
      <c r="BZ1055">
        <f>'T_TTAFStock'!BX28</f>
        <v/>
      </c>
      <c r="CA1055">
        <f>'T_TTAFStock'!BY28</f>
        <v/>
      </c>
      <c r="CB1055">
        <f>'T_TTAFStock'!BZ28</f>
        <v/>
      </c>
      <c r="CC1055">
        <f>'T_TTAFStock'!CA28</f>
        <v/>
      </c>
      <c r="CD1055">
        <f>'T_TTAFStock'!CB28</f>
        <v/>
      </c>
      <c r="CE1055">
        <f>'T_TTAFStock'!CC28</f>
        <v/>
      </c>
      <c r="CF1055">
        <f>'T_TTAFStock'!CD28</f>
        <v/>
      </c>
      <c r="CG1055">
        <f>'T_TTAFStock'!CE28</f>
        <v/>
      </c>
      <c r="CH1055">
        <f>'T_TTAFStock'!CF28</f>
        <v/>
      </c>
      <c r="CI1055">
        <f>'T_TTAFStock'!CG28</f>
        <v/>
      </c>
      <c r="CJ1055">
        <f>'T_TTAFStock'!CH28</f>
        <v/>
      </c>
      <c r="CK1055">
        <f>'T_TTAFStock'!CI28</f>
        <v/>
      </c>
      <c r="CL1055">
        <f>'T_TTAFStock'!CJ28</f>
        <v/>
      </c>
      <c r="CM1055">
        <f>'T_TTAFStock'!CK28</f>
        <v/>
      </c>
      <c r="CN1055">
        <f>'T_TTAFStock'!CL28</f>
        <v/>
      </c>
      <c r="CO1055">
        <f>'T_TTAFStock'!CM28</f>
        <v/>
      </c>
      <c r="CP1055">
        <f>'T_TTAFStock'!CN28</f>
        <v/>
      </c>
      <c r="CQ1055">
        <f>'T_TTAFStock'!CO28</f>
        <v/>
      </c>
      <c r="CR1055">
        <f>'T_TTAFStock'!CP28</f>
        <v/>
      </c>
      <c r="CS1055">
        <f>'T_TTAFStock'!CQ28</f>
        <v/>
      </c>
      <c r="CT1055">
        <f>'T_TTAFStock'!CR28</f>
        <v/>
      </c>
      <c r="CU1055">
        <f>'T_TTAFStock'!CS28</f>
        <v/>
      </c>
      <c r="CV1055">
        <f>'T_TTAFStock'!CT28</f>
        <v/>
      </c>
      <c r="CW1055">
        <f>'T_TTAFStock'!CU28</f>
        <v/>
      </c>
      <c r="CX1055">
        <f>'T_TTAFStock'!CV28</f>
        <v/>
      </c>
      <c r="CY1055">
        <f>'T_TTAFStock'!CW28</f>
        <v/>
      </c>
      <c r="CZ1055">
        <f>'T_TTAFStock'!CX28</f>
        <v/>
      </c>
      <c r="DA1055">
        <f>'T_TTAFStock'!CY28</f>
        <v/>
      </c>
      <c r="DB1055">
        <f>'T_TTAFStock'!CZ28</f>
        <v/>
      </c>
      <c r="DC1055">
        <f>'T_TTAFStock'!DA28</f>
        <v/>
      </c>
    </row>
    <row r="1056">
      <c r="B1056" t="inlineStr">
        <is>
          <t>自社在庫(実績,kg)</t>
        </is>
      </c>
      <c r="D1056">
        <f>'T_SelfStock'!B28</f>
        <v/>
      </c>
      <c r="E1056">
        <f>'T_SelfStock'!C28</f>
        <v/>
      </c>
      <c r="F1056">
        <f>'T_SelfStock'!D28</f>
        <v/>
      </c>
      <c r="G1056">
        <f>'T_SelfStock'!E28</f>
        <v/>
      </c>
      <c r="H1056">
        <f>'T_SelfStock'!F28</f>
        <v/>
      </c>
      <c r="I1056">
        <f>'T_SelfStock'!G28</f>
        <v/>
      </c>
      <c r="J1056">
        <f>'T_SelfStock'!H28</f>
        <v/>
      </c>
      <c r="K1056">
        <f>'T_SelfStock'!I28</f>
        <v/>
      </c>
      <c r="L1056">
        <f>'T_SelfStock'!J28</f>
        <v/>
      </c>
      <c r="M1056">
        <f>'T_SelfStock'!K28</f>
        <v/>
      </c>
      <c r="N1056">
        <f>'T_SelfStock'!L28</f>
        <v/>
      </c>
      <c r="O1056">
        <f>'T_SelfStock'!M28</f>
        <v/>
      </c>
      <c r="P1056">
        <f>'T_SelfStock'!N28</f>
        <v/>
      </c>
      <c r="Q1056">
        <f>'T_SelfStock'!O28</f>
        <v/>
      </c>
      <c r="R1056">
        <f>'T_SelfStock'!P28</f>
        <v/>
      </c>
      <c r="S1056">
        <f>'T_SelfStock'!Q28</f>
        <v/>
      </c>
      <c r="T1056">
        <f>'T_SelfStock'!R28</f>
        <v/>
      </c>
      <c r="U1056">
        <f>'T_SelfStock'!S28</f>
        <v/>
      </c>
      <c r="V1056">
        <f>'T_SelfStock'!T28</f>
        <v/>
      </c>
      <c r="W1056">
        <f>'T_SelfStock'!U28</f>
        <v/>
      </c>
      <c r="X1056">
        <f>'T_SelfStock'!V28</f>
        <v/>
      </c>
      <c r="Y1056">
        <f>'T_SelfStock'!W28</f>
        <v/>
      </c>
      <c r="Z1056">
        <f>'T_SelfStock'!X28</f>
        <v/>
      </c>
      <c r="AA1056">
        <f>'T_SelfStock'!Y28</f>
        <v/>
      </c>
      <c r="AB1056">
        <f>'T_SelfStock'!Z28</f>
        <v/>
      </c>
      <c r="AC1056">
        <f>'T_SelfStock'!AA28</f>
        <v/>
      </c>
      <c r="AD1056">
        <f>'T_SelfStock'!AB28</f>
        <v/>
      </c>
      <c r="AE1056">
        <f>'T_SelfStock'!AC28</f>
        <v/>
      </c>
      <c r="AF1056">
        <f>'T_SelfStock'!AD28</f>
        <v/>
      </c>
      <c r="AG1056">
        <f>'T_SelfStock'!AE28</f>
        <v/>
      </c>
      <c r="AH1056">
        <f>'T_SelfStock'!AF28</f>
        <v/>
      </c>
      <c r="AI1056">
        <f>'T_SelfStock'!AG28</f>
        <v/>
      </c>
      <c r="AJ1056">
        <f>'T_SelfStock'!AH28</f>
        <v/>
      </c>
      <c r="AK1056">
        <f>'T_SelfStock'!AI28</f>
        <v/>
      </c>
      <c r="AL1056">
        <f>'T_SelfStock'!AJ28</f>
        <v/>
      </c>
      <c r="AM1056">
        <f>'T_SelfStock'!AK28</f>
        <v/>
      </c>
      <c r="AN1056">
        <f>'T_SelfStock'!AL28</f>
        <v/>
      </c>
      <c r="AO1056">
        <f>'T_SelfStock'!AM28</f>
        <v/>
      </c>
      <c r="AP1056">
        <f>'T_SelfStock'!AN28</f>
        <v/>
      </c>
      <c r="AQ1056">
        <f>'T_SelfStock'!AO28</f>
        <v/>
      </c>
      <c r="AR1056">
        <f>'T_SelfStock'!AP28</f>
        <v/>
      </c>
      <c r="AS1056">
        <f>'T_SelfStock'!AQ28</f>
        <v/>
      </c>
      <c r="AT1056">
        <f>'T_SelfStock'!AR28</f>
        <v/>
      </c>
      <c r="AU1056">
        <f>'T_SelfStock'!AS28</f>
        <v/>
      </c>
      <c r="AV1056">
        <f>'T_SelfStock'!AT28</f>
        <v/>
      </c>
      <c r="AW1056">
        <f>'T_SelfStock'!AU28</f>
        <v/>
      </c>
      <c r="AX1056">
        <f>'T_SelfStock'!AV28</f>
        <v/>
      </c>
      <c r="AY1056">
        <f>'T_SelfStock'!AW28</f>
        <v/>
      </c>
      <c r="AZ1056">
        <f>'T_SelfStock'!AX28</f>
        <v/>
      </c>
      <c r="BA1056">
        <f>'T_SelfStock'!AY28</f>
        <v/>
      </c>
      <c r="BB1056">
        <f>'T_SelfStock'!AZ28</f>
        <v/>
      </c>
      <c r="BC1056">
        <f>'T_SelfStock'!BA28</f>
        <v/>
      </c>
      <c r="BD1056">
        <f>'T_SelfStock'!BB28</f>
        <v/>
      </c>
      <c r="BE1056">
        <f>'T_SelfStock'!BC28</f>
        <v/>
      </c>
      <c r="BF1056">
        <f>'T_SelfStock'!BD28</f>
        <v/>
      </c>
      <c r="BG1056">
        <f>'T_SelfStock'!BE28</f>
        <v/>
      </c>
      <c r="BH1056">
        <f>'T_SelfStock'!BF28</f>
        <v/>
      </c>
      <c r="BI1056">
        <f>'T_SelfStock'!BG28</f>
        <v/>
      </c>
      <c r="BJ1056">
        <f>'T_SelfStock'!BH28</f>
        <v/>
      </c>
      <c r="BK1056">
        <f>'T_SelfStock'!BI28</f>
        <v/>
      </c>
      <c r="BL1056">
        <f>'T_SelfStock'!BJ28</f>
        <v/>
      </c>
      <c r="BM1056">
        <f>'T_SelfStock'!BK28</f>
        <v/>
      </c>
      <c r="BN1056">
        <f>'T_SelfStock'!BL28</f>
        <v/>
      </c>
      <c r="BO1056">
        <f>'T_SelfStock'!BM28</f>
        <v/>
      </c>
      <c r="BP1056">
        <f>'T_SelfStock'!BN28</f>
        <v/>
      </c>
      <c r="BQ1056">
        <f>'T_SelfStock'!BO28</f>
        <v/>
      </c>
      <c r="BR1056">
        <f>'T_SelfStock'!BP28</f>
        <v/>
      </c>
      <c r="BS1056">
        <f>'T_SelfStock'!BQ28</f>
        <v/>
      </c>
      <c r="BT1056">
        <f>'T_SelfStock'!BR28</f>
        <v/>
      </c>
      <c r="BU1056">
        <f>'T_SelfStock'!BS28</f>
        <v/>
      </c>
      <c r="BV1056">
        <f>'T_SelfStock'!BT28</f>
        <v/>
      </c>
      <c r="BW1056">
        <f>'T_SelfStock'!BU28</f>
        <v/>
      </c>
      <c r="BX1056">
        <f>'T_SelfStock'!BV28</f>
        <v/>
      </c>
      <c r="BY1056">
        <f>'T_SelfStock'!BW28</f>
        <v/>
      </c>
      <c r="BZ1056">
        <f>'T_SelfStock'!BX28</f>
        <v/>
      </c>
      <c r="CA1056">
        <f>'T_SelfStock'!BY28</f>
        <v/>
      </c>
      <c r="CB1056">
        <f>'T_SelfStock'!BZ28</f>
        <v/>
      </c>
      <c r="CC1056">
        <f>'T_SelfStock'!CA28</f>
        <v/>
      </c>
      <c r="CD1056">
        <f>'T_SelfStock'!CB28</f>
        <v/>
      </c>
      <c r="CE1056">
        <f>'T_SelfStock'!CC28</f>
        <v/>
      </c>
      <c r="CF1056">
        <f>'T_SelfStock'!CD28</f>
        <v/>
      </c>
      <c r="CG1056">
        <f>'T_SelfStock'!CE28</f>
        <v/>
      </c>
      <c r="CH1056">
        <f>'T_SelfStock'!CF28</f>
        <v/>
      </c>
      <c r="CI1056">
        <f>'T_SelfStock'!CG28</f>
        <v/>
      </c>
      <c r="CJ1056">
        <f>'T_SelfStock'!CH28</f>
        <v/>
      </c>
      <c r="CK1056">
        <f>'T_SelfStock'!CI28</f>
        <v/>
      </c>
      <c r="CL1056">
        <f>'T_SelfStock'!CJ28</f>
        <v/>
      </c>
      <c r="CM1056">
        <f>'T_SelfStock'!CK28</f>
        <v/>
      </c>
      <c r="CN1056">
        <f>'T_SelfStock'!CL28</f>
        <v/>
      </c>
      <c r="CO1056">
        <f>'T_SelfStock'!CM28</f>
        <v/>
      </c>
      <c r="CP1056">
        <f>'T_SelfStock'!CN28</f>
        <v/>
      </c>
      <c r="CQ1056">
        <f>'T_SelfStock'!CO28</f>
        <v/>
      </c>
      <c r="CR1056">
        <f>'T_SelfStock'!CP28</f>
        <v/>
      </c>
      <c r="CS1056">
        <f>'T_SelfStock'!CQ28</f>
        <v/>
      </c>
      <c r="CT1056">
        <f>'T_SelfStock'!CR28</f>
        <v/>
      </c>
      <c r="CU1056">
        <f>'T_SelfStock'!CS28</f>
        <v/>
      </c>
      <c r="CV1056">
        <f>'T_SelfStock'!CT28</f>
        <v/>
      </c>
      <c r="CW1056">
        <f>'T_SelfStock'!CU28</f>
        <v/>
      </c>
      <c r="CX1056">
        <f>'T_SelfStock'!CV28</f>
        <v/>
      </c>
      <c r="CY1056">
        <f>'T_SelfStock'!CW28</f>
        <v/>
      </c>
      <c r="CZ1056">
        <f>'T_SelfStock'!CX28</f>
        <v/>
      </c>
      <c r="DA1056">
        <f>'T_SelfStock'!CY28</f>
        <v/>
      </c>
      <c r="DB1056">
        <f>'T_SelfStock'!CZ28</f>
        <v/>
      </c>
      <c r="DC1056">
        <f>'T_SelfStock'!DA28</f>
        <v/>
      </c>
    </row>
    <row r="1057">
      <c r="B1057" t="inlineStr">
        <is>
          <t>Order(発注予定,kg)</t>
        </is>
      </c>
      <c r="D1057">
        <f>IF(SUMIFS(T_PlannedOrders[EffectiveQty],T_PlannedOrders[Part Name],$A1037,T_PlannedOrders[WeekIndex],1)=0,"",SUMIFS(T_PlannedOrders[EffectiveQty],T_PlannedOrders[Part Name],$A1037,T_PlannedOrders[WeekIndex],1)&amp;" ("&amp;TEXT(SUMPRODUCT(MAX((T_PlannedOrders[Part Name]=$A1037)*(T_PlannedOrders[WeekIndex]=1)*(T_PlannedOrders[EffectiveQty]&gt;0)*T_PlannedOrders[Order_Month])),"m月")&amp;"発注)")</f>
        <v/>
      </c>
      <c r="E1057">
        <f>IF(SUMIFS(T_PlannedOrders[EffectiveQty],T_PlannedOrders[Part Name],$A1037,T_PlannedOrders[WeekIndex],2)=0,"",SUMIFS(T_PlannedOrders[EffectiveQty],T_PlannedOrders[Part Name],$A1037,T_PlannedOrders[WeekIndex],2)&amp;" ("&amp;TEXT(SUMPRODUCT(MAX((T_PlannedOrders[Part Name]=$A1037)*(T_PlannedOrders[WeekIndex]=2)*(T_PlannedOrders[EffectiveQty]&gt;0)*T_PlannedOrders[Order_Month])),"m月")&amp;"発注)")</f>
        <v/>
      </c>
      <c r="F1057">
        <f>IF(SUMIFS(T_PlannedOrders[EffectiveQty],T_PlannedOrders[Part Name],$A1037,T_PlannedOrders[WeekIndex],3)=0,"",SUMIFS(T_PlannedOrders[EffectiveQty],T_PlannedOrders[Part Name],$A1037,T_PlannedOrders[WeekIndex],3)&amp;" ("&amp;TEXT(SUMPRODUCT(MAX((T_PlannedOrders[Part Name]=$A1037)*(T_PlannedOrders[WeekIndex]=3)*(T_PlannedOrders[EffectiveQty]&gt;0)*T_PlannedOrders[Order_Month])),"m月")&amp;"発注)")</f>
        <v/>
      </c>
      <c r="G1057">
        <f>IF(SUMIFS(T_PlannedOrders[EffectiveQty],T_PlannedOrders[Part Name],$A1037,T_PlannedOrders[WeekIndex],4)=0,"",SUMIFS(T_PlannedOrders[EffectiveQty],T_PlannedOrders[Part Name],$A1037,T_PlannedOrders[WeekIndex],4)&amp;" ("&amp;TEXT(SUMPRODUCT(MAX((T_PlannedOrders[Part Name]=$A1037)*(T_PlannedOrders[WeekIndex]=4)*(T_PlannedOrders[EffectiveQty]&gt;0)*T_PlannedOrders[Order_Month])),"m月")&amp;"発注)")</f>
        <v/>
      </c>
      <c r="H1057">
        <f>IF(SUMIFS(T_PlannedOrders[EffectiveQty],T_PlannedOrders[Part Name],$A1037,T_PlannedOrders[WeekIndex],5)=0,"",SUMIFS(T_PlannedOrders[EffectiveQty],T_PlannedOrders[Part Name],$A1037,T_PlannedOrders[WeekIndex],5)&amp;" ("&amp;TEXT(SUMPRODUCT(MAX((T_PlannedOrders[Part Name]=$A1037)*(T_PlannedOrders[WeekIndex]=5)*(T_PlannedOrders[EffectiveQty]&gt;0)*T_PlannedOrders[Order_Month])),"m月")&amp;"発注)")</f>
        <v/>
      </c>
      <c r="I1057">
        <f>IF(SUMIFS(T_PlannedOrders[EffectiveQty],T_PlannedOrders[Part Name],$A1037,T_PlannedOrders[WeekIndex],6)=0,"",SUMIFS(T_PlannedOrders[EffectiveQty],T_PlannedOrders[Part Name],$A1037,T_PlannedOrders[WeekIndex],6)&amp;" ("&amp;TEXT(SUMPRODUCT(MAX((T_PlannedOrders[Part Name]=$A1037)*(T_PlannedOrders[WeekIndex]=6)*(T_PlannedOrders[EffectiveQty]&gt;0)*T_PlannedOrders[Order_Month])),"m月")&amp;"発注)")</f>
        <v/>
      </c>
      <c r="J1057">
        <f>IF(SUMIFS(T_PlannedOrders[EffectiveQty],T_PlannedOrders[Part Name],$A1037,T_PlannedOrders[WeekIndex],7)=0,"",SUMIFS(T_PlannedOrders[EffectiveQty],T_PlannedOrders[Part Name],$A1037,T_PlannedOrders[WeekIndex],7)&amp;" ("&amp;TEXT(SUMPRODUCT(MAX((T_PlannedOrders[Part Name]=$A1037)*(T_PlannedOrders[WeekIndex]=7)*(T_PlannedOrders[EffectiveQty]&gt;0)*T_PlannedOrders[Order_Month])),"m月")&amp;"発注)")</f>
        <v/>
      </c>
      <c r="K1057">
        <f>IF(SUMIFS(T_PlannedOrders[EffectiveQty],T_PlannedOrders[Part Name],$A1037,T_PlannedOrders[WeekIndex],8)=0,"",SUMIFS(T_PlannedOrders[EffectiveQty],T_PlannedOrders[Part Name],$A1037,T_PlannedOrders[WeekIndex],8)&amp;" ("&amp;TEXT(SUMPRODUCT(MAX((T_PlannedOrders[Part Name]=$A1037)*(T_PlannedOrders[WeekIndex]=8)*(T_PlannedOrders[EffectiveQty]&gt;0)*T_PlannedOrders[Order_Month])),"m月")&amp;"発注)")</f>
        <v/>
      </c>
      <c r="L1057">
        <f>IF(SUMIFS(T_PlannedOrders[EffectiveQty],T_PlannedOrders[Part Name],$A1037,T_PlannedOrders[WeekIndex],9)=0,"",SUMIFS(T_PlannedOrders[EffectiveQty],T_PlannedOrders[Part Name],$A1037,T_PlannedOrders[WeekIndex],9)&amp;" ("&amp;TEXT(SUMPRODUCT(MAX((T_PlannedOrders[Part Name]=$A1037)*(T_PlannedOrders[WeekIndex]=9)*(T_PlannedOrders[EffectiveQty]&gt;0)*T_PlannedOrders[Order_Month])),"m月")&amp;"発注)")</f>
        <v/>
      </c>
      <c r="M1057">
        <f>IF(SUMIFS(T_PlannedOrders[EffectiveQty],T_PlannedOrders[Part Name],$A1037,T_PlannedOrders[WeekIndex],10)=0,"",SUMIFS(T_PlannedOrders[EffectiveQty],T_PlannedOrders[Part Name],$A1037,T_PlannedOrders[WeekIndex],10)&amp;" ("&amp;TEXT(SUMPRODUCT(MAX((T_PlannedOrders[Part Name]=$A1037)*(T_PlannedOrders[WeekIndex]=10)*(T_PlannedOrders[EffectiveQty]&gt;0)*T_PlannedOrders[Order_Month])),"m月")&amp;"発注)")</f>
        <v/>
      </c>
      <c r="N1057">
        <f>IF(SUMIFS(T_PlannedOrders[EffectiveQty],T_PlannedOrders[Part Name],$A1037,T_PlannedOrders[WeekIndex],11)=0,"",SUMIFS(T_PlannedOrders[EffectiveQty],T_PlannedOrders[Part Name],$A1037,T_PlannedOrders[WeekIndex],11)&amp;" ("&amp;TEXT(SUMPRODUCT(MAX((T_PlannedOrders[Part Name]=$A1037)*(T_PlannedOrders[WeekIndex]=11)*(T_PlannedOrders[EffectiveQty]&gt;0)*T_PlannedOrders[Order_Month])),"m月")&amp;"発注)")</f>
        <v/>
      </c>
      <c r="O1057">
        <f>IF(SUMIFS(T_PlannedOrders[EffectiveQty],T_PlannedOrders[Part Name],$A1037,T_PlannedOrders[WeekIndex],12)=0,"",SUMIFS(T_PlannedOrders[EffectiveQty],T_PlannedOrders[Part Name],$A1037,T_PlannedOrders[WeekIndex],12)&amp;" ("&amp;TEXT(SUMPRODUCT(MAX((T_PlannedOrders[Part Name]=$A1037)*(T_PlannedOrders[WeekIndex]=12)*(T_PlannedOrders[EffectiveQty]&gt;0)*T_PlannedOrders[Order_Month])),"m月")&amp;"発注)")</f>
        <v/>
      </c>
      <c r="P1057">
        <f>IF(SUMIFS(T_PlannedOrders[EffectiveQty],T_PlannedOrders[Part Name],$A1037,T_PlannedOrders[WeekIndex],13)=0,"",SUMIFS(T_PlannedOrders[EffectiveQty],T_PlannedOrders[Part Name],$A1037,T_PlannedOrders[WeekIndex],13)&amp;" ("&amp;TEXT(SUMPRODUCT(MAX((T_PlannedOrders[Part Name]=$A1037)*(T_PlannedOrders[WeekIndex]=13)*(T_PlannedOrders[EffectiveQty]&gt;0)*T_PlannedOrders[Order_Month])),"m月")&amp;"発注)")</f>
        <v/>
      </c>
      <c r="Q1057">
        <f>IF(SUMIFS(T_PlannedOrders[EffectiveQty],T_PlannedOrders[Part Name],$A1037,T_PlannedOrders[WeekIndex],14)=0,"",SUMIFS(T_PlannedOrders[EffectiveQty],T_PlannedOrders[Part Name],$A1037,T_PlannedOrders[WeekIndex],14)&amp;" ("&amp;TEXT(SUMPRODUCT(MAX((T_PlannedOrders[Part Name]=$A1037)*(T_PlannedOrders[WeekIndex]=14)*(T_PlannedOrders[EffectiveQty]&gt;0)*T_PlannedOrders[Order_Month])),"m月")&amp;"発注)")</f>
        <v/>
      </c>
      <c r="R1057">
        <f>IF(SUMIFS(T_PlannedOrders[EffectiveQty],T_PlannedOrders[Part Name],$A1037,T_PlannedOrders[WeekIndex],15)=0,"",SUMIFS(T_PlannedOrders[EffectiveQty],T_PlannedOrders[Part Name],$A1037,T_PlannedOrders[WeekIndex],15)&amp;" ("&amp;TEXT(SUMPRODUCT(MAX((T_PlannedOrders[Part Name]=$A1037)*(T_PlannedOrders[WeekIndex]=15)*(T_PlannedOrders[EffectiveQty]&gt;0)*T_PlannedOrders[Order_Month])),"m月")&amp;"発注)")</f>
        <v/>
      </c>
      <c r="S1057">
        <f>IF(SUMIFS(T_PlannedOrders[EffectiveQty],T_PlannedOrders[Part Name],$A1037,T_PlannedOrders[WeekIndex],16)=0,"",SUMIFS(T_PlannedOrders[EffectiveQty],T_PlannedOrders[Part Name],$A1037,T_PlannedOrders[WeekIndex],16)&amp;" ("&amp;TEXT(SUMPRODUCT(MAX((T_PlannedOrders[Part Name]=$A1037)*(T_PlannedOrders[WeekIndex]=16)*(T_PlannedOrders[EffectiveQty]&gt;0)*T_PlannedOrders[Order_Month])),"m月")&amp;"発注)")</f>
        <v/>
      </c>
      <c r="T1057">
        <f>IF(SUMIFS(T_PlannedOrders[EffectiveQty],T_PlannedOrders[Part Name],$A1037,T_PlannedOrders[WeekIndex],17)=0,"",SUMIFS(T_PlannedOrders[EffectiveQty],T_PlannedOrders[Part Name],$A1037,T_PlannedOrders[WeekIndex],17)&amp;" ("&amp;TEXT(SUMPRODUCT(MAX((T_PlannedOrders[Part Name]=$A1037)*(T_PlannedOrders[WeekIndex]=17)*(T_PlannedOrders[EffectiveQty]&gt;0)*T_PlannedOrders[Order_Month])),"m月")&amp;"発注)")</f>
        <v/>
      </c>
      <c r="U1057">
        <f>IF(SUMIFS(T_PlannedOrders[EffectiveQty],T_PlannedOrders[Part Name],$A1037,T_PlannedOrders[WeekIndex],18)=0,"",SUMIFS(T_PlannedOrders[EffectiveQty],T_PlannedOrders[Part Name],$A1037,T_PlannedOrders[WeekIndex],18)&amp;" ("&amp;TEXT(SUMPRODUCT(MAX((T_PlannedOrders[Part Name]=$A1037)*(T_PlannedOrders[WeekIndex]=18)*(T_PlannedOrders[EffectiveQty]&gt;0)*T_PlannedOrders[Order_Month])),"m月")&amp;"発注)")</f>
        <v/>
      </c>
      <c r="V1057">
        <f>IF(SUMIFS(T_PlannedOrders[EffectiveQty],T_PlannedOrders[Part Name],$A1037,T_PlannedOrders[WeekIndex],19)=0,"",SUMIFS(T_PlannedOrders[EffectiveQty],T_PlannedOrders[Part Name],$A1037,T_PlannedOrders[WeekIndex],19)&amp;" ("&amp;TEXT(SUMPRODUCT(MAX((T_PlannedOrders[Part Name]=$A1037)*(T_PlannedOrders[WeekIndex]=19)*(T_PlannedOrders[EffectiveQty]&gt;0)*T_PlannedOrders[Order_Month])),"m月")&amp;"発注)")</f>
        <v/>
      </c>
      <c r="W1057">
        <f>IF(SUMIFS(T_PlannedOrders[EffectiveQty],T_PlannedOrders[Part Name],$A1037,T_PlannedOrders[WeekIndex],20)=0,"",SUMIFS(T_PlannedOrders[EffectiveQty],T_PlannedOrders[Part Name],$A1037,T_PlannedOrders[WeekIndex],20)&amp;" ("&amp;TEXT(SUMPRODUCT(MAX((T_PlannedOrders[Part Name]=$A1037)*(T_PlannedOrders[WeekIndex]=20)*(T_PlannedOrders[EffectiveQty]&gt;0)*T_PlannedOrders[Order_Month])),"m月")&amp;"発注)")</f>
        <v/>
      </c>
      <c r="X1057">
        <f>IF(SUMIFS(T_PlannedOrders[EffectiveQty],T_PlannedOrders[Part Name],$A1037,T_PlannedOrders[WeekIndex],21)=0,"",SUMIFS(T_PlannedOrders[EffectiveQty],T_PlannedOrders[Part Name],$A1037,T_PlannedOrders[WeekIndex],21)&amp;" ("&amp;TEXT(SUMPRODUCT(MAX((T_PlannedOrders[Part Name]=$A1037)*(T_PlannedOrders[WeekIndex]=21)*(T_PlannedOrders[EffectiveQty]&gt;0)*T_PlannedOrders[Order_Month])),"m月")&amp;"発注)")</f>
        <v/>
      </c>
      <c r="Y1057">
        <f>IF(SUMIFS(T_PlannedOrders[EffectiveQty],T_PlannedOrders[Part Name],$A1037,T_PlannedOrders[WeekIndex],22)=0,"",SUMIFS(T_PlannedOrders[EffectiveQty],T_PlannedOrders[Part Name],$A1037,T_PlannedOrders[WeekIndex],22)&amp;" ("&amp;TEXT(SUMPRODUCT(MAX((T_PlannedOrders[Part Name]=$A1037)*(T_PlannedOrders[WeekIndex]=22)*(T_PlannedOrders[EffectiveQty]&gt;0)*T_PlannedOrders[Order_Month])),"m月")&amp;"発注)")</f>
        <v/>
      </c>
      <c r="Z1057">
        <f>IF(SUMIFS(T_PlannedOrders[EffectiveQty],T_PlannedOrders[Part Name],$A1037,T_PlannedOrders[WeekIndex],23)=0,"",SUMIFS(T_PlannedOrders[EffectiveQty],T_PlannedOrders[Part Name],$A1037,T_PlannedOrders[WeekIndex],23)&amp;" ("&amp;TEXT(SUMPRODUCT(MAX((T_PlannedOrders[Part Name]=$A1037)*(T_PlannedOrders[WeekIndex]=23)*(T_PlannedOrders[EffectiveQty]&gt;0)*T_PlannedOrders[Order_Month])),"m月")&amp;"発注)")</f>
        <v/>
      </c>
      <c r="AA1057">
        <f>IF(SUMIFS(T_PlannedOrders[EffectiveQty],T_PlannedOrders[Part Name],$A1037,T_PlannedOrders[WeekIndex],24)=0,"",SUMIFS(T_PlannedOrders[EffectiveQty],T_PlannedOrders[Part Name],$A1037,T_PlannedOrders[WeekIndex],24)&amp;" ("&amp;TEXT(SUMPRODUCT(MAX((T_PlannedOrders[Part Name]=$A1037)*(T_PlannedOrders[WeekIndex]=24)*(T_PlannedOrders[EffectiveQty]&gt;0)*T_PlannedOrders[Order_Month])),"m月")&amp;"発注)")</f>
        <v/>
      </c>
      <c r="AB1057">
        <f>IF(SUMIFS(T_PlannedOrders[EffectiveQty],T_PlannedOrders[Part Name],$A1037,T_PlannedOrders[WeekIndex],25)=0,"",SUMIFS(T_PlannedOrders[EffectiveQty],T_PlannedOrders[Part Name],$A1037,T_PlannedOrders[WeekIndex],25)&amp;" ("&amp;TEXT(SUMPRODUCT(MAX((T_PlannedOrders[Part Name]=$A1037)*(T_PlannedOrders[WeekIndex]=25)*(T_PlannedOrders[EffectiveQty]&gt;0)*T_PlannedOrders[Order_Month])),"m月")&amp;"発注)")</f>
        <v/>
      </c>
      <c r="AC1057">
        <f>IF(SUMIFS(T_PlannedOrders[EffectiveQty],T_PlannedOrders[Part Name],$A1037,T_PlannedOrders[WeekIndex],26)=0,"",SUMIFS(T_PlannedOrders[EffectiveQty],T_PlannedOrders[Part Name],$A1037,T_PlannedOrders[WeekIndex],26)&amp;" ("&amp;TEXT(SUMPRODUCT(MAX((T_PlannedOrders[Part Name]=$A1037)*(T_PlannedOrders[WeekIndex]=26)*(T_PlannedOrders[EffectiveQty]&gt;0)*T_PlannedOrders[Order_Month])),"m月")&amp;"発注)")</f>
        <v/>
      </c>
      <c r="AD1057">
        <f>IF(SUMIFS(T_PlannedOrders[EffectiveQty],T_PlannedOrders[Part Name],$A1037,T_PlannedOrders[WeekIndex],27)=0,"",SUMIFS(T_PlannedOrders[EffectiveQty],T_PlannedOrders[Part Name],$A1037,T_PlannedOrders[WeekIndex],27)&amp;" ("&amp;TEXT(SUMPRODUCT(MAX((T_PlannedOrders[Part Name]=$A1037)*(T_PlannedOrders[WeekIndex]=27)*(T_PlannedOrders[EffectiveQty]&gt;0)*T_PlannedOrders[Order_Month])),"m月")&amp;"発注)")</f>
        <v/>
      </c>
      <c r="AE1057">
        <f>IF(SUMIFS(T_PlannedOrders[EffectiveQty],T_PlannedOrders[Part Name],$A1037,T_PlannedOrders[WeekIndex],28)=0,"",SUMIFS(T_PlannedOrders[EffectiveQty],T_PlannedOrders[Part Name],$A1037,T_PlannedOrders[WeekIndex],28)&amp;" ("&amp;TEXT(SUMPRODUCT(MAX((T_PlannedOrders[Part Name]=$A1037)*(T_PlannedOrders[WeekIndex]=28)*(T_PlannedOrders[EffectiveQty]&gt;0)*T_PlannedOrders[Order_Month])),"m月")&amp;"発注)")</f>
        <v/>
      </c>
      <c r="AF1057">
        <f>IF(SUMIFS(T_PlannedOrders[EffectiveQty],T_PlannedOrders[Part Name],$A1037,T_PlannedOrders[WeekIndex],29)=0,"",SUMIFS(T_PlannedOrders[EffectiveQty],T_PlannedOrders[Part Name],$A1037,T_PlannedOrders[WeekIndex],29)&amp;" ("&amp;TEXT(SUMPRODUCT(MAX((T_PlannedOrders[Part Name]=$A1037)*(T_PlannedOrders[WeekIndex]=29)*(T_PlannedOrders[EffectiveQty]&gt;0)*T_PlannedOrders[Order_Month])),"m月")&amp;"発注)")</f>
        <v/>
      </c>
      <c r="AG1057">
        <f>IF(SUMIFS(T_PlannedOrders[EffectiveQty],T_PlannedOrders[Part Name],$A1037,T_PlannedOrders[WeekIndex],30)=0,"",SUMIFS(T_PlannedOrders[EffectiveQty],T_PlannedOrders[Part Name],$A1037,T_PlannedOrders[WeekIndex],30)&amp;" ("&amp;TEXT(SUMPRODUCT(MAX((T_PlannedOrders[Part Name]=$A1037)*(T_PlannedOrders[WeekIndex]=30)*(T_PlannedOrders[EffectiveQty]&gt;0)*T_PlannedOrders[Order_Month])),"m月")&amp;"発注)")</f>
        <v/>
      </c>
      <c r="AH1057">
        <f>IF(SUMIFS(T_PlannedOrders[EffectiveQty],T_PlannedOrders[Part Name],$A1037,T_PlannedOrders[WeekIndex],31)=0,"",SUMIFS(T_PlannedOrders[EffectiveQty],T_PlannedOrders[Part Name],$A1037,T_PlannedOrders[WeekIndex],31)&amp;" ("&amp;TEXT(SUMPRODUCT(MAX((T_PlannedOrders[Part Name]=$A1037)*(T_PlannedOrders[WeekIndex]=31)*(T_PlannedOrders[EffectiveQty]&gt;0)*T_PlannedOrders[Order_Month])),"m月")&amp;"発注)")</f>
        <v/>
      </c>
      <c r="AI1057">
        <f>IF(SUMIFS(T_PlannedOrders[EffectiveQty],T_PlannedOrders[Part Name],$A1037,T_PlannedOrders[WeekIndex],32)=0,"",SUMIFS(T_PlannedOrders[EffectiveQty],T_PlannedOrders[Part Name],$A1037,T_PlannedOrders[WeekIndex],32)&amp;" ("&amp;TEXT(SUMPRODUCT(MAX((T_PlannedOrders[Part Name]=$A1037)*(T_PlannedOrders[WeekIndex]=32)*(T_PlannedOrders[EffectiveQty]&gt;0)*T_PlannedOrders[Order_Month])),"m月")&amp;"発注)")</f>
        <v/>
      </c>
      <c r="AJ1057">
        <f>IF(SUMIFS(T_PlannedOrders[EffectiveQty],T_PlannedOrders[Part Name],$A1037,T_PlannedOrders[WeekIndex],33)=0,"",SUMIFS(T_PlannedOrders[EffectiveQty],T_PlannedOrders[Part Name],$A1037,T_PlannedOrders[WeekIndex],33)&amp;" ("&amp;TEXT(SUMPRODUCT(MAX((T_PlannedOrders[Part Name]=$A1037)*(T_PlannedOrders[WeekIndex]=33)*(T_PlannedOrders[EffectiveQty]&gt;0)*T_PlannedOrders[Order_Month])),"m月")&amp;"発注)")</f>
        <v/>
      </c>
      <c r="AK1057">
        <f>IF(SUMIFS(T_PlannedOrders[EffectiveQty],T_PlannedOrders[Part Name],$A1037,T_PlannedOrders[WeekIndex],34)=0,"",SUMIFS(T_PlannedOrders[EffectiveQty],T_PlannedOrders[Part Name],$A1037,T_PlannedOrders[WeekIndex],34)&amp;" ("&amp;TEXT(SUMPRODUCT(MAX((T_PlannedOrders[Part Name]=$A1037)*(T_PlannedOrders[WeekIndex]=34)*(T_PlannedOrders[EffectiveQty]&gt;0)*T_PlannedOrders[Order_Month])),"m月")&amp;"発注)")</f>
        <v/>
      </c>
      <c r="AL1057">
        <f>IF(SUMIFS(T_PlannedOrders[EffectiveQty],T_PlannedOrders[Part Name],$A1037,T_PlannedOrders[WeekIndex],35)=0,"",SUMIFS(T_PlannedOrders[EffectiveQty],T_PlannedOrders[Part Name],$A1037,T_PlannedOrders[WeekIndex],35)&amp;" ("&amp;TEXT(SUMPRODUCT(MAX((T_PlannedOrders[Part Name]=$A1037)*(T_PlannedOrders[WeekIndex]=35)*(T_PlannedOrders[EffectiveQty]&gt;0)*T_PlannedOrders[Order_Month])),"m月")&amp;"発注)")</f>
        <v/>
      </c>
      <c r="AM1057">
        <f>IF(SUMIFS(T_PlannedOrders[EffectiveQty],T_PlannedOrders[Part Name],$A1037,T_PlannedOrders[WeekIndex],36)=0,"",SUMIFS(T_PlannedOrders[EffectiveQty],T_PlannedOrders[Part Name],$A1037,T_PlannedOrders[WeekIndex],36)&amp;" ("&amp;TEXT(SUMPRODUCT(MAX((T_PlannedOrders[Part Name]=$A1037)*(T_PlannedOrders[WeekIndex]=36)*(T_PlannedOrders[EffectiveQty]&gt;0)*T_PlannedOrders[Order_Month])),"m月")&amp;"発注)")</f>
        <v/>
      </c>
      <c r="AN1057">
        <f>IF(SUMIFS(T_PlannedOrders[EffectiveQty],T_PlannedOrders[Part Name],$A1037,T_PlannedOrders[WeekIndex],37)=0,"",SUMIFS(T_PlannedOrders[EffectiveQty],T_PlannedOrders[Part Name],$A1037,T_PlannedOrders[WeekIndex],37)&amp;" ("&amp;TEXT(SUMPRODUCT(MAX((T_PlannedOrders[Part Name]=$A1037)*(T_PlannedOrders[WeekIndex]=37)*(T_PlannedOrders[EffectiveQty]&gt;0)*T_PlannedOrders[Order_Month])),"m月")&amp;"発注)")</f>
        <v/>
      </c>
      <c r="AO1057">
        <f>IF(SUMIFS(T_PlannedOrders[EffectiveQty],T_PlannedOrders[Part Name],$A1037,T_PlannedOrders[WeekIndex],38)=0,"",SUMIFS(T_PlannedOrders[EffectiveQty],T_PlannedOrders[Part Name],$A1037,T_PlannedOrders[WeekIndex],38)&amp;" ("&amp;TEXT(SUMPRODUCT(MAX((T_PlannedOrders[Part Name]=$A1037)*(T_PlannedOrders[WeekIndex]=38)*(T_PlannedOrders[EffectiveQty]&gt;0)*T_PlannedOrders[Order_Month])),"m月")&amp;"発注)")</f>
        <v/>
      </c>
      <c r="AP1057">
        <f>IF(SUMIFS(T_PlannedOrders[EffectiveQty],T_PlannedOrders[Part Name],$A1037,T_PlannedOrders[WeekIndex],39)=0,"",SUMIFS(T_PlannedOrders[EffectiveQty],T_PlannedOrders[Part Name],$A1037,T_PlannedOrders[WeekIndex],39)&amp;" ("&amp;TEXT(SUMPRODUCT(MAX((T_PlannedOrders[Part Name]=$A1037)*(T_PlannedOrders[WeekIndex]=39)*(T_PlannedOrders[EffectiveQty]&gt;0)*T_PlannedOrders[Order_Month])),"m月")&amp;"発注)")</f>
        <v/>
      </c>
      <c r="AQ1057">
        <f>IF(SUMIFS(T_PlannedOrders[EffectiveQty],T_PlannedOrders[Part Name],$A1037,T_PlannedOrders[WeekIndex],40)=0,"",SUMIFS(T_PlannedOrders[EffectiveQty],T_PlannedOrders[Part Name],$A1037,T_PlannedOrders[WeekIndex],40)&amp;" ("&amp;TEXT(SUMPRODUCT(MAX((T_PlannedOrders[Part Name]=$A1037)*(T_PlannedOrders[WeekIndex]=40)*(T_PlannedOrders[EffectiveQty]&gt;0)*T_PlannedOrders[Order_Month])),"m月")&amp;"発注)")</f>
        <v/>
      </c>
      <c r="AR1057">
        <f>IF(SUMIFS(T_PlannedOrders[EffectiveQty],T_PlannedOrders[Part Name],$A1037,T_PlannedOrders[WeekIndex],41)=0,"",SUMIFS(T_PlannedOrders[EffectiveQty],T_PlannedOrders[Part Name],$A1037,T_PlannedOrders[WeekIndex],41)&amp;" ("&amp;TEXT(SUMPRODUCT(MAX((T_PlannedOrders[Part Name]=$A1037)*(T_PlannedOrders[WeekIndex]=41)*(T_PlannedOrders[EffectiveQty]&gt;0)*T_PlannedOrders[Order_Month])),"m月")&amp;"発注)")</f>
        <v/>
      </c>
      <c r="AS1057">
        <f>IF(SUMIFS(T_PlannedOrders[EffectiveQty],T_PlannedOrders[Part Name],$A1037,T_PlannedOrders[WeekIndex],42)=0,"",SUMIFS(T_PlannedOrders[EffectiveQty],T_PlannedOrders[Part Name],$A1037,T_PlannedOrders[WeekIndex],42)&amp;" ("&amp;TEXT(SUMPRODUCT(MAX((T_PlannedOrders[Part Name]=$A1037)*(T_PlannedOrders[WeekIndex]=42)*(T_PlannedOrders[EffectiveQty]&gt;0)*T_PlannedOrders[Order_Month])),"m月")&amp;"発注)")</f>
        <v/>
      </c>
      <c r="AT1057">
        <f>IF(SUMIFS(T_PlannedOrders[EffectiveQty],T_PlannedOrders[Part Name],$A1037,T_PlannedOrders[WeekIndex],43)=0,"",SUMIFS(T_PlannedOrders[EffectiveQty],T_PlannedOrders[Part Name],$A1037,T_PlannedOrders[WeekIndex],43)&amp;" ("&amp;TEXT(SUMPRODUCT(MAX((T_PlannedOrders[Part Name]=$A1037)*(T_PlannedOrders[WeekIndex]=43)*(T_PlannedOrders[EffectiveQty]&gt;0)*T_PlannedOrders[Order_Month])),"m月")&amp;"発注)")</f>
        <v/>
      </c>
      <c r="AU1057">
        <f>IF(SUMIFS(T_PlannedOrders[EffectiveQty],T_PlannedOrders[Part Name],$A1037,T_PlannedOrders[WeekIndex],44)=0,"",SUMIFS(T_PlannedOrders[EffectiveQty],T_PlannedOrders[Part Name],$A1037,T_PlannedOrders[WeekIndex],44)&amp;" ("&amp;TEXT(SUMPRODUCT(MAX((T_PlannedOrders[Part Name]=$A1037)*(T_PlannedOrders[WeekIndex]=44)*(T_PlannedOrders[EffectiveQty]&gt;0)*T_PlannedOrders[Order_Month])),"m月")&amp;"発注)")</f>
        <v/>
      </c>
      <c r="AV1057">
        <f>IF(SUMIFS(T_PlannedOrders[EffectiveQty],T_PlannedOrders[Part Name],$A1037,T_PlannedOrders[WeekIndex],45)=0,"",SUMIFS(T_PlannedOrders[EffectiveQty],T_PlannedOrders[Part Name],$A1037,T_PlannedOrders[WeekIndex],45)&amp;" ("&amp;TEXT(SUMPRODUCT(MAX((T_PlannedOrders[Part Name]=$A1037)*(T_PlannedOrders[WeekIndex]=45)*(T_PlannedOrders[EffectiveQty]&gt;0)*T_PlannedOrders[Order_Month])),"m月")&amp;"発注)")</f>
        <v/>
      </c>
      <c r="AW1057">
        <f>IF(SUMIFS(T_PlannedOrders[EffectiveQty],T_PlannedOrders[Part Name],$A1037,T_PlannedOrders[WeekIndex],46)=0,"",SUMIFS(T_PlannedOrders[EffectiveQty],T_PlannedOrders[Part Name],$A1037,T_PlannedOrders[WeekIndex],46)&amp;" ("&amp;TEXT(SUMPRODUCT(MAX((T_PlannedOrders[Part Name]=$A1037)*(T_PlannedOrders[WeekIndex]=46)*(T_PlannedOrders[EffectiveQty]&gt;0)*T_PlannedOrders[Order_Month])),"m月")&amp;"発注)")</f>
        <v/>
      </c>
      <c r="AX1057">
        <f>IF(SUMIFS(T_PlannedOrders[EffectiveQty],T_PlannedOrders[Part Name],$A1037,T_PlannedOrders[WeekIndex],47)=0,"",SUMIFS(T_PlannedOrders[EffectiveQty],T_PlannedOrders[Part Name],$A1037,T_PlannedOrders[WeekIndex],47)&amp;" ("&amp;TEXT(SUMPRODUCT(MAX((T_PlannedOrders[Part Name]=$A1037)*(T_PlannedOrders[WeekIndex]=47)*(T_PlannedOrders[EffectiveQty]&gt;0)*T_PlannedOrders[Order_Month])),"m月")&amp;"発注)")</f>
        <v/>
      </c>
      <c r="AY1057">
        <f>IF(SUMIFS(T_PlannedOrders[EffectiveQty],T_PlannedOrders[Part Name],$A1037,T_PlannedOrders[WeekIndex],48)=0,"",SUMIFS(T_PlannedOrders[EffectiveQty],T_PlannedOrders[Part Name],$A1037,T_PlannedOrders[WeekIndex],48)&amp;" ("&amp;TEXT(SUMPRODUCT(MAX((T_PlannedOrders[Part Name]=$A1037)*(T_PlannedOrders[WeekIndex]=48)*(T_PlannedOrders[EffectiveQty]&gt;0)*T_PlannedOrders[Order_Month])),"m月")&amp;"発注)")</f>
        <v/>
      </c>
      <c r="AZ1057">
        <f>IF(SUMIFS(T_PlannedOrders[EffectiveQty],T_PlannedOrders[Part Name],$A1037,T_PlannedOrders[WeekIndex],49)=0,"",SUMIFS(T_PlannedOrders[EffectiveQty],T_PlannedOrders[Part Name],$A1037,T_PlannedOrders[WeekIndex],49)&amp;" ("&amp;TEXT(SUMPRODUCT(MAX((T_PlannedOrders[Part Name]=$A1037)*(T_PlannedOrders[WeekIndex]=49)*(T_PlannedOrders[EffectiveQty]&gt;0)*T_PlannedOrders[Order_Month])),"m月")&amp;"発注)")</f>
        <v/>
      </c>
      <c r="BA1057">
        <f>IF(SUMIFS(T_PlannedOrders[EffectiveQty],T_PlannedOrders[Part Name],$A1037,T_PlannedOrders[WeekIndex],50)=0,"",SUMIFS(T_PlannedOrders[EffectiveQty],T_PlannedOrders[Part Name],$A1037,T_PlannedOrders[WeekIndex],50)&amp;" ("&amp;TEXT(SUMPRODUCT(MAX((T_PlannedOrders[Part Name]=$A1037)*(T_PlannedOrders[WeekIndex]=50)*(T_PlannedOrders[EffectiveQty]&gt;0)*T_PlannedOrders[Order_Month])),"m月")&amp;"発注)")</f>
        <v/>
      </c>
      <c r="BB1057">
        <f>IF(SUMIFS(T_PlannedOrders[EffectiveQty],T_PlannedOrders[Part Name],$A1037,T_PlannedOrders[WeekIndex],51)=0,"",SUMIFS(T_PlannedOrders[EffectiveQty],T_PlannedOrders[Part Name],$A1037,T_PlannedOrders[WeekIndex],51)&amp;" ("&amp;TEXT(SUMPRODUCT(MAX((T_PlannedOrders[Part Name]=$A1037)*(T_PlannedOrders[WeekIndex]=51)*(T_PlannedOrders[EffectiveQty]&gt;0)*T_PlannedOrders[Order_Month])),"m月")&amp;"発注)")</f>
        <v/>
      </c>
      <c r="BC1057">
        <f>IF(SUMIFS(T_PlannedOrders[EffectiveQty],T_PlannedOrders[Part Name],$A1037,T_PlannedOrders[WeekIndex],52)=0,"",SUMIFS(T_PlannedOrders[EffectiveQty],T_PlannedOrders[Part Name],$A1037,T_PlannedOrders[WeekIndex],52)&amp;" ("&amp;TEXT(SUMPRODUCT(MAX((T_PlannedOrders[Part Name]=$A1037)*(T_PlannedOrders[WeekIndex]=52)*(T_PlannedOrders[EffectiveQty]&gt;0)*T_PlannedOrders[Order_Month])),"m月")&amp;"発注)")</f>
        <v/>
      </c>
      <c r="BD1057">
        <f>IF(SUMIFS(T_PlannedOrders[EffectiveQty],T_PlannedOrders[Part Name],$A1037,T_PlannedOrders[WeekIndex],53)=0,"",SUMIFS(T_PlannedOrders[EffectiveQty],T_PlannedOrders[Part Name],$A1037,T_PlannedOrders[WeekIndex],53)&amp;" ("&amp;TEXT(SUMPRODUCT(MAX((T_PlannedOrders[Part Name]=$A1037)*(T_PlannedOrders[WeekIndex]=53)*(T_PlannedOrders[EffectiveQty]&gt;0)*T_PlannedOrders[Order_Month])),"m月")&amp;"発注)")</f>
        <v/>
      </c>
      <c r="BE1057">
        <f>IF(SUMIFS(T_PlannedOrders[EffectiveQty],T_PlannedOrders[Part Name],$A1037,T_PlannedOrders[WeekIndex],54)=0,"",SUMIFS(T_PlannedOrders[EffectiveQty],T_PlannedOrders[Part Name],$A1037,T_PlannedOrders[WeekIndex],54)&amp;" ("&amp;TEXT(SUMPRODUCT(MAX((T_PlannedOrders[Part Name]=$A1037)*(T_PlannedOrders[WeekIndex]=54)*(T_PlannedOrders[EffectiveQty]&gt;0)*T_PlannedOrders[Order_Month])),"m月")&amp;"発注)")</f>
        <v/>
      </c>
      <c r="BF1057">
        <f>IF(SUMIFS(T_PlannedOrders[EffectiveQty],T_PlannedOrders[Part Name],$A1037,T_PlannedOrders[WeekIndex],55)=0,"",SUMIFS(T_PlannedOrders[EffectiveQty],T_PlannedOrders[Part Name],$A1037,T_PlannedOrders[WeekIndex],55)&amp;" ("&amp;TEXT(SUMPRODUCT(MAX((T_PlannedOrders[Part Name]=$A1037)*(T_PlannedOrders[WeekIndex]=55)*(T_PlannedOrders[EffectiveQty]&gt;0)*T_PlannedOrders[Order_Month])),"m月")&amp;"発注)")</f>
        <v/>
      </c>
      <c r="BG1057">
        <f>IF(SUMIFS(T_PlannedOrders[EffectiveQty],T_PlannedOrders[Part Name],$A1037,T_PlannedOrders[WeekIndex],56)=0,"",SUMIFS(T_PlannedOrders[EffectiveQty],T_PlannedOrders[Part Name],$A1037,T_PlannedOrders[WeekIndex],56)&amp;" ("&amp;TEXT(SUMPRODUCT(MAX((T_PlannedOrders[Part Name]=$A1037)*(T_PlannedOrders[WeekIndex]=56)*(T_PlannedOrders[EffectiveQty]&gt;0)*T_PlannedOrders[Order_Month])),"m月")&amp;"発注)")</f>
        <v/>
      </c>
      <c r="BH1057">
        <f>IF(SUMIFS(T_PlannedOrders[EffectiveQty],T_PlannedOrders[Part Name],$A1037,T_PlannedOrders[WeekIndex],57)=0,"",SUMIFS(T_PlannedOrders[EffectiveQty],T_PlannedOrders[Part Name],$A1037,T_PlannedOrders[WeekIndex],57)&amp;" ("&amp;TEXT(SUMPRODUCT(MAX((T_PlannedOrders[Part Name]=$A1037)*(T_PlannedOrders[WeekIndex]=57)*(T_PlannedOrders[EffectiveQty]&gt;0)*T_PlannedOrders[Order_Month])),"m月")&amp;"発注)")</f>
        <v/>
      </c>
      <c r="BI1057">
        <f>IF(SUMIFS(T_PlannedOrders[EffectiveQty],T_PlannedOrders[Part Name],$A1037,T_PlannedOrders[WeekIndex],58)=0,"",SUMIFS(T_PlannedOrders[EffectiveQty],T_PlannedOrders[Part Name],$A1037,T_PlannedOrders[WeekIndex],58)&amp;" ("&amp;TEXT(SUMPRODUCT(MAX((T_PlannedOrders[Part Name]=$A1037)*(T_PlannedOrders[WeekIndex]=58)*(T_PlannedOrders[EffectiveQty]&gt;0)*T_PlannedOrders[Order_Month])),"m月")&amp;"発注)")</f>
        <v/>
      </c>
      <c r="BJ1057">
        <f>IF(SUMIFS(T_PlannedOrders[EffectiveQty],T_PlannedOrders[Part Name],$A1037,T_PlannedOrders[WeekIndex],59)=0,"",SUMIFS(T_PlannedOrders[EffectiveQty],T_PlannedOrders[Part Name],$A1037,T_PlannedOrders[WeekIndex],59)&amp;" ("&amp;TEXT(SUMPRODUCT(MAX((T_PlannedOrders[Part Name]=$A1037)*(T_PlannedOrders[WeekIndex]=59)*(T_PlannedOrders[EffectiveQty]&gt;0)*T_PlannedOrders[Order_Month])),"m月")&amp;"発注)")</f>
        <v/>
      </c>
      <c r="BK1057">
        <f>IF(SUMIFS(T_PlannedOrders[EffectiveQty],T_PlannedOrders[Part Name],$A1037,T_PlannedOrders[WeekIndex],60)=0,"",SUMIFS(T_PlannedOrders[EffectiveQty],T_PlannedOrders[Part Name],$A1037,T_PlannedOrders[WeekIndex],60)&amp;" ("&amp;TEXT(SUMPRODUCT(MAX((T_PlannedOrders[Part Name]=$A1037)*(T_PlannedOrders[WeekIndex]=60)*(T_PlannedOrders[EffectiveQty]&gt;0)*T_PlannedOrders[Order_Month])),"m月")&amp;"発注)")</f>
        <v/>
      </c>
      <c r="BL1057">
        <f>IF(SUMIFS(T_PlannedOrders[EffectiveQty],T_PlannedOrders[Part Name],$A1037,T_PlannedOrders[WeekIndex],61)=0,"",SUMIFS(T_PlannedOrders[EffectiveQty],T_PlannedOrders[Part Name],$A1037,T_PlannedOrders[WeekIndex],61)&amp;" ("&amp;TEXT(SUMPRODUCT(MAX((T_PlannedOrders[Part Name]=$A1037)*(T_PlannedOrders[WeekIndex]=61)*(T_PlannedOrders[EffectiveQty]&gt;0)*T_PlannedOrders[Order_Month])),"m月")&amp;"発注)")</f>
        <v/>
      </c>
      <c r="BM1057">
        <f>IF(SUMIFS(T_PlannedOrders[EffectiveQty],T_PlannedOrders[Part Name],$A1037,T_PlannedOrders[WeekIndex],62)=0,"",SUMIFS(T_PlannedOrders[EffectiveQty],T_PlannedOrders[Part Name],$A1037,T_PlannedOrders[WeekIndex],62)&amp;" ("&amp;TEXT(SUMPRODUCT(MAX((T_PlannedOrders[Part Name]=$A1037)*(T_PlannedOrders[WeekIndex]=62)*(T_PlannedOrders[EffectiveQty]&gt;0)*T_PlannedOrders[Order_Month])),"m月")&amp;"発注)")</f>
        <v/>
      </c>
      <c r="BN1057">
        <f>IF(SUMIFS(T_PlannedOrders[EffectiveQty],T_PlannedOrders[Part Name],$A1037,T_PlannedOrders[WeekIndex],63)=0,"",SUMIFS(T_PlannedOrders[EffectiveQty],T_PlannedOrders[Part Name],$A1037,T_PlannedOrders[WeekIndex],63)&amp;" ("&amp;TEXT(SUMPRODUCT(MAX((T_PlannedOrders[Part Name]=$A1037)*(T_PlannedOrders[WeekIndex]=63)*(T_PlannedOrders[EffectiveQty]&gt;0)*T_PlannedOrders[Order_Month])),"m月")&amp;"発注)")</f>
        <v/>
      </c>
      <c r="BO1057">
        <f>IF(SUMIFS(T_PlannedOrders[EffectiveQty],T_PlannedOrders[Part Name],$A1037,T_PlannedOrders[WeekIndex],64)=0,"",SUMIFS(T_PlannedOrders[EffectiveQty],T_PlannedOrders[Part Name],$A1037,T_PlannedOrders[WeekIndex],64)&amp;" ("&amp;TEXT(SUMPRODUCT(MAX((T_PlannedOrders[Part Name]=$A1037)*(T_PlannedOrders[WeekIndex]=64)*(T_PlannedOrders[EffectiveQty]&gt;0)*T_PlannedOrders[Order_Month])),"m月")&amp;"発注)")</f>
        <v/>
      </c>
      <c r="BP1057">
        <f>IF(SUMIFS(T_PlannedOrders[EffectiveQty],T_PlannedOrders[Part Name],$A1037,T_PlannedOrders[WeekIndex],65)=0,"",SUMIFS(T_PlannedOrders[EffectiveQty],T_PlannedOrders[Part Name],$A1037,T_PlannedOrders[WeekIndex],65)&amp;" ("&amp;TEXT(SUMPRODUCT(MAX((T_PlannedOrders[Part Name]=$A1037)*(T_PlannedOrders[WeekIndex]=65)*(T_PlannedOrders[EffectiveQty]&gt;0)*T_PlannedOrders[Order_Month])),"m月")&amp;"発注)")</f>
        <v/>
      </c>
      <c r="BQ1057">
        <f>IF(SUMIFS(T_PlannedOrders[EffectiveQty],T_PlannedOrders[Part Name],$A1037,T_PlannedOrders[WeekIndex],66)=0,"",SUMIFS(T_PlannedOrders[EffectiveQty],T_PlannedOrders[Part Name],$A1037,T_PlannedOrders[WeekIndex],66)&amp;" ("&amp;TEXT(SUMPRODUCT(MAX((T_PlannedOrders[Part Name]=$A1037)*(T_PlannedOrders[WeekIndex]=66)*(T_PlannedOrders[EffectiveQty]&gt;0)*T_PlannedOrders[Order_Month])),"m月")&amp;"発注)")</f>
        <v/>
      </c>
      <c r="BR1057">
        <f>IF(SUMIFS(T_PlannedOrders[EffectiveQty],T_PlannedOrders[Part Name],$A1037,T_PlannedOrders[WeekIndex],67)=0,"",SUMIFS(T_PlannedOrders[EffectiveQty],T_PlannedOrders[Part Name],$A1037,T_PlannedOrders[WeekIndex],67)&amp;" ("&amp;TEXT(SUMPRODUCT(MAX((T_PlannedOrders[Part Name]=$A1037)*(T_PlannedOrders[WeekIndex]=67)*(T_PlannedOrders[EffectiveQty]&gt;0)*T_PlannedOrders[Order_Month])),"m月")&amp;"発注)")</f>
        <v/>
      </c>
      <c r="BS1057">
        <f>IF(SUMIFS(T_PlannedOrders[EffectiveQty],T_PlannedOrders[Part Name],$A1037,T_PlannedOrders[WeekIndex],68)=0,"",SUMIFS(T_PlannedOrders[EffectiveQty],T_PlannedOrders[Part Name],$A1037,T_PlannedOrders[WeekIndex],68)&amp;" ("&amp;TEXT(SUMPRODUCT(MAX((T_PlannedOrders[Part Name]=$A1037)*(T_PlannedOrders[WeekIndex]=68)*(T_PlannedOrders[EffectiveQty]&gt;0)*T_PlannedOrders[Order_Month])),"m月")&amp;"発注)")</f>
        <v/>
      </c>
      <c r="BT1057">
        <f>IF(SUMIFS(T_PlannedOrders[EffectiveQty],T_PlannedOrders[Part Name],$A1037,T_PlannedOrders[WeekIndex],69)=0,"",SUMIFS(T_PlannedOrders[EffectiveQty],T_PlannedOrders[Part Name],$A1037,T_PlannedOrders[WeekIndex],69)&amp;" ("&amp;TEXT(SUMPRODUCT(MAX((T_PlannedOrders[Part Name]=$A1037)*(T_PlannedOrders[WeekIndex]=69)*(T_PlannedOrders[EffectiveQty]&gt;0)*T_PlannedOrders[Order_Month])),"m月")&amp;"発注)")</f>
        <v/>
      </c>
      <c r="BU1057">
        <f>IF(SUMIFS(T_PlannedOrders[EffectiveQty],T_PlannedOrders[Part Name],$A1037,T_PlannedOrders[WeekIndex],70)=0,"",SUMIFS(T_PlannedOrders[EffectiveQty],T_PlannedOrders[Part Name],$A1037,T_PlannedOrders[WeekIndex],70)&amp;" ("&amp;TEXT(SUMPRODUCT(MAX((T_PlannedOrders[Part Name]=$A1037)*(T_PlannedOrders[WeekIndex]=70)*(T_PlannedOrders[EffectiveQty]&gt;0)*T_PlannedOrders[Order_Month])),"m月")&amp;"発注)")</f>
        <v/>
      </c>
      <c r="BV1057">
        <f>IF(SUMIFS(T_PlannedOrders[EffectiveQty],T_PlannedOrders[Part Name],$A1037,T_PlannedOrders[WeekIndex],71)=0,"",SUMIFS(T_PlannedOrders[EffectiveQty],T_PlannedOrders[Part Name],$A1037,T_PlannedOrders[WeekIndex],71)&amp;" ("&amp;TEXT(SUMPRODUCT(MAX((T_PlannedOrders[Part Name]=$A1037)*(T_PlannedOrders[WeekIndex]=71)*(T_PlannedOrders[EffectiveQty]&gt;0)*T_PlannedOrders[Order_Month])),"m月")&amp;"発注)")</f>
        <v/>
      </c>
      <c r="BW1057">
        <f>IF(SUMIFS(T_PlannedOrders[EffectiveQty],T_PlannedOrders[Part Name],$A1037,T_PlannedOrders[WeekIndex],72)=0,"",SUMIFS(T_PlannedOrders[EffectiveQty],T_PlannedOrders[Part Name],$A1037,T_PlannedOrders[WeekIndex],72)&amp;" ("&amp;TEXT(SUMPRODUCT(MAX((T_PlannedOrders[Part Name]=$A1037)*(T_PlannedOrders[WeekIndex]=72)*(T_PlannedOrders[EffectiveQty]&gt;0)*T_PlannedOrders[Order_Month])),"m月")&amp;"発注)")</f>
        <v/>
      </c>
      <c r="BX1057">
        <f>IF(SUMIFS(T_PlannedOrders[EffectiveQty],T_PlannedOrders[Part Name],$A1037,T_PlannedOrders[WeekIndex],73)=0,"",SUMIFS(T_PlannedOrders[EffectiveQty],T_PlannedOrders[Part Name],$A1037,T_PlannedOrders[WeekIndex],73)&amp;" ("&amp;TEXT(SUMPRODUCT(MAX((T_PlannedOrders[Part Name]=$A1037)*(T_PlannedOrders[WeekIndex]=73)*(T_PlannedOrders[EffectiveQty]&gt;0)*T_PlannedOrders[Order_Month])),"m月")&amp;"発注)")</f>
        <v/>
      </c>
      <c r="BY1057">
        <f>IF(SUMIFS(T_PlannedOrders[EffectiveQty],T_PlannedOrders[Part Name],$A1037,T_PlannedOrders[WeekIndex],74)=0,"",SUMIFS(T_PlannedOrders[EffectiveQty],T_PlannedOrders[Part Name],$A1037,T_PlannedOrders[WeekIndex],74)&amp;" ("&amp;TEXT(SUMPRODUCT(MAX((T_PlannedOrders[Part Name]=$A1037)*(T_PlannedOrders[WeekIndex]=74)*(T_PlannedOrders[EffectiveQty]&gt;0)*T_PlannedOrders[Order_Month])),"m月")&amp;"発注)")</f>
        <v/>
      </c>
      <c r="BZ1057">
        <f>IF(SUMIFS(T_PlannedOrders[EffectiveQty],T_PlannedOrders[Part Name],$A1037,T_PlannedOrders[WeekIndex],75)=0,"",SUMIFS(T_PlannedOrders[EffectiveQty],T_PlannedOrders[Part Name],$A1037,T_PlannedOrders[WeekIndex],75)&amp;" ("&amp;TEXT(SUMPRODUCT(MAX((T_PlannedOrders[Part Name]=$A1037)*(T_PlannedOrders[WeekIndex]=75)*(T_PlannedOrders[EffectiveQty]&gt;0)*T_PlannedOrders[Order_Month])),"m月")&amp;"発注)")</f>
        <v/>
      </c>
      <c r="CA1057">
        <f>IF(SUMIFS(T_PlannedOrders[EffectiveQty],T_PlannedOrders[Part Name],$A1037,T_PlannedOrders[WeekIndex],76)=0,"",SUMIFS(T_PlannedOrders[EffectiveQty],T_PlannedOrders[Part Name],$A1037,T_PlannedOrders[WeekIndex],76)&amp;" ("&amp;TEXT(SUMPRODUCT(MAX((T_PlannedOrders[Part Name]=$A1037)*(T_PlannedOrders[WeekIndex]=76)*(T_PlannedOrders[EffectiveQty]&gt;0)*T_PlannedOrders[Order_Month])),"m月")&amp;"発注)")</f>
        <v/>
      </c>
      <c r="CB1057">
        <f>IF(SUMIFS(T_PlannedOrders[EffectiveQty],T_PlannedOrders[Part Name],$A1037,T_PlannedOrders[WeekIndex],77)=0,"",SUMIFS(T_PlannedOrders[EffectiveQty],T_PlannedOrders[Part Name],$A1037,T_PlannedOrders[WeekIndex],77)&amp;" ("&amp;TEXT(SUMPRODUCT(MAX((T_PlannedOrders[Part Name]=$A1037)*(T_PlannedOrders[WeekIndex]=77)*(T_PlannedOrders[EffectiveQty]&gt;0)*T_PlannedOrders[Order_Month])),"m月")&amp;"発注)")</f>
        <v/>
      </c>
      <c r="CC1057">
        <f>IF(SUMIFS(T_PlannedOrders[EffectiveQty],T_PlannedOrders[Part Name],$A1037,T_PlannedOrders[WeekIndex],78)=0,"",SUMIFS(T_PlannedOrders[EffectiveQty],T_PlannedOrders[Part Name],$A1037,T_PlannedOrders[WeekIndex],78)&amp;" ("&amp;TEXT(SUMPRODUCT(MAX((T_PlannedOrders[Part Name]=$A1037)*(T_PlannedOrders[WeekIndex]=78)*(T_PlannedOrders[EffectiveQty]&gt;0)*T_PlannedOrders[Order_Month])),"m月")&amp;"発注)")</f>
        <v/>
      </c>
      <c r="CD1057">
        <f>IF(SUMIFS(T_PlannedOrders[EffectiveQty],T_PlannedOrders[Part Name],$A1037,T_PlannedOrders[WeekIndex],79)=0,"",SUMIFS(T_PlannedOrders[EffectiveQty],T_PlannedOrders[Part Name],$A1037,T_PlannedOrders[WeekIndex],79)&amp;" ("&amp;TEXT(SUMPRODUCT(MAX((T_PlannedOrders[Part Name]=$A1037)*(T_PlannedOrders[WeekIndex]=79)*(T_PlannedOrders[EffectiveQty]&gt;0)*T_PlannedOrders[Order_Month])),"m月")&amp;"発注)")</f>
        <v/>
      </c>
      <c r="CE1057">
        <f>IF(SUMIFS(T_PlannedOrders[EffectiveQty],T_PlannedOrders[Part Name],$A1037,T_PlannedOrders[WeekIndex],80)=0,"",SUMIFS(T_PlannedOrders[EffectiveQty],T_PlannedOrders[Part Name],$A1037,T_PlannedOrders[WeekIndex],80)&amp;" ("&amp;TEXT(SUMPRODUCT(MAX((T_PlannedOrders[Part Name]=$A1037)*(T_PlannedOrders[WeekIndex]=80)*(T_PlannedOrders[EffectiveQty]&gt;0)*T_PlannedOrders[Order_Month])),"m月")&amp;"発注)")</f>
        <v/>
      </c>
      <c r="CF1057">
        <f>IF(SUMIFS(T_PlannedOrders[EffectiveQty],T_PlannedOrders[Part Name],$A1037,T_PlannedOrders[WeekIndex],81)=0,"",SUMIFS(T_PlannedOrders[EffectiveQty],T_PlannedOrders[Part Name],$A1037,T_PlannedOrders[WeekIndex],81)&amp;" ("&amp;TEXT(SUMPRODUCT(MAX((T_PlannedOrders[Part Name]=$A1037)*(T_PlannedOrders[WeekIndex]=81)*(T_PlannedOrders[EffectiveQty]&gt;0)*T_PlannedOrders[Order_Month])),"m月")&amp;"発注)")</f>
        <v/>
      </c>
      <c r="CG1057">
        <f>IF(SUMIFS(T_PlannedOrders[EffectiveQty],T_PlannedOrders[Part Name],$A1037,T_PlannedOrders[WeekIndex],82)=0,"",SUMIFS(T_PlannedOrders[EffectiveQty],T_PlannedOrders[Part Name],$A1037,T_PlannedOrders[WeekIndex],82)&amp;" ("&amp;TEXT(SUMPRODUCT(MAX((T_PlannedOrders[Part Name]=$A1037)*(T_PlannedOrders[WeekIndex]=82)*(T_PlannedOrders[EffectiveQty]&gt;0)*T_PlannedOrders[Order_Month])),"m月")&amp;"発注)")</f>
        <v/>
      </c>
      <c r="CH1057">
        <f>IF(SUMIFS(T_PlannedOrders[EffectiveQty],T_PlannedOrders[Part Name],$A1037,T_PlannedOrders[WeekIndex],83)=0,"",SUMIFS(T_PlannedOrders[EffectiveQty],T_PlannedOrders[Part Name],$A1037,T_PlannedOrders[WeekIndex],83)&amp;" ("&amp;TEXT(SUMPRODUCT(MAX((T_PlannedOrders[Part Name]=$A1037)*(T_PlannedOrders[WeekIndex]=83)*(T_PlannedOrders[EffectiveQty]&gt;0)*T_PlannedOrders[Order_Month])),"m月")&amp;"発注)")</f>
        <v/>
      </c>
      <c r="CI1057">
        <f>IF(SUMIFS(T_PlannedOrders[EffectiveQty],T_PlannedOrders[Part Name],$A1037,T_PlannedOrders[WeekIndex],84)=0,"",SUMIFS(T_PlannedOrders[EffectiveQty],T_PlannedOrders[Part Name],$A1037,T_PlannedOrders[WeekIndex],84)&amp;" ("&amp;TEXT(SUMPRODUCT(MAX((T_PlannedOrders[Part Name]=$A1037)*(T_PlannedOrders[WeekIndex]=84)*(T_PlannedOrders[EffectiveQty]&gt;0)*T_PlannedOrders[Order_Month])),"m月")&amp;"発注)")</f>
        <v/>
      </c>
      <c r="CJ1057">
        <f>IF(SUMIFS(T_PlannedOrders[EffectiveQty],T_PlannedOrders[Part Name],$A1037,T_PlannedOrders[WeekIndex],85)=0,"",SUMIFS(T_PlannedOrders[EffectiveQty],T_PlannedOrders[Part Name],$A1037,T_PlannedOrders[WeekIndex],85)&amp;" ("&amp;TEXT(SUMPRODUCT(MAX((T_PlannedOrders[Part Name]=$A1037)*(T_PlannedOrders[WeekIndex]=85)*(T_PlannedOrders[EffectiveQty]&gt;0)*T_PlannedOrders[Order_Month])),"m月")&amp;"発注)")</f>
        <v/>
      </c>
      <c r="CK1057">
        <f>IF(SUMIFS(T_PlannedOrders[EffectiveQty],T_PlannedOrders[Part Name],$A1037,T_PlannedOrders[WeekIndex],86)=0,"",SUMIFS(T_PlannedOrders[EffectiveQty],T_PlannedOrders[Part Name],$A1037,T_PlannedOrders[WeekIndex],86)&amp;" ("&amp;TEXT(SUMPRODUCT(MAX((T_PlannedOrders[Part Name]=$A1037)*(T_PlannedOrders[WeekIndex]=86)*(T_PlannedOrders[EffectiveQty]&gt;0)*T_PlannedOrders[Order_Month])),"m月")&amp;"発注)")</f>
        <v/>
      </c>
      <c r="CL1057">
        <f>IF(SUMIFS(T_PlannedOrders[EffectiveQty],T_PlannedOrders[Part Name],$A1037,T_PlannedOrders[WeekIndex],87)=0,"",SUMIFS(T_PlannedOrders[EffectiveQty],T_PlannedOrders[Part Name],$A1037,T_PlannedOrders[WeekIndex],87)&amp;" ("&amp;TEXT(SUMPRODUCT(MAX((T_PlannedOrders[Part Name]=$A1037)*(T_PlannedOrders[WeekIndex]=87)*(T_PlannedOrders[EffectiveQty]&gt;0)*T_PlannedOrders[Order_Month])),"m月")&amp;"発注)")</f>
        <v/>
      </c>
      <c r="CM1057">
        <f>IF(SUMIFS(T_PlannedOrders[EffectiveQty],T_PlannedOrders[Part Name],$A1037,T_PlannedOrders[WeekIndex],88)=0,"",SUMIFS(T_PlannedOrders[EffectiveQty],T_PlannedOrders[Part Name],$A1037,T_PlannedOrders[WeekIndex],88)&amp;" ("&amp;TEXT(SUMPRODUCT(MAX((T_PlannedOrders[Part Name]=$A1037)*(T_PlannedOrders[WeekIndex]=88)*(T_PlannedOrders[EffectiveQty]&gt;0)*T_PlannedOrders[Order_Month])),"m月")&amp;"発注)")</f>
        <v/>
      </c>
      <c r="CN1057">
        <f>IF(SUMIFS(T_PlannedOrders[EffectiveQty],T_PlannedOrders[Part Name],$A1037,T_PlannedOrders[WeekIndex],89)=0,"",SUMIFS(T_PlannedOrders[EffectiveQty],T_PlannedOrders[Part Name],$A1037,T_PlannedOrders[WeekIndex],89)&amp;" ("&amp;TEXT(SUMPRODUCT(MAX((T_PlannedOrders[Part Name]=$A1037)*(T_PlannedOrders[WeekIndex]=89)*(T_PlannedOrders[EffectiveQty]&gt;0)*T_PlannedOrders[Order_Month])),"m月")&amp;"発注)")</f>
        <v/>
      </c>
      <c r="CO1057">
        <f>IF(SUMIFS(T_PlannedOrders[EffectiveQty],T_PlannedOrders[Part Name],$A1037,T_PlannedOrders[WeekIndex],90)=0,"",SUMIFS(T_PlannedOrders[EffectiveQty],T_PlannedOrders[Part Name],$A1037,T_PlannedOrders[WeekIndex],90)&amp;" ("&amp;TEXT(SUMPRODUCT(MAX((T_PlannedOrders[Part Name]=$A1037)*(T_PlannedOrders[WeekIndex]=90)*(T_PlannedOrders[EffectiveQty]&gt;0)*T_PlannedOrders[Order_Month])),"m月")&amp;"発注)")</f>
        <v/>
      </c>
      <c r="CP1057">
        <f>IF(SUMIFS(T_PlannedOrders[EffectiveQty],T_PlannedOrders[Part Name],$A1037,T_PlannedOrders[WeekIndex],91)=0,"",SUMIFS(T_PlannedOrders[EffectiveQty],T_PlannedOrders[Part Name],$A1037,T_PlannedOrders[WeekIndex],91)&amp;" ("&amp;TEXT(SUMPRODUCT(MAX((T_PlannedOrders[Part Name]=$A1037)*(T_PlannedOrders[WeekIndex]=91)*(T_PlannedOrders[EffectiveQty]&gt;0)*T_PlannedOrders[Order_Month])),"m月")&amp;"発注)")</f>
        <v/>
      </c>
      <c r="CQ1057">
        <f>IF(SUMIFS(T_PlannedOrders[EffectiveQty],T_PlannedOrders[Part Name],$A1037,T_PlannedOrders[WeekIndex],92)=0,"",SUMIFS(T_PlannedOrders[EffectiveQty],T_PlannedOrders[Part Name],$A1037,T_PlannedOrders[WeekIndex],92)&amp;" ("&amp;TEXT(SUMPRODUCT(MAX((T_PlannedOrders[Part Name]=$A1037)*(T_PlannedOrders[WeekIndex]=92)*(T_PlannedOrders[EffectiveQty]&gt;0)*T_PlannedOrders[Order_Month])),"m月")&amp;"発注)")</f>
        <v/>
      </c>
      <c r="CR1057">
        <f>IF(SUMIFS(T_PlannedOrders[EffectiveQty],T_PlannedOrders[Part Name],$A1037,T_PlannedOrders[WeekIndex],93)=0,"",SUMIFS(T_PlannedOrders[EffectiveQty],T_PlannedOrders[Part Name],$A1037,T_PlannedOrders[WeekIndex],93)&amp;" ("&amp;TEXT(SUMPRODUCT(MAX((T_PlannedOrders[Part Name]=$A1037)*(T_PlannedOrders[WeekIndex]=93)*(T_PlannedOrders[EffectiveQty]&gt;0)*T_PlannedOrders[Order_Month])),"m月")&amp;"発注)")</f>
        <v/>
      </c>
      <c r="CS1057">
        <f>IF(SUMIFS(T_PlannedOrders[EffectiveQty],T_PlannedOrders[Part Name],$A1037,T_PlannedOrders[WeekIndex],94)=0,"",SUMIFS(T_PlannedOrders[EffectiveQty],T_PlannedOrders[Part Name],$A1037,T_PlannedOrders[WeekIndex],94)&amp;" ("&amp;TEXT(SUMPRODUCT(MAX((T_PlannedOrders[Part Name]=$A1037)*(T_PlannedOrders[WeekIndex]=94)*(T_PlannedOrders[EffectiveQty]&gt;0)*T_PlannedOrders[Order_Month])),"m月")&amp;"発注)")</f>
        <v/>
      </c>
      <c r="CT1057">
        <f>IF(SUMIFS(T_PlannedOrders[EffectiveQty],T_PlannedOrders[Part Name],$A1037,T_PlannedOrders[WeekIndex],95)=0,"",SUMIFS(T_PlannedOrders[EffectiveQty],T_PlannedOrders[Part Name],$A1037,T_PlannedOrders[WeekIndex],95)&amp;" ("&amp;TEXT(SUMPRODUCT(MAX((T_PlannedOrders[Part Name]=$A1037)*(T_PlannedOrders[WeekIndex]=95)*(T_PlannedOrders[EffectiveQty]&gt;0)*T_PlannedOrders[Order_Month])),"m月")&amp;"発注)")</f>
        <v/>
      </c>
      <c r="CU1057">
        <f>IF(SUMIFS(T_PlannedOrders[EffectiveQty],T_PlannedOrders[Part Name],$A1037,T_PlannedOrders[WeekIndex],96)=0,"",SUMIFS(T_PlannedOrders[EffectiveQty],T_PlannedOrders[Part Name],$A1037,T_PlannedOrders[WeekIndex],96)&amp;" ("&amp;TEXT(SUMPRODUCT(MAX((T_PlannedOrders[Part Name]=$A1037)*(T_PlannedOrders[WeekIndex]=96)*(T_PlannedOrders[EffectiveQty]&gt;0)*T_PlannedOrders[Order_Month])),"m月")&amp;"発注)")</f>
        <v/>
      </c>
      <c r="CV1057">
        <f>IF(SUMIFS(T_PlannedOrders[EffectiveQty],T_PlannedOrders[Part Name],$A1037,T_PlannedOrders[WeekIndex],97)=0,"",SUMIFS(T_PlannedOrders[EffectiveQty],T_PlannedOrders[Part Name],$A1037,T_PlannedOrders[WeekIndex],97)&amp;" ("&amp;TEXT(SUMPRODUCT(MAX((T_PlannedOrders[Part Name]=$A1037)*(T_PlannedOrders[WeekIndex]=97)*(T_PlannedOrders[EffectiveQty]&gt;0)*T_PlannedOrders[Order_Month])),"m月")&amp;"発注)")</f>
        <v/>
      </c>
      <c r="CW1057">
        <f>IF(SUMIFS(T_PlannedOrders[EffectiveQty],T_PlannedOrders[Part Name],$A1037,T_PlannedOrders[WeekIndex],98)=0,"",SUMIFS(T_PlannedOrders[EffectiveQty],T_PlannedOrders[Part Name],$A1037,T_PlannedOrders[WeekIndex],98)&amp;" ("&amp;TEXT(SUMPRODUCT(MAX((T_PlannedOrders[Part Name]=$A1037)*(T_PlannedOrders[WeekIndex]=98)*(T_PlannedOrders[EffectiveQty]&gt;0)*T_PlannedOrders[Order_Month])),"m月")&amp;"発注)")</f>
        <v/>
      </c>
      <c r="CX1057">
        <f>IF(SUMIFS(T_PlannedOrders[EffectiveQty],T_PlannedOrders[Part Name],$A1037,T_PlannedOrders[WeekIndex],99)=0,"",SUMIFS(T_PlannedOrders[EffectiveQty],T_PlannedOrders[Part Name],$A1037,T_PlannedOrders[WeekIndex],99)&amp;" ("&amp;TEXT(SUMPRODUCT(MAX((T_PlannedOrders[Part Name]=$A1037)*(T_PlannedOrders[WeekIndex]=99)*(T_PlannedOrders[EffectiveQty]&gt;0)*T_PlannedOrders[Order_Month])),"m月")&amp;"発注)")</f>
        <v/>
      </c>
      <c r="CY1057">
        <f>IF(SUMIFS(T_PlannedOrders[EffectiveQty],T_PlannedOrders[Part Name],$A1037,T_PlannedOrders[WeekIndex],100)=0,"",SUMIFS(T_PlannedOrders[EffectiveQty],T_PlannedOrders[Part Name],$A1037,T_PlannedOrders[WeekIndex],100)&amp;" ("&amp;TEXT(SUMPRODUCT(MAX((T_PlannedOrders[Part Name]=$A1037)*(T_PlannedOrders[WeekIndex]=100)*(T_PlannedOrders[EffectiveQty]&gt;0)*T_PlannedOrders[Order_Month])),"m月")&amp;"発注)")</f>
        <v/>
      </c>
      <c r="CZ1057">
        <f>IF(SUMIFS(T_PlannedOrders[EffectiveQty],T_PlannedOrders[Part Name],$A1037,T_PlannedOrders[WeekIndex],101)=0,"",SUMIFS(T_PlannedOrders[EffectiveQty],T_PlannedOrders[Part Name],$A1037,T_PlannedOrders[WeekIndex],101)&amp;" ("&amp;TEXT(SUMPRODUCT(MAX((T_PlannedOrders[Part Name]=$A1037)*(T_PlannedOrders[WeekIndex]=101)*(T_PlannedOrders[EffectiveQty]&gt;0)*T_PlannedOrders[Order_Month])),"m月")&amp;"発注)")</f>
        <v/>
      </c>
      <c r="DA1057">
        <f>IF(SUMIFS(T_PlannedOrders[EffectiveQty],T_PlannedOrders[Part Name],$A1037,T_PlannedOrders[WeekIndex],102)=0,"",SUMIFS(T_PlannedOrders[EffectiveQty],T_PlannedOrders[Part Name],$A1037,T_PlannedOrders[WeekIndex],102)&amp;" ("&amp;TEXT(SUMPRODUCT(MAX((T_PlannedOrders[Part Name]=$A1037)*(T_PlannedOrders[WeekIndex]=102)*(T_PlannedOrders[EffectiveQty]&gt;0)*T_PlannedOrders[Order_Month])),"m月")&amp;"発注)")</f>
        <v/>
      </c>
      <c r="DB1057">
        <f>IF(SUMIFS(T_PlannedOrders[EffectiveQty],T_PlannedOrders[Part Name],$A1037,T_PlannedOrders[WeekIndex],103)=0,"",SUMIFS(T_PlannedOrders[EffectiveQty],T_PlannedOrders[Part Name],$A1037,T_PlannedOrders[WeekIndex],103)&amp;" ("&amp;TEXT(SUMPRODUCT(MAX((T_PlannedOrders[Part Name]=$A1037)*(T_PlannedOrders[WeekIndex]=103)*(T_PlannedOrders[EffectiveQty]&gt;0)*T_PlannedOrders[Order_Month])),"m月")&amp;"発注)")</f>
        <v/>
      </c>
      <c r="DC1057">
        <f>IF(SUMIFS(T_PlannedOrders[EffectiveQty],T_PlannedOrders[Part Name],$A1037,T_PlannedOrders[WeekIndex],104)=0,"",SUMIFS(T_PlannedOrders[EffectiveQty],T_PlannedOrders[Part Name],$A1037,T_PlannedOrders[WeekIndex],104)&amp;" ("&amp;TEXT(SUMPRODUCT(MAX((T_PlannedOrders[Part Name]=$A1037)*(T_PlannedOrders[WeekIndex]=104)*(T_PlannedOrders[EffectiveQty]&gt;0)*T_PlannedOrders[Order_Month])),"m月")&amp;"発注)")</f>
        <v/>
      </c>
    </row>
    <row r="1058">
      <c r="B1058" s="5" t="inlineStr">
        <is>
          <t>合計在庫(週末時点,kg)</t>
        </is>
      </c>
      <c r="D1058">
        <f>'Grid_Stock'!B24</f>
        <v/>
      </c>
      <c r="E1058">
        <f>'Grid_Stock'!C24</f>
        <v/>
      </c>
      <c r="F1058">
        <f>'Grid_Stock'!D24</f>
        <v/>
      </c>
      <c r="G1058">
        <f>'Grid_Stock'!E24</f>
        <v/>
      </c>
      <c r="H1058">
        <f>'Grid_Stock'!F24</f>
        <v/>
      </c>
      <c r="I1058">
        <f>'Grid_Stock'!G24</f>
        <v/>
      </c>
      <c r="J1058">
        <f>'Grid_Stock'!H24</f>
        <v/>
      </c>
      <c r="K1058">
        <f>'Grid_Stock'!I24</f>
        <v/>
      </c>
      <c r="L1058">
        <f>'Grid_Stock'!J24</f>
        <v/>
      </c>
      <c r="M1058">
        <f>'Grid_Stock'!K24</f>
        <v/>
      </c>
      <c r="N1058">
        <f>'Grid_Stock'!L24</f>
        <v/>
      </c>
      <c r="O1058">
        <f>'Grid_Stock'!M24</f>
        <v/>
      </c>
      <c r="P1058">
        <f>'Grid_Stock'!N24</f>
        <v/>
      </c>
      <c r="Q1058">
        <f>'Grid_Stock'!O24</f>
        <v/>
      </c>
      <c r="R1058">
        <f>'Grid_Stock'!P24</f>
        <v/>
      </c>
      <c r="S1058">
        <f>'Grid_Stock'!Q24</f>
        <v/>
      </c>
      <c r="T1058">
        <f>'Grid_Stock'!R24</f>
        <v/>
      </c>
      <c r="U1058">
        <f>'Grid_Stock'!S24</f>
        <v/>
      </c>
      <c r="V1058">
        <f>'Grid_Stock'!T24</f>
        <v/>
      </c>
      <c r="W1058">
        <f>'Grid_Stock'!U24</f>
        <v/>
      </c>
      <c r="X1058">
        <f>'Grid_Stock'!V24</f>
        <v/>
      </c>
      <c r="Y1058">
        <f>'Grid_Stock'!W24</f>
        <v/>
      </c>
      <c r="Z1058">
        <f>'Grid_Stock'!X24</f>
        <v/>
      </c>
      <c r="AA1058">
        <f>'Grid_Stock'!Y24</f>
        <v/>
      </c>
      <c r="AB1058">
        <f>'Grid_Stock'!Z24</f>
        <v/>
      </c>
      <c r="AC1058">
        <f>'Grid_Stock'!AA24</f>
        <v/>
      </c>
      <c r="AD1058">
        <f>'Grid_Stock'!AB24</f>
        <v/>
      </c>
      <c r="AE1058">
        <f>'Grid_Stock'!AC24</f>
        <v/>
      </c>
      <c r="AF1058">
        <f>'Grid_Stock'!AD24</f>
        <v/>
      </c>
      <c r="AG1058">
        <f>'Grid_Stock'!AE24</f>
        <v/>
      </c>
      <c r="AH1058">
        <f>'Grid_Stock'!AF24</f>
        <v/>
      </c>
      <c r="AI1058">
        <f>'Grid_Stock'!AG24</f>
        <v/>
      </c>
      <c r="AJ1058">
        <f>'Grid_Stock'!AH24</f>
        <v/>
      </c>
      <c r="AK1058">
        <f>'Grid_Stock'!AI24</f>
        <v/>
      </c>
      <c r="AL1058">
        <f>'Grid_Stock'!AJ24</f>
        <v/>
      </c>
      <c r="AM1058">
        <f>'Grid_Stock'!AK24</f>
        <v/>
      </c>
      <c r="AN1058">
        <f>'Grid_Stock'!AL24</f>
        <v/>
      </c>
      <c r="AO1058">
        <f>'Grid_Stock'!AM24</f>
        <v/>
      </c>
      <c r="AP1058">
        <f>'Grid_Stock'!AN24</f>
        <v/>
      </c>
      <c r="AQ1058">
        <f>'Grid_Stock'!AO24</f>
        <v/>
      </c>
      <c r="AR1058">
        <f>'Grid_Stock'!AP24</f>
        <v/>
      </c>
      <c r="AS1058">
        <f>'Grid_Stock'!AQ24</f>
        <v/>
      </c>
      <c r="AT1058">
        <f>'Grid_Stock'!AR24</f>
        <v/>
      </c>
      <c r="AU1058">
        <f>'Grid_Stock'!AS24</f>
        <v/>
      </c>
      <c r="AV1058">
        <f>'Grid_Stock'!AT24</f>
        <v/>
      </c>
      <c r="AW1058">
        <f>'Grid_Stock'!AU24</f>
        <v/>
      </c>
      <c r="AX1058">
        <f>'Grid_Stock'!AV24</f>
        <v/>
      </c>
      <c r="AY1058">
        <f>'Grid_Stock'!AW24</f>
        <v/>
      </c>
      <c r="AZ1058">
        <f>'Grid_Stock'!AX24</f>
        <v/>
      </c>
      <c r="BA1058">
        <f>'Grid_Stock'!AY24</f>
        <v/>
      </c>
      <c r="BB1058">
        <f>'Grid_Stock'!AZ24</f>
        <v/>
      </c>
      <c r="BC1058">
        <f>'Grid_Stock'!BA24</f>
        <v/>
      </c>
      <c r="BD1058">
        <f>'Grid_Stock'!BB24</f>
        <v/>
      </c>
      <c r="BE1058">
        <f>'Grid_Stock'!BC24</f>
        <v/>
      </c>
      <c r="BF1058">
        <f>'Grid_Stock'!BD24</f>
        <v/>
      </c>
      <c r="BG1058">
        <f>'Grid_Stock'!BE24</f>
        <v/>
      </c>
      <c r="BH1058">
        <f>'Grid_Stock'!BF24</f>
        <v/>
      </c>
      <c r="BI1058">
        <f>'Grid_Stock'!BG24</f>
        <v/>
      </c>
      <c r="BJ1058">
        <f>'Grid_Stock'!BH24</f>
        <v/>
      </c>
      <c r="BK1058">
        <f>'Grid_Stock'!BI24</f>
        <v/>
      </c>
      <c r="BL1058">
        <f>'Grid_Stock'!BJ24</f>
        <v/>
      </c>
      <c r="BM1058">
        <f>'Grid_Stock'!BK24</f>
        <v/>
      </c>
      <c r="BN1058">
        <f>'Grid_Stock'!BL24</f>
        <v/>
      </c>
      <c r="BO1058">
        <f>'Grid_Stock'!BM24</f>
        <v/>
      </c>
      <c r="BP1058">
        <f>'Grid_Stock'!BN24</f>
        <v/>
      </c>
      <c r="BQ1058">
        <f>'Grid_Stock'!BO24</f>
        <v/>
      </c>
      <c r="BR1058">
        <f>'Grid_Stock'!BP24</f>
        <v/>
      </c>
      <c r="BS1058">
        <f>'Grid_Stock'!BQ24</f>
        <v/>
      </c>
      <c r="BT1058">
        <f>'Grid_Stock'!BR24</f>
        <v/>
      </c>
      <c r="BU1058">
        <f>'Grid_Stock'!BS24</f>
        <v/>
      </c>
      <c r="BV1058">
        <f>'Grid_Stock'!BT24</f>
        <v/>
      </c>
      <c r="BW1058">
        <f>'Grid_Stock'!BU24</f>
        <v/>
      </c>
      <c r="BX1058">
        <f>'Grid_Stock'!BV24</f>
        <v/>
      </c>
      <c r="BY1058">
        <f>'Grid_Stock'!BW24</f>
        <v/>
      </c>
      <c r="BZ1058">
        <f>'Grid_Stock'!BX24</f>
        <v/>
      </c>
      <c r="CA1058">
        <f>'Grid_Stock'!BY24</f>
        <v/>
      </c>
      <c r="CB1058">
        <f>'Grid_Stock'!BZ24</f>
        <v/>
      </c>
      <c r="CC1058">
        <f>'Grid_Stock'!CA24</f>
        <v/>
      </c>
      <c r="CD1058">
        <f>'Grid_Stock'!CB24</f>
        <v/>
      </c>
      <c r="CE1058">
        <f>'Grid_Stock'!CC24</f>
        <v/>
      </c>
      <c r="CF1058">
        <f>'Grid_Stock'!CD24</f>
        <v/>
      </c>
      <c r="CG1058">
        <f>'Grid_Stock'!CE24</f>
        <v/>
      </c>
      <c r="CH1058">
        <f>'Grid_Stock'!CF24</f>
        <v/>
      </c>
      <c r="CI1058">
        <f>'Grid_Stock'!CG24</f>
        <v/>
      </c>
      <c r="CJ1058">
        <f>'Grid_Stock'!CH24</f>
        <v/>
      </c>
      <c r="CK1058">
        <f>'Grid_Stock'!CI24</f>
        <v/>
      </c>
      <c r="CL1058">
        <f>'Grid_Stock'!CJ24</f>
        <v/>
      </c>
      <c r="CM1058">
        <f>'Grid_Stock'!CK24</f>
        <v/>
      </c>
      <c r="CN1058">
        <f>'Grid_Stock'!CL24</f>
        <v/>
      </c>
      <c r="CO1058">
        <f>'Grid_Stock'!CM24</f>
        <v/>
      </c>
      <c r="CP1058">
        <f>'Grid_Stock'!CN24</f>
        <v/>
      </c>
      <c r="CQ1058">
        <f>'Grid_Stock'!CO24</f>
        <v/>
      </c>
      <c r="CR1058">
        <f>'Grid_Stock'!CP24</f>
        <v/>
      </c>
      <c r="CS1058">
        <f>'Grid_Stock'!CQ24</f>
        <v/>
      </c>
      <c r="CT1058">
        <f>'Grid_Stock'!CR24</f>
        <v/>
      </c>
      <c r="CU1058">
        <f>'Grid_Stock'!CS24</f>
        <v/>
      </c>
      <c r="CV1058">
        <f>'Grid_Stock'!CT24</f>
        <v/>
      </c>
      <c r="CW1058">
        <f>'Grid_Stock'!CU24</f>
        <v/>
      </c>
      <c r="CX1058">
        <f>'Grid_Stock'!CV24</f>
        <v/>
      </c>
      <c r="CY1058">
        <f>'Grid_Stock'!CW24</f>
        <v/>
      </c>
      <c r="CZ1058">
        <f>'Grid_Stock'!CX24</f>
        <v/>
      </c>
      <c r="DA1058">
        <f>'Grid_Stock'!CY24</f>
        <v/>
      </c>
      <c r="DB1058">
        <f>'Grid_Stock'!CZ24</f>
        <v/>
      </c>
      <c r="DC1058">
        <f>'Grid_Stock'!DA24</f>
        <v/>
      </c>
    </row>
    <row r="1059">
      <c r="B1059" s="23" t="inlineStr">
        <is>
          <t>（発注の目安はDashboardの基準在庫[下限/上限]と色分けを参照）</t>
        </is>
      </c>
    </row>
    <row r="1061">
      <c r="A1061" s="21" t="inlineStr">
        <is>
          <t>CHEM-1780</t>
        </is>
      </c>
      <c r="B1061" s="21" t="inlineStr">
        <is>
          <t>Diammonium Citrate</t>
        </is>
      </c>
      <c r="C1061" s="22" t="n"/>
      <c r="D1061" s="21" t="n"/>
      <c r="E1061" s="21" t="n"/>
      <c r="F1061" s="21" t="n"/>
      <c r="G1061" s="21" t="n"/>
      <c r="H1061" s="21" t="n"/>
      <c r="I1061" s="21" t="n"/>
      <c r="J1061" s="21" t="n"/>
      <c r="K1061" s="21" t="n"/>
      <c r="L1061" s="21" t="n"/>
      <c r="M1061" s="21" t="n"/>
      <c r="N1061" s="21" t="n"/>
      <c r="O1061" s="21" t="n"/>
      <c r="P1061" s="21" t="n"/>
      <c r="Q1061" s="21" t="n"/>
      <c r="R1061" s="21" t="n"/>
      <c r="S1061" s="21" t="n"/>
      <c r="T1061" s="21" t="n"/>
      <c r="U1061" s="21" t="n"/>
      <c r="V1061" s="21" t="n"/>
      <c r="W1061" s="21" t="n"/>
      <c r="X1061" s="21" t="n"/>
      <c r="Y1061" s="21" t="n"/>
      <c r="Z1061" s="21" t="n"/>
      <c r="AA1061" s="21" t="n"/>
      <c r="AB1061" s="21" t="n"/>
      <c r="AC1061" s="21" t="n"/>
      <c r="AD1061" s="21" t="n"/>
      <c r="AE1061" s="21" t="n"/>
      <c r="AF1061" s="21" t="n"/>
      <c r="AG1061" s="21" t="n"/>
      <c r="AH1061" s="21" t="n"/>
      <c r="AI1061" s="21" t="n"/>
      <c r="AJ1061" s="21" t="n"/>
      <c r="AK1061" s="21" t="n"/>
      <c r="AL1061" s="21" t="n"/>
      <c r="AM1061" s="21" t="n"/>
      <c r="AN1061" s="21" t="n"/>
      <c r="AO1061" s="21" t="n"/>
      <c r="AP1061" s="21" t="n"/>
      <c r="AQ1061" s="21" t="n"/>
      <c r="AR1061" s="21" t="n"/>
      <c r="AS1061" s="21" t="n"/>
      <c r="AT1061" s="21" t="n"/>
      <c r="AU1061" s="21" t="n"/>
      <c r="AV1061" s="21" t="n"/>
      <c r="AW1061" s="21" t="n"/>
      <c r="AX1061" s="21" t="n"/>
      <c r="AY1061" s="21" t="n"/>
      <c r="AZ1061" s="21" t="n"/>
      <c r="BA1061" s="21" t="n"/>
      <c r="BB1061" s="21" t="n"/>
      <c r="BC1061" s="21" t="n"/>
      <c r="BD1061" s="21" t="n"/>
      <c r="BE1061" s="21" t="n"/>
      <c r="BF1061" s="21" t="n"/>
      <c r="BG1061" s="21" t="n"/>
      <c r="BH1061" s="21" t="n"/>
      <c r="BI1061" s="21" t="n"/>
      <c r="BJ1061" s="21" t="n"/>
      <c r="BK1061" s="21" t="n"/>
      <c r="BL1061" s="21" t="n"/>
      <c r="BM1061" s="21" t="n"/>
      <c r="BN1061" s="21" t="n"/>
      <c r="BO1061" s="21" t="n"/>
      <c r="BP1061" s="21" t="n"/>
      <c r="BQ1061" s="21" t="n"/>
      <c r="BR1061" s="21" t="n"/>
      <c r="BS1061" s="21" t="n"/>
      <c r="BT1061" s="21" t="n"/>
      <c r="BU1061" s="21" t="n"/>
      <c r="BV1061" s="21" t="n"/>
      <c r="BW1061" s="21" t="n"/>
      <c r="BX1061" s="21" t="n"/>
      <c r="BY1061" s="21" t="n"/>
      <c r="BZ1061" s="21" t="n"/>
      <c r="CA1061" s="21" t="n"/>
      <c r="CB1061" s="21" t="n"/>
      <c r="CC1061" s="21" t="n"/>
      <c r="CD1061" s="21" t="n"/>
      <c r="CE1061" s="21" t="n"/>
      <c r="CF1061" s="21" t="n"/>
      <c r="CG1061" s="21" t="n"/>
      <c r="CH1061" s="21" t="n"/>
      <c r="CI1061" s="21" t="n"/>
      <c r="CJ1061" s="21" t="n"/>
      <c r="CK1061" s="21" t="n"/>
      <c r="CL1061" s="21" t="n"/>
      <c r="CM1061" s="21" t="n"/>
      <c r="CN1061" s="21" t="n"/>
      <c r="CO1061" s="21" t="n"/>
      <c r="CP1061" s="21" t="n"/>
      <c r="CQ1061" s="21" t="n"/>
      <c r="CR1061" s="21" t="n"/>
      <c r="CS1061" s="21" t="n"/>
      <c r="CT1061" s="21" t="n"/>
      <c r="CU1061" s="21" t="n"/>
      <c r="CV1061" s="21" t="n"/>
      <c r="CW1061" s="21" t="n"/>
      <c r="CX1061" s="21" t="n"/>
      <c r="CY1061" s="21" t="n"/>
      <c r="CZ1061" s="21" t="n"/>
      <c r="DA1061" s="21" t="n"/>
      <c r="DB1061" s="21" t="n"/>
      <c r="DC1061" s="21" t="n"/>
    </row>
    <row r="1062">
      <c r="B1062" t="inlineStr">
        <is>
          <t>TSP-1499</t>
        </is>
      </c>
      <c r="C1062" t="inlineStr">
        <is>
          <t>No. of batches</t>
        </is>
      </c>
      <c r="D1062">
        <f>IFERROR(INDEX(PP_Grid[#Data],$DD1062,2),0)</f>
        <v/>
      </c>
      <c r="E1062">
        <f>IFERROR(INDEX(PP_Grid[#Data],$DD1062,3),0)</f>
        <v/>
      </c>
      <c r="F1062">
        <f>IFERROR(INDEX(PP_Grid[#Data],$DD1062,4),0)</f>
        <v/>
      </c>
      <c r="G1062">
        <f>IFERROR(INDEX(PP_Grid[#Data],$DD1062,5),0)</f>
        <v/>
      </c>
      <c r="H1062">
        <f>IFERROR(INDEX(PP_Grid[#Data],$DD1062,6),0)</f>
        <v/>
      </c>
      <c r="I1062">
        <f>IFERROR(INDEX(PP_Grid[#Data],$DD1062,7),0)</f>
        <v/>
      </c>
      <c r="J1062">
        <f>IFERROR(INDEX(PP_Grid[#Data],$DD1062,8),0)</f>
        <v/>
      </c>
      <c r="K1062">
        <f>IFERROR(INDEX(PP_Grid[#Data],$DD1062,9),0)</f>
        <v/>
      </c>
      <c r="L1062">
        <f>IFERROR(INDEX(PP_Grid[#Data],$DD1062,10),0)</f>
        <v/>
      </c>
      <c r="M1062">
        <f>IFERROR(INDEX(PP_Grid[#Data],$DD1062,11),0)</f>
        <v/>
      </c>
      <c r="N1062">
        <f>IFERROR(INDEX(PP_Grid[#Data],$DD1062,12),0)</f>
        <v/>
      </c>
      <c r="O1062">
        <f>IFERROR(INDEX(PP_Grid[#Data],$DD1062,13),0)</f>
        <v/>
      </c>
      <c r="P1062">
        <f>IFERROR(INDEX(PP_Grid[#Data],$DD1062,14),0)</f>
        <v/>
      </c>
      <c r="Q1062">
        <f>IFERROR(INDEX(PP_Grid[#Data],$DD1062,15),0)</f>
        <v/>
      </c>
      <c r="R1062">
        <f>IFERROR(INDEX(PP_Grid[#Data],$DD1062,16),0)</f>
        <v/>
      </c>
      <c r="S1062">
        <f>IFERROR(INDEX(PP_Grid[#Data],$DD1062,17),0)</f>
        <v/>
      </c>
      <c r="T1062">
        <f>IFERROR(INDEX(PP_Grid[#Data],$DD1062,18),0)</f>
        <v/>
      </c>
      <c r="U1062">
        <f>IFERROR(INDEX(PP_Grid[#Data],$DD1062,19),0)</f>
        <v/>
      </c>
      <c r="V1062">
        <f>IFERROR(INDEX(PP_Grid[#Data],$DD1062,20),0)</f>
        <v/>
      </c>
      <c r="W1062">
        <f>IFERROR(INDEX(PP_Grid[#Data],$DD1062,21),0)</f>
        <v/>
      </c>
      <c r="X1062">
        <f>IFERROR(INDEX(PP_Grid[#Data],$DD1062,22),0)</f>
        <v/>
      </c>
      <c r="Y1062">
        <f>IFERROR(INDEX(PP_Grid[#Data],$DD1062,23),0)</f>
        <v/>
      </c>
      <c r="Z1062">
        <f>IFERROR(INDEX(PP_Grid[#Data],$DD1062,24),0)</f>
        <v/>
      </c>
      <c r="AA1062">
        <f>IFERROR(INDEX(PP_Grid[#Data],$DD1062,25),0)</f>
        <v/>
      </c>
      <c r="AB1062">
        <f>IFERROR(INDEX(PP_Grid[#Data],$DD1062,26),0)</f>
        <v/>
      </c>
      <c r="AC1062">
        <f>IFERROR(INDEX(PP_Grid[#Data],$DD1062,27),0)</f>
        <v/>
      </c>
      <c r="AD1062">
        <f>IFERROR(INDEX(PP_Grid[#Data],$DD1062,28),0)</f>
        <v/>
      </c>
      <c r="AE1062">
        <f>IFERROR(INDEX(PP_Grid[#Data],$DD1062,29),0)</f>
        <v/>
      </c>
      <c r="AF1062">
        <f>IFERROR(INDEX(PP_Grid[#Data],$DD1062,30),0)</f>
        <v/>
      </c>
      <c r="AG1062">
        <f>IFERROR(INDEX(PP_Grid[#Data],$DD1062,31),0)</f>
        <v/>
      </c>
      <c r="AH1062">
        <f>IFERROR(INDEX(PP_Grid[#Data],$DD1062,32),0)</f>
        <v/>
      </c>
      <c r="AI1062">
        <f>IFERROR(INDEX(PP_Grid[#Data],$DD1062,33),0)</f>
        <v/>
      </c>
      <c r="AJ1062">
        <f>IFERROR(INDEX(PP_Grid[#Data],$DD1062,34),0)</f>
        <v/>
      </c>
      <c r="AK1062">
        <f>IFERROR(INDEX(PP_Grid[#Data],$DD1062,35),0)</f>
        <v/>
      </c>
      <c r="AL1062">
        <f>IFERROR(INDEX(PP_Grid[#Data],$DD1062,36),0)</f>
        <v/>
      </c>
      <c r="AM1062">
        <f>IFERROR(INDEX(PP_Grid[#Data],$DD1062,37),0)</f>
        <v/>
      </c>
      <c r="AN1062">
        <f>IFERROR(INDEX(PP_Grid[#Data],$DD1062,38),0)</f>
        <v/>
      </c>
      <c r="AO1062">
        <f>IFERROR(INDEX(PP_Grid[#Data],$DD1062,39),0)</f>
        <v/>
      </c>
      <c r="AP1062">
        <f>IFERROR(INDEX(PP_Grid[#Data],$DD1062,40),0)</f>
        <v/>
      </c>
      <c r="AQ1062">
        <f>IFERROR(INDEX(PP_Grid[#Data],$DD1062,41),0)</f>
        <v/>
      </c>
      <c r="AR1062">
        <f>IFERROR(INDEX(PP_Grid[#Data],$DD1062,42),0)</f>
        <v/>
      </c>
      <c r="AS1062">
        <f>IFERROR(INDEX(PP_Grid[#Data],$DD1062,43),0)</f>
        <v/>
      </c>
      <c r="AT1062">
        <f>IFERROR(INDEX(PP_Grid[#Data],$DD1062,44),0)</f>
        <v/>
      </c>
      <c r="AU1062">
        <f>IFERROR(INDEX(PP_Grid[#Data],$DD1062,45),0)</f>
        <v/>
      </c>
      <c r="AV1062">
        <f>IFERROR(INDEX(PP_Grid[#Data],$DD1062,46),0)</f>
        <v/>
      </c>
      <c r="AW1062">
        <f>IFERROR(INDEX(PP_Grid[#Data],$DD1062,47),0)</f>
        <v/>
      </c>
      <c r="AX1062">
        <f>IFERROR(INDEX(PP_Grid[#Data],$DD1062,48),0)</f>
        <v/>
      </c>
      <c r="AY1062">
        <f>IFERROR(INDEX(PP_Grid[#Data],$DD1062,49),0)</f>
        <v/>
      </c>
      <c r="AZ1062">
        <f>IFERROR(INDEX(PP_Grid[#Data],$DD1062,50),0)</f>
        <v/>
      </c>
      <c r="BA1062">
        <f>IFERROR(INDEX(PP_Grid[#Data],$DD1062,51),0)</f>
        <v/>
      </c>
      <c r="BB1062">
        <f>IFERROR(INDEX(PP_Grid[#Data],$DD1062,52),0)</f>
        <v/>
      </c>
      <c r="BC1062">
        <f>IFERROR(INDEX(PP_Grid[#Data],$DD1062,53),0)</f>
        <v/>
      </c>
      <c r="BD1062">
        <f>IFERROR(INDEX(PP_Grid[#Data],$DD1062,54),0)</f>
        <v/>
      </c>
      <c r="BE1062">
        <f>IFERROR(INDEX(PP_Grid[#Data],$DD1062,55),0)</f>
        <v/>
      </c>
      <c r="BF1062">
        <f>IFERROR(INDEX(PP_Grid[#Data],$DD1062,56),0)</f>
        <v/>
      </c>
      <c r="BG1062">
        <f>IFERROR(INDEX(PP_Grid[#Data],$DD1062,57),0)</f>
        <v/>
      </c>
      <c r="BH1062">
        <f>IFERROR(INDEX(PP_Grid[#Data],$DD1062,58),0)</f>
        <v/>
      </c>
      <c r="BI1062">
        <f>IFERROR(INDEX(PP_Grid[#Data],$DD1062,59),0)</f>
        <v/>
      </c>
      <c r="BJ1062">
        <f>IFERROR(INDEX(PP_Grid[#Data],$DD1062,60),0)</f>
        <v/>
      </c>
      <c r="BK1062">
        <f>IFERROR(INDEX(PP_Grid[#Data],$DD1062,61),0)</f>
        <v/>
      </c>
      <c r="BL1062">
        <f>IFERROR(INDEX(PP_Grid[#Data],$DD1062,62),0)</f>
        <v/>
      </c>
      <c r="BM1062">
        <f>IFERROR(INDEX(PP_Grid[#Data],$DD1062,63),0)</f>
        <v/>
      </c>
      <c r="BN1062">
        <f>IFERROR(INDEX(PP_Grid[#Data],$DD1062,64),0)</f>
        <v/>
      </c>
      <c r="BO1062">
        <f>IFERROR(INDEX(PP_Grid[#Data],$DD1062,65),0)</f>
        <v/>
      </c>
      <c r="BP1062">
        <f>IFERROR(INDEX(PP_Grid[#Data],$DD1062,66),0)</f>
        <v/>
      </c>
      <c r="BQ1062">
        <f>IFERROR(INDEX(PP_Grid[#Data],$DD1062,67),0)</f>
        <v/>
      </c>
      <c r="BR1062">
        <f>IFERROR(INDEX(PP_Grid[#Data],$DD1062,68),0)</f>
        <v/>
      </c>
      <c r="BS1062">
        <f>IFERROR(INDEX(PP_Grid[#Data],$DD1062,69),0)</f>
        <v/>
      </c>
      <c r="BT1062">
        <f>IFERROR(INDEX(PP_Grid[#Data],$DD1062,70),0)</f>
        <v/>
      </c>
      <c r="BU1062">
        <f>IFERROR(INDEX(PP_Grid[#Data],$DD1062,71),0)</f>
        <v/>
      </c>
      <c r="BV1062">
        <f>IFERROR(INDEX(PP_Grid[#Data],$DD1062,72),0)</f>
        <v/>
      </c>
      <c r="BW1062">
        <f>IFERROR(INDEX(PP_Grid[#Data],$DD1062,73),0)</f>
        <v/>
      </c>
      <c r="BX1062">
        <f>IFERROR(INDEX(PP_Grid[#Data],$DD1062,74),0)</f>
        <v/>
      </c>
      <c r="BY1062">
        <f>IFERROR(INDEX(PP_Grid[#Data],$DD1062,75),0)</f>
        <v/>
      </c>
      <c r="BZ1062">
        <f>IFERROR(INDEX(PP_Grid[#Data],$DD1062,76),0)</f>
        <v/>
      </c>
      <c r="CA1062">
        <f>IFERROR(INDEX(PP_Grid[#Data],$DD1062,77),0)</f>
        <v/>
      </c>
      <c r="CB1062">
        <f>IFERROR(INDEX(PP_Grid[#Data],$DD1062,78),0)</f>
        <v/>
      </c>
      <c r="CC1062">
        <f>IFERROR(INDEX(PP_Grid[#Data],$DD1062,79),0)</f>
        <v/>
      </c>
      <c r="CD1062">
        <f>IFERROR(INDEX(PP_Grid[#Data],$DD1062,80),0)</f>
        <v/>
      </c>
      <c r="CE1062">
        <f>IFERROR(INDEX(PP_Grid[#Data],$DD1062,81),0)</f>
        <v/>
      </c>
      <c r="CF1062">
        <f>IFERROR(INDEX(PP_Grid[#Data],$DD1062,82),0)</f>
        <v/>
      </c>
      <c r="CG1062">
        <f>IFERROR(INDEX(PP_Grid[#Data],$DD1062,83),0)</f>
        <v/>
      </c>
      <c r="CH1062">
        <f>IFERROR(INDEX(PP_Grid[#Data],$DD1062,84),0)</f>
        <v/>
      </c>
      <c r="CI1062">
        <f>IFERROR(INDEX(PP_Grid[#Data],$DD1062,85),0)</f>
        <v/>
      </c>
      <c r="CJ1062">
        <f>IFERROR(INDEX(PP_Grid[#Data],$DD1062,86),0)</f>
        <v/>
      </c>
      <c r="CK1062">
        <f>IFERROR(INDEX(PP_Grid[#Data],$DD1062,87),0)</f>
        <v/>
      </c>
      <c r="CL1062">
        <f>IFERROR(INDEX(PP_Grid[#Data],$DD1062,88),0)</f>
        <v/>
      </c>
      <c r="CM1062">
        <f>IFERROR(INDEX(PP_Grid[#Data],$DD1062,89),0)</f>
        <v/>
      </c>
      <c r="CN1062">
        <f>IFERROR(INDEX(PP_Grid[#Data],$DD1062,90),0)</f>
        <v/>
      </c>
      <c r="CO1062">
        <f>IFERROR(INDEX(PP_Grid[#Data],$DD1062,91),0)</f>
        <v/>
      </c>
      <c r="CP1062">
        <f>IFERROR(INDEX(PP_Grid[#Data],$DD1062,92),0)</f>
        <v/>
      </c>
      <c r="CQ1062">
        <f>IFERROR(INDEX(PP_Grid[#Data],$DD1062,93),0)</f>
        <v/>
      </c>
      <c r="CR1062">
        <f>IFERROR(INDEX(PP_Grid[#Data],$DD1062,94),0)</f>
        <v/>
      </c>
      <c r="CS1062">
        <f>IFERROR(INDEX(PP_Grid[#Data],$DD1062,95),0)</f>
        <v/>
      </c>
      <c r="CT1062">
        <f>IFERROR(INDEX(PP_Grid[#Data],$DD1062,96),0)</f>
        <v/>
      </c>
      <c r="CU1062">
        <f>IFERROR(INDEX(PP_Grid[#Data],$DD1062,97),0)</f>
        <v/>
      </c>
      <c r="CV1062">
        <f>IFERROR(INDEX(PP_Grid[#Data],$DD1062,98),0)</f>
        <v/>
      </c>
      <c r="CW1062">
        <f>IFERROR(INDEX(PP_Grid[#Data],$DD1062,99),0)</f>
        <v/>
      </c>
      <c r="CX1062">
        <f>IFERROR(INDEX(PP_Grid[#Data],$DD1062,100),0)</f>
        <v/>
      </c>
      <c r="CY1062">
        <f>IFERROR(INDEX(PP_Grid[#Data],$DD1062,101),0)</f>
        <v/>
      </c>
      <c r="CZ1062">
        <f>IFERROR(INDEX(PP_Grid[#Data],$DD1062,102),0)</f>
        <v/>
      </c>
      <c r="DA1062">
        <f>IFERROR(INDEX(PP_Grid[#Data],$DD1062,103),0)</f>
        <v/>
      </c>
      <c r="DB1062">
        <f>IFERROR(INDEX(PP_Grid[#Data],$DD1062,104),0)</f>
        <v/>
      </c>
      <c r="DC1062">
        <f>IFERROR(INDEX(PP_Grid[#Data],$DD1062,105),0)</f>
        <v/>
      </c>
      <c r="DD1062" s="12">
        <f>IFERROR(MATCH($B1062,PP_Grid[Intermediate],0),99999)</f>
        <v/>
      </c>
    </row>
    <row r="1063">
      <c r="B1063" t="inlineStr">
        <is>
          <t>使用量(kg)</t>
        </is>
      </c>
      <c r="C1063">
        <f>SUMIFS(M_BOM[RM_Qty_Per_Batch],M_BOM[Intermediate],$B1062,M_BOM[Part Name],$A1061)</f>
        <v/>
      </c>
      <c r="D1063">
        <f>$C1063*D1062</f>
        <v/>
      </c>
      <c r="E1063">
        <f>$C1063*E1062</f>
        <v/>
      </c>
      <c r="F1063">
        <f>$C1063*F1062</f>
        <v/>
      </c>
      <c r="G1063">
        <f>$C1063*G1062</f>
        <v/>
      </c>
      <c r="H1063">
        <f>$C1063*H1062</f>
        <v/>
      </c>
      <c r="I1063">
        <f>$C1063*I1062</f>
        <v/>
      </c>
      <c r="J1063">
        <f>$C1063*J1062</f>
        <v/>
      </c>
      <c r="K1063">
        <f>$C1063*K1062</f>
        <v/>
      </c>
      <c r="L1063">
        <f>$C1063*L1062</f>
        <v/>
      </c>
      <c r="M1063">
        <f>$C1063*M1062</f>
        <v/>
      </c>
      <c r="N1063">
        <f>$C1063*N1062</f>
        <v/>
      </c>
      <c r="O1063">
        <f>$C1063*O1062</f>
        <v/>
      </c>
      <c r="P1063">
        <f>$C1063*P1062</f>
        <v/>
      </c>
      <c r="Q1063">
        <f>$C1063*Q1062</f>
        <v/>
      </c>
      <c r="R1063">
        <f>$C1063*R1062</f>
        <v/>
      </c>
      <c r="S1063">
        <f>$C1063*S1062</f>
        <v/>
      </c>
      <c r="T1063">
        <f>$C1063*T1062</f>
        <v/>
      </c>
      <c r="U1063">
        <f>$C1063*U1062</f>
        <v/>
      </c>
      <c r="V1063">
        <f>$C1063*V1062</f>
        <v/>
      </c>
      <c r="W1063">
        <f>$C1063*W1062</f>
        <v/>
      </c>
      <c r="X1063">
        <f>$C1063*X1062</f>
        <v/>
      </c>
      <c r="Y1063">
        <f>$C1063*Y1062</f>
        <v/>
      </c>
      <c r="Z1063">
        <f>$C1063*Z1062</f>
        <v/>
      </c>
      <c r="AA1063">
        <f>$C1063*AA1062</f>
        <v/>
      </c>
      <c r="AB1063">
        <f>$C1063*AB1062</f>
        <v/>
      </c>
      <c r="AC1063">
        <f>$C1063*AC1062</f>
        <v/>
      </c>
      <c r="AD1063">
        <f>$C1063*AD1062</f>
        <v/>
      </c>
      <c r="AE1063">
        <f>$C1063*AE1062</f>
        <v/>
      </c>
      <c r="AF1063">
        <f>$C1063*AF1062</f>
        <v/>
      </c>
      <c r="AG1063">
        <f>$C1063*AG1062</f>
        <v/>
      </c>
      <c r="AH1063">
        <f>$C1063*AH1062</f>
        <v/>
      </c>
      <c r="AI1063">
        <f>$C1063*AI1062</f>
        <v/>
      </c>
      <c r="AJ1063">
        <f>$C1063*AJ1062</f>
        <v/>
      </c>
      <c r="AK1063">
        <f>$C1063*AK1062</f>
        <v/>
      </c>
      <c r="AL1063">
        <f>$C1063*AL1062</f>
        <v/>
      </c>
      <c r="AM1063">
        <f>$C1063*AM1062</f>
        <v/>
      </c>
      <c r="AN1063">
        <f>$C1063*AN1062</f>
        <v/>
      </c>
      <c r="AO1063">
        <f>$C1063*AO1062</f>
        <v/>
      </c>
      <c r="AP1063">
        <f>$C1063*AP1062</f>
        <v/>
      </c>
      <c r="AQ1063">
        <f>$C1063*AQ1062</f>
        <v/>
      </c>
      <c r="AR1063">
        <f>$C1063*AR1062</f>
        <v/>
      </c>
      <c r="AS1063">
        <f>$C1063*AS1062</f>
        <v/>
      </c>
      <c r="AT1063">
        <f>$C1063*AT1062</f>
        <v/>
      </c>
      <c r="AU1063">
        <f>$C1063*AU1062</f>
        <v/>
      </c>
      <c r="AV1063">
        <f>$C1063*AV1062</f>
        <v/>
      </c>
      <c r="AW1063">
        <f>$C1063*AW1062</f>
        <v/>
      </c>
      <c r="AX1063">
        <f>$C1063*AX1062</f>
        <v/>
      </c>
      <c r="AY1063">
        <f>$C1063*AY1062</f>
        <v/>
      </c>
      <c r="AZ1063">
        <f>$C1063*AZ1062</f>
        <v/>
      </c>
      <c r="BA1063">
        <f>$C1063*BA1062</f>
        <v/>
      </c>
      <c r="BB1063">
        <f>$C1063*BB1062</f>
        <v/>
      </c>
      <c r="BC1063">
        <f>$C1063*BC1062</f>
        <v/>
      </c>
      <c r="BD1063">
        <f>$C1063*BD1062</f>
        <v/>
      </c>
      <c r="BE1063">
        <f>$C1063*BE1062</f>
        <v/>
      </c>
      <c r="BF1063">
        <f>$C1063*BF1062</f>
        <v/>
      </c>
      <c r="BG1063">
        <f>$C1063*BG1062</f>
        <v/>
      </c>
      <c r="BH1063">
        <f>$C1063*BH1062</f>
        <v/>
      </c>
      <c r="BI1063">
        <f>$C1063*BI1062</f>
        <v/>
      </c>
      <c r="BJ1063">
        <f>$C1063*BJ1062</f>
        <v/>
      </c>
      <c r="BK1063">
        <f>$C1063*BK1062</f>
        <v/>
      </c>
      <c r="BL1063">
        <f>$C1063*BL1062</f>
        <v/>
      </c>
      <c r="BM1063">
        <f>$C1063*BM1062</f>
        <v/>
      </c>
      <c r="BN1063">
        <f>$C1063*BN1062</f>
        <v/>
      </c>
      <c r="BO1063">
        <f>$C1063*BO1062</f>
        <v/>
      </c>
      <c r="BP1063">
        <f>$C1063*BP1062</f>
        <v/>
      </c>
      <c r="BQ1063">
        <f>$C1063*BQ1062</f>
        <v/>
      </c>
      <c r="BR1063">
        <f>$C1063*BR1062</f>
        <v/>
      </c>
      <c r="BS1063">
        <f>$C1063*BS1062</f>
        <v/>
      </c>
      <c r="BT1063">
        <f>$C1063*BT1062</f>
        <v/>
      </c>
      <c r="BU1063">
        <f>$C1063*BU1062</f>
        <v/>
      </c>
      <c r="BV1063">
        <f>$C1063*BV1062</f>
        <v/>
      </c>
      <c r="BW1063">
        <f>$C1063*BW1062</f>
        <v/>
      </c>
      <c r="BX1063">
        <f>$C1063*BX1062</f>
        <v/>
      </c>
      <c r="BY1063">
        <f>$C1063*BY1062</f>
        <v/>
      </c>
      <c r="BZ1063">
        <f>$C1063*BZ1062</f>
        <v/>
      </c>
      <c r="CA1063">
        <f>$C1063*CA1062</f>
        <v/>
      </c>
      <c r="CB1063">
        <f>$C1063*CB1062</f>
        <v/>
      </c>
      <c r="CC1063">
        <f>$C1063*CC1062</f>
        <v/>
      </c>
      <c r="CD1063">
        <f>$C1063*CD1062</f>
        <v/>
      </c>
      <c r="CE1063">
        <f>$C1063*CE1062</f>
        <v/>
      </c>
      <c r="CF1063">
        <f>$C1063*CF1062</f>
        <v/>
      </c>
      <c r="CG1063">
        <f>$C1063*CG1062</f>
        <v/>
      </c>
      <c r="CH1063">
        <f>$C1063*CH1062</f>
        <v/>
      </c>
      <c r="CI1063">
        <f>$C1063*CI1062</f>
        <v/>
      </c>
      <c r="CJ1063">
        <f>$C1063*CJ1062</f>
        <v/>
      </c>
      <c r="CK1063">
        <f>$C1063*CK1062</f>
        <v/>
      </c>
      <c r="CL1063">
        <f>$C1063*CL1062</f>
        <v/>
      </c>
      <c r="CM1063">
        <f>$C1063*CM1062</f>
        <v/>
      </c>
      <c r="CN1063">
        <f>$C1063*CN1062</f>
        <v/>
      </c>
      <c r="CO1063">
        <f>$C1063*CO1062</f>
        <v/>
      </c>
      <c r="CP1063">
        <f>$C1063*CP1062</f>
        <v/>
      </c>
      <c r="CQ1063">
        <f>$C1063*CQ1062</f>
        <v/>
      </c>
      <c r="CR1063">
        <f>$C1063*CR1062</f>
        <v/>
      </c>
      <c r="CS1063">
        <f>$C1063*CS1062</f>
        <v/>
      </c>
      <c r="CT1063">
        <f>$C1063*CT1062</f>
        <v/>
      </c>
      <c r="CU1063">
        <f>$C1063*CU1062</f>
        <v/>
      </c>
      <c r="CV1063">
        <f>$C1063*CV1062</f>
        <v/>
      </c>
      <c r="CW1063">
        <f>$C1063*CW1062</f>
        <v/>
      </c>
      <c r="CX1063">
        <f>$C1063*CX1062</f>
        <v/>
      </c>
      <c r="CY1063">
        <f>$C1063*CY1062</f>
        <v/>
      </c>
      <c r="CZ1063">
        <f>$C1063*CZ1062</f>
        <v/>
      </c>
      <c r="DA1063">
        <f>$C1063*DA1062</f>
        <v/>
      </c>
      <c r="DB1063">
        <f>$C1063*DB1062</f>
        <v/>
      </c>
      <c r="DC1063">
        <f>$C1063*DC1062</f>
        <v/>
      </c>
    </row>
    <row r="1064">
      <c r="B1064" t="inlineStr">
        <is>
          <t>TSP-1555</t>
        </is>
      </c>
      <c r="C1064" t="inlineStr">
        <is>
          <t>No. of batches</t>
        </is>
      </c>
      <c r="D1064">
        <f>IFERROR(INDEX(PP_Grid[#Data],$DD1064,2),0)</f>
        <v/>
      </c>
      <c r="E1064">
        <f>IFERROR(INDEX(PP_Grid[#Data],$DD1064,3),0)</f>
        <v/>
      </c>
      <c r="F1064">
        <f>IFERROR(INDEX(PP_Grid[#Data],$DD1064,4),0)</f>
        <v/>
      </c>
      <c r="G1064">
        <f>IFERROR(INDEX(PP_Grid[#Data],$DD1064,5),0)</f>
        <v/>
      </c>
      <c r="H1064">
        <f>IFERROR(INDEX(PP_Grid[#Data],$DD1064,6),0)</f>
        <v/>
      </c>
      <c r="I1064">
        <f>IFERROR(INDEX(PP_Grid[#Data],$DD1064,7),0)</f>
        <v/>
      </c>
      <c r="J1064">
        <f>IFERROR(INDEX(PP_Grid[#Data],$DD1064,8),0)</f>
        <v/>
      </c>
      <c r="K1064">
        <f>IFERROR(INDEX(PP_Grid[#Data],$DD1064,9),0)</f>
        <v/>
      </c>
      <c r="L1064">
        <f>IFERROR(INDEX(PP_Grid[#Data],$DD1064,10),0)</f>
        <v/>
      </c>
      <c r="M1064">
        <f>IFERROR(INDEX(PP_Grid[#Data],$DD1064,11),0)</f>
        <v/>
      </c>
      <c r="N1064">
        <f>IFERROR(INDEX(PP_Grid[#Data],$DD1064,12),0)</f>
        <v/>
      </c>
      <c r="O1064">
        <f>IFERROR(INDEX(PP_Grid[#Data],$DD1064,13),0)</f>
        <v/>
      </c>
      <c r="P1064">
        <f>IFERROR(INDEX(PP_Grid[#Data],$DD1064,14),0)</f>
        <v/>
      </c>
      <c r="Q1064">
        <f>IFERROR(INDEX(PP_Grid[#Data],$DD1064,15),0)</f>
        <v/>
      </c>
      <c r="R1064">
        <f>IFERROR(INDEX(PP_Grid[#Data],$DD1064,16),0)</f>
        <v/>
      </c>
      <c r="S1064">
        <f>IFERROR(INDEX(PP_Grid[#Data],$DD1064,17),0)</f>
        <v/>
      </c>
      <c r="T1064">
        <f>IFERROR(INDEX(PP_Grid[#Data],$DD1064,18),0)</f>
        <v/>
      </c>
      <c r="U1064">
        <f>IFERROR(INDEX(PP_Grid[#Data],$DD1064,19),0)</f>
        <v/>
      </c>
      <c r="V1064">
        <f>IFERROR(INDEX(PP_Grid[#Data],$DD1064,20),0)</f>
        <v/>
      </c>
      <c r="W1064">
        <f>IFERROR(INDEX(PP_Grid[#Data],$DD1064,21),0)</f>
        <v/>
      </c>
      <c r="X1064">
        <f>IFERROR(INDEX(PP_Grid[#Data],$DD1064,22),0)</f>
        <v/>
      </c>
      <c r="Y1064">
        <f>IFERROR(INDEX(PP_Grid[#Data],$DD1064,23),0)</f>
        <v/>
      </c>
      <c r="Z1064">
        <f>IFERROR(INDEX(PP_Grid[#Data],$DD1064,24),0)</f>
        <v/>
      </c>
      <c r="AA1064">
        <f>IFERROR(INDEX(PP_Grid[#Data],$DD1064,25),0)</f>
        <v/>
      </c>
      <c r="AB1064">
        <f>IFERROR(INDEX(PP_Grid[#Data],$DD1064,26),0)</f>
        <v/>
      </c>
      <c r="AC1064">
        <f>IFERROR(INDEX(PP_Grid[#Data],$DD1064,27),0)</f>
        <v/>
      </c>
      <c r="AD1064">
        <f>IFERROR(INDEX(PP_Grid[#Data],$DD1064,28),0)</f>
        <v/>
      </c>
      <c r="AE1064">
        <f>IFERROR(INDEX(PP_Grid[#Data],$DD1064,29),0)</f>
        <v/>
      </c>
      <c r="AF1064">
        <f>IFERROR(INDEX(PP_Grid[#Data],$DD1064,30),0)</f>
        <v/>
      </c>
      <c r="AG1064">
        <f>IFERROR(INDEX(PP_Grid[#Data],$DD1064,31),0)</f>
        <v/>
      </c>
      <c r="AH1064">
        <f>IFERROR(INDEX(PP_Grid[#Data],$DD1064,32),0)</f>
        <v/>
      </c>
      <c r="AI1064">
        <f>IFERROR(INDEX(PP_Grid[#Data],$DD1064,33),0)</f>
        <v/>
      </c>
      <c r="AJ1064">
        <f>IFERROR(INDEX(PP_Grid[#Data],$DD1064,34),0)</f>
        <v/>
      </c>
      <c r="AK1064">
        <f>IFERROR(INDEX(PP_Grid[#Data],$DD1064,35),0)</f>
        <v/>
      </c>
      <c r="AL1064">
        <f>IFERROR(INDEX(PP_Grid[#Data],$DD1064,36),0)</f>
        <v/>
      </c>
      <c r="AM1064">
        <f>IFERROR(INDEX(PP_Grid[#Data],$DD1064,37),0)</f>
        <v/>
      </c>
      <c r="AN1064">
        <f>IFERROR(INDEX(PP_Grid[#Data],$DD1064,38),0)</f>
        <v/>
      </c>
      <c r="AO1064">
        <f>IFERROR(INDEX(PP_Grid[#Data],$DD1064,39),0)</f>
        <v/>
      </c>
      <c r="AP1064">
        <f>IFERROR(INDEX(PP_Grid[#Data],$DD1064,40),0)</f>
        <v/>
      </c>
      <c r="AQ1064">
        <f>IFERROR(INDEX(PP_Grid[#Data],$DD1064,41),0)</f>
        <v/>
      </c>
      <c r="AR1064">
        <f>IFERROR(INDEX(PP_Grid[#Data],$DD1064,42),0)</f>
        <v/>
      </c>
      <c r="AS1064">
        <f>IFERROR(INDEX(PP_Grid[#Data],$DD1064,43),0)</f>
        <v/>
      </c>
      <c r="AT1064">
        <f>IFERROR(INDEX(PP_Grid[#Data],$DD1064,44),0)</f>
        <v/>
      </c>
      <c r="AU1064">
        <f>IFERROR(INDEX(PP_Grid[#Data],$DD1064,45),0)</f>
        <v/>
      </c>
      <c r="AV1064">
        <f>IFERROR(INDEX(PP_Grid[#Data],$DD1064,46),0)</f>
        <v/>
      </c>
      <c r="AW1064">
        <f>IFERROR(INDEX(PP_Grid[#Data],$DD1064,47),0)</f>
        <v/>
      </c>
      <c r="AX1064">
        <f>IFERROR(INDEX(PP_Grid[#Data],$DD1064,48),0)</f>
        <v/>
      </c>
      <c r="AY1064">
        <f>IFERROR(INDEX(PP_Grid[#Data],$DD1064,49),0)</f>
        <v/>
      </c>
      <c r="AZ1064">
        <f>IFERROR(INDEX(PP_Grid[#Data],$DD1064,50),0)</f>
        <v/>
      </c>
      <c r="BA1064">
        <f>IFERROR(INDEX(PP_Grid[#Data],$DD1064,51),0)</f>
        <v/>
      </c>
      <c r="BB1064">
        <f>IFERROR(INDEX(PP_Grid[#Data],$DD1064,52),0)</f>
        <v/>
      </c>
      <c r="BC1064">
        <f>IFERROR(INDEX(PP_Grid[#Data],$DD1064,53),0)</f>
        <v/>
      </c>
      <c r="BD1064">
        <f>IFERROR(INDEX(PP_Grid[#Data],$DD1064,54),0)</f>
        <v/>
      </c>
      <c r="BE1064">
        <f>IFERROR(INDEX(PP_Grid[#Data],$DD1064,55),0)</f>
        <v/>
      </c>
      <c r="BF1064">
        <f>IFERROR(INDEX(PP_Grid[#Data],$DD1064,56),0)</f>
        <v/>
      </c>
      <c r="BG1064">
        <f>IFERROR(INDEX(PP_Grid[#Data],$DD1064,57),0)</f>
        <v/>
      </c>
      <c r="BH1064">
        <f>IFERROR(INDEX(PP_Grid[#Data],$DD1064,58),0)</f>
        <v/>
      </c>
      <c r="BI1064">
        <f>IFERROR(INDEX(PP_Grid[#Data],$DD1064,59),0)</f>
        <v/>
      </c>
      <c r="BJ1064">
        <f>IFERROR(INDEX(PP_Grid[#Data],$DD1064,60),0)</f>
        <v/>
      </c>
      <c r="BK1064">
        <f>IFERROR(INDEX(PP_Grid[#Data],$DD1064,61),0)</f>
        <v/>
      </c>
      <c r="BL1064">
        <f>IFERROR(INDEX(PP_Grid[#Data],$DD1064,62),0)</f>
        <v/>
      </c>
      <c r="BM1064">
        <f>IFERROR(INDEX(PP_Grid[#Data],$DD1064,63),0)</f>
        <v/>
      </c>
      <c r="BN1064">
        <f>IFERROR(INDEX(PP_Grid[#Data],$DD1064,64),0)</f>
        <v/>
      </c>
      <c r="BO1064">
        <f>IFERROR(INDEX(PP_Grid[#Data],$DD1064,65),0)</f>
        <v/>
      </c>
      <c r="BP1064">
        <f>IFERROR(INDEX(PP_Grid[#Data],$DD1064,66),0)</f>
        <v/>
      </c>
      <c r="BQ1064">
        <f>IFERROR(INDEX(PP_Grid[#Data],$DD1064,67),0)</f>
        <v/>
      </c>
      <c r="BR1064">
        <f>IFERROR(INDEX(PP_Grid[#Data],$DD1064,68),0)</f>
        <v/>
      </c>
      <c r="BS1064">
        <f>IFERROR(INDEX(PP_Grid[#Data],$DD1064,69),0)</f>
        <v/>
      </c>
      <c r="BT1064">
        <f>IFERROR(INDEX(PP_Grid[#Data],$DD1064,70),0)</f>
        <v/>
      </c>
      <c r="BU1064">
        <f>IFERROR(INDEX(PP_Grid[#Data],$DD1064,71),0)</f>
        <v/>
      </c>
      <c r="BV1064">
        <f>IFERROR(INDEX(PP_Grid[#Data],$DD1064,72),0)</f>
        <v/>
      </c>
      <c r="BW1064">
        <f>IFERROR(INDEX(PP_Grid[#Data],$DD1064,73),0)</f>
        <v/>
      </c>
      <c r="BX1064">
        <f>IFERROR(INDEX(PP_Grid[#Data],$DD1064,74),0)</f>
        <v/>
      </c>
      <c r="BY1064">
        <f>IFERROR(INDEX(PP_Grid[#Data],$DD1064,75),0)</f>
        <v/>
      </c>
      <c r="BZ1064">
        <f>IFERROR(INDEX(PP_Grid[#Data],$DD1064,76),0)</f>
        <v/>
      </c>
      <c r="CA1064">
        <f>IFERROR(INDEX(PP_Grid[#Data],$DD1064,77),0)</f>
        <v/>
      </c>
      <c r="CB1064">
        <f>IFERROR(INDEX(PP_Grid[#Data],$DD1064,78),0)</f>
        <v/>
      </c>
      <c r="CC1064">
        <f>IFERROR(INDEX(PP_Grid[#Data],$DD1064,79),0)</f>
        <v/>
      </c>
      <c r="CD1064">
        <f>IFERROR(INDEX(PP_Grid[#Data],$DD1064,80),0)</f>
        <v/>
      </c>
      <c r="CE1064">
        <f>IFERROR(INDEX(PP_Grid[#Data],$DD1064,81),0)</f>
        <v/>
      </c>
      <c r="CF1064">
        <f>IFERROR(INDEX(PP_Grid[#Data],$DD1064,82),0)</f>
        <v/>
      </c>
      <c r="CG1064">
        <f>IFERROR(INDEX(PP_Grid[#Data],$DD1064,83),0)</f>
        <v/>
      </c>
      <c r="CH1064">
        <f>IFERROR(INDEX(PP_Grid[#Data],$DD1064,84),0)</f>
        <v/>
      </c>
      <c r="CI1064">
        <f>IFERROR(INDEX(PP_Grid[#Data],$DD1064,85),0)</f>
        <v/>
      </c>
      <c r="CJ1064">
        <f>IFERROR(INDEX(PP_Grid[#Data],$DD1064,86),0)</f>
        <v/>
      </c>
      <c r="CK1064">
        <f>IFERROR(INDEX(PP_Grid[#Data],$DD1064,87),0)</f>
        <v/>
      </c>
      <c r="CL1064">
        <f>IFERROR(INDEX(PP_Grid[#Data],$DD1064,88),0)</f>
        <v/>
      </c>
      <c r="CM1064">
        <f>IFERROR(INDEX(PP_Grid[#Data],$DD1064,89),0)</f>
        <v/>
      </c>
      <c r="CN1064">
        <f>IFERROR(INDEX(PP_Grid[#Data],$DD1064,90),0)</f>
        <v/>
      </c>
      <c r="CO1064">
        <f>IFERROR(INDEX(PP_Grid[#Data],$DD1064,91),0)</f>
        <v/>
      </c>
      <c r="CP1064">
        <f>IFERROR(INDEX(PP_Grid[#Data],$DD1064,92),0)</f>
        <v/>
      </c>
      <c r="CQ1064">
        <f>IFERROR(INDEX(PP_Grid[#Data],$DD1064,93),0)</f>
        <v/>
      </c>
      <c r="CR1064">
        <f>IFERROR(INDEX(PP_Grid[#Data],$DD1064,94),0)</f>
        <v/>
      </c>
      <c r="CS1064">
        <f>IFERROR(INDEX(PP_Grid[#Data],$DD1064,95),0)</f>
        <v/>
      </c>
      <c r="CT1064">
        <f>IFERROR(INDEX(PP_Grid[#Data],$DD1064,96),0)</f>
        <v/>
      </c>
      <c r="CU1064">
        <f>IFERROR(INDEX(PP_Grid[#Data],$DD1064,97),0)</f>
        <v/>
      </c>
      <c r="CV1064">
        <f>IFERROR(INDEX(PP_Grid[#Data],$DD1064,98),0)</f>
        <v/>
      </c>
      <c r="CW1064">
        <f>IFERROR(INDEX(PP_Grid[#Data],$DD1064,99),0)</f>
        <v/>
      </c>
      <c r="CX1064">
        <f>IFERROR(INDEX(PP_Grid[#Data],$DD1064,100),0)</f>
        <v/>
      </c>
      <c r="CY1064">
        <f>IFERROR(INDEX(PP_Grid[#Data],$DD1064,101),0)</f>
        <v/>
      </c>
      <c r="CZ1064">
        <f>IFERROR(INDEX(PP_Grid[#Data],$DD1064,102),0)</f>
        <v/>
      </c>
      <c r="DA1064">
        <f>IFERROR(INDEX(PP_Grid[#Data],$DD1064,103),0)</f>
        <v/>
      </c>
      <c r="DB1064">
        <f>IFERROR(INDEX(PP_Grid[#Data],$DD1064,104),0)</f>
        <v/>
      </c>
      <c r="DC1064">
        <f>IFERROR(INDEX(PP_Grid[#Data],$DD1064,105),0)</f>
        <v/>
      </c>
      <c r="DD1064" s="12">
        <f>IFERROR(MATCH($B1064,PP_Grid[Intermediate],0),99999)</f>
        <v/>
      </c>
    </row>
    <row r="1065">
      <c r="B1065" t="inlineStr">
        <is>
          <t>使用量(kg)</t>
        </is>
      </c>
      <c r="C1065">
        <f>SUMIFS(M_BOM[RM_Qty_Per_Batch],M_BOM[Intermediate],$B1064,M_BOM[Part Name],$A1061)</f>
        <v/>
      </c>
      <c r="D1065">
        <f>$C1065*D1064</f>
        <v/>
      </c>
      <c r="E1065">
        <f>$C1065*E1064</f>
        <v/>
      </c>
      <c r="F1065">
        <f>$C1065*F1064</f>
        <v/>
      </c>
      <c r="G1065">
        <f>$C1065*G1064</f>
        <v/>
      </c>
      <c r="H1065">
        <f>$C1065*H1064</f>
        <v/>
      </c>
      <c r="I1065">
        <f>$C1065*I1064</f>
        <v/>
      </c>
      <c r="J1065">
        <f>$C1065*J1064</f>
        <v/>
      </c>
      <c r="K1065">
        <f>$C1065*K1064</f>
        <v/>
      </c>
      <c r="L1065">
        <f>$C1065*L1064</f>
        <v/>
      </c>
      <c r="M1065">
        <f>$C1065*M1064</f>
        <v/>
      </c>
      <c r="N1065">
        <f>$C1065*N1064</f>
        <v/>
      </c>
      <c r="O1065">
        <f>$C1065*O1064</f>
        <v/>
      </c>
      <c r="P1065">
        <f>$C1065*P1064</f>
        <v/>
      </c>
      <c r="Q1065">
        <f>$C1065*Q1064</f>
        <v/>
      </c>
      <c r="R1065">
        <f>$C1065*R1064</f>
        <v/>
      </c>
      <c r="S1065">
        <f>$C1065*S1064</f>
        <v/>
      </c>
      <c r="T1065">
        <f>$C1065*T1064</f>
        <v/>
      </c>
      <c r="U1065">
        <f>$C1065*U1064</f>
        <v/>
      </c>
      <c r="V1065">
        <f>$C1065*V1064</f>
        <v/>
      </c>
      <c r="W1065">
        <f>$C1065*W1064</f>
        <v/>
      </c>
      <c r="X1065">
        <f>$C1065*X1064</f>
        <v/>
      </c>
      <c r="Y1065">
        <f>$C1065*Y1064</f>
        <v/>
      </c>
      <c r="Z1065">
        <f>$C1065*Z1064</f>
        <v/>
      </c>
      <c r="AA1065">
        <f>$C1065*AA1064</f>
        <v/>
      </c>
      <c r="AB1065">
        <f>$C1065*AB1064</f>
        <v/>
      </c>
      <c r="AC1065">
        <f>$C1065*AC1064</f>
        <v/>
      </c>
      <c r="AD1065">
        <f>$C1065*AD1064</f>
        <v/>
      </c>
      <c r="AE1065">
        <f>$C1065*AE1064</f>
        <v/>
      </c>
      <c r="AF1065">
        <f>$C1065*AF1064</f>
        <v/>
      </c>
      <c r="AG1065">
        <f>$C1065*AG1064</f>
        <v/>
      </c>
      <c r="AH1065">
        <f>$C1065*AH1064</f>
        <v/>
      </c>
      <c r="AI1065">
        <f>$C1065*AI1064</f>
        <v/>
      </c>
      <c r="AJ1065">
        <f>$C1065*AJ1064</f>
        <v/>
      </c>
      <c r="AK1065">
        <f>$C1065*AK1064</f>
        <v/>
      </c>
      <c r="AL1065">
        <f>$C1065*AL1064</f>
        <v/>
      </c>
      <c r="AM1065">
        <f>$C1065*AM1064</f>
        <v/>
      </c>
      <c r="AN1065">
        <f>$C1065*AN1064</f>
        <v/>
      </c>
      <c r="AO1065">
        <f>$C1065*AO1064</f>
        <v/>
      </c>
      <c r="AP1065">
        <f>$C1065*AP1064</f>
        <v/>
      </c>
      <c r="AQ1065">
        <f>$C1065*AQ1064</f>
        <v/>
      </c>
      <c r="AR1065">
        <f>$C1065*AR1064</f>
        <v/>
      </c>
      <c r="AS1065">
        <f>$C1065*AS1064</f>
        <v/>
      </c>
      <c r="AT1065">
        <f>$C1065*AT1064</f>
        <v/>
      </c>
      <c r="AU1065">
        <f>$C1065*AU1064</f>
        <v/>
      </c>
      <c r="AV1065">
        <f>$C1065*AV1064</f>
        <v/>
      </c>
      <c r="AW1065">
        <f>$C1065*AW1064</f>
        <v/>
      </c>
      <c r="AX1065">
        <f>$C1065*AX1064</f>
        <v/>
      </c>
      <c r="AY1065">
        <f>$C1065*AY1064</f>
        <v/>
      </c>
      <c r="AZ1065">
        <f>$C1065*AZ1064</f>
        <v/>
      </c>
      <c r="BA1065">
        <f>$C1065*BA1064</f>
        <v/>
      </c>
      <c r="BB1065">
        <f>$C1065*BB1064</f>
        <v/>
      </c>
      <c r="BC1065">
        <f>$C1065*BC1064</f>
        <v/>
      </c>
      <c r="BD1065">
        <f>$C1065*BD1064</f>
        <v/>
      </c>
      <c r="BE1065">
        <f>$C1065*BE1064</f>
        <v/>
      </c>
      <c r="BF1065">
        <f>$C1065*BF1064</f>
        <v/>
      </c>
      <c r="BG1065">
        <f>$C1065*BG1064</f>
        <v/>
      </c>
      <c r="BH1065">
        <f>$C1065*BH1064</f>
        <v/>
      </c>
      <c r="BI1065">
        <f>$C1065*BI1064</f>
        <v/>
      </c>
      <c r="BJ1065">
        <f>$C1065*BJ1064</f>
        <v/>
      </c>
      <c r="BK1065">
        <f>$C1065*BK1064</f>
        <v/>
      </c>
      <c r="BL1065">
        <f>$C1065*BL1064</f>
        <v/>
      </c>
      <c r="BM1065">
        <f>$C1065*BM1064</f>
        <v/>
      </c>
      <c r="BN1065">
        <f>$C1065*BN1064</f>
        <v/>
      </c>
      <c r="BO1065">
        <f>$C1065*BO1064</f>
        <v/>
      </c>
      <c r="BP1065">
        <f>$C1065*BP1064</f>
        <v/>
      </c>
      <c r="BQ1065">
        <f>$C1065*BQ1064</f>
        <v/>
      </c>
      <c r="BR1065">
        <f>$C1065*BR1064</f>
        <v/>
      </c>
      <c r="BS1065">
        <f>$C1065*BS1064</f>
        <v/>
      </c>
      <c r="BT1065">
        <f>$C1065*BT1064</f>
        <v/>
      </c>
      <c r="BU1065">
        <f>$C1065*BU1064</f>
        <v/>
      </c>
      <c r="BV1065">
        <f>$C1065*BV1064</f>
        <v/>
      </c>
      <c r="BW1065">
        <f>$C1065*BW1064</f>
        <v/>
      </c>
      <c r="BX1065">
        <f>$C1065*BX1064</f>
        <v/>
      </c>
      <c r="BY1065">
        <f>$C1065*BY1064</f>
        <v/>
      </c>
      <c r="BZ1065">
        <f>$C1065*BZ1064</f>
        <v/>
      </c>
      <c r="CA1065">
        <f>$C1065*CA1064</f>
        <v/>
      </c>
      <c r="CB1065">
        <f>$C1065*CB1064</f>
        <v/>
      </c>
      <c r="CC1065">
        <f>$C1065*CC1064</f>
        <v/>
      </c>
      <c r="CD1065">
        <f>$C1065*CD1064</f>
        <v/>
      </c>
      <c r="CE1065">
        <f>$C1065*CE1064</f>
        <v/>
      </c>
      <c r="CF1065">
        <f>$C1065*CF1064</f>
        <v/>
      </c>
      <c r="CG1065">
        <f>$C1065*CG1064</f>
        <v/>
      </c>
      <c r="CH1065">
        <f>$C1065*CH1064</f>
        <v/>
      </c>
      <c r="CI1065">
        <f>$C1065*CI1064</f>
        <v/>
      </c>
      <c r="CJ1065">
        <f>$C1065*CJ1064</f>
        <v/>
      </c>
      <c r="CK1065">
        <f>$C1065*CK1064</f>
        <v/>
      </c>
      <c r="CL1065">
        <f>$C1065*CL1064</f>
        <v/>
      </c>
      <c r="CM1065">
        <f>$C1065*CM1064</f>
        <v/>
      </c>
      <c r="CN1065">
        <f>$C1065*CN1064</f>
        <v/>
      </c>
      <c r="CO1065">
        <f>$C1065*CO1064</f>
        <v/>
      </c>
      <c r="CP1065">
        <f>$C1065*CP1064</f>
        <v/>
      </c>
      <c r="CQ1065">
        <f>$C1065*CQ1064</f>
        <v/>
      </c>
      <c r="CR1065">
        <f>$C1065*CR1064</f>
        <v/>
      </c>
      <c r="CS1065">
        <f>$C1065*CS1064</f>
        <v/>
      </c>
      <c r="CT1065">
        <f>$C1065*CT1064</f>
        <v/>
      </c>
      <c r="CU1065">
        <f>$C1065*CU1064</f>
        <v/>
      </c>
      <c r="CV1065">
        <f>$C1065*CV1064</f>
        <v/>
      </c>
      <c r="CW1065">
        <f>$C1065*CW1064</f>
        <v/>
      </c>
      <c r="CX1065">
        <f>$C1065*CX1064</f>
        <v/>
      </c>
      <c r="CY1065">
        <f>$C1065*CY1064</f>
        <v/>
      </c>
      <c r="CZ1065">
        <f>$C1065*CZ1064</f>
        <v/>
      </c>
      <c r="DA1065">
        <f>$C1065*DA1064</f>
        <v/>
      </c>
      <c r="DB1065">
        <f>$C1065*DB1064</f>
        <v/>
      </c>
      <c r="DC1065">
        <f>$C1065*DC1064</f>
        <v/>
      </c>
    </row>
    <row r="1066">
      <c r="B1066" t="inlineStr">
        <is>
          <t>TSP-903</t>
        </is>
      </c>
      <c r="C1066" t="inlineStr">
        <is>
          <t>No. of batches</t>
        </is>
      </c>
      <c r="D1066">
        <f>IFERROR(INDEX(PP_Grid[#Data],$DD1066,2),0)</f>
        <v/>
      </c>
      <c r="E1066">
        <f>IFERROR(INDEX(PP_Grid[#Data],$DD1066,3),0)</f>
        <v/>
      </c>
      <c r="F1066">
        <f>IFERROR(INDEX(PP_Grid[#Data],$DD1066,4),0)</f>
        <v/>
      </c>
      <c r="G1066">
        <f>IFERROR(INDEX(PP_Grid[#Data],$DD1066,5),0)</f>
        <v/>
      </c>
      <c r="H1066">
        <f>IFERROR(INDEX(PP_Grid[#Data],$DD1066,6),0)</f>
        <v/>
      </c>
      <c r="I1066">
        <f>IFERROR(INDEX(PP_Grid[#Data],$DD1066,7),0)</f>
        <v/>
      </c>
      <c r="J1066">
        <f>IFERROR(INDEX(PP_Grid[#Data],$DD1066,8),0)</f>
        <v/>
      </c>
      <c r="K1066">
        <f>IFERROR(INDEX(PP_Grid[#Data],$DD1066,9),0)</f>
        <v/>
      </c>
      <c r="L1066">
        <f>IFERROR(INDEX(PP_Grid[#Data],$DD1066,10),0)</f>
        <v/>
      </c>
      <c r="M1066">
        <f>IFERROR(INDEX(PP_Grid[#Data],$DD1066,11),0)</f>
        <v/>
      </c>
      <c r="N1066">
        <f>IFERROR(INDEX(PP_Grid[#Data],$DD1066,12),0)</f>
        <v/>
      </c>
      <c r="O1066">
        <f>IFERROR(INDEX(PP_Grid[#Data],$DD1066,13),0)</f>
        <v/>
      </c>
      <c r="P1066">
        <f>IFERROR(INDEX(PP_Grid[#Data],$DD1066,14),0)</f>
        <v/>
      </c>
      <c r="Q1066">
        <f>IFERROR(INDEX(PP_Grid[#Data],$DD1066,15),0)</f>
        <v/>
      </c>
      <c r="R1066">
        <f>IFERROR(INDEX(PP_Grid[#Data],$DD1066,16),0)</f>
        <v/>
      </c>
      <c r="S1066">
        <f>IFERROR(INDEX(PP_Grid[#Data],$DD1066,17),0)</f>
        <v/>
      </c>
      <c r="T1066">
        <f>IFERROR(INDEX(PP_Grid[#Data],$DD1066,18),0)</f>
        <v/>
      </c>
      <c r="U1066">
        <f>IFERROR(INDEX(PP_Grid[#Data],$DD1066,19),0)</f>
        <v/>
      </c>
      <c r="V1066">
        <f>IFERROR(INDEX(PP_Grid[#Data],$DD1066,20),0)</f>
        <v/>
      </c>
      <c r="W1066">
        <f>IFERROR(INDEX(PP_Grid[#Data],$DD1066,21),0)</f>
        <v/>
      </c>
      <c r="X1066">
        <f>IFERROR(INDEX(PP_Grid[#Data],$DD1066,22),0)</f>
        <v/>
      </c>
      <c r="Y1066">
        <f>IFERROR(INDEX(PP_Grid[#Data],$DD1066,23),0)</f>
        <v/>
      </c>
      <c r="Z1066">
        <f>IFERROR(INDEX(PP_Grid[#Data],$DD1066,24),0)</f>
        <v/>
      </c>
      <c r="AA1066">
        <f>IFERROR(INDEX(PP_Grid[#Data],$DD1066,25),0)</f>
        <v/>
      </c>
      <c r="AB1066">
        <f>IFERROR(INDEX(PP_Grid[#Data],$DD1066,26),0)</f>
        <v/>
      </c>
      <c r="AC1066">
        <f>IFERROR(INDEX(PP_Grid[#Data],$DD1066,27),0)</f>
        <v/>
      </c>
      <c r="AD1066">
        <f>IFERROR(INDEX(PP_Grid[#Data],$DD1066,28),0)</f>
        <v/>
      </c>
      <c r="AE1066">
        <f>IFERROR(INDEX(PP_Grid[#Data],$DD1066,29),0)</f>
        <v/>
      </c>
      <c r="AF1066">
        <f>IFERROR(INDEX(PP_Grid[#Data],$DD1066,30),0)</f>
        <v/>
      </c>
      <c r="AG1066">
        <f>IFERROR(INDEX(PP_Grid[#Data],$DD1066,31),0)</f>
        <v/>
      </c>
      <c r="AH1066">
        <f>IFERROR(INDEX(PP_Grid[#Data],$DD1066,32),0)</f>
        <v/>
      </c>
      <c r="AI1066">
        <f>IFERROR(INDEX(PP_Grid[#Data],$DD1066,33),0)</f>
        <v/>
      </c>
      <c r="AJ1066">
        <f>IFERROR(INDEX(PP_Grid[#Data],$DD1066,34),0)</f>
        <v/>
      </c>
      <c r="AK1066">
        <f>IFERROR(INDEX(PP_Grid[#Data],$DD1066,35),0)</f>
        <v/>
      </c>
      <c r="AL1066">
        <f>IFERROR(INDEX(PP_Grid[#Data],$DD1066,36),0)</f>
        <v/>
      </c>
      <c r="AM1066">
        <f>IFERROR(INDEX(PP_Grid[#Data],$DD1066,37),0)</f>
        <v/>
      </c>
      <c r="AN1066">
        <f>IFERROR(INDEX(PP_Grid[#Data],$DD1066,38),0)</f>
        <v/>
      </c>
      <c r="AO1066">
        <f>IFERROR(INDEX(PP_Grid[#Data],$DD1066,39),0)</f>
        <v/>
      </c>
      <c r="AP1066">
        <f>IFERROR(INDEX(PP_Grid[#Data],$DD1066,40),0)</f>
        <v/>
      </c>
      <c r="AQ1066">
        <f>IFERROR(INDEX(PP_Grid[#Data],$DD1066,41),0)</f>
        <v/>
      </c>
      <c r="AR1066">
        <f>IFERROR(INDEX(PP_Grid[#Data],$DD1066,42),0)</f>
        <v/>
      </c>
      <c r="AS1066">
        <f>IFERROR(INDEX(PP_Grid[#Data],$DD1066,43),0)</f>
        <v/>
      </c>
      <c r="AT1066">
        <f>IFERROR(INDEX(PP_Grid[#Data],$DD1066,44),0)</f>
        <v/>
      </c>
      <c r="AU1066">
        <f>IFERROR(INDEX(PP_Grid[#Data],$DD1066,45),0)</f>
        <v/>
      </c>
      <c r="AV1066">
        <f>IFERROR(INDEX(PP_Grid[#Data],$DD1066,46),0)</f>
        <v/>
      </c>
      <c r="AW1066">
        <f>IFERROR(INDEX(PP_Grid[#Data],$DD1066,47),0)</f>
        <v/>
      </c>
      <c r="AX1066">
        <f>IFERROR(INDEX(PP_Grid[#Data],$DD1066,48),0)</f>
        <v/>
      </c>
      <c r="AY1066">
        <f>IFERROR(INDEX(PP_Grid[#Data],$DD1066,49),0)</f>
        <v/>
      </c>
      <c r="AZ1066">
        <f>IFERROR(INDEX(PP_Grid[#Data],$DD1066,50),0)</f>
        <v/>
      </c>
      <c r="BA1066">
        <f>IFERROR(INDEX(PP_Grid[#Data],$DD1066,51),0)</f>
        <v/>
      </c>
      <c r="BB1066">
        <f>IFERROR(INDEX(PP_Grid[#Data],$DD1066,52),0)</f>
        <v/>
      </c>
      <c r="BC1066">
        <f>IFERROR(INDEX(PP_Grid[#Data],$DD1066,53),0)</f>
        <v/>
      </c>
      <c r="BD1066">
        <f>IFERROR(INDEX(PP_Grid[#Data],$DD1066,54),0)</f>
        <v/>
      </c>
      <c r="BE1066">
        <f>IFERROR(INDEX(PP_Grid[#Data],$DD1066,55),0)</f>
        <v/>
      </c>
      <c r="BF1066">
        <f>IFERROR(INDEX(PP_Grid[#Data],$DD1066,56),0)</f>
        <v/>
      </c>
      <c r="BG1066">
        <f>IFERROR(INDEX(PP_Grid[#Data],$DD1066,57),0)</f>
        <v/>
      </c>
      <c r="BH1066">
        <f>IFERROR(INDEX(PP_Grid[#Data],$DD1066,58),0)</f>
        <v/>
      </c>
      <c r="BI1066">
        <f>IFERROR(INDEX(PP_Grid[#Data],$DD1066,59),0)</f>
        <v/>
      </c>
      <c r="BJ1066">
        <f>IFERROR(INDEX(PP_Grid[#Data],$DD1066,60),0)</f>
        <v/>
      </c>
      <c r="BK1066">
        <f>IFERROR(INDEX(PP_Grid[#Data],$DD1066,61),0)</f>
        <v/>
      </c>
      <c r="BL1066">
        <f>IFERROR(INDEX(PP_Grid[#Data],$DD1066,62),0)</f>
        <v/>
      </c>
      <c r="BM1066">
        <f>IFERROR(INDEX(PP_Grid[#Data],$DD1066,63),0)</f>
        <v/>
      </c>
      <c r="BN1066">
        <f>IFERROR(INDEX(PP_Grid[#Data],$DD1066,64),0)</f>
        <v/>
      </c>
      <c r="BO1066">
        <f>IFERROR(INDEX(PP_Grid[#Data],$DD1066,65),0)</f>
        <v/>
      </c>
      <c r="BP1066">
        <f>IFERROR(INDEX(PP_Grid[#Data],$DD1066,66),0)</f>
        <v/>
      </c>
      <c r="BQ1066">
        <f>IFERROR(INDEX(PP_Grid[#Data],$DD1066,67),0)</f>
        <v/>
      </c>
      <c r="BR1066">
        <f>IFERROR(INDEX(PP_Grid[#Data],$DD1066,68),0)</f>
        <v/>
      </c>
      <c r="BS1066">
        <f>IFERROR(INDEX(PP_Grid[#Data],$DD1066,69),0)</f>
        <v/>
      </c>
      <c r="BT1066">
        <f>IFERROR(INDEX(PP_Grid[#Data],$DD1066,70),0)</f>
        <v/>
      </c>
      <c r="BU1066">
        <f>IFERROR(INDEX(PP_Grid[#Data],$DD1066,71),0)</f>
        <v/>
      </c>
      <c r="BV1066">
        <f>IFERROR(INDEX(PP_Grid[#Data],$DD1066,72),0)</f>
        <v/>
      </c>
      <c r="BW1066">
        <f>IFERROR(INDEX(PP_Grid[#Data],$DD1066,73),0)</f>
        <v/>
      </c>
      <c r="BX1066">
        <f>IFERROR(INDEX(PP_Grid[#Data],$DD1066,74),0)</f>
        <v/>
      </c>
      <c r="BY1066">
        <f>IFERROR(INDEX(PP_Grid[#Data],$DD1066,75),0)</f>
        <v/>
      </c>
      <c r="BZ1066">
        <f>IFERROR(INDEX(PP_Grid[#Data],$DD1066,76),0)</f>
        <v/>
      </c>
      <c r="CA1066">
        <f>IFERROR(INDEX(PP_Grid[#Data],$DD1066,77),0)</f>
        <v/>
      </c>
      <c r="CB1066">
        <f>IFERROR(INDEX(PP_Grid[#Data],$DD1066,78),0)</f>
        <v/>
      </c>
      <c r="CC1066">
        <f>IFERROR(INDEX(PP_Grid[#Data],$DD1066,79),0)</f>
        <v/>
      </c>
      <c r="CD1066">
        <f>IFERROR(INDEX(PP_Grid[#Data],$DD1066,80),0)</f>
        <v/>
      </c>
      <c r="CE1066">
        <f>IFERROR(INDEX(PP_Grid[#Data],$DD1066,81),0)</f>
        <v/>
      </c>
      <c r="CF1066">
        <f>IFERROR(INDEX(PP_Grid[#Data],$DD1066,82),0)</f>
        <v/>
      </c>
      <c r="CG1066">
        <f>IFERROR(INDEX(PP_Grid[#Data],$DD1066,83),0)</f>
        <v/>
      </c>
      <c r="CH1066">
        <f>IFERROR(INDEX(PP_Grid[#Data],$DD1066,84),0)</f>
        <v/>
      </c>
      <c r="CI1066">
        <f>IFERROR(INDEX(PP_Grid[#Data],$DD1066,85),0)</f>
        <v/>
      </c>
      <c r="CJ1066">
        <f>IFERROR(INDEX(PP_Grid[#Data],$DD1066,86),0)</f>
        <v/>
      </c>
      <c r="CK1066">
        <f>IFERROR(INDEX(PP_Grid[#Data],$DD1066,87),0)</f>
        <v/>
      </c>
      <c r="CL1066">
        <f>IFERROR(INDEX(PP_Grid[#Data],$DD1066,88),0)</f>
        <v/>
      </c>
      <c r="CM1066">
        <f>IFERROR(INDEX(PP_Grid[#Data],$DD1066,89),0)</f>
        <v/>
      </c>
      <c r="CN1066">
        <f>IFERROR(INDEX(PP_Grid[#Data],$DD1066,90),0)</f>
        <v/>
      </c>
      <c r="CO1066">
        <f>IFERROR(INDEX(PP_Grid[#Data],$DD1066,91),0)</f>
        <v/>
      </c>
      <c r="CP1066">
        <f>IFERROR(INDEX(PP_Grid[#Data],$DD1066,92),0)</f>
        <v/>
      </c>
      <c r="CQ1066">
        <f>IFERROR(INDEX(PP_Grid[#Data],$DD1066,93),0)</f>
        <v/>
      </c>
      <c r="CR1066">
        <f>IFERROR(INDEX(PP_Grid[#Data],$DD1066,94),0)</f>
        <v/>
      </c>
      <c r="CS1066">
        <f>IFERROR(INDEX(PP_Grid[#Data],$DD1066,95),0)</f>
        <v/>
      </c>
      <c r="CT1066">
        <f>IFERROR(INDEX(PP_Grid[#Data],$DD1066,96),0)</f>
        <v/>
      </c>
      <c r="CU1066">
        <f>IFERROR(INDEX(PP_Grid[#Data],$DD1066,97),0)</f>
        <v/>
      </c>
      <c r="CV1066">
        <f>IFERROR(INDEX(PP_Grid[#Data],$DD1066,98),0)</f>
        <v/>
      </c>
      <c r="CW1066">
        <f>IFERROR(INDEX(PP_Grid[#Data],$DD1066,99),0)</f>
        <v/>
      </c>
      <c r="CX1066">
        <f>IFERROR(INDEX(PP_Grid[#Data],$DD1066,100),0)</f>
        <v/>
      </c>
      <c r="CY1066">
        <f>IFERROR(INDEX(PP_Grid[#Data],$DD1066,101),0)</f>
        <v/>
      </c>
      <c r="CZ1066">
        <f>IFERROR(INDEX(PP_Grid[#Data],$DD1066,102),0)</f>
        <v/>
      </c>
      <c r="DA1066">
        <f>IFERROR(INDEX(PP_Grid[#Data],$DD1066,103),0)</f>
        <v/>
      </c>
      <c r="DB1066">
        <f>IFERROR(INDEX(PP_Grid[#Data],$DD1066,104),0)</f>
        <v/>
      </c>
      <c r="DC1066">
        <f>IFERROR(INDEX(PP_Grid[#Data],$DD1066,105),0)</f>
        <v/>
      </c>
      <c r="DD1066" s="12">
        <f>IFERROR(MATCH($B1066,PP_Grid[Intermediate],0),99999)</f>
        <v/>
      </c>
    </row>
    <row r="1067">
      <c r="B1067" t="inlineStr">
        <is>
          <t>使用量(kg)</t>
        </is>
      </c>
      <c r="C1067">
        <f>SUMIFS(M_BOM[RM_Qty_Per_Batch],M_BOM[Intermediate],$B1066,M_BOM[Part Name],$A1061)</f>
        <v/>
      </c>
      <c r="D1067">
        <f>$C1067*D1066</f>
        <v/>
      </c>
      <c r="E1067">
        <f>$C1067*E1066</f>
        <v/>
      </c>
      <c r="F1067">
        <f>$C1067*F1066</f>
        <v/>
      </c>
      <c r="G1067">
        <f>$C1067*G1066</f>
        <v/>
      </c>
      <c r="H1067">
        <f>$C1067*H1066</f>
        <v/>
      </c>
      <c r="I1067">
        <f>$C1067*I1066</f>
        <v/>
      </c>
      <c r="J1067">
        <f>$C1067*J1066</f>
        <v/>
      </c>
      <c r="K1067">
        <f>$C1067*K1066</f>
        <v/>
      </c>
      <c r="L1067">
        <f>$C1067*L1066</f>
        <v/>
      </c>
      <c r="M1067">
        <f>$C1067*M1066</f>
        <v/>
      </c>
      <c r="N1067">
        <f>$C1067*N1066</f>
        <v/>
      </c>
      <c r="O1067">
        <f>$C1067*O1066</f>
        <v/>
      </c>
      <c r="P1067">
        <f>$C1067*P1066</f>
        <v/>
      </c>
      <c r="Q1067">
        <f>$C1067*Q1066</f>
        <v/>
      </c>
      <c r="R1067">
        <f>$C1067*R1066</f>
        <v/>
      </c>
      <c r="S1067">
        <f>$C1067*S1066</f>
        <v/>
      </c>
      <c r="T1067">
        <f>$C1067*T1066</f>
        <v/>
      </c>
      <c r="U1067">
        <f>$C1067*U1066</f>
        <v/>
      </c>
      <c r="V1067">
        <f>$C1067*V1066</f>
        <v/>
      </c>
      <c r="W1067">
        <f>$C1067*W1066</f>
        <v/>
      </c>
      <c r="X1067">
        <f>$C1067*X1066</f>
        <v/>
      </c>
      <c r="Y1067">
        <f>$C1067*Y1066</f>
        <v/>
      </c>
      <c r="Z1067">
        <f>$C1067*Z1066</f>
        <v/>
      </c>
      <c r="AA1067">
        <f>$C1067*AA1066</f>
        <v/>
      </c>
      <c r="AB1067">
        <f>$C1067*AB1066</f>
        <v/>
      </c>
      <c r="AC1067">
        <f>$C1067*AC1066</f>
        <v/>
      </c>
      <c r="AD1067">
        <f>$C1067*AD1066</f>
        <v/>
      </c>
      <c r="AE1067">
        <f>$C1067*AE1066</f>
        <v/>
      </c>
      <c r="AF1067">
        <f>$C1067*AF1066</f>
        <v/>
      </c>
      <c r="AG1067">
        <f>$C1067*AG1066</f>
        <v/>
      </c>
      <c r="AH1067">
        <f>$C1067*AH1066</f>
        <v/>
      </c>
      <c r="AI1067">
        <f>$C1067*AI1066</f>
        <v/>
      </c>
      <c r="AJ1067">
        <f>$C1067*AJ1066</f>
        <v/>
      </c>
      <c r="AK1067">
        <f>$C1067*AK1066</f>
        <v/>
      </c>
      <c r="AL1067">
        <f>$C1067*AL1066</f>
        <v/>
      </c>
      <c r="AM1067">
        <f>$C1067*AM1066</f>
        <v/>
      </c>
      <c r="AN1067">
        <f>$C1067*AN1066</f>
        <v/>
      </c>
      <c r="AO1067">
        <f>$C1067*AO1066</f>
        <v/>
      </c>
      <c r="AP1067">
        <f>$C1067*AP1066</f>
        <v/>
      </c>
      <c r="AQ1067">
        <f>$C1067*AQ1066</f>
        <v/>
      </c>
      <c r="AR1067">
        <f>$C1067*AR1066</f>
        <v/>
      </c>
      <c r="AS1067">
        <f>$C1067*AS1066</f>
        <v/>
      </c>
      <c r="AT1067">
        <f>$C1067*AT1066</f>
        <v/>
      </c>
      <c r="AU1067">
        <f>$C1067*AU1066</f>
        <v/>
      </c>
      <c r="AV1067">
        <f>$C1067*AV1066</f>
        <v/>
      </c>
      <c r="AW1067">
        <f>$C1067*AW1066</f>
        <v/>
      </c>
      <c r="AX1067">
        <f>$C1067*AX1066</f>
        <v/>
      </c>
      <c r="AY1067">
        <f>$C1067*AY1066</f>
        <v/>
      </c>
      <c r="AZ1067">
        <f>$C1067*AZ1066</f>
        <v/>
      </c>
      <c r="BA1067">
        <f>$C1067*BA1066</f>
        <v/>
      </c>
      <c r="BB1067">
        <f>$C1067*BB1066</f>
        <v/>
      </c>
      <c r="BC1067">
        <f>$C1067*BC1066</f>
        <v/>
      </c>
      <c r="BD1067">
        <f>$C1067*BD1066</f>
        <v/>
      </c>
      <c r="BE1067">
        <f>$C1067*BE1066</f>
        <v/>
      </c>
      <c r="BF1067">
        <f>$C1067*BF1066</f>
        <v/>
      </c>
      <c r="BG1067">
        <f>$C1067*BG1066</f>
        <v/>
      </c>
      <c r="BH1067">
        <f>$C1067*BH1066</f>
        <v/>
      </c>
      <c r="BI1067">
        <f>$C1067*BI1066</f>
        <v/>
      </c>
      <c r="BJ1067">
        <f>$C1067*BJ1066</f>
        <v/>
      </c>
      <c r="BK1067">
        <f>$C1067*BK1066</f>
        <v/>
      </c>
      <c r="BL1067">
        <f>$C1067*BL1066</f>
        <v/>
      </c>
      <c r="BM1067">
        <f>$C1067*BM1066</f>
        <v/>
      </c>
      <c r="BN1067">
        <f>$C1067*BN1066</f>
        <v/>
      </c>
      <c r="BO1067">
        <f>$C1067*BO1066</f>
        <v/>
      </c>
      <c r="BP1067">
        <f>$C1067*BP1066</f>
        <v/>
      </c>
      <c r="BQ1067">
        <f>$C1067*BQ1066</f>
        <v/>
      </c>
      <c r="BR1067">
        <f>$C1067*BR1066</f>
        <v/>
      </c>
      <c r="BS1067">
        <f>$C1067*BS1066</f>
        <v/>
      </c>
      <c r="BT1067">
        <f>$C1067*BT1066</f>
        <v/>
      </c>
      <c r="BU1067">
        <f>$C1067*BU1066</f>
        <v/>
      </c>
      <c r="BV1067">
        <f>$C1067*BV1066</f>
        <v/>
      </c>
      <c r="BW1067">
        <f>$C1067*BW1066</f>
        <v/>
      </c>
      <c r="BX1067">
        <f>$C1067*BX1066</f>
        <v/>
      </c>
      <c r="BY1067">
        <f>$C1067*BY1066</f>
        <v/>
      </c>
      <c r="BZ1067">
        <f>$C1067*BZ1066</f>
        <v/>
      </c>
      <c r="CA1067">
        <f>$C1067*CA1066</f>
        <v/>
      </c>
      <c r="CB1067">
        <f>$C1067*CB1066</f>
        <v/>
      </c>
      <c r="CC1067">
        <f>$C1067*CC1066</f>
        <v/>
      </c>
      <c r="CD1067">
        <f>$C1067*CD1066</f>
        <v/>
      </c>
      <c r="CE1067">
        <f>$C1067*CE1066</f>
        <v/>
      </c>
      <c r="CF1067">
        <f>$C1067*CF1066</f>
        <v/>
      </c>
      <c r="CG1067">
        <f>$C1067*CG1066</f>
        <v/>
      </c>
      <c r="CH1067">
        <f>$C1067*CH1066</f>
        <v/>
      </c>
      <c r="CI1067">
        <f>$C1067*CI1066</f>
        <v/>
      </c>
      <c r="CJ1067">
        <f>$C1067*CJ1066</f>
        <v/>
      </c>
      <c r="CK1067">
        <f>$C1067*CK1066</f>
        <v/>
      </c>
      <c r="CL1067">
        <f>$C1067*CL1066</f>
        <v/>
      </c>
      <c r="CM1067">
        <f>$C1067*CM1066</f>
        <v/>
      </c>
      <c r="CN1067">
        <f>$C1067*CN1066</f>
        <v/>
      </c>
      <c r="CO1067">
        <f>$C1067*CO1066</f>
        <v/>
      </c>
      <c r="CP1067">
        <f>$C1067*CP1066</f>
        <v/>
      </c>
      <c r="CQ1067">
        <f>$C1067*CQ1066</f>
        <v/>
      </c>
      <c r="CR1067">
        <f>$C1067*CR1066</f>
        <v/>
      </c>
      <c r="CS1067">
        <f>$C1067*CS1066</f>
        <v/>
      </c>
      <c r="CT1067">
        <f>$C1067*CT1066</f>
        <v/>
      </c>
      <c r="CU1067">
        <f>$C1067*CU1066</f>
        <v/>
      </c>
      <c r="CV1067">
        <f>$C1067*CV1066</f>
        <v/>
      </c>
      <c r="CW1067">
        <f>$C1067*CW1066</f>
        <v/>
      </c>
      <c r="CX1067">
        <f>$C1067*CX1066</f>
        <v/>
      </c>
      <c r="CY1067">
        <f>$C1067*CY1066</f>
        <v/>
      </c>
      <c r="CZ1067">
        <f>$C1067*CZ1066</f>
        <v/>
      </c>
      <c r="DA1067">
        <f>$C1067*DA1066</f>
        <v/>
      </c>
      <c r="DB1067">
        <f>$C1067*DB1066</f>
        <v/>
      </c>
      <c r="DC1067">
        <f>$C1067*DC1066</f>
        <v/>
      </c>
    </row>
    <row r="1068">
      <c r="B1068" s="5" t="inlineStr">
        <is>
          <t>合計使用量(kg)/週</t>
        </is>
      </c>
      <c r="D1068">
        <f>'Grid_Requirement'!B32</f>
        <v/>
      </c>
      <c r="E1068">
        <f>'Grid_Requirement'!C32</f>
        <v/>
      </c>
      <c r="F1068">
        <f>'Grid_Requirement'!D32</f>
        <v/>
      </c>
      <c r="G1068">
        <f>'Grid_Requirement'!E32</f>
        <v/>
      </c>
      <c r="H1068">
        <f>'Grid_Requirement'!F32</f>
        <v/>
      </c>
      <c r="I1068">
        <f>'Grid_Requirement'!G32</f>
        <v/>
      </c>
      <c r="J1068">
        <f>'Grid_Requirement'!H32</f>
        <v/>
      </c>
      <c r="K1068">
        <f>'Grid_Requirement'!I32</f>
        <v/>
      </c>
      <c r="L1068">
        <f>'Grid_Requirement'!J32</f>
        <v/>
      </c>
      <c r="M1068">
        <f>'Grid_Requirement'!K32</f>
        <v/>
      </c>
      <c r="N1068">
        <f>'Grid_Requirement'!L32</f>
        <v/>
      </c>
      <c r="O1068">
        <f>'Grid_Requirement'!M32</f>
        <v/>
      </c>
      <c r="P1068">
        <f>'Grid_Requirement'!N32</f>
        <v/>
      </c>
      <c r="Q1068">
        <f>'Grid_Requirement'!O32</f>
        <v/>
      </c>
      <c r="R1068">
        <f>'Grid_Requirement'!P32</f>
        <v/>
      </c>
      <c r="S1068">
        <f>'Grid_Requirement'!Q32</f>
        <v/>
      </c>
      <c r="T1068">
        <f>'Grid_Requirement'!R32</f>
        <v/>
      </c>
      <c r="U1068">
        <f>'Grid_Requirement'!S32</f>
        <v/>
      </c>
      <c r="V1068">
        <f>'Grid_Requirement'!T32</f>
        <v/>
      </c>
      <c r="W1068">
        <f>'Grid_Requirement'!U32</f>
        <v/>
      </c>
      <c r="X1068">
        <f>'Grid_Requirement'!V32</f>
        <v/>
      </c>
      <c r="Y1068">
        <f>'Grid_Requirement'!W32</f>
        <v/>
      </c>
      <c r="Z1068">
        <f>'Grid_Requirement'!X32</f>
        <v/>
      </c>
      <c r="AA1068">
        <f>'Grid_Requirement'!Y32</f>
        <v/>
      </c>
      <c r="AB1068">
        <f>'Grid_Requirement'!Z32</f>
        <v/>
      </c>
      <c r="AC1068">
        <f>'Grid_Requirement'!AA32</f>
        <v/>
      </c>
      <c r="AD1068">
        <f>'Grid_Requirement'!AB32</f>
        <v/>
      </c>
      <c r="AE1068">
        <f>'Grid_Requirement'!AC32</f>
        <v/>
      </c>
      <c r="AF1068">
        <f>'Grid_Requirement'!AD32</f>
        <v/>
      </c>
      <c r="AG1068">
        <f>'Grid_Requirement'!AE32</f>
        <v/>
      </c>
      <c r="AH1068">
        <f>'Grid_Requirement'!AF32</f>
        <v/>
      </c>
      <c r="AI1068">
        <f>'Grid_Requirement'!AG32</f>
        <v/>
      </c>
      <c r="AJ1068">
        <f>'Grid_Requirement'!AH32</f>
        <v/>
      </c>
      <c r="AK1068">
        <f>'Grid_Requirement'!AI32</f>
        <v/>
      </c>
      <c r="AL1068">
        <f>'Grid_Requirement'!AJ32</f>
        <v/>
      </c>
      <c r="AM1068">
        <f>'Grid_Requirement'!AK32</f>
        <v/>
      </c>
      <c r="AN1068">
        <f>'Grid_Requirement'!AL32</f>
        <v/>
      </c>
      <c r="AO1068">
        <f>'Grid_Requirement'!AM32</f>
        <v/>
      </c>
      <c r="AP1068">
        <f>'Grid_Requirement'!AN32</f>
        <v/>
      </c>
      <c r="AQ1068">
        <f>'Grid_Requirement'!AO32</f>
        <v/>
      </c>
      <c r="AR1068">
        <f>'Grid_Requirement'!AP32</f>
        <v/>
      </c>
      <c r="AS1068">
        <f>'Grid_Requirement'!AQ32</f>
        <v/>
      </c>
      <c r="AT1068">
        <f>'Grid_Requirement'!AR32</f>
        <v/>
      </c>
      <c r="AU1068">
        <f>'Grid_Requirement'!AS32</f>
        <v/>
      </c>
      <c r="AV1068">
        <f>'Grid_Requirement'!AT32</f>
        <v/>
      </c>
      <c r="AW1068">
        <f>'Grid_Requirement'!AU32</f>
        <v/>
      </c>
      <c r="AX1068">
        <f>'Grid_Requirement'!AV32</f>
        <v/>
      </c>
      <c r="AY1068">
        <f>'Grid_Requirement'!AW32</f>
        <v/>
      </c>
      <c r="AZ1068">
        <f>'Grid_Requirement'!AX32</f>
        <v/>
      </c>
      <c r="BA1068">
        <f>'Grid_Requirement'!AY32</f>
        <v/>
      </c>
      <c r="BB1068">
        <f>'Grid_Requirement'!AZ32</f>
        <v/>
      </c>
      <c r="BC1068">
        <f>'Grid_Requirement'!BA32</f>
        <v/>
      </c>
      <c r="BD1068">
        <f>'Grid_Requirement'!BB32</f>
        <v/>
      </c>
      <c r="BE1068">
        <f>'Grid_Requirement'!BC32</f>
        <v/>
      </c>
      <c r="BF1068">
        <f>'Grid_Requirement'!BD32</f>
        <v/>
      </c>
      <c r="BG1068">
        <f>'Grid_Requirement'!BE32</f>
        <v/>
      </c>
      <c r="BH1068">
        <f>'Grid_Requirement'!BF32</f>
        <v/>
      </c>
      <c r="BI1068">
        <f>'Grid_Requirement'!BG32</f>
        <v/>
      </c>
      <c r="BJ1068">
        <f>'Grid_Requirement'!BH32</f>
        <v/>
      </c>
      <c r="BK1068">
        <f>'Grid_Requirement'!BI32</f>
        <v/>
      </c>
      <c r="BL1068">
        <f>'Grid_Requirement'!BJ32</f>
        <v/>
      </c>
      <c r="BM1068">
        <f>'Grid_Requirement'!BK32</f>
        <v/>
      </c>
      <c r="BN1068">
        <f>'Grid_Requirement'!BL32</f>
        <v/>
      </c>
      <c r="BO1068">
        <f>'Grid_Requirement'!BM32</f>
        <v/>
      </c>
      <c r="BP1068">
        <f>'Grid_Requirement'!BN32</f>
        <v/>
      </c>
      <c r="BQ1068">
        <f>'Grid_Requirement'!BO32</f>
        <v/>
      </c>
      <c r="BR1068">
        <f>'Grid_Requirement'!BP32</f>
        <v/>
      </c>
      <c r="BS1068">
        <f>'Grid_Requirement'!BQ32</f>
        <v/>
      </c>
      <c r="BT1068">
        <f>'Grid_Requirement'!BR32</f>
        <v/>
      </c>
      <c r="BU1068">
        <f>'Grid_Requirement'!BS32</f>
        <v/>
      </c>
      <c r="BV1068">
        <f>'Grid_Requirement'!BT32</f>
        <v/>
      </c>
      <c r="BW1068">
        <f>'Grid_Requirement'!BU32</f>
        <v/>
      </c>
      <c r="BX1068">
        <f>'Grid_Requirement'!BV32</f>
        <v/>
      </c>
      <c r="BY1068">
        <f>'Grid_Requirement'!BW32</f>
        <v/>
      </c>
      <c r="BZ1068">
        <f>'Grid_Requirement'!BX32</f>
        <v/>
      </c>
      <c r="CA1068">
        <f>'Grid_Requirement'!BY32</f>
        <v/>
      </c>
      <c r="CB1068">
        <f>'Grid_Requirement'!BZ32</f>
        <v/>
      </c>
      <c r="CC1068">
        <f>'Grid_Requirement'!CA32</f>
        <v/>
      </c>
      <c r="CD1068">
        <f>'Grid_Requirement'!CB32</f>
        <v/>
      </c>
      <c r="CE1068">
        <f>'Grid_Requirement'!CC32</f>
        <v/>
      </c>
      <c r="CF1068">
        <f>'Grid_Requirement'!CD32</f>
        <v/>
      </c>
      <c r="CG1068">
        <f>'Grid_Requirement'!CE32</f>
        <v/>
      </c>
      <c r="CH1068">
        <f>'Grid_Requirement'!CF32</f>
        <v/>
      </c>
      <c r="CI1068">
        <f>'Grid_Requirement'!CG32</f>
        <v/>
      </c>
      <c r="CJ1068">
        <f>'Grid_Requirement'!CH32</f>
        <v/>
      </c>
      <c r="CK1068">
        <f>'Grid_Requirement'!CI32</f>
        <v/>
      </c>
      <c r="CL1068">
        <f>'Grid_Requirement'!CJ32</f>
        <v/>
      </c>
      <c r="CM1068">
        <f>'Grid_Requirement'!CK32</f>
        <v/>
      </c>
      <c r="CN1068">
        <f>'Grid_Requirement'!CL32</f>
        <v/>
      </c>
      <c r="CO1068">
        <f>'Grid_Requirement'!CM32</f>
        <v/>
      </c>
      <c r="CP1068">
        <f>'Grid_Requirement'!CN32</f>
        <v/>
      </c>
      <c r="CQ1068">
        <f>'Grid_Requirement'!CO32</f>
        <v/>
      </c>
      <c r="CR1068">
        <f>'Grid_Requirement'!CP32</f>
        <v/>
      </c>
      <c r="CS1068">
        <f>'Grid_Requirement'!CQ32</f>
        <v/>
      </c>
      <c r="CT1068">
        <f>'Grid_Requirement'!CR32</f>
        <v/>
      </c>
      <c r="CU1068">
        <f>'Grid_Requirement'!CS32</f>
        <v/>
      </c>
      <c r="CV1068">
        <f>'Grid_Requirement'!CT32</f>
        <v/>
      </c>
      <c r="CW1068">
        <f>'Grid_Requirement'!CU32</f>
        <v/>
      </c>
      <c r="CX1068">
        <f>'Grid_Requirement'!CV32</f>
        <v/>
      </c>
      <c r="CY1068">
        <f>'Grid_Requirement'!CW32</f>
        <v/>
      </c>
      <c r="CZ1068">
        <f>'Grid_Requirement'!CX32</f>
        <v/>
      </c>
      <c r="DA1068">
        <f>'Grid_Requirement'!CY32</f>
        <v/>
      </c>
      <c r="DB1068">
        <f>'Grid_Requirement'!CZ32</f>
        <v/>
      </c>
      <c r="DC1068">
        <f>'Grid_Requirement'!DA32</f>
        <v/>
      </c>
    </row>
    <row r="1069">
      <c r="B1069" t="inlineStr">
        <is>
          <t>TTAF在庫(実績,kg)</t>
        </is>
      </c>
      <c r="D1069">
        <f>'T_TTAFStock'!B36</f>
        <v/>
      </c>
      <c r="E1069">
        <f>'T_TTAFStock'!C36</f>
        <v/>
      </c>
      <c r="F1069">
        <f>'T_TTAFStock'!D36</f>
        <v/>
      </c>
      <c r="G1069">
        <f>'T_TTAFStock'!E36</f>
        <v/>
      </c>
      <c r="H1069">
        <f>'T_TTAFStock'!F36</f>
        <v/>
      </c>
      <c r="I1069">
        <f>'T_TTAFStock'!G36</f>
        <v/>
      </c>
      <c r="J1069">
        <f>'T_TTAFStock'!H36</f>
        <v/>
      </c>
      <c r="K1069">
        <f>'T_TTAFStock'!I36</f>
        <v/>
      </c>
      <c r="L1069">
        <f>'T_TTAFStock'!J36</f>
        <v/>
      </c>
      <c r="M1069">
        <f>'T_TTAFStock'!K36</f>
        <v/>
      </c>
      <c r="N1069">
        <f>'T_TTAFStock'!L36</f>
        <v/>
      </c>
      <c r="O1069">
        <f>'T_TTAFStock'!M36</f>
        <v/>
      </c>
      <c r="P1069">
        <f>'T_TTAFStock'!N36</f>
        <v/>
      </c>
      <c r="Q1069">
        <f>'T_TTAFStock'!O36</f>
        <v/>
      </c>
      <c r="R1069">
        <f>'T_TTAFStock'!P36</f>
        <v/>
      </c>
      <c r="S1069">
        <f>'T_TTAFStock'!Q36</f>
        <v/>
      </c>
      <c r="T1069">
        <f>'T_TTAFStock'!R36</f>
        <v/>
      </c>
      <c r="U1069">
        <f>'T_TTAFStock'!S36</f>
        <v/>
      </c>
      <c r="V1069">
        <f>'T_TTAFStock'!T36</f>
        <v/>
      </c>
      <c r="W1069">
        <f>'T_TTAFStock'!U36</f>
        <v/>
      </c>
      <c r="X1069">
        <f>'T_TTAFStock'!V36</f>
        <v/>
      </c>
      <c r="Y1069">
        <f>'T_TTAFStock'!W36</f>
        <v/>
      </c>
      <c r="Z1069">
        <f>'T_TTAFStock'!X36</f>
        <v/>
      </c>
      <c r="AA1069">
        <f>'T_TTAFStock'!Y36</f>
        <v/>
      </c>
      <c r="AB1069">
        <f>'T_TTAFStock'!Z36</f>
        <v/>
      </c>
      <c r="AC1069">
        <f>'T_TTAFStock'!AA36</f>
        <v/>
      </c>
      <c r="AD1069">
        <f>'T_TTAFStock'!AB36</f>
        <v/>
      </c>
      <c r="AE1069">
        <f>'T_TTAFStock'!AC36</f>
        <v/>
      </c>
      <c r="AF1069">
        <f>'T_TTAFStock'!AD36</f>
        <v/>
      </c>
      <c r="AG1069">
        <f>'T_TTAFStock'!AE36</f>
        <v/>
      </c>
      <c r="AH1069">
        <f>'T_TTAFStock'!AF36</f>
        <v/>
      </c>
      <c r="AI1069">
        <f>'T_TTAFStock'!AG36</f>
        <v/>
      </c>
      <c r="AJ1069">
        <f>'T_TTAFStock'!AH36</f>
        <v/>
      </c>
      <c r="AK1069">
        <f>'T_TTAFStock'!AI36</f>
        <v/>
      </c>
      <c r="AL1069">
        <f>'T_TTAFStock'!AJ36</f>
        <v/>
      </c>
      <c r="AM1069">
        <f>'T_TTAFStock'!AK36</f>
        <v/>
      </c>
      <c r="AN1069">
        <f>'T_TTAFStock'!AL36</f>
        <v/>
      </c>
      <c r="AO1069">
        <f>'T_TTAFStock'!AM36</f>
        <v/>
      </c>
      <c r="AP1069">
        <f>'T_TTAFStock'!AN36</f>
        <v/>
      </c>
      <c r="AQ1069">
        <f>'T_TTAFStock'!AO36</f>
        <v/>
      </c>
      <c r="AR1069">
        <f>'T_TTAFStock'!AP36</f>
        <v/>
      </c>
      <c r="AS1069">
        <f>'T_TTAFStock'!AQ36</f>
        <v/>
      </c>
      <c r="AT1069">
        <f>'T_TTAFStock'!AR36</f>
        <v/>
      </c>
      <c r="AU1069">
        <f>'T_TTAFStock'!AS36</f>
        <v/>
      </c>
      <c r="AV1069">
        <f>'T_TTAFStock'!AT36</f>
        <v/>
      </c>
      <c r="AW1069">
        <f>'T_TTAFStock'!AU36</f>
        <v/>
      </c>
      <c r="AX1069">
        <f>'T_TTAFStock'!AV36</f>
        <v/>
      </c>
      <c r="AY1069">
        <f>'T_TTAFStock'!AW36</f>
        <v/>
      </c>
      <c r="AZ1069">
        <f>'T_TTAFStock'!AX36</f>
        <v/>
      </c>
      <c r="BA1069">
        <f>'T_TTAFStock'!AY36</f>
        <v/>
      </c>
      <c r="BB1069">
        <f>'T_TTAFStock'!AZ36</f>
        <v/>
      </c>
      <c r="BC1069">
        <f>'T_TTAFStock'!BA36</f>
        <v/>
      </c>
      <c r="BD1069">
        <f>'T_TTAFStock'!BB36</f>
        <v/>
      </c>
      <c r="BE1069">
        <f>'T_TTAFStock'!BC36</f>
        <v/>
      </c>
      <c r="BF1069">
        <f>'T_TTAFStock'!BD36</f>
        <v/>
      </c>
      <c r="BG1069">
        <f>'T_TTAFStock'!BE36</f>
        <v/>
      </c>
      <c r="BH1069">
        <f>'T_TTAFStock'!BF36</f>
        <v/>
      </c>
      <c r="BI1069">
        <f>'T_TTAFStock'!BG36</f>
        <v/>
      </c>
      <c r="BJ1069">
        <f>'T_TTAFStock'!BH36</f>
        <v/>
      </c>
      <c r="BK1069">
        <f>'T_TTAFStock'!BI36</f>
        <v/>
      </c>
      <c r="BL1069">
        <f>'T_TTAFStock'!BJ36</f>
        <v/>
      </c>
      <c r="BM1069">
        <f>'T_TTAFStock'!BK36</f>
        <v/>
      </c>
      <c r="BN1069">
        <f>'T_TTAFStock'!BL36</f>
        <v/>
      </c>
      <c r="BO1069">
        <f>'T_TTAFStock'!BM36</f>
        <v/>
      </c>
      <c r="BP1069">
        <f>'T_TTAFStock'!BN36</f>
        <v/>
      </c>
      <c r="BQ1069">
        <f>'T_TTAFStock'!BO36</f>
        <v/>
      </c>
      <c r="BR1069">
        <f>'T_TTAFStock'!BP36</f>
        <v/>
      </c>
      <c r="BS1069">
        <f>'T_TTAFStock'!BQ36</f>
        <v/>
      </c>
      <c r="BT1069">
        <f>'T_TTAFStock'!BR36</f>
        <v/>
      </c>
      <c r="BU1069">
        <f>'T_TTAFStock'!BS36</f>
        <v/>
      </c>
      <c r="BV1069">
        <f>'T_TTAFStock'!BT36</f>
        <v/>
      </c>
      <c r="BW1069">
        <f>'T_TTAFStock'!BU36</f>
        <v/>
      </c>
      <c r="BX1069">
        <f>'T_TTAFStock'!BV36</f>
        <v/>
      </c>
      <c r="BY1069">
        <f>'T_TTAFStock'!BW36</f>
        <v/>
      </c>
      <c r="BZ1069">
        <f>'T_TTAFStock'!BX36</f>
        <v/>
      </c>
      <c r="CA1069">
        <f>'T_TTAFStock'!BY36</f>
        <v/>
      </c>
      <c r="CB1069">
        <f>'T_TTAFStock'!BZ36</f>
        <v/>
      </c>
      <c r="CC1069">
        <f>'T_TTAFStock'!CA36</f>
        <v/>
      </c>
      <c r="CD1069">
        <f>'T_TTAFStock'!CB36</f>
        <v/>
      </c>
      <c r="CE1069">
        <f>'T_TTAFStock'!CC36</f>
        <v/>
      </c>
      <c r="CF1069">
        <f>'T_TTAFStock'!CD36</f>
        <v/>
      </c>
      <c r="CG1069">
        <f>'T_TTAFStock'!CE36</f>
        <v/>
      </c>
      <c r="CH1069">
        <f>'T_TTAFStock'!CF36</f>
        <v/>
      </c>
      <c r="CI1069">
        <f>'T_TTAFStock'!CG36</f>
        <v/>
      </c>
      <c r="CJ1069">
        <f>'T_TTAFStock'!CH36</f>
        <v/>
      </c>
      <c r="CK1069">
        <f>'T_TTAFStock'!CI36</f>
        <v/>
      </c>
      <c r="CL1069">
        <f>'T_TTAFStock'!CJ36</f>
        <v/>
      </c>
      <c r="CM1069">
        <f>'T_TTAFStock'!CK36</f>
        <v/>
      </c>
      <c r="CN1069">
        <f>'T_TTAFStock'!CL36</f>
        <v/>
      </c>
      <c r="CO1069">
        <f>'T_TTAFStock'!CM36</f>
        <v/>
      </c>
      <c r="CP1069">
        <f>'T_TTAFStock'!CN36</f>
        <v/>
      </c>
      <c r="CQ1069">
        <f>'T_TTAFStock'!CO36</f>
        <v/>
      </c>
      <c r="CR1069">
        <f>'T_TTAFStock'!CP36</f>
        <v/>
      </c>
      <c r="CS1069">
        <f>'T_TTAFStock'!CQ36</f>
        <v/>
      </c>
      <c r="CT1069">
        <f>'T_TTAFStock'!CR36</f>
        <v/>
      </c>
      <c r="CU1069">
        <f>'T_TTAFStock'!CS36</f>
        <v/>
      </c>
      <c r="CV1069">
        <f>'T_TTAFStock'!CT36</f>
        <v/>
      </c>
      <c r="CW1069">
        <f>'T_TTAFStock'!CU36</f>
        <v/>
      </c>
      <c r="CX1069">
        <f>'T_TTAFStock'!CV36</f>
        <v/>
      </c>
      <c r="CY1069">
        <f>'T_TTAFStock'!CW36</f>
        <v/>
      </c>
      <c r="CZ1069">
        <f>'T_TTAFStock'!CX36</f>
        <v/>
      </c>
      <c r="DA1069">
        <f>'T_TTAFStock'!CY36</f>
        <v/>
      </c>
      <c r="DB1069">
        <f>'T_TTAFStock'!CZ36</f>
        <v/>
      </c>
      <c r="DC1069">
        <f>'T_TTAFStock'!DA36</f>
        <v/>
      </c>
    </row>
    <row r="1070">
      <c r="B1070" t="inlineStr">
        <is>
          <t>自社在庫(実績,kg)</t>
        </is>
      </c>
      <c r="D1070">
        <f>'T_SelfStock'!B36</f>
        <v/>
      </c>
      <c r="E1070">
        <f>'T_SelfStock'!C36</f>
        <v/>
      </c>
      <c r="F1070">
        <f>'T_SelfStock'!D36</f>
        <v/>
      </c>
      <c r="G1070">
        <f>'T_SelfStock'!E36</f>
        <v/>
      </c>
      <c r="H1070">
        <f>'T_SelfStock'!F36</f>
        <v/>
      </c>
      <c r="I1070">
        <f>'T_SelfStock'!G36</f>
        <v/>
      </c>
      <c r="J1070">
        <f>'T_SelfStock'!H36</f>
        <v/>
      </c>
      <c r="K1070">
        <f>'T_SelfStock'!I36</f>
        <v/>
      </c>
      <c r="L1070">
        <f>'T_SelfStock'!J36</f>
        <v/>
      </c>
      <c r="M1070">
        <f>'T_SelfStock'!K36</f>
        <v/>
      </c>
      <c r="N1070">
        <f>'T_SelfStock'!L36</f>
        <v/>
      </c>
      <c r="O1070">
        <f>'T_SelfStock'!M36</f>
        <v/>
      </c>
      <c r="P1070">
        <f>'T_SelfStock'!N36</f>
        <v/>
      </c>
      <c r="Q1070">
        <f>'T_SelfStock'!O36</f>
        <v/>
      </c>
      <c r="R1070">
        <f>'T_SelfStock'!P36</f>
        <v/>
      </c>
      <c r="S1070">
        <f>'T_SelfStock'!Q36</f>
        <v/>
      </c>
      <c r="T1070">
        <f>'T_SelfStock'!R36</f>
        <v/>
      </c>
      <c r="U1070">
        <f>'T_SelfStock'!S36</f>
        <v/>
      </c>
      <c r="V1070">
        <f>'T_SelfStock'!T36</f>
        <v/>
      </c>
      <c r="W1070">
        <f>'T_SelfStock'!U36</f>
        <v/>
      </c>
      <c r="X1070">
        <f>'T_SelfStock'!V36</f>
        <v/>
      </c>
      <c r="Y1070">
        <f>'T_SelfStock'!W36</f>
        <v/>
      </c>
      <c r="Z1070">
        <f>'T_SelfStock'!X36</f>
        <v/>
      </c>
      <c r="AA1070">
        <f>'T_SelfStock'!Y36</f>
        <v/>
      </c>
      <c r="AB1070">
        <f>'T_SelfStock'!Z36</f>
        <v/>
      </c>
      <c r="AC1070">
        <f>'T_SelfStock'!AA36</f>
        <v/>
      </c>
      <c r="AD1070">
        <f>'T_SelfStock'!AB36</f>
        <v/>
      </c>
      <c r="AE1070">
        <f>'T_SelfStock'!AC36</f>
        <v/>
      </c>
      <c r="AF1070">
        <f>'T_SelfStock'!AD36</f>
        <v/>
      </c>
      <c r="AG1070">
        <f>'T_SelfStock'!AE36</f>
        <v/>
      </c>
      <c r="AH1070">
        <f>'T_SelfStock'!AF36</f>
        <v/>
      </c>
      <c r="AI1070">
        <f>'T_SelfStock'!AG36</f>
        <v/>
      </c>
      <c r="AJ1070">
        <f>'T_SelfStock'!AH36</f>
        <v/>
      </c>
      <c r="AK1070">
        <f>'T_SelfStock'!AI36</f>
        <v/>
      </c>
      <c r="AL1070">
        <f>'T_SelfStock'!AJ36</f>
        <v/>
      </c>
      <c r="AM1070">
        <f>'T_SelfStock'!AK36</f>
        <v/>
      </c>
      <c r="AN1070">
        <f>'T_SelfStock'!AL36</f>
        <v/>
      </c>
      <c r="AO1070">
        <f>'T_SelfStock'!AM36</f>
        <v/>
      </c>
      <c r="AP1070">
        <f>'T_SelfStock'!AN36</f>
        <v/>
      </c>
      <c r="AQ1070">
        <f>'T_SelfStock'!AO36</f>
        <v/>
      </c>
      <c r="AR1070">
        <f>'T_SelfStock'!AP36</f>
        <v/>
      </c>
      <c r="AS1070">
        <f>'T_SelfStock'!AQ36</f>
        <v/>
      </c>
      <c r="AT1070">
        <f>'T_SelfStock'!AR36</f>
        <v/>
      </c>
      <c r="AU1070">
        <f>'T_SelfStock'!AS36</f>
        <v/>
      </c>
      <c r="AV1070">
        <f>'T_SelfStock'!AT36</f>
        <v/>
      </c>
      <c r="AW1070">
        <f>'T_SelfStock'!AU36</f>
        <v/>
      </c>
      <c r="AX1070">
        <f>'T_SelfStock'!AV36</f>
        <v/>
      </c>
      <c r="AY1070">
        <f>'T_SelfStock'!AW36</f>
        <v/>
      </c>
      <c r="AZ1070">
        <f>'T_SelfStock'!AX36</f>
        <v/>
      </c>
      <c r="BA1070">
        <f>'T_SelfStock'!AY36</f>
        <v/>
      </c>
      <c r="BB1070">
        <f>'T_SelfStock'!AZ36</f>
        <v/>
      </c>
      <c r="BC1070">
        <f>'T_SelfStock'!BA36</f>
        <v/>
      </c>
      <c r="BD1070">
        <f>'T_SelfStock'!BB36</f>
        <v/>
      </c>
      <c r="BE1070">
        <f>'T_SelfStock'!BC36</f>
        <v/>
      </c>
      <c r="BF1070">
        <f>'T_SelfStock'!BD36</f>
        <v/>
      </c>
      <c r="BG1070">
        <f>'T_SelfStock'!BE36</f>
        <v/>
      </c>
      <c r="BH1070">
        <f>'T_SelfStock'!BF36</f>
        <v/>
      </c>
      <c r="BI1070">
        <f>'T_SelfStock'!BG36</f>
        <v/>
      </c>
      <c r="BJ1070">
        <f>'T_SelfStock'!BH36</f>
        <v/>
      </c>
      <c r="BK1070">
        <f>'T_SelfStock'!BI36</f>
        <v/>
      </c>
      <c r="BL1070">
        <f>'T_SelfStock'!BJ36</f>
        <v/>
      </c>
      <c r="BM1070">
        <f>'T_SelfStock'!BK36</f>
        <v/>
      </c>
      <c r="BN1070">
        <f>'T_SelfStock'!BL36</f>
        <v/>
      </c>
      <c r="BO1070">
        <f>'T_SelfStock'!BM36</f>
        <v/>
      </c>
      <c r="BP1070">
        <f>'T_SelfStock'!BN36</f>
        <v/>
      </c>
      <c r="BQ1070">
        <f>'T_SelfStock'!BO36</f>
        <v/>
      </c>
      <c r="BR1070">
        <f>'T_SelfStock'!BP36</f>
        <v/>
      </c>
      <c r="BS1070">
        <f>'T_SelfStock'!BQ36</f>
        <v/>
      </c>
      <c r="BT1070">
        <f>'T_SelfStock'!BR36</f>
        <v/>
      </c>
      <c r="BU1070">
        <f>'T_SelfStock'!BS36</f>
        <v/>
      </c>
      <c r="BV1070">
        <f>'T_SelfStock'!BT36</f>
        <v/>
      </c>
      <c r="BW1070">
        <f>'T_SelfStock'!BU36</f>
        <v/>
      </c>
      <c r="BX1070">
        <f>'T_SelfStock'!BV36</f>
        <v/>
      </c>
      <c r="BY1070">
        <f>'T_SelfStock'!BW36</f>
        <v/>
      </c>
      <c r="BZ1070">
        <f>'T_SelfStock'!BX36</f>
        <v/>
      </c>
      <c r="CA1070">
        <f>'T_SelfStock'!BY36</f>
        <v/>
      </c>
      <c r="CB1070">
        <f>'T_SelfStock'!BZ36</f>
        <v/>
      </c>
      <c r="CC1070">
        <f>'T_SelfStock'!CA36</f>
        <v/>
      </c>
      <c r="CD1070">
        <f>'T_SelfStock'!CB36</f>
        <v/>
      </c>
      <c r="CE1070">
        <f>'T_SelfStock'!CC36</f>
        <v/>
      </c>
      <c r="CF1070">
        <f>'T_SelfStock'!CD36</f>
        <v/>
      </c>
      <c r="CG1070">
        <f>'T_SelfStock'!CE36</f>
        <v/>
      </c>
      <c r="CH1070">
        <f>'T_SelfStock'!CF36</f>
        <v/>
      </c>
      <c r="CI1070">
        <f>'T_SelfStock'!CG36</f>
        <v/>
      </c>
      <c r="CJ1070">
        <f>'T_SelfStock'!CH36</f>
        <v/>
      </c>
      <c r="CK1070">
        <f>'T_SelfStock'!CI36</f>
        <v/>
      </c>
      <c r="CL1070">
        <f>'T_SelfStock'!CJ36</f>
        <v/>
      </c>
      <c r="CM1070">
        <f>'T_SelfStock'!CK36</f>
        <v/>
      </c>
      <c r="CN1070">
        <f>'T_SelfStock'!CL36</f>
        <v/>
      </c>
      <c r="CO1070">
        <f>'T_SelfStock'!CM36</f>
        <v/>
      </c>
      <c r="CP1070">
        <f>'T_SelfStock'!CN36</f>
        <v/>
      </c>
      <c r="CQ1070">
        <f>'T_SelfStock'!CO36</f>
        <v/>
      </c>
      <c r="CR1070">
        <f>'T_SelfStock'!CP36</f>
        <v/>
      </c>
      <c r="CS1070">
        <f>'T_SelfStock'!CQ36</f>
        <v/>
      </c>
      <c r="CT1070">
        <f>'T_SelfStock'!CR36</f>
        <v/>
      </c>
      <c r="CU1070">
        <f>'T_SelfStock'!CS36</f>
        <v/>
      </c>
      <c r="CV1070">
        <f>'T_SelfStock'!CT36</f>
        <v/>
      </c>
      <c r="CW1070">
        <f>'T_SelfStock'!CU36</f>
        <v/>
      </c>
      <c r="CX1070">
        <f>'T_SelfStock'!CV36</f>
        <v/>
      </c>
      <c r="CY1070">
        <f>'T_SelfStock'!CW36</f>
        <v/>
      </c>
      <c r="CZ1070">
        <f>'T_SelfStock'!CX36</f>
        <v/>
      </c>
      <c r="DA1070">
        <f>'T_SelfStock'!CY36</f>
        <v/>
      </c>
      <c r="DB1070">
        <f>'T_SelfStock'!CZ36</f>
        <v/>
      </c>
      <c r="DC1070">
        <f>'T_SelfStock'!DA36</f>
        <v/>
      </c>
    </row>
    <row r="1071">
      <c r="B1071" t="inlineStr">
        <is>
          <t>Order(発注予定,kg)</t>
        </is>
      </c>
      <c r="D1071">
        <f>IF(SUMIFS(T_PlannedOrders[EffectiveQty],T_PlannedOrders[Part Name],$A1061,T_PlannedOrders[WeekIndex],1)=0,"",SUMIFS(T_PlannedOrders[EffectiveQty],T_PlannedOrders[Part Name],$A1061,T_PlannedOrders[WeekIndex],1)&amp;" ("&amp;TEXT(SUMPRODUCT(MAX((T_PlannedOrders[Part Name]=$A1061)*(T_PlannedOrders[WeekIndex]=1)*(T_PlannedOrders[EffectiveQty]&gt;0)*T_PlannedOrders[Order_Month])),"m月")&amp;"発注)")</f>
        <v/>
      </c>
      <c r="E1071">
        <f>IF(SUMIFS(T_PlannedOrders[EffectiveQty],T_PlannedOrders[Part Name],$A1061,T_PlannedOrders[WeekIndex],2)=0,"",SUMIFS(T_PlannedOrders[EffectiveQty],T_PlannedOrders[Part Name],$A1061,T_PlannedOrders[WeekIndex],2)&amp;" ("&amp;TEXT(SUMPRODUCT(MAX((T_PlannedOrders[Part Name]=$A1061)*(T_PlannedOrders[WeekIndex]=2)*(T_PlannedOrders[EffectiveQty]&gt;0)*T_PlannedOrders[Order_Month])),"m月")&amp;"発注)")</f>
        <v/>
      </c>
      <c r="F1071">
        <f>IF(SUMIFS(T_PlannedOrders[EffectiveQty],T_PlannedOrders[Part Name],$A1061,T_PlannedOrders[WeekIndex],3)=0,"",SUMIFS(T_PlannedOrders[EffectiveQty],T_PlannedOrders[Part Name],$A1061,T_PlannedOrders[WeekIndex],3)&amp;" ("&amp;TEXT(SUMPRODUCT(MAX((T_PlannedOrders[Part Name]=$A1061)*(T_PlannedOrders[WeekIndex]=3)*(T_PlannedOrders[EffectiveQty]&gt;0)*T_PlannedOrders[Order_Month])),"m月")&amp;"発注)")</f>
        <v/>
      </c>
      <c r="G1071">
        <f>IF(SUMIFS(T_PlannedOrders[EffectiveQty],T_PlannedOrders[Part Name],$A1061,T_PlannedOrders[WeekIndex],4)=0,"",SUMIFS(T_PlannedOrders[EffectiveQty],T_PlannedOrders[Part Name],$A1061,T_PlannedOrders[WeekIndex],4)&amp;" ("&amp;TEXT(SUMPRODUCT(MAX((T_PlannedOrders[Part Name]=$A1061)*(T_PlannedOrders[WeekIndex]=4)*(T_PlannedOrders[EffectiveQty]&gt;0)*T_PlannedOrders[Order_Month])),"m月")&amp;"発注)")</f>
        <v/>
      </c>
      <c r="H1071">
        <f>IF(SUMIFS(T_PlannedOrders[EffectiveQty],T_PlannedOrders[Part Name],$A1061,T_PlannedOrders[WeekIndex],5)=0,"",SUMIFS(T_PlannedOrders[EffectiveQty],T_PlannedOrders[Part Name],$A1061,T_PlannedOrders[WeekIndex],5)&amp;" ("&amp;TEXT(SUMPRODUCT(MAX((T_PlannedOrders[Part Name]=$A1061)*(T_PlannedOrders[WeekIndex]=5)*(T_PlannedOrders[EffectiveQty]&gt;0)*T_PlannedOrders[Order_Month])),"m月")&amp;"発注)")</f>
        <v/>
      </c>
      <c r="I1071">
        <f>IF(SUMIFS(T_PlannedOrders[EffectiveQty],T_PlannedOrders[Part Name],$A1061,T_PlannedOrders[WeekIndex],6)=0,"",SUMIFS(T_PlannedOrders[EffectiveQty],T_PlannedOrders[Part Name],$A1061,T_PlannedOrders[WeekIndex],6)&amp;" ("&amp;TEXT(SUMPRODUCT(MAX((T_PlannedOrders[Part Name]=$A1061)*(T_PlannedOrders[WeekIndex]=6)*(T_PlannedOrders[EffectiveQty]&gt;0)*T_PlannedOrders[Order_Month])),"m月")&amp;"発注)")</f>
        <v/>
      </c>
      <c r="J1071">
        <f>IF(SUMIFS(T_PlannedOrders[EffectiveQty],T_PlannedOrders[Part Name],$A1061,T_PlannedOrders[WeekIndex],7)=0,"",SUMIFS(T_PlannedOrders[EffectiveQty],T_PlannedOrders[Part Name],$A1061,T_PlannedOrders[WeekIndex],7)&amp;" ("&amp;TEXT(SUMPRODUCT(MAX((T_PlannedOrders[Part Name]=$A1061)*(T_PlannedOrders[WeekIndex]=7)*(T_PlannedOrders[EffectiveQty]&gt;0)*T_PlannedOrders[Order_Month])),"m月")&amp;"発注)")</f>
        <v/>
      </c>
      <c r="K1071">
        <f>IF(SUMIFS(T_PlannedOrders[EffectiveQty],T_PlannedOrders[Part Name],$A1061,T_PlannedOrders[WeekIndex],8)=0,"",SUMIFS(T_PlannedOrders[EffectiveQty],T_PlannedOrders[Part Name],$A1061,T_PlannedOrders[WeekIndex],8)&amp;" ("&amp;TEXT(SUMPRODUCT(MAX((T_PlannedOrders[Part Name]=$A1061)*(T_PlannedOrders[WeekIndex]=8)*(T_PlannedOrders[EffectiveQty]&gt;0)*T_PlannedOrders[Order_Month])),"m月")&amp;"発注)")</f>
        <v/>
      </c>
      <c r="L1071">
        <f>IF(SUMIFS(T_PlannedOrders[EffectiveQty],T_PlannedOrders[Part Name],$A1061,T_PlannedOrders[WeekIndex],9)=0,"",SUMIFS(T_PlannedOrders[EffectiveQty],T_PlannedOrders[Part Name],$A1061,T_PlannedOrders[WeekIndex],9)&amp;" ("&amp;TEXT(SUMPRODUCT(MAX((T_PlannedOrders[Part Name]=$A1061)*(T_PlannedOrders[WeekIndex]=9)*(T_PlannedOrders[EffectiveQty]&gt;0)*T_PlannedOrders[Order_Month])),"m月")&amp;"発注)")</f>
        <v/>
      </c>
      <c r="M1071">
        <f>IF(SUMIFS(T_PlannedOrders[EffectiveQty],T_PlannedOrders[Part Name],$A1061,T_PlannedOrders[WeekIndex],10)=0,"",SUMIFS(T_PlannedOrders[EffectiveQty],T_PlannedOrders[Part Name],$A1061,T_PlannedOrders[WeekIndex],10)&amp;" ("&amp;TEXT(SUMPRODUCT(MAX((T_PlannedOrders[Part Name]=$A1061)*(T_PlannedOrders[WeekIndex]=10)*(T_PlannedOrders[EffectiveQty]&gt;0)*T_PlannedOrders[Order_Month])),"m月")&amp;"発注)")</f>
        <v/>
      </c>
      <c r="N1071">
        <f>IF(SUMIFS(T_PlannedOrders[EffectiveQty],T_PlannedOrders[Part Name],$A1061,T_PlannedOrders[WeekIndex],11)=0,"",SUMIFS(T_PlannedOrders[EffectiveQty],T_PlannedOrders[Part Name],$A1061,T_PlannedOrders[WeekIndex],11)&amp;" ("&amp;TEXT(SUMPRODUCT(MAX((T_PlannedOrders[Part Name]=$A1061)*(T_PlannedOrders[WeekIndex]=11)*(T_PlannedOrders[EffectiveQty]&gt;0)*T_PlannedOrders[Order_Month])),"m月")&amp;"発注)")</f>
        <v/>
      </c>
      <c r="O1071">
        <f>IF(SUMIFS(T_PlannedOrders[EffectiveQty],T_PlannedOrders[Part Name],$A1061,T_PlannedOrders[WeekIndex],12)=0,"",SUMIFS(T_PlannedOrders[EffectiveQty],T_PlannedOrders[Part Name],$A1061,T_PlannedOrders[WeekIndex],12)&amp;" ("&amp;TEXT(SUMPRODUCT(MAX((T_PlannedOrders[Part Name]=$A1061)*(T_PlannedOrders[WeekIndex]=12)*(T_PlannedOrders[EffectiveQty]&gt;0)*T_PlannedOrders[Order_Month])),"m月")&amp;"発注)")</f>
        <v/>
      </c>
      <c r="P1071">
        <f>IF(SUMIFS(T_PlannedOrders[EffectiveQty],T_PlannedOrders[Part Name],$A1061,T_PlannedOrders[WeekIndex],13)=0,"",SUMIFS(T_PlannedOrders[EffectiveQty],T_PlannedOrders[Part Name],$A1061,T_PlannedOrders[WeekIndex],13)&amp;" ("&amp;TEXT(SUMPRODUCT(MAX((T_PlannedOrders[Part Name]=$A1061)*(T_PlannedOrders[WeekIndex]=13)*(T_PlannedOrders[EffectiveQty]&gt;0)*T_PlannedOrders[Order_Month])),"m月")&amp;"発注)")</f>
        <v/>
      </c>
      <c r="Q1071">
        <f>IF(SUMIFS(T_PlannedOrders[EffectiveQty],T_PlannedOrders[Part Name],$A1061,T_PlannedOrders[WeekIndex],14)=0,"",SUMIFS(T_PlannedOrders[EffectiveQty],T_PlannedOrders[Part Name],$A1061,T_PlannedOrders[WeekIndex],14)&amp;" ("&amp;TEXT(SUMPRODUCT(MAX((T_PlannedOrders[Part Name]=$A1061)*(T_PlannedOrders[WeekIndex]=14)*(T_PlannedOrders[EffectiveQty]&gt;0)*T_PlannedOrders[Order_Month])),"m月")&amp;"発注)")</f>
        <v/>
      </c>
      <c r="R1071">
        <f>IF(SUMIFS(T_PlannedOrders[EffectiveQty],T_PlannedOrders[Part Name],$A1061,T_PlannedOrders[WeekIndex],15)=0,"",SUMIFS(T_PlannedOrders[EffectiveQty],T_PlannedOrders[Part Name],$A1061,T_PlannedOrders[WeekIndex],15)&amp;" ("&amp;TEXT(SUMPRODUCT(MAX((T_PlannedOrders[Part Name]=$A1061)*(T_PlannedOrders[WeekIndex]=15)*(T_PlannedOrders[EffectiveQty]&gt;0)*T_PlannedOrders[Order_Month])),"m月")&amp;"発注)")</f>
        <v/>
      </c>
      <c r="S1071">
        <f>IF(SUMIFS(T_PlannedOrders[EffectiveQty],T_PlannedOrders[Part Name],$A1061,T_PlannedOrders[WeekIndex],16)=0,"",SUMIFS(T_PlannedOrders[EffectiveQty],T_PlannedOrders[Part Name],$A1061,T_PlannedOrders[WeekIndex],16)&amp;" ("&amp;TEXT(SUMPRODUCT(MAX((T_PlannedOrders[Part Name]=$A1061)*(T_PlannedOrders[WeekIndex]=16)*(T_PlannedOrders[EffectiveQty]&gt;0)*T_PlannedOrders[Order_Month])),"m月")&amp;"発注)")</f>
        <v/>
      </c>
      <c r="T1071">
        <f>IF(SUMIFS(T_PlannedOrders[EffectiveQty],T_PlannedOrders[Part Name],$A1061,T_PlannedOrders[WeekIndex],17)=0,"",SUMIFS(T_PlannedOrders[EffectiveQty],T_PlannedOrders[Part Name],$A1061,T_PlannedOrders[WeekIndex],17)&amp;" ("&amp;TEXT(SUMPRODUCT(MAX((T_PlannedOrders[Part Name]=$A1061)*(T_PlannedOrders[WeekIndex]=17)*(T_PlannedOrders[EffectiveQty]&gt;0)*T_PlannedOrders[Order_Month])),"m月")&amp;"発注)")</f>
        <v/>
      </c>
      <c r="U1071">
        <f>IF(SUMIFS(T_PlannedOrders[EffectiveQty],T_PlannedOrders[Part Name],$A1061,T_PlannedOrders[WeekIndex],18)=0,"",SUMIFS(T_PlannedOrders[EffectiveQty],T_PlannedOrders[Part Name],$A1061,T_PlannedOrders[WeekIndex],18)&amp;" ("&amp;TEXT(SUMPRODUCT(MAX((T_PlannedOrders[Part Name]=$A1061)*(T_PlannedOrders[WeekIndex]=18)*(T_PlannedOrders[EffectiveQty]&gt;0)*T_PlannedOrders[Order_Month])),"m月")&amp;"発注)")</f>
        <v/>
      </c>
      <c r="V1071">
        <f>IF(SUMIFS(T_PlannedOrders[EffectiveQty],T_PlannedOrders[Part Name],$A1061,T_PlannedOrders[WeekIndex],19)=0,"",SUMIFS(T_PlannedOrders[EffectiveQty],T_PlannedOrders[Part Name],$A1061,T_PlannedOrders[WeekIndex],19)&amp;" ("&amp;TEXT(SUMPRODUCT(MAX((T_PlannedOrders[Part Name]=$A1061)*(T_PlannedOrders[WeekIndex]=19)*(T_PlannedOrders[EffectiveQty]&gt;0)*T_PlannedOrders[Order_Month])),"m月")&amp;"発注)")</f>
        <v/>
      </c>
      <c r="W1071">
        <f>IF(SUMIFS(T_PlannedOrders[EffectiveQty],T_PlannedOrders[Part Name],$A1061,T_PlannedOrders[WeekIndex],20)=0,"",SUMIFS(T_PlannedOrders[EffectiveQty],T_PlannedOrders[Part Name],$A1061,T_PlannedOrders[WeekIndex],20)&amp;" ("&amp;TEXT(SUMPRODUCT(MAX((T_PlannedOrders[Part Name]=$A1061)*(T_PlannedOrders[WeekIndex]=20)*(T_PlannedOrders[EffectiveQty]&gt;0)*T_PlannedOrders[Order_Month])),"m月")&amp;"発注)")</f>
        <v/>
      </c>
      <c r="X1071">
        <f>IF(SUMIFS(T_PlannedOrders[EffectiveQty],T_PlannedOrders[Part Name],$A1061,T_PlannedOrders[WeekIndex],21)=0,"",SUMIFS(T_PlannedOrders[EffectiveQty],T_PlannedOrders[Part Name],$A1061,T_PlannedOrders[WeekIndex],21)&amp;" ("&amp;TEXT(SUMPRODUCT(MAX((T_PlannedOrders[Part Name]=$A1061)*(T_PlannedOrders[WeekIndex]=21)*(T_PlannedOrders[EffectiveQty]&gt;0)*T_PlannedOrders[Order_Month])),"m月")&amp;"発注)")</f>
        <v/>
      </c>
      <c r="Y1071">
        <f>IF(SUMIFS(T_PlannedOrders[EffectiveQty],T_PlannedOrders[Part Name],$A1061,T_PlannedOrders[WeekIndex],22)=0,"",SUMIFS(T_PlannedOrders[EffectiveQty],T_PlannedOrders[Part Name],$A1061,T_PlannedOrders[WeekIndex],22)&amp;" ("&amp;TEXT(SUMPRODUCT(MAX((T_PlannedOrders[Part Name]=$A1061)*(T_PlannedOrders[WeekIndex]=22)*(T_PlannedOrders[EffectiveQty]&gt;0)*T_PlannedOrders[Order_Month])),"m月")&amp;"発注)")</f>
        <v/>
      </c>
      <c r="Z1071">
        <f>IF(SUMIFS(T_PlannedOrders[EffectiveQty],T_PlannedOrders[Part Name],$A1061,T_PlannedOrders[WeekIndex],23)=0,"",SUMIFS(T_PlannedOrders[EffectiveQty],T_PlannedOrders[Part Name],$A1061,T_PlannedOrders[WeekIndex],23)&amp;" ("&amp;TEXT(SUMPRODUCT(MAX((T_PlannedOrders[Part Name]=$A1061)*(T_PlannedOrders[WeekIndex]=23)*(T_PlannedOrders[EffectiveQty]&gt;0)*T_PlannedOrders[Order_Month])),"m月")&amp;"発注)")</f>
        <v/>
      </c>
      <c r="AA1071">
        <f>IF(SUMIFS(T_PlannedOrders[EffectiveQty],T_PlannedOrders[Part Name],$A1061,T_PlannedOrders[WeekIndex],24)=0,"",SUMIFS(T_PlannedOrders[EffectiveQty],T_PlannedOrders[Part Name],$A1061,T_PlannedOrders[WeekIndex],24)&amp;" ("&amp;TEXT(SUMPRODUCT(MAX((T_PlannedOrders[Part Name]=$A1061)*(T_PlannedOrders[WeekIndex]=24)*(T_PlannedOrders[EffectiveQty]&gt;0)*T_PlannedOrders[Order_Month])),"m月")&amp;"発注)")</f>
        <v/>
      </c>
      <c r="AB1071">
        <f>IF(SUMIFS(T_PlannedOrders[EffectiveQty],T_PlannedOrders[Part Name],$A1061,T_PlannedOrders[WeekIndex],25)=0,"",SUMIFS(T_PlannedOrders[EffectiveQty],T_PlannedOrders[Part Name],$A1061,T_PlannedOrders[WeekIndex],25)&amp;" ("&amp;TEXT(SUMPRODUCT(MAX((T_PlannedOrders[Part Name]=$A1061)*(T_PlannedOrders[WeekIndex]=25)*(T_PlannedOrders[EffectiveQty]&gt;0)*T_PlannedOrders[Order_Month])),"m月")&amp;"発注)")</f>
        <v/>
      </c>
      <c r="AC1071">
        <f>IF(SUMIFS(T_PlannedOrders[EffectiveQty],T_PlannedOrders[Part Name],$A1061,T_PlannedOrders[WeekIndex],26)=0,"",SUMIFS(T_PlannedOrders[EffectiveQty],T_PlannedOrders[Part Name],$A1061,T_PlannedOrders[WeekIndex],26)&amp;" ("&amp;TEXT(SUMPRODUCT(MAX((T_PlannedOrders[Part Name]=$A1061)*(T_PlannedOrders[WeekIndex]=26)*(T_PlannedOrders[EffectiveQty]&gt;0)*T_PlannedOrders[Order_Month])),"m月")&amp;"発注)")</f>
        <v/>
      </c>
      <c r="AD1071">
        <f>IF(SUMIFS(T_PlannedOrders[EffectiveQty],T_PlannedOrders[Part Name],$A1061,T_PlannedOrders[WeekIndex],27)=0,"",SUMIFS(T_PlannedOrders[EffectiveQty],T_PlannedOrders[Part Name],$A1061,T_PlannedOrders[WeekIndex],27)&amp;" ("&amp;TEXT(SUMPRODUCT(MAX((T_PlannedOrders[Part Name]=$A1061)*(T_PlannedOrders[WeekIndex]=27)*(T_PlannedOrders[EffectiveQty]&gt;0)*T_PlannedOrders[Order_Month])),"m月")&amp;"発注)")</f>
        <v/>
      </c>
      <c r="AE1071">
        <f>IF(SUMIFS(T_PlannedOrders[EffectiveQty],T_PlannedOrders[Part Name],$A1061,T_PlannedOrders[WeekIndex],28)=0,"",SUMIFS(T_PlannedOrders[EffectiveQty],T_PlannedOrders[Part Name],$A1061,T_PlannedOrders[WeekIndex],28)&amp;" ("&amp;TEXT(SUMPRODUCT(MAX((T_PlannedOrders[Part Name]=$A1061)*(T_PlannedOrders[WeekIndex]=28)*(T_PlannedOrders[EffectiveQty]&gt;0)*T_PlannedOrders[Order_Month])),"m月")&amp;"発注)")</f>
        <v/>
      </c>
      <c r="AF1071">
        <f>IF(SUMIFS(T_PlannedOrders[EffectiveQty],T_PlannedOrders[Part Name],$A1061,T_PlannedOrders[WeekIndex],29)=0,"",SUMIFS(T_PlannedOrders[EffectiveQty],T_PlannedOrders[Part Name],$A1061,T_PlannedOrders[WeekIndex],29)&amp;" ("&amp;TEXT(SUMPRODUCT(MAX((T_PlannedOrders[Part Name]=$A1061)*(T_PlannedOrders[WeekIndex]=29)*(T_PlannedOrders[EffectiveQty]&gt;0)*T_PlannedOrders[Order_Month])),"m月")&amp;"発注)")</f>
        <v/>
      </c>
      <c r="AG1071">
        <f>IF(SUMIFS(T_PlannedOrders[EffectiveQty],T_PlannedOrders[Part Name],$A1061,T_PlannedOrders[WeekIndex],30)=0,"",SUMIFS(T_PlannedOrders[EffectiveQty],T_PlannedOrders[Part Name],$A1061,T_PlannedOrders[WeekIndex],30)&amp;" ("&amp;TEXT(SUMPRODUCT(MAX((T_PlannedOrders[Part Name]=$A1061)*(T_PlannedOrders[WeekIndex]=30)*(T_PlannedOrders[EffectiveQty]&gt;0)*T_PlannedOrders[Order_Month])),"m月")&amp;"発注)")</f>
        <v/>
      </c>
      <c r="AH1071">
        <f>IF(SUMIFS(T_PlannedOrders[EffectiveQty],T_PlannedOrders[Part Name],$A1061,T_PlannedOrders[WeekIndex],31)=0,"",SUMIFS(T_PlannedOrders[EffectiveQty],T_PlannedOrders[Part Name],$A1061,T_PlannedOrders[WeekIndex],31)&amp;" ("&amp;TEXT(SUMPRODUCT(MAX((T_PlannedOrders[Part Name]=$A1061)*(T_PlannedOrders[WeekIndex]=31)*(T_PlannedOrders[EffectiveQty]&gt;0)*T_PlannedOrders[Order_Month])),"m月")&amp;"発注)")</f>
        <v/>
      </c>
      <c r="AI1071">
        <f>IF(SUMIFS(T_PlannedOrders[EffectiveQty],T_PlannedOrders[Part Name],$A1061,T_PlannedOrders[WeekIndex],32)=0,"",SUMIFS(T_PlannedOrders[EffectiveQty],T_PlannedOrders[Part Name],$A1061,T_PlannedOrders[WeekIndex],32)&amp;" ("&amp;TEXT(SUMPRODUCT(MAX((T_PlannedOrders[Part Name]=$A1061)*(T_PlannedOrders[WeekIndex]=32)*(T_PlannedOrders[EffectiveQty]&gt;0)*T_PlannedOrders[Order_Month])),"m月")&amp;"発注)")</f>
        <v/>
      </c>
      <c r="AJ1071">
        <f>IF(SUMIFS(T_PlannedOrders[EffectiveQty],T_PlannedOrders[Part Name],$A1061,T_PlannedOrders[WeekIndex],33)=0,"",SUMIFS(T_PlannedOrders[EffectiveQty],T_PlannedOrders[Part Name],$A1061,T_PlannedOrders[WeekIndex],33)&amp;" ("&amp;TEXT(SUMPRODUCT(MAX((T_PlannedOrders[Part Name]=$A1061)*(T_PlannedOrders[WeekIndex]=33)*(T_PlannedOrders[EffectiveQty]&gt;0)*T_PlannedOrders[Order_Month])),"m月")&amp;"発注)")</f>
        <v/>
      </c>
      <c r="AK1071">
        <f>IF(SUMIFS(T_PlannedOrders[EffectiveQty],T_PlannedOrders[Part Name],$A1061,T_PlannedOrders[WeekIndex],34)=0,"",SUMIFS(T_PlannedOrders[EffectiveQty],T_PlannedOrders[Part Name],$A1061,T_PlannedOrders[WeekIndex],34)&amp;" ("&amp;TEXT(SUMPRODUCT(MAX((T_PlannedOrders[Part Name]=$A1061)*(T_PlannedOrders[WeekIndex]=34)*(T_PlannedOrders[EffectiveQty]&gt;0)*T_PlannedOrders[Order_Month])),"m月")&amp;"発注)")</f>
        <v/>
      </c>
      <c r="AL1071">
        <f>IF(SUMIFS(T_PlannedOrders[EffectiveQty],T_PlannedOrders[Part Name],$A1061,T_PlannedOrders[WeekIndex],35)=0,"",SUMIFS(T_PlannedOrders[EffectiveQty],T_PlannedOrders[Part Name],$A1061,T_PlannedOrders[WeekIndex],35)&amp;" ("&amp;TEXT(SUMPRODUCT(MAX((T_PlannedOrders[Part Name]=$A1061)*(T_PlannedOrders[WeekIndex]=35)*(T_PlannedOrders[EffectiveQty]&gt;0)*T_PlannedOrders[Order_Month])),"m月")&amp;"発注)")</f>
        <v/>
      </c>
      <c r="AM1071">
        <f>IF(SUMIFS(T_PlannedOrders[EffectiveQty],T_PlannedOrders[Part Name],$A1061,T_PlannedOrders[WeekIndex],36)=0,"",SUMIFS(T_PlannedOrders[EffectiveQty],T_PlannedOrders[Part Name],$A1061,T_PlannedOrders[WeekIndex],36)&amp;" ("&amp;TEXT(SUMPRODUCT(MAX((T_PlannedOrders[Part Name]=$A1061)*(T_PlannedOrders[WeekIndex]=36)*(T_PlannedOrders[EffectiveQty]&gt;0)*T_PlannedOrders[Order_Month])),"m月")&amp;"発注)")</f>
        <v/>
      </c>
      <c r="AN1071">
        <f>IF(SUMIFS(T_PlannedOrders[EffectiveQty],T_PlannedOrders[Part Name],$A1061,T_PlannedOrders[WeekIndex],37)=0,"",SUMIFS(T_PlannedOrders[EffectiveQty],T_PlannedOrders[Part Name],$A1061,T_PlannedOrders[WeekIndex],37)&amp;" ("&amp;TEXT(SUMPRODUCT(MAX((T_PlannedOrders[Part Name]=$A1061)*(T_PlannedOrders[WeekIndex]=37)*(T_PlannedOrders[EffectiveQty]&gt;0)*T_PlannedOrders[Order_Month])),"m月")&amp;"発注)")</f>
        <v/>
      </c>
      <c r="AO1071">
        <f>IF(SUMIFS(T_PlannedOrders[EffectiveQty],T_PlannedOrders[Part Name],$A1061,T_PlannedOrders[WeekIndex],38)=0,"",SUMIFS(T_PlannedOrders[EffectiveQty],T_PlannedOrders[Part Name],$A1061,T_PlannedOrders[WeekIndex],38)&amp;" ("&amp;TEXT(SUMPRODUCT(MAX((T_PlannedOrders[Part Name]=$A1061)*(T_PlannedOrders[WeekIndex]=38)*(T_PlannedOrders[EffectiveQty]&gt;0)*T_PlannedOrders[Order_Month])),"m月")&amp;"発注)")</f>
        <v/>
      </c>
      <c r="AP1071">
        <f>IF(SUMIFS(T_PlannedOrders[EffectiveQty],T_PlannedOrders[Part Name],$A1061,T_PlannedOrders[WeekIndex],39)=0,"",SUMIFS(T_PlannedOrders[EffectiveQty],T_PlannedOrders[Part Name],$A1061,T_PlannedOrders[WeekIndex],39)&amp;" ("&amp;TEXT(SUMPRODUCT(MAX((T_PlannedOrders[Part Name]=$A1061)*(T_PlannedOrders[WeekIndex]=39)*(T_PlannedOrders[EffectiveQty]&gt;0)*T_PlannedOrders[Order_Month])),"m月")&amp;"発注)")</f>
        <v/>
      </c>
      <c r="AQ1071">
        <f>IF(SUMIFS(T_PlannedOrders[EffectiveQty],T_PlannedOrders[Part Name],$A1061,T_PlannedOrders[WeekIndex],40)=0,"",SUMIFS(T_PlannedOrders[EffectiveQty],T_PlannedOrders[Part Name],$A1061,T_PlannedOrders[WeekIndex],40)&amp;" ("&amp;TEXT(SUMPRODUCT(MAX((T_PlannedOrders[Part Name]=$A1061)*(T_PlannedOrders[WeekIndex]=40)*(T_PlannedOrders[EffectiveQty]&gt;0)*T_PlannedOrders[Order_Month])),"m月")&amp;"発注)")</f>
        <v/>
      </c>
      <c r="AR1071">
        <f>IF(SUMIFS(T_PlannedOrders[EffectiveQty],T_PlannedOrders[Part Name],$A1061,T_PlannedOrders[WeekIndex],41)=0,"",SUMIFS(T_PlannedOrders[EffectiveQty],T_PlannedOrders[Part Name],$A1061,T_PlannedOrders[WeekIndex],41)&amp;" ("&amp;TEXT(SUMPRODUCT(MAX((T_PlannedOrders[Part Name]=$A1061)*(T_PlannedOrders[WeekIndex]=41)*(T_PlannedOrders[EffectiveQty]&gt;0)*T_PlannedOrders[Order_Month])),"m月")&amp;"発注)")</f>
        <v/>
      </c>
      <c r="AS1071">
        <f>IF(SUMIFS(T_PlannedOrders[EffectiveQty],T_PlannedOrders[Part Name],$A1061,T_PlannedOrders[WeekIndex],42)=0,"",SUMIFS(T_PlannedOrders[EffectiveQty],T_PlannedOrders[Part Name],$A1061,T_PlannedOrders[WeekIndex],42)&amp;" ("&amp;TEXT(SUMPRODUCT(MAX((T_PlannedOrders[Part Name]=$A1061)*(T_PlannedOrders[WeekIndex]=42)*(T_PlannedOrders[EffectiveQty]&gt;0)*T_PlannedOrders[Order_Month])),"m月")&amp;"発注)")</f>
        <v/>
      </c>
      <c r="AT1071">
        <f>IF(SUMIFS(T_PlannedOrders[EffectiveQty],T_PlannedOrders[Part Name],$A1061,T_PlannedOrders[WeekIndex],43)=0,"",SUMIFS(T_PlannedOrders[EffectiveQty],T_PlannedOrders[Part Name],$A1061,T_PlannedOrders[WeekIndex],43)&amp;" ("&amp;TEXT(SUMPRODUCT(MAX((T_PlannedOrders[Part Name]=$A1061)*(T_PlannedOrders[WeekIndex]=43)*(T_PlannedOrders[EffectiveQty]&gt;0)*T_PlannedOrders[Order_Month])),"m月")&amp;"発注)")</f>
        <v/>
      </c>
      <c r="AU1071">
        <f>IF(SUMIFS(T_PlannedOrders[EffectiveQty],T_PlannedOrders[Part Name],$A1061,T_PlannedOrders[WeekIndex],44)=0,"",SUMIFS(T_PlannedOrders[EffectiveQty],T_PlannedOrders[Part Name],$A1061,T_PlannedOrders[WeekIndex],44)&amp;" ("&amp;TEXT(SUMPRODUCT(MAX((T_PlannedOrders[Part Name]=$A1061)*(T_PlannedOrders[WeekIndex]=44)*(T_PlannedOrders[EffectiveQty]&gt;0)*T_PlannedOrders[Order_Month])),"m月")&amp;"発注)")</f>
        <v/>
      </c>
      <c r="AV1071">
        <f>IF(SUMIFS(T_PlannedOrders[EffectiveQty],T_PlannedOrders[Part Name],$A1061,T_PlannedOrders[WeekIndex],45)=0,"",SUMIFS(T_PlannedOrders[EffectiveQty],T_PlannedOrders[Part Name],$A1061,T_PlannedOrders[WeekIndex],45)&amp;" ("&amp;TEXT(SUMPRODUCT(MAX((T_PlannedOrders[Part Name]=$A1061)*(T_PlannedOrders[WeekIndex]=45)*(T_PlannedOrders[EffectiveQty]&gt;0)*T_PlannedOrders[Order_Month])),"m月")&amp;"発注)")</f>
        <v/>
      </c>
      <c r="AW1071">
        <f>IF(SUMIFS(T_PlannedOrders[EffectiveQty],T_PlannedOrders[Part Name],$A1061,T_PlannedOrders[WeekIndex],46)=0,"",SUMIFS(T_PlannedOrders[EffectiveQty],T_PlannedOrders[Part Name],$A1061,T_PlannedOrders[WeekIndex],46)&amp;" ("&amp;TEXT(SUMPRODUCT(MAX((T_PlannedOrders[Part Name]=$A1061)*(T_PlannedOrders[WeekIndex]=46)*(T_PlannedOrders[EffectiveQty]&gt;0)*T_PlannedOrders[Order_Month])),"m月")&amp;"発注)")</f>
        <v/>
      </c>
      <c r="AX1071">
        <f>IF(SUMIFS(T_PlannedOrders[EffectiveQty],T_PlannedOrders[Part Name],$A1061,T_PlannedOrders[WeekIndex],47)=0,"",SUMIFS(T_PlannedOrders[EffectiveQty],T_PlannedOrders[Part Name],$A1061,T_PlannedOrders[WeekIndex],47)&amp;" ("&amp;TEXT(SUMPRODUCT(MAX((T_PlannedOrders[Part Name]=$A1061)*(T_PlannedOrders[WeekIndex]=47)*(T_PlannedOrders[EffectiveQty]&gt;0)*T_PlannedOrders[Order_Month])),"m月")&amp;"発注)")</f>
        <v/>
      </c>
      <c r="AY1071">
        <f>IF(SUMIFS(T_PlannedOrders[EffectiveQty],T_PlannedOrders[Part Name],$A1061,T_PlannedOrders[WeekIndex],48)=0,"",SUMIFS(T_PlannedOrders[EffectiveQty],T_PlannedOrders[Part Name],$A1061,T_PlannedOrders[WeekIndex],48)&amp;" ("&amp;TEXT(SUMPRODUCT(MAX((T_PlannedOrders[Part Name]=$A1061)*(T_PlannedOrders[WeekIndex]=48)*(T_PlannedOrders[EffectiveQty]&gt;0)*T_PlannedOrders[Order_Month])),"m月")&amp;"発注)")</f>
        <v/>
      </c>
      <c r="AZ1071">
        <f>IF(SUMIFS(T_PlannedOrders[EffectiveQty],T_PlannedOrders[Part Name],$A1061,T_PlannedOrders[WeekIndex],49)=0,"",SUMIFS(T_PlannedOrders[EffectiveQty],T_PlannedOrders[Part Name],$A1061,T_PlannedOrders[WeekIndex],49)&amp;" ("&amp;TEXT(SUMPRODUCT(MAX((T_PlannedOrders[Part Name]=$A1061)*(T_PlannedOrders[WeekIndex]=49)*(T_PlannedOrders[EffectiveQty]&gt;0)*T_PlannedOrders[Order_Month])),"m月")&amp;"発注)")</f>
        <v/>
      </c>
      <c r="BA1071">
        <f>IF(SUMIFS(T_PlannedOrders[EffectiveQty],T_PlannedOrders[Part Name],$A1061,T_PlannedOrders[WeekIndex],50)=0,"",SUMIFS(T_PlannedOrders[EffectiveQty],T_PlannedOrders[Part Name],$A1061,T_PlannedOrders[WeekIndex],50)&amp;" ("&amp;TEXT(SUMPRODUCT(MAX((T_PlannedOrders[Part Name]=$A1061)*(T_PlannedOrders[WeekIndex]=50)*(T_PlannedOrders[EffectiveQty]&gt;0)*T_PlannedOrders[Order_Month])),"m月")&amp;"発注)")</f>
        <v/>
      </c>
      <c r="BB1071">
        <f>IF(SUMIFS(T_PlannedOrders[EffectiveQty],T_PlannedOrders[Part Name],$A1061,T_PlannedOrders[WeekIndex],51)=0,"",SUMIFS(T_PlannedOrders[EffectiveQty],T_PlannedOrders[Part Name],$A1061,T_PlannedOrders[WeekIndex],51)&amp;" ("&amp;TEXT(SUMPRODUCT(MAX((T_PlannedOrders[Part Name]=$A1061)*(T_PlannedOrders[WeekIndex]=51)*(T_PlannedOrders[EffectiveQty]&gt;0)*T_PlannedOrders[Order_Month])),"m月")&amp;"発注)")</f>
        <v/>
      </c>
      <c r="BC1071">
        <f>IF(SUMIFS(T_PlannedOrders[EffectiveQty],T_PlannedOrders[Part Name],$A1061,T_PlannedOrders[WeekIndex],52)=0,"",SUMIFS(T_PlannedOrders[EffectiveQty],T_PlannedOrders[Part Name],$A1061,T_PlannedOrders[WeekIndex],52)&amp;" ("&amp;TEXT(SUMPRODUCT(MAX((T_PlannedOrders[Part Name]=$A1061)*(T_PlannedOrders[WeekIndex]=52)*(T_PlannedOrders[EffectiveQty]&gt;0)*T_PlannedOrders[Order_Month])),"m月")&amp;"発注)")</f>
        <v/>
      </c>
      <c r="BD1071">
        <f>IF(SUMIFS(T_PlannedOrders[EffectiveQty],T_PlannedOrders[Part Name],$A1061,T_PlannedOrders[WeekIndex],53)=0,"",SUMIFS(T_PlannedOrders[EffectiveQty],T_PlannedOrders[Part Name],$A1061,T_PlannedOrders[WeekIndex],53)&amp;" ("&amp;TEXT(SUMPRODUCT(MAX((T_PlannedOrders[Part Name]=$A1061)*(T_PlannedOrders[WeekIndex]=53)*(T_PlannedOrders[EffectiveQty]&gt;0)*T_PlannedOrders[Order_Month])),"m月")&amp;"発注)")</f>
        <v/>
      </c>
      <c r="BE1071">
        <f>IF(SUMIFS(T_PlannedOrders[EffectiveQty],T_PlannedOrders[Part Name],$A1061,T_PlannedOrders[WeekIndex],54)=0,"",SUMIFS(T_PlannedOrders[EffectiveQty],T_PlannedOrders[Part Name],$A1061,T_PlannedOrders[WeekIndex],54)&amp;" ("&amp;TEXT(SUMPRODUCT(MAX((T_PlannedOrders[Part Name]=$A1061)*(T_PlannedOrders[WeekIndex]=54)*(T_PlannedOrders[EffectiveQty]&gt;0)*T_PlannedOrders[Order_Month])),"m月")&amp;"発注)")</f>
        <v/>
      </c>
      <c r="BF1071">
        <f>IF(SUMIFS(T_PlannedOrders[EffectiveQty],T_PlannedOrders[Part Name],$A1061,T_PlannedOrders[WeekIndex],55)=0,"",SUMIFS(T_PlannedOrders[EffectiveQty],T_PlannedOrders[Part Name],$A1061,T_PlannedOrders[WeekIndex],55)&amp;" ("&amp;TEXT(SUMPRODUCT(MAX((T_PlannedOrders[Part Name]=$A1061)*(T_PlannedOrders[WeekIndex]=55)*(T_PlannedOrders[EffectiveQty]&gt;0)*T_PlannedOrders[Order_Month])),"m月")&amp;"発注)")</f>
        <v/>
      </c>
      <c r="BG1071">
        <f>IF(SUMIFS(T_PlannedOrders[EffectiveQty],T_PlannedOrders[Part Name],$A1061,T_PlannedOrders[WeekIndex],56)=0,"",SUMIFS(T_PlannedOrders[EffectiveQty],T_PlannedOrders[Part Name],$A1061,T_PlannedOrders[WeekIndex],56)&amp;" ("&amp;TEXT(SUMPRODUCT(MAX((T_PlannedOrders[Part Name]=$A1061)*(T_PlannedOrders[WeekIndex]=56)*(T_PlannedOrders[EffectiveQty]&gt;0)*T_PlannedOrders[Order_Month])),"m月")&amp;"発注)")</f>
        <v/>
      </c>
      <c r="BH1071">
        <f>IF(SUMIFS(T_PlannedOrders[EffectiveQty],T_PlannedOrders[Part Name],$A1061,T_PlannedOrders[WeekIndex],57)=0,"",SUMIFS(T_PlannedOrders[EffectiveQty],T_PlannedOrders[Part Name],$A1061,T_PlannedOrders[WeekIndex],57)&amp;" ("&amp;TEXT(SUMPRODUCT(MAX((T_PlannedOrders[Part Name]=$A1061)*(T_PlannedOrders[WeekIndex]=57)*(T_PlannedOrders[EffectiveQty]&gt;0)*T_PlannedOrders[Order_Month])),"m月")&amp;"発注)")</f>
        <v/>
      </c>
      <c r="BI1071">
        <f>IF(SUMIFS(T_PlannedOrders[EffectiveQty],T_PlannedOrders[Part Name],$A1061,T_PlannedOrders[WeekIndex],58)=0,"",SUMIFS(T_PlannedOrders[EffectiveQty],T_PlannedOrders[Part Name],$A1061,T_PlannedOrders[WeekIndex],58)&amp;" ("&amp;TEXT(SUMPRODUCT(MAX((T_PlannedOrders[Part Name]=$A1061)*(T_PlannedOrders[WeekIndex]=58)*(T_PlannedOrders[EffectiveQty]&gt;0)*T_PlannedOrders[Order_Month])),"m月")&amp;"発注)")</f>
        <v/>
      </c>
      <c r="BJ1071">
        <f>IF(SUMIFS(T_PlannedOrders[EffectiveQty],T_PlannedOrders[Part Name],$A1061,T_PlannedOrders[WeekIndex],59)=0,"",SUMIFS(T_PlannedOrders[EffectiveQty],T_PlannedOrders[Part Name],$A1061,T_PlannedOrders[WeekIndex],59)&amp;" ("&amp;TEXT(SUMPRODUCT(MAX((T_PlannedOrders[Part Name]=$A1061)*(T_PlannedOrders[WeekIndex]=59)*(T_PlannedOrders[EffectiveQty]&gt;0)*T_PlannedOrders[Order_Month])),"m月")&amp;"発注)")</f>
        <v/>
      </c>
      <c r="BK1071">
        <f>IF(SUMIFS(T_PlannedOrders[EffectiveQty],T_PlannedOrders[Part Name],$A1061,T_PlannedOrders[WeekIndex],60)=0,"",SUMIFS(T_PlannedOrders[EffectiveQty],T_PlannedOrders[Part Name],$A1061,T_PlannedOrders[WeekIndex],60)&amp;" ("&amp;TEXT(SUMPRODUCT(MAX((T_PlannedOrders[Part Name]=$A1061)*(T_PlannedOrders[WeekIndex]=60)*(T_PlannedOrders[EffectiveQty]&gt;0)*T_PlannedOrders[Order_Month])),"m月")&amp;"発注)")</f>
        <v/>
      </c>
      <c r="BL1071">
        <f>IF(SUMIFS(T_PlannedOrders[EffectiveQty],T_PlannedOrders[Part Name],$A1061,T_PlannedOrders[WeekIndex],61)=0,"",SUMIFS(T_PlannedOrders[EffectiveQty],T_PlannedOrders[Part Name],$A1061,T_PlannedOrders[WeekIndex],61)&amp;" ("&amp;TEXT(SUMPRODUCT(MAX((T_PlannedOrders[Part Name]=$A1061)*(T_PlannedOrders[WeekIndex]=61)*(T_PlannedOrders[EffectiveQty]&gt;0)*T_PlannedOrders[Order_Month])),"m月")&amp;"発注)")</f>
        <v/>
      </c>
      <c r="BM1071">
        <f>IF(SUMIFS(T_PlannedOrders[EffectiveQty],T_PlannedOrders[Part Name],$A1061,T_PlannedOrders[WeekIndex],62)=0,"",SUMIFS(T_PlannedOrders[EffectiveQty],T_PlannedOrders[Part Name],$A1061,T_PlannedOrders[WeekIndex],62)&amp;" ("&amp;TEXT(SUMPRODUCT(MAX((T_PlannedOrders[Part Name]=$A1061)*(T_PlannedOrders[WeekIndex]=62)*(T_PlannedOrders[EffectiveQty]&gt;0)*T_PlannedOrders[Order_Month])),"m月")&amp;"発注)")</f>
        <v/>
      </c>
      <c r="BN1071">
        <f>IF(SUMIFS(T_PlannedOrders[EffectiveQty],T_PlannedOrders[Part Name],$A1061,T_PlannedOrders[WeekIndex],63)=0,"",SUMIFS(T_PlannedOrders[EffectiveQty],T_PlannedOrders[Part Name],$A1061,T_PlannedOrders[WeekIndex],63)&amp;" ("&amp;TEXT(SUMPRODUCT(MAX((T_PlannedOrders[Part Name]=$A1061)*(T_PlannedOrders[WeekIndex]=63)*(T_PlannedOrders[EffectiveQty]&gt;0)*T_PlannedOrders[Order_Month])),"m月")&amp;"発注)")</f>
        <v/>
      </c>
      <c r="BO1071">
        <f>IF(SUMIFS(T_PlannedOrders[EffectiveQty],T_PlannedOrders[Part Name],$A1061,T_PlannedOrders[WeekIndex],64)=0,"",SUMIFS(T_PlannedOrders[EffectiveQty],T_PlannedOrders[Part Name],$A1061,T_PlannedOrders[WeekIndex],64)&amp;" ("&amp;TEXT(SUMPRODUCT(MAX((T_PlannedOrders[Part Name]=$A1061)*(T_PlannedOrders[WeekIndex]=64)*(T_PlannedOrders[EffectiveQty]&gt;0)*T_PlannedOrders[Order_Month])),"m月")&amp;"発注)")</f>
        <v/>
      </c>
      <c r="BP1071">
        <f>IF(SUMIFS(T_PlannedOrders[EffectiveQty],T_PlannedOrders[Part Name],$A1061,T_PlannedOrders[WeekIndex],65)=0,"",SUMIFS(T_PlannedOrders[EffectiveQty],T_PlannedOrders[Part Name],$A1061,T_PlannedOrders[WeekIndex],65)&amp;" ("&amp;TEXT(SUMPRODUCT(MAX((T_PlannedOrders[Part Name]=$A1061)*(T_PlannedOrders[WeekIndex]=65)*(T_PlannedOrders[EffectiveQty]&gt;0)*T_PlannedOrders[Order_Month])),"m月")&amp;"発注)")</f>
        <v/>
      </c>
      <c r="BQ1071">
        <f>IF(SUMIFS(T_PlannedOrders[EffectiveQty],T_PlannedOrders[Part Name],$A1061,T_PlannedOrders[WeekIndex],66)=0,"",SUMIFS(T_PlannedOrders[EffectiveQty],T_PlannedOrders[Part Name],$A1061,T_PlannedOrders[WeekIndex],66)&amp;" ("&amp;TEXT(SUMPRODUCT(MAX((T_PlannedOrders[Part Name]=$A1061)*(T_PlannedOrders[WeekIndex]=66)*(T_PlannedOrders[EffectiveQty]&gt;0)*T_PlannedOrders[Order_Month])),"m月")&amp;"発注)")</f>
        <v/>
      </c>
      <c r="BR1071">
        <f>IF(SUMIFS(T_PlannedOrders[EffectiveQty],T_PlannedOrders[Part Name],$A1061,T_PlannedOrders[WeekIndex],67)=0,"",SUMIFS(T_PlannedOrders[EffectiveQty],T_PlannedOrders[Part Name],$A1061,T_PlannedOrders[WeekIndex],67)&amp;" ("&amp;TEXT(SUMPRODUCT(MAX((T_PlannedOrders[Part Name]=$A1061)*(T_PlannedOrders[WeekIndex]=67)*(T_PlannedOrders[EffectiveQty]&gt;0)*T_PlannedOrders[Order_Month])),"m月")&amp;"発注)")</f>
        <v/>
      </c>
      <c r="BS1071">
        <f>IF(SUMIFS(T_PlannedOrders[EffectiveQty],T_PlannedOrders[Part Name],$A1061,T_PlannedOrders[WeekIndex],68)=0,"",SUMIFS(T_PlannedOrders[EffectiveQty],T_PlannedOrders[Part Name],$A1061,T_PlannedOrders[WeekIndex],68)&amp;" ("&amp;TEXT(SUMPRODUCT(MAX((T_PlannedOrders[Part Name]=$A1061)*(T_PlannedOrders[WeekIndex]=68)*(T_PlannedOrders[EffectiveQty]&gt;0)*T_PlannedOrders[Order_Month])),"m月")&amp;"発注)")</f>
        <v/>
      </c>
      <c r="BT1071">
        <f>IF(SUMIFS(T_PlannedOrders[EffectiveQty],T_PlannedOrders[Part Name],$A1061,T_PlannedOrders[WeekIndex],69)=0,"",SUMIFS(T_PlannedOrders[EffectiveQty],T_PlannedOrders[Part Name],$A1061,T_PlannedOrders[WeekIndex],69)&amp;" ("&amp;TEXT(SUMPRODUCT(MAX((T_PlannedOrders[Part Name]=$A1061)*(T_PlannedOrders[WeekIndex]=69)*(T_PlannedOrders[EffectiveQty]&gt;0)*T_PlannedOrders[Order_Month])),"m月")&amp;"発注)")</f>
        <v/>
      </c>
      <c r="BU1071">
        <f>IF(SUMIFS(T_PlannedOrders[EffectiveQty],T_PlannedOrders[Part Name],$A1061,T_PlannedOrders[WeekIndex],70)=0,"",SUMIFS(T_PlannedOrders[EffectiveQty],T_PlannedOrders[Part Name],$A1061,T_PlannedOrders[WeekIndex],70)&amp;" ("&amp;TEXT(SUMPRODUCT(MAX((T_PlannedOrders[Part Name]=$A1061)*(T_PlannedOrders[WeekIndex]=70)*(T_PlannedOrders[EffectiveQty]&gt;0)*T_PlannedOrders[Order_Month])),"m月")&amp;"発注)")</f>
        <v/>
      </c>
      <c r="BV1071">
        <f>IF(SUMIFS(T_PlannedOrders[EffectiveQty],T_PlannedOrders[Part Name],$A1061,T_PlannedOrders[WeekIndex],71)=0,"",SUMIFS(T_PlannedOrders[EffectiveQty],T_PlannedOrders[Part Name],$A1061,T_PlannedOrders[WeekIndex],71)&amp;" ("&amp;TEXT(SUMPRODUCT(MAX((T_PlannedOrders[Part Name]=$A1061)*(T_PlannedOrders[WeekIndex]=71)*(T_PlannedOrders[EffectiveQty]&gt;0)*T_PlannedOrders[Order_Month])),"m月")&amp;"発注)")</f>
        <v/>
      </c>
      <c r="BW1071">
        <f>IF(SUMIFS(T_PlannedOrders[EffectiveQty],T_PlannedOrders[Part Name],$A1061,T_PlannedOrders[WeekIndex],72)=0,"",SUMIFS(T_PlannedOrders[EffectiveQty],T_PlannedOrders[Part Name],$A1061,T_PlannedOrders[WeekIndex],72)&amp;" ("&amp;TEXT(SUMPRODUCT(MAX((T_PlannedOrders[Part Name]=$A1061)*(T_PlannedOrders[WeekIndex]=72)*(T_PlannedOrders[EffectiveQty]&gt;0)*T_PlannedOrders[Order_Month])),"m月")&amp;"発注)")</f>
        <v/>
      </c>
      <c r="BX1071">
        <f>IF(SUMIFS(T_PlannedOrders[EffectiveQty],T_PlannedOrders[Part Name],$A1061,T_PlannedOrders[WeekIndex],73)=0,"",SUMIFS(T_PlannedOrders[EffectiveQty],T_PlannedOrders[Part Name],$A1061,T_PlannedOrders[WeekIndex],73)&amp;" ("&amp;TEXT(SUMPRODUCT(MAX((T_PlannedOrders[Part Name]=$A1061)*(T_PlannedOrders[WeekIndex]=73)*(T_PlannedOrders[EffectiveQty]&gt;0)*T_PlannedOrders[Order_Month])),"m月")&amp;"発注)")</f>
        <v/>
      </c>
      <c r="BY1071">
        <f>IF(SUMIFS(T_PlannedOrders[EffectiveQty],T_PlannedOrders[Part Name],$A1061,T_PlannedOrders[WeekIndex],74)=0,"",SUMIFS(T_PlannedOrders[EffectiveQty],T_PlannedOrders[Part Name],$A1061,T_PlannedOrders[WeekIndex],74)&amp;" ("&amp;TEXT(SUMPRODUCT(MAX((T_PlannedOrders[Part Name]=$A1061)*(T_PlannedOrders[WeekIndex]=74)*(T_PlannedOrders[EffectiveQty]&gt;0)*T_PlannedOrders[Order_Month])),"m月")&amp;"発注)")</f>
        <v/>
      </c>
      <c r="BZ1071">
        <f>IF(SUMIFS(T_PlannedOrders[EffectiveQty],T_PlannedOrders[Part Name],$A1061,T_PlannedOrders[WeekIndex],75)=0,"",SUMIFS(T_PlannedOrders[EffectiveQty],T_PlannedOrders[Part Name],$A1061,T_PlannedOrders[WeekIndex],75)&amp;" ("&amp;TEXT(SUMPRODUCT(MAX((T_PlannedOrders[Part Name]=$A1061)*(T_PlannedOrders[WeekIndex]=75)*(T_PlannedOrders[EffectiveQty]&gt;0)*T_PlannedOrders[Order_Month])),"m月")&amp;"発注)")</f>
        <v/>
      </c>
      <c r="CA1071">
        <f>IF(SUMIFS(T_PlannedOrders[EffectiveQty],T_PlannedOrders[Part Name],$A1061,T_PlannedOrders[WeekIndex],76)=0,"",SUMIFS(T_PlannedOrders[EffectiveQty],T_PlannedOrders[Part Name],$A1061,T_PlannedOrders[WeekIndex],76)&amp;" ("&amp;TEXT(SUMPRODUCT(MAX((T_PlannedOrders[Part Name]=$A1061)*(T_PlannedOrders[WeekIndex]=76)*(T_PlannedOrders[EffectiveQty]&gt;0)*T_PlannedOrders[Order_Month])),"m月")&amp;"発注)")</f>
        <v/>
      </c>
      <c r="CB1071">
        <f>IF(SUMIFS(T_PlannedOrders[EffectiveQty],T_PlannedOrders[Part Name],$A1061,T_PlannedOrders[WeekIndex],77)=0,"",SUMIFS(T_PlannedOrders[EffectiveQty],T_PlannedOrders[Part Name],$A1061,T_PlannedOrders[WeekIndex],77)&amp;" ("&amp;TEXT(SUMPRODUCT(MAX((T_PlannedOrders[Part Name]=$A1061)*(T_PlannedOrders[WeekIndex]=77)*(T_PlannedOrders[EffectiveQty]&gt;0)*T_PlannedOrders[Order_Month])),"m月")&amp;"発注)")</f>
        <v/>
      </c>
      <c r="CC1071">
        <f>IF(SUMIFS(T_PlannedOrders[EffectiveQty],T_PlannedOrders[Part Name],$A1061,T_PlannedOrders[WeekIndex],78)=0,"",SUMIFS(T_PlannedOrders[EffectiveQty],T_PlannedOrders[Part Name],$A1061,T_PlannedOrders[WeekIndex],78)&amp;" ("&amp;TEXT(SUMPRODUCT(MAX((T_PlannedOrders[Part Name]=$A1061)*(T_PlannedOrders[WeekIndex]=78)*(T_PlannedOrders[EffectiveQty]&gt;0)*T_PlannedOrders[Order_Month])),"m月")&amp;"発注)")</f>
        <v/>
      </c>
      <c r="CD1071">
        <f>IF(SUMIFS(T_PlannedOrders[EffectiveQty],T_PlannedOrders[Part Name],$A1061,T_PlannedOrders[WeekIndex],79)=0,"",SUMIFS(T_PlannedOrders[EffectiveQty],T_PlannedOrders[Part Name],$A1061,T_PlannedOrders[WeekIndex],79)&amp;" ("&amp;TEXT(SUMPRODUCT(MAX((T_PlannedOrders[Part Name]=$A1061)*(T_PlannedOrders[WeekIndex]=79)*(T_PlannedOrders[EffectiveQty]&gt;0)*T_PlannedOrders[Order_Month])),"m月")&amp;"発注)")</f>
        <v/>
      </c>
      <c r="CE1071">
        <f>IF(SUMIFS(T_PlannedOrders[EffectiveQty],T_PlannedOrders[Part Name],$A1061,T_PlannedOrders[WeekIndex],80)=0,"",SUMIFS(T_PlannedOrders[EffectiveQty],T_PlannedOrders[Part Name],$A1061,T_PlannedOrders[WeekIndex],80)&amp;" ("&amp;TEXT(SUMPRODUCT(MAX((T_PlannedOrders[Part Name]=$A1061)*(T_PlannedOrders[WeekIndex]=80)*(T_PlannedOrders[EffectiveQty]&gt;0)*T_PlannedOrders[Order_Month])),"m月")&amp;"発注)")</f>
        <v/>
      </c>
      <c r="CF1071">
        <f>IF(SUMIFS(T_PlannedOrders[EffectiveQty],T_PlannedOrders[Part Name],$A1061,T_PlannedOrders[WeekIndex],81)=0,"",SUMIFS(T_PlannedOrders[EffectiveQty],T_PlannedOrders[Part Name],$A1061,T_PlannedOrders[WeekIndex],81)&amp;" ("&amp;TEXT(SUMPRODUCT(MAX((T_PlannedOrders[Part Name]=$A1061)*(T_PlannedOrders[WeekIndex]=81)*(T_PlannedOrders[EffectiveQty]&gt;0)*T_PlannedOrders[Order_Month])),"m月")&amp;"発注)")</f>
        <v/>
      </c>
      <c r="CG1071">
        <f>IF(SUMIFS(T_PlannedOrders[EffectiveQty],T_PlannedOrders[Part Name],$A1061,T_PlannedOrders[WeekIndex],82)=0,"",SUMIFS(T_PlannedOrders[EffectiveQty],T_PlannedOrders[Part Name],$A1061,T_PlannedOrders[WeekIndex],82)&amp;" ("&amp;TEXT(SUMPRODUCT(MAX((T_PlannedOrders[Part Name]=$A1061)*(T_PlannedOrders[WeekIndex]=82)*(T_PlannedOrders[EffectiveQty]&gt;0)*T_PlannedOrders[Order_Month])),"m月")&amp;"発注)")</f>
        <v/>
      </c>
      <c r="CH1071">
        <f>IF(SUMIFS(T_PlannedOrders[EffectiveQty],T_PlannedOrders[Part Name],$A1061,T_PlannedOrders[WeekIndex],83)=0,"",SUMIFS(T_PlannedOrders[EffectiveQty],T_PlannedOrders[Part Name],$A1061,T_PlannedOrders[WeekIndex],83)&amp;" ("&amp;TEXT(SUMPRODUCT(MAX((T_PlannedOrders[Part Name]=$A1061)*(T_PlannedOrders[WeekIndex]=83)*(T_PlannedOrders[EffectiveQty]&gt;0)*T_PlannedOrders[Order_Month])),"m月")&amp;"発注)")</f>
        <v/>
      </c>
      <c r="CI1071">
        <f>IF(SUMIFS(T_PlannedOrders[EffectiveQty],T_PlannedOrders[Part Name],$A1061,T_PlannedOrders[WeekIndex],84)=0,"",SUMIFS(T_PlannedOrders[EffectiveQty],T_PlannedOrders[Part Name],$A1061,T_PlannedOrders[WeekIndex],84)&amp;" ("&amp;TEXT(SUMPRODUCT(MAX((T_PlannedOrders[Part Name]=$A1061)*(T_PlannedOrders[WeekIndex]=84)*(T_PlannedOrders[EffectiveQty]&gt;0)*T_PlannedOrders[Order_Month])),"m月")&amp;"発注)")</f>
        <v/>
      </c>
      <c r="CJ1071">
        <f>IF(SUMIFS(T_PlannedOrders[EffectiveQty],T_PlannedOrders[Part Name],$A1061,T_PlannedOrders[WeekIndex],85)=0,"",SUMIFS(T_PlannedOrders[EffectiveQty],T_PlannedOrders[Part Name],$A1061,T_PlannedOrders[WeekIndex],85)&amp;" ("&amp;TEXT(SUMPRODUCT(MAX((T_PlannedOrders[Part Name]=$A1061)*(T_PlannedOrders[WeekIndex]=85)*(T_PlannedOrders[EffectiveQty]&gt;0)*T_PlannedOrders[Order_Month])),"m月")&amp;"発注)")</f>
        <v/>
      </c>
      <c r="CK1071">
        <f>IF(SUMIFS(T_PlannedOrders[EffectiveQty],T_PlannedOrders[Part Name],$A1061,T_PlannedOrders[WeekIndex],86)=0,"",SUMIFS(T_PlannedOrders[EffectiveQty],T_PlannedOrders[Part Name],$A1061,T_PlannedOrders[WeekIndex],86)&amp;" ("&amp;TEXT(SUMPRODUCT(MAX((T_PlannedOrders[Part Name]=$A1061)*(T_PlannedOrders[WeekIndex]=86)*(T_PlannedOrders[EffectiveQty]&gt;0)*T_PlannedOrders[Order_Month])),"m月")&amp;"発注)")</f>
        <v/>
      </c>
      <c r="CL1071">
        <f>IF(SUMIFS(T_PlannedOrders[EffectiveQty],T_PlannedOrders[Part Name],$A1061,T_PlannedOrders[WeekIndex],87)=0,"",SUMIFS(T_PlannedOrders[EffectiveQty],T_PlannedOrders[Part Name],$A1061,T_PlannedOrders[WeekIndex],87)&amp;" ("&amp;TEXT(SUMPRODUCT(MAX((T_PlannedOrders[Part Name]=$A1061)*(T_PlannedOrders[WeekIndex]=87)*(T_PlannedOrders[EffectiveQty]&gt;0)*T_PlannedOrders[Order_Month])),"m月")&amp;"発注)")</f>
        <v/>
      </c>
      <c r="CM1071">
        <f>IF(SUMIFS(T_PlannedOrders[EffectiveQty],T_PlannedOrders[Part Name],$A1061,T_PlannedOrders[WeekIndex],88)=0,"",SUMIFS(T_PlannedOrders[EffectiveQty],T_PlannedOrders[Part Name],$A1061,T_PlannedOrders[WeekIndex],88)&amp;" ("&amp;TEXT(SUMPRODUCT(MAX((T_PlannedOrders[Part Name]=$A1061)*(T_PlannedOrders[WeekIndex]=88)*(T_PlannedOrders[EffectiveQty]&gt;0)*T_PlannedOrders[Order_Month])),"m月")&amp;"発注)")</f>
        <v/>
      </c>
      <c r="CN1071">
        <f>IF(SUMIFS(T_PlannedOrders[EffectiveQty],T_PlannedOrders[Part Name],$A1061,T_PlannedOrders[WeekIndex],89)=0,"",SUMIFS(T_PlannedOrders[EffectiveQty],T_PlannedOrders[Part Name],$A1061,T_PlannedOrders[WeekIndex],89)&amp;" ("&amp;TEXT(SUMPRODUCT(MAX((T_PlannedOrders[Part Name]=$A1061)*(T_PlannedOrders[WeekIndex]=89)*(T_PlannedOrders[EffectiveQty]&gt;0)*T_PlannedOrders[Order_Month])),"m月")&amp;"発注)")</f>
        <v/>
      </c>
      <c r="CO1071">
        <f>IF(SUMIFS(T_PlannedOrders[EffectiveQty],T_PlannedOrders[Part Name],$A1061,T_PlannedOrders[WeekIndex],90)=0,"",SUMIFS(T_PlannedOrders[EffectiveQty],T_PlannedOrders[Part Name],$A1061,T_PlannedOrders[WeekIndex],90)&amp;" ("&amp;TEXT(SUMPRODUCT(MAX((T_PlannedOrders[Part Name]=$A1061)*(T_PlannedOrders[WeekIndex]=90)*(T_PlannedOrders[EffectiveQty]&gt;0)*T_PlannedOrders[Order_Month])),"m月")&amp;"発注)")</f>
        <v/>
      </c>
      <c r="CP1071">
        <f>IF(SUMIFS(T_PlannedOrders[EffectiveQty],T_PlannedOrders[Part Name],$A1061,T_PlannedOrders[WeekIndex],91)=0,"",SUMIFS(T_PlannedOrders[EffectiveQty],T_PlannedOrders[Part Name],$A1061,T_PlannedOrders[WeekIndex],91)&amp;" ("&amp;TEXT(SUMPRODUCT(MAX((T_PlannedOrders[Part Name]=$A1061)*(T_PlannedOrders[WeekIndex]=91)*(T_PlannedOrders[EffectiveQty]&gt;0)*T_PlannedOrders[Order_Month])),"m月")&amp;"発注)")</f>
        <v/>
      </c>
      <c r="CQ1071">
        <f>IF(SUMIFS(T_PlannedOrders[EffectiveQty],T_PlannedOrders[Part Name],$A1061,T_PlannedOrders[WeekIndex],92)=0,"",SUMIFS(T_PlannedOrders[EffectiveQty],T_PlannedOrders[Part Name],$A1061,T_PlannedOrders[WeekIndex],92)&amp;" ("&amp;TEXT(SUMPRODUCT(MAX((T_PlannedOrders[Part Name]=$A1061)*(T_PlannedOrders[WeekIndex]=92)*(T_PlannedOrders[EffectiveQty]&gt;0)*T_PlannedOrders[Order_Month])),"m月")&amp;"発注)")</f>
        <v/>
      </c>
      <c r="CR1071">
        <f>IF(SUMIFS(T_PlannedOrders[EffectiveQty],T_PlannedOrders[Part Name],$A1061,T_PlannedOrders[WeekIndex],93)=0,"",SUMIFS(T_PlannedOrders[EffectiveQty],T_PlannedOrders[Part Name],$A1061,T_PlannedOrders[WeekIndex],93)&amp;" ("&amp;TEXT(SUMPRODUCT(MAX((T_PlannedOrders[Part Name]=$A1061)*(T_PlannedOrders[WeekIndex]=93)*(T_PlannedOrders[EffectiveQty]&gt;0)*T_PlannedOrders[Order_Month])),"m月")&amp;"発注)")</f>
        <v/>
      </c>
      <c r="CS1071">
        <f>IF(SUMIFS(T_PlannedOrders[EffectiveQty],T_PlannedOrders[Part Name],$A1061,T_PlannedOrders[WeekIndex],94)=0,"",SUMIFS(T_PlannedOrders[EffectiveQty],T_PlannedOrders[Part Name],$A1061,T_PlannedOrders[WeekIndex],94)&amp;" ("&amp;TEXT(SUMPRODUCT(MAX((T_PlannedOrders[Part Name]=$A1061)*(T_PlannedOrders[WeekIndex]=94)*(T_PlannedOrders[EffectiveQty]&gt;0)*T_PlannedOrders[Order_Month])),"m月")&amp;"発注)")</f>
        <v/>
      </c>
      <c r="CT1071">
        <f>IF(SUMIFS(T_PlannedOrders[EffectiveQty],T_PlannedOrders[Part Name],$A1061,T_PlannedOrders[WeekIndex],95)=0,"",SUMIFS(T_PlannedOrders[EffectiveQty],T_PlannedOrders[Part Name],$A1061,T_PlannedOrders[WeekIndex],95)&amp;" ("&amp;TEXT(SUMPRODUCT(MAX((T_PlannedOrders[Part Name]=$A1061)*(T_PlannedOrders[WeekIndex]=95)*(T_PlannedOrders[EffectiveQty]&gt;0)*T_PlannedOrders[Order_Month])),"m月")&amp;"発注)")</f>
        <v/>
      </c>
      <c r="CU1071">
        <f>IF(SUMIFS(T_PlannedOrders[EffectiveQty],T_PlannedOrders[Part Name],$A1061,T_PlannedOrders[WeekIndex],96)=0,"",SUMIFS(T_PlannedOrders[EffectiveQty],T_PlannedOrders[Part Name],$A1061,T_PlannedOrders[WeekIndex],96)&amp;" ("&amp;TEXT(SUMPRODUCT(MAX((T_PlannedOrders[Part Name]=$A1061)*(T_PlannedOrders[WeekIndex]=96)*(T_PlannedOrders[EffectiveQty]&gt;0)*T_PlannedOrders[Order_Month])),"m月")&amp;"発注)")</f>
        <v/>
      </c>
      <c r="CV1071">
        <f>IF(SUMIFS(T_PlannedOrders[EffectiveQty],T_PlannedOrders[Part Name],$A1061,T_PlannedOrders[WeekIndex],97)=0,"",SUMIFS(T_PlannedOrders[EffectiveQty],T_PlannedOrders[Part Name],$A1061,T_PlannedOrders[WeekIndex],97)&amp;" ("&amp;TEXT(SUMPRODUCT(MAX((T_PlannedOrders[Part Name]=$A1061)*(T_PlannedOrders[WeekIndex]=97)*(T_PlannedOrders[EffectiveQty]&gt;0)*T_PlannedOrders[Order_Month])),"m月")&amp;"発注)")</f>
        <v/>
      </c>
      <c r="CW1071">
        <f>IF(SUMIFS(T_PlannedOrders[EffectiveQty],T_PlannedOrders[Part Name],$A1061,T_PlannedOrders[WeekIndex],98)=0,"",SUMIFS(T_PlannedOrders[EffectiveQty],T_PlannedOrders[Part Name],$A1061,T_PlannedOrders[WeekIndex],98)&amp;" ("&amp;TEXT(SUMPRODUCT(MAX((T_PlannedOrders[Part Name]=$A1061)*(T_PlannedOrders[WeekIndex]=98)*(T_PlannedOrders[EffectiveQty]&gt;0)*T_PlannedOrders[Order_Month])),"m月")&amp;"発注)")</f>
        <v/>
      </c>
      <c r="CX1071">
        <f>IF(SUMIFS(T_PlannedOrders[EffectiveQty],T_PlannedOrders[Part Name],$A1061,T_PlannedOrders[WeekIndex],99)=0,"",SUMIFS(T_PlannedOrders[EffectiveQty],T_PlannedOrders[Part Name],$A1061,T_PlannedOrders[WeekIndex],99)&amp;" ("&amp;TEXT(SUMPRODUCT(MAX((T_PlannedOrders[Part Name]=$A1061)*(T_PlannedOrders[WeekIndex]=99)*(T_PlannedOrders[EffectiveQty]&gt;0)*T_PlannedOrders[Order_Month])),"m月")&amp;"発注)")</f>
        <v/>
      </c>
      <c r="CY1071">
        <f>IF(SUMIFS(T_PlannedOrders[EffectiveQty],T_PlannedOrders[Part Name],$A1061,T_PlannedOrders[WeekIndex],100)=0,"",SUMIFS(T_PlannedOrders[EffectiveQty],T_PlannedOrders[Part Name],$A1061,T_PlannedOrders[WeekIndex],100)&amp;" ("&amp;TEXT(SUMPRODUCT(MAX((T_PlannedOrders[Part Name]=$A1061)*(T_PlannedOrders[WeekIndex]=100)*(T_PlannedOrders[EffectiveQty]&gt;0)*T_PlannedOrders[Order_Month])),"m月")&amp;"発注)")</f>
        <v/>
      </c>
      <c r="CZ1071">
        <f>IF(SUMIFS(T_PlannedOrders[EffectiveQty],T_PlannedOrders[Part Name],$A1061,T_PlannedOrders[WeekIndex],101)=0,"",SUMIFS(T_PlannedOrders[EffectiveQty],T_PlannedOrders[Part Name],$A1061,T_PlannedOrders[WeekIndex],101)&amp;" ("&amp;TEXT(SUMPRODUCT(MAX((T_PlannedOrders[Part Name]=$A1061)*(T_PlannedOrders[WeekIndex]=101)*(T_PlannedOrders[EffectiveQty]&gt;0)*T_PlannedOrders[Order_Month])),"m月")&amp;"発注)")</f>
        <v/>
      </c>
      <c r="DA1071">
        <f>IF(SUMIFS(T_PlannedOrders[EffectiveQty],T_PlannedOrders[Part Name],$A1061,T_PlannedOrders[WeekIndex],102)=0,"",SUMIFS(T_PlannedOrders[EffectiveQty],T_PlannedOrders[Part Name],$A1061,T_PlannedOrders[WeekIndex],102)&amp;" ("&amp;TEXT(SUMPRODUCT(MAX((T_PlannedOrders[Part Name]=$A1061)*(T_PlannedOrders[WeekIndex]=102)*(T_PlannedOrders[EffectiveQty]&gt;0)*T_PlannedOrders[Order_Month])),"m月")&amp;"発注)")</f>
        <v/>
      </c>
      <c r="DB1071">
        <f>IF(SUMIFS(T_PlannedOrders[EffectiveQty],T_PlannedOrders[Part Name],$A1061,T_PlannedOrders[WeekIndex],103)=0,"",SUMIFS(T_PlannedOrders[EffectiveQty],T_PlannedOrders[Part Name],$A1061,T_PlannedOrders[WeekIndex],103)&amp;" ("&amp;TEXT(SUMPRODUCT(MAX((T_PlannedOrders[Part Name]=$A1061)*(T_PlannedOrders[WeekIndex]=103)*(T_PlannedOrders[EffectiveQty]&gt;0)*T_PlannedOrders[Order_Month])),"m月")&amp;"発注)")</f>
        <v/>
      </c>
      <c r="DC1071">
        <f>IF(SUMIFS(T_PlannedOrders[EffectiveQty],T_PlannedOrders[Part Name],$A1061,T_PlannedOrders[WeekIndex],104)=0,"",SUMIFS(T_PlannedOrders[EffectiveQty],T_PlannedOrders[Part Name],$A1061,T_PlannedOrders[WeekIndex],104)&amp;" ("&amp;TEXT(SUMPRODUCT(MAX((T_PlannedOrders[Part Name]=$A1061)*(T_PlannedOrders[WeekIndex]=104)*(T_PlannedOrders[EffectiveQty]&gt;0)*T_PlannedOrders[Order_Month])),"m月")&amp;"発注)")</f>
        <v/>
      </c>
    </row>
    <row r="1072">
      <c r="B1072" s="5" t="inlineStr">
        <is>
          <t>合計在庫(週末時点,kg)</t>
        </is>
      </c>
      <c r="D1072">
        <f>'Grid_Stock'!B32</f>
        <v/>
      </c>
      <c r="E1072">
        <f>'Grid_Stock'!C32</f>
        <v/>
      </c>
      <c r="F1072">
        <f>'Grid_Stock'!D32</f>
        <v/>
      </c>
      <c r="G1072">
        <f>'Grid_Stock'!E32</f>
        <v/>
      </c>
      <c r="H1072">
        <f>'Grid_Stock'!F32</f>
        <v/>
      </c>
      <c r="I1072">
        <f>'Grid_Stock'!G32</f>
        <v/>
      </c>
      <c r="J1072">
        <f>'Grid_Stock'!H32</f>
        <v/>
      </c>
      <c r="K1072">
        <f>'Grid_Stock'!I32</f>
        <v/>
      </c>
      <c r="L1072">
        <f>'Grid_Stock'!J32</f>
        <v/>
      </c>
      <c r="M1072">
        <f>'Grid_Stock'!K32</f>
        <v/>
      </c>
      <c r="N1072">
        <f>'Grid_Stock'!L32</f>
        <v/>
      </c>
      <c r="O1072">
        <f>'Grid_Stock'!M32</f>
        <v/>
      </c>
      <c r="P1072">
        <f>'Grid_Stock'!N32</f>
        <v/>
      </c>
      <c r="Q1072">
        <f>'Grid_Stock'!O32</f>
        <v/>
      </c>
      <c r="R1072">
        <f>'Grid_Stock'!P32</f>
        <v/>
      </c>
      <c r="S1072">
        <f>'Grid_Stock'!Q32</f>
        <v/>
      </c>
      <c r="T1072">
        <f>'Grid_Stock'!R32</f>
        <v/>
      </c>
      <c r="U1072">
        <f>'Grid_Stock'!S32</f>
        <v/>
      </c>
      <c r="V1072">
        <f>'Grid_Stock'!T32</f>
        <v/>
      </c>
      <c r="W1072">
        <f>'Grid_Stock'!U32</f>
        <v/>
      </c>
      <c r="X1072">
        <f>'Grid_Stock'!V32</f>
        <v/>
      </c>
      <c r="Y1072">
        <f>'Grid_Stock'!W32</f>
        <v/>
      </c>
      <c r="Z1072">
        <f>'Grid_Stock'!X32</f>
        <v/>
      </c>
      <c r="AA1072">
        <f>'Grid_Stock'!Y32</f>
        <v/>
      </c>
      <c r="AB1072">
        <f>'Grid_Stock'!Z32</f>
        <v/>
      </c>
      <c r="AC1072">
        <f>'Grid_Stock'!AA32</f>
        <v/>
      </c>
      <c r="AD1072">
        <f>'Grid_Stock'!AB32</f>
        <v/>
      </c>
      <c r="AE1072">
        <f>'Grid_Stock'!AC32</f>
        <v/>
      </c>
      <c r="AF1072">
        <f>'Grid_Stock'!AD32</f>
        <v/>
      </c>
      <c r="AG1072">
        <f>'Grid_Stock'!AE32</f>
        <v/>
      </c>
      <c r="AH1072">
        <f>'Grid_Stock'!AF32</f>
        <v/>
      </c>
      <c r="AI1072">
        <f>'Grid_Stock'!AG32</f>
        <v/>
      </c>
      <c r="AJ1072">
        <f>'Grid_Stock'!AH32</f>
        <v/>
      </c>
      <c r="AK1072">
        <f>'Grid_Stock'!AI32</f>
        <v/>
      </c>
      <c r="AL1072">
        <f>'Grid_Stock'!AJ32</f>
        <v/>
      </c>
      <c r="AM1072">
        <f>'Grid_Stock'!AK32</f>
        <v/>
      </c>
      <c r="AN1072">
        <f>'Grid_Stock'!AL32</f>
        <v/>
      </c>
      <c r="AO1072">
        <f>'Grid_Stock'!AM32</f>
        <v/>
      </c>
      <c r="AP1072">
        <f>'Grid_Stock'!AN32</f>
        <v/>
      </c>
      <c r="AQ1072">
        <f>'Grid_Stock'!AO32</f>
        <v/>
      </c>
      <c r="AR1072">
        <f>'Grid_Stock'!AP32</f>
        <v/>
      </c>
      <c r="AS1072">
        <f>'Grid_Stock'!AQ32</f>
        <v/>
      </c>
      <c r="AT1072">
        <f>'Grid_Stock'!AR32</f>
        <v/>
      </c>
      <c r="AU1072">
        <f>'Grid_Stock'!AS32</f>
        <v/>
      </c>
      <c r="AV1072">
        <f>'Grid_Stock'!AT32</f>
        <v/>
      </c>
      <c r="AW1072">
        <f>'Grid_Stock'!AU32</f>
        <v/>
      </c>
      <c r="AX1072">
        <f>'Grid_Stock'!AV32</f>
        <v/>
      </c>
      <c r="AY1072">
        <f>'Grid_Stock'!AW32</f>
        <v/>
      </c>
      <c r="AZ1072">
        <f>'Grid_Stock'!AX32</f>
        <v/>
      </c>
      <c r="BA1072">
        <f>'Grid_Stock'!AY32</f>
        <v/>
      </c>
      <c r="BB1072">
        <f>'Grid_Stock'!AZ32</f>
        <v/>
      </c>
      <c r="BC1072">
        <f>'Grid_Stock'!BA32</f>
        <v/>
      </c>
      <c r="BD1072">
        <f>'Grid_Stock'!BB32</f>
        <v/>
      </c>
      <c r="BE1072">
        <f>'Grid_Stock'!BC32</f>
        <v/>
      </c>
      <c r="BF1072">
        <f>'Grid_Stock'!BD32</f>
        <v/>
      </c>
      <c r="BG1072">
        <f>'Grid_Stock'!BE32</f>
        <v/>
      </c>
      <c r="BH1072">
        <f>'Grid_Stock'!BF32</f>
        <v/>
      </c>
      <c r="BI1072">
        <f>'Grid_Stock'!BG32</f>
        <v/>
      </c>
      <c r="BJ1072">
        <f>'Grid_Stock'!BH32</f>
        <v/>
      </c>
      <c r="BK1072">
        <f>'Grid_Stock'!BI32</f>
        <v/>
      </c>
      <c r="BL1072">
        <f>'Grid_Stock'!BJ32</f>
        <v/>
      </c>
      <c r="BM1072">
        <f>'Grid_Stock'!BK32</f>
        <v/>
      </c>
      <c r="BN1072">
        <f>'Grid_Stock'!BL32</f>
        <v/>
      </c>
      <c r="BO1072">
        <f>'Grid_Stock'!BM32</f>
        <v/>
      </c>
      <c r="BP1072">
        <f>'Grid_Stock'!BN32</f>
        <v/>
      </c>
      <c r="BQ1072">
        <f>'Grid_Stock'!BO32</f>
        <v/>
      </c>
      <c r="BR1072">
        <f>'Grid_Stock'!BP32</f>
        <v/>
      </c>
      <c r="BS1072">
        <f>'Grid_Stock'!BQ32</f>
        <v/>
      </c>
      <c r="BT1072">
        <f>'Grid_Stock'!BR32</f>
        <v/>
      </c>
      <c r="BU1072">
        <f>'Grid_Stock'!BS32</f>
        <v/>
      </c>
      <c r="BV1072">
        <f>'Grid_Stock'!BT32</f>
        <v/>
      </c>
      <c r="BW1072">
        <f>'Grid_Stock'!BU32</f>
        <v/>
      </c>
      <c r="BX1072">
        <f>'Grid_Stock'!BV32</f>
        <v/>
      </c>
      <c r="BY1072">
        <f>'Grid_Stock'!BW32</f>
        <v/>
      </c>
      <c r="BZ1072">
        <f>'Grid_Stock'!BX32</f>
        <v/>
      </c>
      <c r="CA1072">
        <f>'Grid_Stock'!BY32</f>
        <v/>
      </c>
      <c r="CB1072">
        <f>'Grid_Stock'!BZ32</f>
        <v/>
      </c>
      <c r="CC1072">
        <f>'Grid_Stock'!CA32</f>
        <v/>
      </c>
      <c r="CD1072">
        <f>'Grid_Stock'!CB32</f>
        <v/>
      </c>
      <c r="CE1072">
        <f>'Grid_Stock'!CC32</f>
        <v/>
      </c>
      <c r="CF1072">
        <f>'Grid_Stock'!CD32</f>
        <v/>
      </c>
      <c r="CG1072">
        <f>'Grid_Stock'!CE32</f>
        <v/>
      </c>
      <c r="CH1072">
        <f>'Grid_Stock'!CF32</f>
        <v/>
      </c>
      <c r="CI1072">
        <f>'Grid_Stock'!CG32</f>
        <v/>
      </c>
      <c r="CJ1072">
        <f>'Grid_Stock'!CH32</f>
        <v/>
      </c>
      <c r="CK1072">
        <f>'Grid_Stock'!CI32</f>
        <v/>
      </c>
      <c r="CL1072">
        <f>'Grid_Stock'!CJ32</f>
        <v/>
      </c>
      <c r="CM1072">
        <f>'Grid_Stock'!CK32</f>
        <v/>
      </c>
      <c r="CN1072">
        <f>'Grid_Stock'!CL32</f>
        <v/>
      </c>
      <c r="CO1072">
        <f>'Grid_Stock'!CM32</f>
        <v/>
      </c>
      <c r="CP1072">
        <f>'Grid_Stock'!CN32</f>
        <v/>
      </c>
      <c r="CQ1072">
        <f>'Grid_Stock'!CO32</f>
        <v/>
      </c>
      <c r="CR1072">
        <f>'Grid_Stock'!CP32</f>
        <v/>
      </c>
      <c r="CS1072">
        <f>'Grid_Stock'!CQ32</f>
        <v/>
      </c>
      <c r="CT1072">
        <f>'Grid_Stock'!CR32</f>
        <v/>
      </c>
      <c r="CU1072">
        <f>'Grid_Stock'!CS32</f>
        <v/>
      </c>
      <c r="CV1072">
        <f>'Grid_Stock'!CT32</f>
        <v/>
      </c>
      <c r="CW1072">
        <f>'Grid_Stock'!CU32</f>
        <v/>
      </c>
      <c r="CX1072">
        <f>'Grid_Stock'!CV32</f>
        <v/>
      </c>
      <c r="CY1072">
        <f>'Grid_Stock'!CW32</f>
        <v/>
      </c>
      <c r="CZ1072">
        <f>'Grid_Stock'!CX32</f>
        <v/>
      </c>
      <c r="DA1072">
        <f>'Grid_Stock'!CY32</f>
        <v/>
      </c>
      <c r="DB1072">
        <f>'Grid_Stock'!CZ32</f>
        <v/>
      </c>
      <c r="DC1072">
        <f>'Grid_Stock'!DA32</f>
        <v/>
      </c>
    </row>
    <row r="1073">
      <c r="B1073" s="23" t="inlineStr">
        <is>
          <t>（発注の目安はDashboardの基準在庫[下限/上限]と色分けを参照）</t>
        </is>
      </c>
    </row>
    <row r="1075">
      <c r="A1075" s="21" t="inlineStr">
        <is>
          <t>CHEM-1850</t>
        </is>
      </c>
      <c r="B1075" s="21" t="inlineStr">
        <is>
          <t>TPP-1469</t>
        </is>
      </c>
      <c r="C1075" s="22" t="n"/>
      <c r="D1075" s="21" t="n"/>
      <c r="E1075" s="21" t="n"/>
      <c r="F1075" s="21" t="n"/>
      <c r="G1075" s="21" t="n"/>
      <c r="H1075" s="21" t="n"/>
      <c r="I1075" s="21" t="n"/>
      <c r="J1075" s="21" t="n"/>
      <c r="K1075" s="21" t="n"/>
      <c r="L1075" s="21" t="n"/>
      <c r="M1075" s="21" t="n"/>
      <c r="N1075" s="21" t="n"/>
      <c r="O1075" s="21" t="n"/>
      <c r="P1075" s="21" t="n"/>
      <c r="Q1075" s="21" t="n"/>
      <c r="R1075" s="21" t="n"/>
      <c r="S1075" s="21" t="n"/>
      <c r="T1075" s="21" t="n"/>
      <c r="U1075" s="21" t="n"/>
      <c r="V1075" s="21" t="n"/>
      <c r="W1075" s="21" t="n"/>
      <c r="X1075" s="21" t="n"/>
      <c r="Y1075" s="21" t="n"/>
      <c r="Z1075" s="21" t="n"/>
      <c r="AA1075" s="21" t="n"/>
      <c r="AB1075" s="21" t="n"/>
      <c r="AC1075" s="21" t="n"/>
      <c r="AD1075" s="21" t="n"/>
      <c r="AE1075" s="21" t="n"/>
      <c r="AF1075" s="21" t="n"/>
      <c r="AG1075" s="21" t="n"/>
      <c r="AH1075" s="21" t="n"/>
      <c r="AI1075" s="21" t="n"/>
      <c r="AJ1075" s="21" t="n"/>
      <c r="AK1075" s="21" t="n"/>
      <c r="AL1075" s="21" t="n"/>
      <c r="AM1075" s="21" t="n"/>
      <c r="AN1075" s="21" t="n"/>
      <c r="AO1075" s="21" t="n"/>
      <c r="AP1075" s="21" t="n"/>
      <c r="AQ1075" s="21" t="n"/>
      <c r="AR1075" s="21" t="n"/>
      <c r="AS1075" s="21" t="n"/>
      <c r="AT1075" s="21" t="n"/>
      <c r="AU1075" s="21" t="n"/>
      <c r="AV1075" s="21" t="n"/>
      <c r="AW1075" s="21" t="n"/>
      <c r="AX1075" s="21" t="n"/>
      <c r="AY1075" s="21" t="n"/>
      <c r="AZ1075" s="21" t="n"/>
      <c r="BA1075" s="21" t="n"/>
      <c r="BB1075" s="21" t="n"/>
      <c r="BC1075" s="21" t="n"/>
      <c r="BD1075" s="21" t="n"/>
      <c r="BE1075" s="21" t="n"/>
      <c r="BF1075" s="21" t="n"/>
      <c r="BG1075" s="21" t="n"/>
      <c r="BH1075" s="21" t="n"/>
      <c r="BI1075" s="21" t="n"/>
      <c r="BJ1075" s="21" t="n"/>
      <c r="BK1075" s="21" t="n"/>
      <c r="BL1075" s="21" t="n"/>
      <c r="BM1075" s="21" t="n"/>
      <c r="BN1075" s="21" t="n"/>
      <c r="BO1075" s="21" t="n"/>
      <c r="BP1075" s="21" t="n"/>
      <c r="BQ1075" s="21" t="n"/>
      <c r="BR1075" s="21" t="n"/>
      <c r="BS1075" s="21" t="n"/>
      <c r="BT1075" s="21" t="n"/>
      <c r="BU1075" s="21" t="n"/>
      <c r="BV1075" s="21" t="n"/>
      <c r="BW1075" s="21" t="n"/>
      <c r="BX1075" s="21" t="n"/>
      <c r="BY1075" s="21" t="n"/>
      <c r="BZ1075" s="21" t="n"/>
      <c r="CA1075" s="21" t="n"/>
      <c r="CB1075" s="21" t="n"/>
      <c r="CC1075" s="21" t="n"/>
      <c r="CD1075" s="21" t="n"/>
      <c r="CE1075" s="21" t="n"/>
      <c r="CF1075" s="21" t="n"/>
      <c r="CG1075" s="21" t="n"/>
      <c r="CH1075" s="21" t="n"/>
      <c r="CI1075" s="21" t="n"/>
      <c r="CJ1075" s="21" t="n"/>
      <c r="CK1075" s="21" t="n"/>
      <c r="CL1075" s="21" t="n"/>
      <c r="CM1075" s="21" t="n"/>
      <c r="CN1075" s="21" t="n"/>
      <c r="CO1075" s="21" t="n"/>
      <c r="CP1075" s="21" t="n"/>
      <c r="CQ1075" s="21" t="n"/>
      <c r="CR1075" s="21" t="n"/>
      <c r="CS1075" s="21" t="n"/>
      <c r="CT1075" s="21" t="n"/>
      <c r="CU1075" s="21" t="n"/>
      <c r="CV1075" s="21" t="n"/>
      <c r="CW1075" s="21" t="n"/>
      <c r="CX1075" s="21" t="n"/>
      <c r="CY1075" s="21" t="n"/>
      <c r="CZ1075" s="21" t="n"/>
      <c r="DA1075" s="21" t="n"/>
      <c r="DB1075" s="21" t="n"/>
      <c r="DC1075" s="21" t="n"/>
    </row>
    <row r="1076">
      <c r="B1076" t="inlineStr">
        <is>
          <t>TSP-1558</t>
        </is>
      </c>
      <c r="C1076" t="inlineStr">
        <is>
          <t>No. of batches</t>
        </is>
      </c>
      <c r="D1076">
        <f>IFERROR(INDEX(PP_Grid[#Data],$DD1076,2),0)</f>
        <v/>
      </c>
      <c r="E1076">
        <f>IFERROR(INDEX(PP_Grid[#Data],$DD1076,3),0)</f>
        <v/>
      </c>
      <c r="F1076">
        <f>IFERROR(INDEX(PP_Grid[#Data],$DD1076,4),0)</f>
        <v/>
      </c>
      <c r="G1076">
        <f>IFERROR(INDEX(PP_Grid[#Data],$DD1076,5),0)</f>
        <v/>
      </c>
      <c r="H1076">
        <f>IFERROR(INDEX(PP_Grid[#Data],$DD1076,6),0)</f>
        <v/>
      </c>
      <c r="I1076">
        <f>IFERROR(INDEX(PP_Grid[#Data],$DD1076,7),0)</f>
        <v/>
      </c>
      <c r="J1076">
        <f>IFERROR(INDEX(PP_Grid[#Data],$DD1076,8),0)</f>
        <v/>
      </c>
      <c r="K1076">
        <f>IFERROR(INDEX(PP_Grid[#Data],$DD1076,9),0)</f>
        <v/>
      </c>
      <c r="L1076">
        <f>IFERROR(INDEX(PP_Grid[#Data],$DD1076,10),0)</f>
        <v/>
      </c>
      <c r="M1076">
        <f>IFERROR(INDEX(PP_Grid[#Data],$DD1076,11),0)</f>
        <v/>
      </c>
      <c r="N1076">
        <f>IFERROR(INDEX(PP_Grid[#Data],$DD1076,12),0)</f>
        <v/>
      </c>
      <c r="O1076">
        <f>IFERROR(INDEX(PP_Grid[#Data],$DD1076,13),0)</f>
        <v/>
      </c>
      <c r="P1076">
        <f>IFERROR(INDEX(PP_Grid[#Data],$DD1076,14),0)</f>
        <v/>
      </c>
      <c r="Q1076">
        <f>IFERROR(INDEX(PP_Grid[#Data],$DD1076,15),0)</f>
        <v/>
      </c>
      <c r="R1076">
        <f>IFERROR(INDEX(PP_Grid[#Data],$DD1076,16),0)</f>
        <v/>
      </c>
      <c r="S1076">
        <f>IFERROR(INDEX(PP_Grid[#Data],$DD1076,17),0)</f>
        <v/>
      </c>
      <c r="T1076">
        <f>IFERROR(INDEX(PP_Grid[#Data],$DD1076,18),0)</f>
        <v/>
      </c>
      <c r="U1076">
        <f>IFERROR(INDEX(PP_Grid[#Data],$DD1076,19),0)</f>
        <v/>
      </c>
      <c r="V1076">
        <f>IFERROR(INDEX(PP_Grid[#Data],$DD1076,20),0)</f>
        <v/>
      </c>
      <c r="W1076">
        <f>IFERROR(INDEX(PP_Grid[#Data],$DD1076,21),0)</f>
        <v/>
      </c>
      <c r="X1076">
        <f>IFERROR(INDEX(PP_Grid[#Data],$DD1076,22),0)</f>
        <v/>
      </c>
      <c r="Y1076">
        <f>IFERROR(INDEX(PP_Grid[#Data],$DD1076,23),0)</f>
        <v/>
      </c>
      <c r="Z1076">
        <f>IFERROR(INDEX(PP_Grid[#Data],$DD1076,24),0)</f>
        <v/>
      </c>
      <c r="AA1076">
        <f>IFERROR(INDEX(PP_Grid[#Data],$DD1076,25),0)</f>
        <v/>
      </c>
      <c r="AB1076">
        <f>IFERROR(INDEX(PP_Grid[#Data],$DD1076,26),0)</f>
        <v/>
      </c>
      <c r="AC1076">
        <f>IFERROR(INDEX(PP_Grid[#Data],$DD1076,27),0)</f>
        <v/>
      </c>
      <c r="AD1076">
        <f>IFERROR(INDEX(PP_Grid[#Data],$DD1076,28),0)</f>
        <v/>
      </c>
      <c r="AE1076">
        <f>IFERROR(INDEX(PP_Grid[#Data],$DD1076,29),0)</f>
        <v/>
      </c>
      <c r="AF1076">
        <f>IFERROR(INDEX(PP_Grid[#Data],$DD1076,30),0)</f>
        <v/>
      </c>
      <c r="AG1076">
        <f>IFERROR(INDEX(PP_Grid[#Data],$DD1076,31),0)</f>
        <v/>
      </c>
      <c r="AH1076">
        <f>IFERROR(INDEX(PP_Grid[#Data],$DD1076,32),0)</f>
        <v/>
      </c>
      <c r="AI1076">
        <f>IFERROR(INDEX(PP_Grid[#Data],$DD1076,33),0)</f>
        <v/>
      </c>
      <c r="AJ1076">
        <f>IFERROR(INDEX(PP_Grid[#Data],$DD1076,34),0)</f>
        <v/>
      </c>
      <c r="AK1076">
        <f>IFERROR(INDEX(PP_Grid[#Data],$DD1076,35),0)</f>
        <v/>
      </c>
      <c r="AL1076">
        <f>IFERROR(INDEX(PP_Grid[#Data],$DD1076,36),0)</f>
        <v/>
      </c>
      <c r="AM1076">
        <f>IFERROR(INDEX(PP_Grid[#Data],$DD1076,37),0)</f>
        <v/>
      </c>
      <c r="AN1076">
        <f>IFERROR(INDEX(PP_Grid[#Data],$DD1076,38),0)</f>
        <v/>
      </c>
      <c r="AO1076">
        <f>IFERROR(INDEX(PP_Grid[#Data],$DD1076,39),0)</f>
        <v/>
      </c>
      <c r="AP1076">
        <f>IFERROR(INDEX(PP_Grid[#Data],$DD1076,40),0)</f>
        <v/>
      </c>
      <c r="AQ1076">
        <f>IFERROR(INDEX(PP_Grid[#Data],$DD1076,41),0)</f>
        <v/>
      </c>
      <c r="AR1076">
        <f>IFERROR(INDEX(PP_Grid[#Data],$DD1076,42),0)</f>
        <v/>
      </c>
      <c r="AS1076">
        <f>IFERROR(INDEX(PP_Grid[#Data],$DD1076,43),0)</f>
        <v/>
      </c>
      <c r="AT1076">
        <f>IFERROR(INDEX(PP_Grid[#Data],$DD1076,44),0)</f>
        <v/>
      </c>
      <c r="AU1076">
        <f>IFERROR(INDEX(PP_Grid[#Data],$DD1076,45),0)</f>
        <v/>
      </c>
      <c r="AV1076">
        <f>IFERROR(INDEX(PP_Grid[#Data],$DD1076,46),0)</f>
        <v/>
      </c>
      <c r="AW1076">
        <f>IFERROR(INDEX(PP_Grid[#Data],$DD1076,47),0)</f>
        <v/>
      </c>
      <c r="AX1076">
        <f>IFERROR(INDEX(PP_Grid[#Data],$DD1076,48),0)</f>
        <v/>
      </c>
      <c r="AY1076">
        <f>IFERROR(INDEX(PP_Grid[#Data],$DD1076,49),0)</f>
        <v/>
      </c>
      <c r="AZ1076">
        <f>IFERROR(INDEX(PP_Grid[#Data],$DD1076,50),0)</f>
        <v/>
      </c>
      <c r="BA1076">
        <f>IFERROR(INDEX(PP_Grid[#Data],$DD1076,51),0)</f>
        <v/>
      </c>
      <c r="BB1076">
        <f>IFERROR(INDEX(PP_Grid[#Data],$DD1076,52),0)</f>
        <v/>
      </c>
      <c r="BC1076">
        <f>IFERROR(INDEX(PP_Grid[#Data],$DD1076,53),0)</f>
        <v/>
      </c>
      <c r="BD1076">
        <f>IFERROR(INDEX(PP_Grid[#Data],$DD1076,54),0)</f>
        <v/>
      </c>
      <c r="BE1076">
        <f>IFERROR(INDEX(PP_Grid[#Data],$DD1076,55),0)</f>
        <v/>
      </c>
      <c r="BF1076">
        <f>IFERROR(INDEX(PP_Grid[#Data],$DD1076,56),0)</f>
        <v/>
      </c>
      <c r="BG1076">
        <f>IFERROR(INDEX(PP_Grid[#Data],$DD1076,57),0)</f>
        <v/>
      </c>
      <c r="BH1076">
        <f>IFERROR(INDEX(PP_Grid[#Data],$DD1076,58),0)</f>
        <v/>
      </c>
      <c r="BI1076">
        <f>IFERROR(INDEX(PP_Grid[#Data],$DD1076,59),0)</f>
        <v/>
      </c>
      <c r="BJ1076">
        <f>IFERROR(INDEX(PP_Grid[#Data],$DD1076,60),0)</f>
        <v/>
      </c>
      <c r="BK1076">
        <f>IFERROR(INDEX(PP_Grid[#Data],$DD1076,61),0)</f>
        <v/>
      </c>
      <c r="BL1076">
        <f>IFERROR(INDEX(PP_Grid[#Data],$DD1076,62),0)</f>
        <v/>
      </c>
      <c r="BM1076">
        <f>IFERROR(INDEX(PP_Grid[#Data],$DD1076,63),0)</f>
        <v/>
      </c>
      <c r="BN1076">
        <f>IFERROR(INDEX(PP_Grid[#Data],$DD1076,64),0)</f>
        <v/>
      </c>
      <c r="BO1076">
        <f>IFERROR(INDEX(PP_Grid[#Data],$DD1076,65),0)</f>
        <v/>
      </c>
      <c r="BP1076">
        <f>IFERROR(INDEX(PP_Grid[#Data],$DD1076,66),0)</f>
        <v/>
      </c>
      <c r="BQ1076">
        <f>IFERROR(INDEX(PP_Grid[#Data],$DD1076,67),0)</f>
        <v/>
      </c>
      <c r="BR1076">
        <f>IFERROR(INDEX(PP_Grid[#Data],$DD1076,68),0)</f>
        <v/>
      </c>
      <c r="BS1076">
        <f>IFERROR(INDEX(PP_Grid[#Data],$DD1076,69),0)</f>
        <v/>
      </c>
      <c r="BT1076">
        <f>IFERROR(INDEX(PP_Grid[#Data],$DD1076,70),0)</f>
        <v/>
      </c>
      <c r="BU1076">
        <f>IFERROR(INDEX(PP_Grid[#Data],$DD1076,71),0)</f>
        <v/>
      </c>
      <c r="BV1076">
        <f>IFERROR(INDEX(PP_Grid[#Data],$DD1076,72),0)</f>
        <v/>
      </c>
      <c r="BW1076">
        <f>IFERROR(INDEX(PP_Grid[#Data],$DD1076,73),0)</f>
        <v/>
      </c>
      <c r="BX1076">
        <f>IFERROR(INDEX(PP_Grid[#Data],$DD1076,74),0)</f>
        <v/>
      </c>
      <c r="BY1076">
        <f>IFERROR(INDEX(PP_Grid[#Data],$DD1076,75),0)</f>
        <v/>
      </c>
      <c r="BZ1076">
        <f>IFERROR(INDEX(PP_Grid[#Data],$DD1076,76),0)</f>
        <v/>
      </c>
      <c r="CA1076">
        <f>IFERROR(INDEX(PP_Grid[#Data],$DD1076,77),0)</f>
        <v/>
      </c>
      <c r="CB1076">
        <f>IFERROR(INDEX(PP_Grid[#Data],$DD1076,78),0)</f>
        <v/>
      </c>
      <c r="CC1076">
        <f>IFERROR(INDEX(PP_Grid[#Data],$DD1076,79),0)</f>
        <v/>
      </c>
      <c r="CD1076">
        <f>IFERROR(INDEX(PP_Grid[#Data],$DD1076,80),0)</f>
        <v/>
      </c>
      <c r="CE1076">
        <f>IFERROR(INDEX(PP_Grid[#Data],$DD1076,81),0)</f>
        <v/>
      </c>
      <c r="CF1076">
        <f>IFERROR(INDEX(PP_Grid[#Data],$DD1076,82),0)</f>
        <v/>
      </c>
      <c r="CG1076">
        <f>IFERROR(INDEX(PP_Grid[#Data],$DD1076,83),0)</f>
        <v/>
      </c>
      <c r="CH1076">
        <f>IFERROR(INDEX(PP_Grid[#Data],$DD1076,84),0)</f>
        <v/>
      </c>
      <c r="CI1076">
        <f>IFERROR(INDEX(PP_Grid[#Data],$DD1076,85),0)</f>
        <v/>
      </c>
      <c r="CJ1076">
        <f>IFERROR(INDEX(PP_Grid[#Data],$DD1076,86),0)</f>
        <v/>
      </c>
      <c r="CK1076">
        <f>IFERROR(INDEX(PP_Grid[#Data],$DD1076,87),0)</f>
        <v/>
      </c>
      <c r="CL1076">
        <f>IFERROR(INDEX(PP_Grid[#Data],$DD1076,88),0)</f>
        <v/>
      </c>
      <c r="CM1076">
        <f>IFERROR(INDEX(PP_Grid[#Data],$DD1076,89),0)</f>
        <v/>
      </c>
      <c r="CN1076">
        <f>IFERROR(INDEX(PP_Grid[#Data],$DD1076,90),0)</f>
        <v/>
      </c>
      <c r="CO1076">
        <f>IFERROR(INDEX(PP_Grid[#Data],$DD1076,91),0)</f>
        <v/>
      </c>
      <c r="CP1076">
        <f>IFERROR(INDEX(PP_Grid[#Data],$DD1076,92),0)</f>
        <v/>
      </c>
      <c r="CQ1076">
        <f>IFERROR(INDEX(PP_Grid[#Data],$DD1076,93),0)</f>
        <v/>
      </c>
      <c r="CR1076">
        <f>IFERROR(INDEX(PP_Grid[#Data],$DD1076,94),0)</f>
        <v/>
      </c>
      <c r="CS1076">
        <f>IFERROR(INDEX(PP_Grid[#Data],$DD1076,95),0)</f>
        <v/>
      </c>
      <c r="CT1076">
        <f>IFERROR(INDEX(PP_Grid[#Data],$DD1076,96),0)</f>
        <v/>
      </c>
      <c r="CU1076">
        <f>IFERROR(INDEX(PP_Grid[#Data],$DD1076,97),0)</f>
        <v/>
      </c>
      <c r="CV1076">
        <f>IFERROR(INDEX(PP_Grid[#Data],$DD1076,98),0)</f>
        <v/>
      </c>
      <c r="CW1076">
        <f>IFERROR(INDEX(PP_Grid[#Data],$DD1076,99),0)</f>
        <v/>
      </c>
      <c r="CX1076">
        <f>IFERROR(INDEX(PP_Grid[#Data],$DD1076,100),0)</f>
        <v/>
      </c>
      <c r="CY1076">
        <f>IFERROR(INDEX(PP_Grid[#Data],$DD1076,101),0)</f>
        <v/>
      </c>
      <c r="CZ1076">
        <f>IFERROR(INDEX(PP_Grid[#Data],$DD1076,102),0)</f>
        <v/>
      </c>
      <c r="DA1076">
        <f>IFERROR(INDEX(PP_Grid[#Data],$DD1076,103),0)</f>
        <v/>
      </c>
      <c r="DB1076">
        <f>IFERROR(INDEX(PP_Grid[#Data],$DD1076,104),0)</f>
        <v/>
      </c>
      <c r="DC1076">
        <f>IFERROR(INDEX(PP_Grid[#Data],$DD1076,105),0)</f>
        <v/>
      </c>
      <c r="DD1076" s="12">
        <f>IFERROR(MATCH($B1076,PP_Grid[Intermediate],0),99999)</f>
        <v/>
      </c>
    </row>
    <row r="1077">
      <c r="B1077" t="inlineStr">
        <is>
          <t>使用量(kg)</t>
        </is>
      </c>
      <c r="C1077">
        <f>SUMIFS(M_BOM[RM_Qty_Per_Batch],M_BOM[Intermediate],$B1076,M_BOM[Part Name],$A1075)</f>
        <v/>
      </c>
      <c r="D1077">
        <f>$C1077*D1076</f>
        <v/>
      </c>
      <c r="E1077">
        <f>$C1077*E1076</f>
        <v/>
      </c>
      <c r="F1077">
        <f>$C1077*F1076</f>
        <v/>
      </c>
      <c r="G1077">
        <f>$C1077*G1076</f>
        <v/>
      </c>
      <c r="H1077">
        <f>$C1077*H1076</f>
        <v/>
      </c>
      <c r="I1077">
        <f>$C1077*I1076</f>
        <v/>
      </c>
      <c r="J1077">
        <f>$C1077*J1076</f>
        <v/>
      </c>
      <c r="K1077">
        <f>$C1077*K1076</f>
        <v/>
      </c>
      <c r="L1077">
        <f>$C1077*L1076</f>
        <v/>
      </c>
      <c r="M1077">
        <f>$C1077*M1076</f>
        <v/>
      </c>
      <c r="N1077">
        <f>$C1077*N1076</f>
        <v/>
      </c>
      <c r="O1077">
        <f>$C1077*O1076</f>
        <v/>
      </c>
      <c r="P1077">
        <f>$C1077*P1076</f>
        <v/>
      </c>
      <c r="Q1077">
        <f>$C1077*Q1076</f>
        <v/>
      </c>
      <c r="R1077">
        <f>$C1077*R1076</f>
        <v/>
      </c>
      <c r="S1077">
        <f>$C1077*S1076</f>
        <v/>
      </c>
      <c r="T1077">
        <f>$C1077*T1076</f>
        <v/>
      </c>
      <c r="U1077">
        <f>$C1077*U1076</f>
        <v/>
      </c>
      <c r="V1077">
        <f>$C1077*V1076</f>
        <v/>
      </c>
      <c r="W1077">
        <f>$C1077*W1076</f>
        <v/>
      </c>
      <c r="X1077">
        <f>$C1077*X1076</f>
        <v/>
      </c>
      <c r="Y1077">
        <f>$C1077*Y1076</f>
        <v/>
      </c>
      <c r="Z1077">
        <f>$C1077*Z1076</f>
        <v/>
      </c>
      <c r="AA1077">
        <f>$C1077*AA1076</f>
        <v/>
      </c>
      <c r="AB1077">
        <f>$C1077*AB1076</f>
        <v/>
      </c>
      <c r="AC1077">
        <f>$C1077*AC1076</f>
        <v/>
      </c>
      <c r="AD1077">
        <f>$C1077*AD1076</f>
        <v/>
      </c>
      <c r="AE1077">
        <f>$C1077*AE1076</f>
        <v/>
      </c>
      <c r="AF1077">
        <f>$C1077*AF1076</f>
        <v/>
      </c>
      <c r="AG1077">
        <f>$C1077*AG1076</f>
        <v/>
      </c>
      <c r="AH1077">
        <f>$C1077*AH1076</f>
        <v/>
      </c>
      <c r="AI1077">
        <f>$C1077*AI1076</f>
        <v/>
      </c>
      <c r="AJ1077">
        <f>$C1077*AJ1076</f>
        <v/>
      </c>
      <c r="AK1077">
        <f>$C1077*AK1076</f>
        <v/>
      </c>
      <c r="AL1077">
        <f>$C1077*AL1076</f>
        <v/>
      </c>
      <c r="AM1077">
        <f>$C1077*AM1076</f>
        <v/>
      </c>
      <c r="AN1077">
        <f>$C1077*AN1076</f>
        <v/>
      </c>
      <c r="AO1077">
        <f>$C1077*AO1076</f>
        <v/>
      </c>
      <c r="AP1077">
        <f>$C1077*AP1076</f>
        <v/>
      </c>
      <c r="AQ1077">
        <f>$C1077*AQ1076</f>
        <v/>
      </c>
      <c r="AR1077">
        <f>$C1077*AR1076</f>
        <v/>
      </c>
      <c r="AS1077">
        <f>$C1077*AS1076</f>
        <v/>
      </c>
      <c r="AT1077">
        <f>$C1077*AT1076</f>
        <v/>
      </c>
      <c r="AU1077">
        <f>$C1077*AU1076</f>
        <v/>
      </c>
      <c r="AV1077">
        <f>$C1077*AV1076</f>
        <v/>
      </c>
      <c r="AW1077">
        <f>$C1077*AW1076</f>
        <v/>
      </c>
      <c r="AX1077">
        <f>$C1077*AX1076</f>
        <v/>
      </c>
      <c r="AY1077">
        <f>$C1077*AY1076</f>
        <v/>
      </c>
      <c r="AZ1077">
        <f>$C1077*AZ1076</f>
        <v/>
      </c>
      <c r="BA1077">
        <f>$C1077*BA1076</f>
        <v/>
      </c>
      <c r="BB1077">
        <f>$C1077*BB1076</f>
        <v/>
      </c>
      <c r="BC1077">
        <f>$C1077*BC1076</f>
        <v/>
      </c>
      <c r="BD1077">
        <f>$C1077*BD1076</f>
        <v/>
      </c>
      <c r="BE1077">
        <f>$C1077*BE1076</f>
        <v/>
      </c>
      <c r="BF1077">
        <f>$C1077*BF1076</f>
        <v/>
      </c>
      <c r="BG1077">
        <f>$C1077*BG1076</f>
        <v/>
      </c>
      <c r="BH1077">
        <f>$C1077*BH1076</f>
        <v/>
      </c>
      <c r="BI1077">
        <f>$C1077*BI1076</f>
        <v/>
      </c>
      <c r="BJ1077">
        <f>$C1077*BJ1076</f>
        <v/>
      </c>
      <c r="BK1077">
        <f>$C1077*BK1076</f>
        <v/>
      </c>
      <c r="BL1077">
        <f>$C1077*BL1076</f>
        <v/>
      </c>
      <c r="BM1077">
        <f>$C1077*BM1076</f>
        <v/>
      </c>
      <c r="BN1077">
        <f>$C1077*BN1076</f>
        <v/>
      </c>
      <c r="BO1077">
        <f>$C1077*BO1076</f>
        <v/>
      </c>
      <c r="BP1077">
        <f>$C1077*BP1076</f>
        <v/>
      </c>
      <c r="BQ1077">
        <f>$C1077*BQ1076</f>
        <v/>
      </c>
      <c r="BR1077">
        <f>$C1077*BR1076</f>
        <v/>
      </c>
      <c r="BS1077">
        <f>$C1077*BS1076</f>
        <v/>
      </c>
      <c r="BT1077">
        <f>$C1077*BT1076</f>
        <v/>
      </c>
      <c r="BU1077">
        <f>$C1077*BU1076</f>
        <v/>
      </c>
      <c r="BV1077">
        <f>$C1077*BV1076</f>
        <v/>
      </c>
      <c r="BW1077">
        <f>$C1077*BW1076</f>
        <v/>
      </c>
      <c r="BX1077">
        <f>$C1077*BX1076</f>
        <v/>
      </c>
      <c r="BY1077">
        <f>$C1077*BY1076</f>
        <v/>
      </c>
      <c r="BZ1077">
        <f>$C1077*BZ1076</f>
        <v/>
      </c>
      <c r="CA1077">
        <f>$C1077*CA1076</f>
        <v/>
      </c>
      <c r="CB1077">
        <f>$C1077*CB1076</f>
        <v/>
      </c>
      <c r="CC1077">
        <f>$C1077*CC1076</f>
        <v/>
      </c>
      <c r="CD1077">
        <f>$C1077*CD1076</f>
        <v/>
      </c>
      <c r="CE1077">
        <f>$C1077*CE1076</f>
        <v/>
      </c>
      <c r="CF1077">
        <f>$C1077*CF1076</f>
        <v/>
      </c>
      <c r="CG1077">
        <f>$C1077*CG1076</f>
        <v/>
      </c>
      <c r="CH1077">
        <f>$C1077*CH1076</f>
        <v/>
      </c>
      <c r="CI1077">
        <f>$C1077*CI1076</f>
        <v/>
      </c>
      <c r="CJ1077">
        <f>$C1077*CJ1076</f>
        <v/>
      </c>
      <c r="CK1077">
        <f>$C1077*CK1076</f>
        <v/>
      </c>
      <c r="CL1077">
        <f>$C1077*CL1076</f>
        <v/>
      </c>
      <c r="CM1077">
        <f>$C1077*CM1076</f>
        <v/>
      </c>
      <c r="CN1077">
        <f>$C1077*CN1076</f>
        <v/>
      </c>
      <c r="CO1077">
        <f>$C1077*CO1076</f>
        <v/>
      </c>
      <c r="CP1077">
        <f>$C1077*CP1076</f>
        <v/>
      </c>
      <c r="CQ1077">
        <f>$C1077*CQ1076</f>
        <v/>
      </c>
      <c r="CR1077">
        <f>$C1077*CR1076</f>
        <v/>
      </c>
      <c r="CS1077">
        <f>$C1077*CS1076</f>
        <v/>
      </c>
      <c r="CT1077">
        <f>$C1077*CT1076</f>
        <v/>
      </c>
      <c r="CU1077">
        <f>$C1077*CU1076</f>
        <v/>
      </c>
      <c r="CV1077">
        <f>$C1077*CV1076</f>
        <v/>
      </c>
      <c r="CW1077">
        <f>$C1077*CW1076</f>
        <v/>
      </c>
      <c r="CX1077">
        <f>$C1077*CX1076</f>
        <v/>
      </c>
      <c r="CY1077">
        <f>$C1077*CY1076</f>
        <v/>
      </c>
      <c r="CZ1077">
        <f>$C1077*CZ1076</f>
        <v/>
      </c>
      <c r="DA1077">
        <f>$C1077*DA1076</f>
        <v/>
      </c>
      <c r="DB1077">
        <f>$C1077*DB1076</f>
        <v/>
      </c>
      <c r="DC1077">
        <f>$C1077*DC1076</f>
        <v/>
      </c>
    </row>
    <row r="1078">
      <c r="B1078" s="5" t="inlineStr">
        <is>
          <t>合計使用量(kg)/週</t>
        </is>
      </c>
      <c r="D1078">
        <f>'Grid_Requirement'!B51</f>
        <v/>
      </c>
      <c r="E1078">
        <f>'Grid_Requirement'!C51</f>
        <v/>
      </c>
      <c r="F1078">
        <f>'Grid_Requirement'!D51</f>
        <v/>
      </c>
      <c r="G1078">
        <f>'Grid_Requirement'!E51</f>
        <v/>
      </c>
      <c r="H1078">
        <f>'Grid_Requirement'!F51</f>
        <v/>
      </c>
      <c r="I1078">
        <f>'Grid_Requirement'!G51</f>
        <v/>
      </c>
      <c r="J1078">
        <f>'Grid_Requirement'!H51</f>
        <v/>
      </c>
      <c r="K1078">
        <f>'Grid_Requirement'!I51</f>
        <v/>
      </c>
      <c r="L1078">
        <f>'Grid_Requirement'!J51</f>
        <v/>
      </c>
      <c r="M1078">
        <f>'Grid_Requirement'!K51</f>
        <v/>
      </c>
      <c r="N1078">
        <f>'Grid_Requirement'!L51</f>
        <v/>
      </c>
      <c r="O1078">
        <f>'Grid_Requirement'!M51</f>
        <v/>
      </c>
      <c r="P1078">
        <f>'Grid_Requirement'!N51</f>
        <v/>
      </c>
      <c r="Q1078">
        <f>'Grid_Requirement'!O51</f>
        <v/>
      </c>
      <c r="R1078">
        <f>'Grid_Requirement'!P51</f>
        <v/>
      </c>
      <c r="S1078">
        <f>'Grid_Requirement'!Q51</f>
        <v/>
      </c>
      <c r="T1078">
        <f>'Grid_Requirement'!R51</f>
        <v/>
      </c>
      <c r="U1078">
        <f>'Grid_Requirement'!S51</f>
        <v/>
      </c>
      <c r="V1078">
        <f>'Grid_Requirement'!T51</f>
        <v/>
      </c>
      <c r="W1078">
        <f>'Grid_Requirement'!U51</f>
        <v/>
      </c>
      <c r="X1078">
        <f>'Grid_Requirement'!V51</f>
        <v/>
      </c>
      <c r="Y1078">
        <f>'Grid_Requirement'!W51</f>
        <v/>
      </c>
      <c r="Z1078">
        <f>'Grid_Requirement'!X51</f>
        <v/>
      </c>
      <c r="AA1078">
        <f>'Grid_Requirement'!Y51</f>
        <v/>
      </c>
      <c r="AB1078">
        <f>'Grid_Requirement'!Z51</f>
        <v/>
      </c>
      <c r="AC1078">
        <f>'Grid_Requirement'!AA51</f>
        <v/>
      </c>
      <c r="AD1078">
        <f>'Grid_Requirement'!AB51</f>
        <v/>
      </c>
      <c r="AE1078">
        <f>'Grid_Requirement'!AC51</f>
        <v/>
      </c>
      <c r="AF1078">
        <f>'Grid_Requirement'!AD51</f>
        <v/>
      </c>
      <c r="AG1078">
        <f>'Grid_Requirement'!AE51</f>
        <v/>
      </c>
      <c r="AH1078">
        <f>'Grid_Requirement'!AF51</f>
        <v/>
      </c>
      <c r="AI1078">
        <f>'Grid_Requirement'!AG51</f>
        <v/>
      </c>
      <c r="AJ1078">
        <f>'Grid_Requirement'!AH51</f>
        <v/>
      </c>
      <c r="AK1078">
        <f>'Grid_Requirement'!AI51</f>
        <v/>
      </c>
      <c r="AL1078">
        <f>'Grid_Requirement'!AJ51</f>
        <v/>
      </c>
      <c r="AM1078">
        <f>'Grid_Requirement'!AK51</f>
        <v/>
      </c>
      <c r="AN1078">
        <f>'Grid_Requirement'!AL51</f>
        <v/>
      </c>
      <c r="AO1078">
        <f>'Grid_Requirement'!AM51</f>
        <v/>
      </c>
      <c r="AP1078">
        <f>'Grid_Requirement'!AN51</f>
        <v/>
      </c>
      <c r="AQ1078">
        <f>'Grid_Requirement'!AO51</f>
        <v/>
      </c>
      <c r="AR1078">
        <f>'Grid_Requirement'!AP51</f>
        <v/>
      </c>
      <c r="AS1078">
        <f>'Grid_Requirement'!AQ51</f>
        <v/>
      </c>
      <c r="AT1078">
        <f>'Grid_Requirement'!AR51</f>
        <v/>
      </c>
      <c r="AU1078">
        <f>'Grid_Requirement'!AS51</f>
        <v/>
      </c>
      <c r="AV1078">
        <f>'Grid_Requirement'!AT51</f>
        <v/>
      </c>
      <c r="AW1078">
        <f>'Grid_Requirement'!AU51</f>
        <v/>
      </c>
      <c r="AX1078">
        <f>'Grid_Requirement'!AV51</f>
        <v/>
      </c>
      <c r="AY1078">
        <f>'Grid_Requirement'!AW51</f>
        <v/>
      </c>
      <c r="AZ1078">
        <f>'Grid_Requirement'!AX51</f>
        <v/>
      </c>
      <c r="BA1078">
        <f>'Grid_Requirement'!AY51</f>
        <v/>
      </c>
      <c r="BB1078">
        <f>'Grid_Requirement'!AZ51</f>
        <v/>
      </c>
      <c r="BC1078">
        <f>'Grid_Requirement'!BA51</f>
        <v/>
      </c>
      <c r="BD1078">
        <f>'Grid_Requirement'!BB51</f>
        <v/>
      </c>
      <c r="BE1078">
        <f>'Grid_Requirement'!BC51</f>
        <v/>
      </c>
      <c r="BF1078">
        <f>'Grid_Requirement'!BD51</f>
        <v/>
      </c>
      <c r="BG1078">
        <f>'Grid_Requirement'!BE51</f>
        <v/>
      </c>
      <c r="BH1078">
        <f>'Grid_Requirement'!BF51</f>
        <v/>
      </c>
      <c r="BI1078">
        <f>'Grid_Requirement'!BG51</f>
        <v/>
      </c>
      <c r="BJ1078">
        <f>'Grid_Requirement'!BH51</f>
        <v/>
      </c>
      <c r="BK1078">
        <f>'Grid_Requirement'!BI51</f>
        <v/>
      </c>
      <c r="BL1078">
        <f>'Grid_Requirement'!BJ51</f>
        <v/>
      </c>
      <c r="BM1078">
        <f>'Grid_Requirement'!BK51</f>
        <v/>
      </c>
      <c r="BN1078">
        <f>'Grid_Requirement'!BL51</f>
        <v/>
      </c>
      <c r="BO1078">
        <f>'Grid_Requirement'!BM51</f>
        <v/>
      </c>
      <c r="BP1078">
        <f>'Grid_Requirement'!BN51</f>
        <v/>
      </c>
      <c r="BQ1078">
        <f>'Grid_Requirement'!BO51</f>
        <v/>
      </c>
      <c r="BR1078">
        <f>'Grid_Requirement'!BP51</f>
        <v/>
      </c>
      <c r="BS1078">
        <f>'Grid_Requirement'!BQ51</f>
        <v/>
      </c>
      <c r="BT1078">
        <f>'Grid_Requirement'!BR51</f>
        <v/>
      </c>
      <c r="BU1078">
        <f>'Grid_Requirement'!BS51</f>
        <v/>
      </c>
      <c r="BV1078">
        <f>'Grid_Requirement'!BT51</f>
        <v/>
      </c>
      <c r="BW1078">
        <f>'Grid_Requirement'!BU51</f>
        <v/>
      </c>
      <c r="BX1078">
        <f>'Grid_Requirement'!BV51</f>
        <v/>
      </c>
      <c r="BY1078">
        <f>'Grid_Requirement'!BW51</f>
        <v/>
      </c>
      <c r="BZ1078">
        <f>'Grid_Requirement'!BX51</f>
        <v/>
      </c>
      <c r="CA1078">
        <f>'Grid_Requirement'!BY51</f>
        <v/>
      </c>
      <c r="CB1078">
        <f>'Grid_Requirement'!BZ51</f>
        <v/>
      </c>
      <c r="CC1078">
        <f>'Grid_Requirement'!CA51</f>
        <v/>
      </c>
      <c r="CD1078">
        <f>'Grid_Requirement'!CB51</f>
        <v/>
      </c>
      <c r="CE1078">
        <f>'Grid_Requirement'!CC51</f>
        <v/>
      </c>
      <c r="CF1078">
        <f>'Grid_Requirement'!CD51</f>
        <v/>
      </c>
      <c r="CG1078">
        <f>'Grid_Requirement'!CE51</f>
        <v/>
      </c>
      <c r="CH1078">
        <f>'Grid_Requirement'!CF51</f>
        <v/>
      </c>
      <c r="CI1078">
        <f>'Grid_Requirement'!CG51</f>
        <v/>
      </c>
      <c r="CJ1078">
        <f>'Grid_Requirement'!CH51</f>
        <v/>
      </c>
      <c r="CK1078">
        <f>'Grid_Requirement'!CI51</f>
        <v/>
      </c>
      <c r="CL1078">
        <f>'Grid_Requirement'!CJ51</f>
        <v/>
      </c>
      <c r="CM1078">
        <f>'Grid_Requirement'!CK51</f>
        <v/>
      </c>
      <c r="CN1078">
        <f>'Grid_Requirement'!CL51</f>
        <v/>
      </c>
      <c r="CO1078">
        <f>'Grid_Requirement'!CM51</f>
        <v/>
      </c>
      <c r="CP1078">
        <f>'Grid_Requirement'!CN51</f>
        <v/>
      </c>
      <c r="CQ1078">
        <f>'Grid_Requirement'!CO51</f>
        <v/>
      </c>
      <c r="CR1078">
        <f>'Grid_Requirement'!CP51</f>
        <v/>
      </c>
      <c r="CS1078">
        <f>'Grid_Requirement'!CQ51</f>
        <v/>
      </c>
      <c r="CT1078">
        <f>'Grid_Requirement'!CR51</f>
        <v/>
      </c>
      <c r="CU1078">
        <f>'Grid_Requirement'!CS51</f>
        <v/>
      </c>
      <c r="CV1078">
        <f>'Grid_Requirement'!CT51</f>
        <v/>
      </c>
      <c r="CW1078">
        <f>'Grid_Requirement'!CU51</f>
        <v/>
      </c>
      <c r="CX1078">
        <f>'Grid_Requirement'!CV51</f>
        <v/>
      </c>
      <c r="CY1078">
        <f>'Grid_Requirement'!CW51</f>
        <v/>
      </c>
      <c r="CZ1078">
        <f>'Grid_Requirement'!CX51</f>
        <v/>
      </c>
      <c r="DA1078">
        <f>'Grid_Requirement'!CY51</f>
        <v/>
      </c>
      <c r="DB1078">
        <f>'Grid_Requirement'!CZ51</f>
        <v/>
      </c>
      <c r="DC1078">
        <f>'Grid_Requirement'!DA51</f>
        <v/>
      </c>
    </row>
    <row r="1079">
      <c r="B1079" t="inlineStr">
        <is>
          <t>TTAF在庫(実績,kg)</t>
        </is>
      </c>
      <c r="D1079">
        <f>'T_TTAFStock'!B55</f>
        <v/>
      </c>
      <c r="E1079">
        <f>'T_TTAFStock'!C55</f>
        <v/>
      </c>
      <c r="F1079">
        <f>'T_TTAFStock'!D55</f>
        <v/>
      </c>
      <c r="G1079">
        <f>'T_TTAFStock'!E55</f>
        <v/>
      </c>
      <c r="H1079">
        <f>'T_TTAFStock'!F55</f>
        <v/>
      </c>
      <c r="I1079">
        <f>'T_TTAFStock'!G55</f>
        <v/>
      </c>
      <c r="J1079">
        <f>'T_TTAFStock'!H55</f>
        <v/>
      </c>
      <c r="K1079">
        <f>'T_TTAFStock'!I55</f>
        <v/>
      </c>
      <c r="L1079">
        <f>'T_TTAFStock'!J55</f>
        <v/>
      </c>
      <c r="M1079">
        <f>'T_TTAFStock'!K55</f>
        <v/>
      </c>
      <c r="N1079">
        <f>'T_TTAFStock'!L55</f>
        <v/>
      </c>
      <c r="O1079">
        <f>'T_TTAFStock'!M55</f>
        <v/>
      </c>
      <c r="P1079">
        <f>'T_TTAFStock'!N55</f>
        <v/>
      </c>
      <c r="Q1079">
        <f>'T_TTAFStock'!O55</f>
        <v/>
      </c>
      <c r="R1079">
        <f>'T_TTAFStock'!P55</f>
        <v/>
      </c>
      <c r="S1079">
        <f>'T_TTAFStock'!Q55</f>
        <v/>
      </c>
      <c r="T1079">
        <f>'T_TTAFStock'!R55</f>
        <v/>
      </c>
      <c r="U1079">
        <f>'T_TTAFStock'!S55</f>
        <v/>
      </c>
      <c r="V1079">
        <f>'T_TTAFStock'!T55</f>
        <v/>
      </c>
      <c r="W1079">
        <f>'T_TTAFStock'!U55</f>
        <v/>
      </c>
      <c r="X1079">
        <f>'T_TTAFStock'!V55</f>
        <v/>
      </c>
      <c r="Y1079">
        <f>'T_TTAFStock'!W55</f>
        <v/>
      </c>
      <c r="Z1079">
        <f>'T_TTAFStock'!X55</f>
        <v/>
      </c>
      <c r="AA1079">
        <f>'T_TTAFStock'!Y55</f>
        <v/>
      </c>
      <c r="AB1079">
        <f>'T_TTAFStock'!Z55</f>
        <v/>
      </c>
      <c r="AC1079">
        <f>'T_TTAFStock'!AA55</f>
        <v/>
      </c>
      <c r="AD1079">
        <f>'T_TTAFStock'!AB55</f>
        <v/>
      </c>
      <c r="AE1079">
        <f>'T_TTAFStock'!AC55</f>
        <v/>
      </c>
      <c r="AF1079">
        <f>'T_TTAFStock'!AD55</f>
        <v/>
      </c>
      <c r="AG1079">
        <f>'T_TTAFStock'!AE55</f>
        <v/>
      </c>
      <c r="AH1079">
        <f>'T_TTAFStock'!AF55</f>
        <v/>
      </c>
      <c r="AI1079">
        <f>'T_TTAFStock'!AG55</f>
        <v/>
      </c>
      <c r="AJ1079">
        <f>'T_TTAFStock'!AH55</f>
        <v/>
      </c>
      <c r="AK1079">
        <f>'T_TTAFStock'!AI55</f>
        <v/>
      </c>
      <c r="AL1079">
        <f>'T_TTAFStock'!AJ55</f>
        <v/>
      </c>
      <c r="AM1079">
        <f>'T_TTAFStock'!AK55</f>
        <v/>
      </c>
      <c r="AN1079">
        <f>'T_TTAFStock'!AL55</f>
        <v/>
      </c>
      <c r="AO1079">
        <f>'T_TTAFStock'!AM55</f>
        <v/>
      </c>
      <c r="AP1079">
        <f>'T_TTAFStock'!AN55</f>
        <v/>
      </c>
      <c r="AQ1079">
        <f>'T_TTAFStock'!AO55</f>
        <v/>
      </c>
      <c r="AR1079">
        <f>'T_TTAFStock'!AP55</f>
        <v/>
      </c>
      <c r="AS1079">
        <f>'T_TTAFStock'!AQ55</f>
        <v/>
      </c>
      <c r="AT1079">
        <f>'T_TTAFStock'!AR55</f>
        <v/>
      </c>
      <c r="AU1079">
        <f>'T_TTAFStock'!AS55</f>
        <v/>
      </c>
      <c r="AV1079">
        <f>'T_TTAFStock'!AT55</f>
        <v/>
      </c>
      <c r="AW1079">
        <f>'T_TTAFStock'!AU55</f>
        <v/>
      </c>
      <c r="AX1079">
        <f>'T_TTAFStock'!AV55</f>
        <v/>
      </c>
      <c r="AY1079">
        <f>'T_TTAFStock'!AW55</f>
        <v/>
      </c>
      <c r="AZ1079">
        <f>'T_TTAFStock'!AX55</f>
        <v/>
      </c>
      <c r="BA1079">
        <f>'T_TTAFStock'!AY55</f>
        <v/>
      </c>
      <c r="BB1079">
        <f>'T_TTAFStock'!AZ55</f>
        <v/>
      </c>
      <c r="BC1079">
        <f>'T_TTAFStock'!BA55</f>
        <v/>
      </c>
      <c r="BD1079">
        <f>'T_TTAFStock'!BB55</f>
        <v/>
      </c>
      <c r="BE1079">
        <f>'T_TTAFStock'!BC55</f>
        <v/>
      </c>
      <c r="BF1079">
        <f>'T_TTAFStock'!BD55</f>
        <v/>
      </c>
      <c r="BG1079">
        <f>'T_TTAFStock'!BE55</f>
        <v/>
      </c>
      <c r="BH1079">
        <f>'T_TTAFStock'!BF55</f>
        <v/>
      </c>
      <c r="BI1079">
        <f>'T_TTAFStock'!BG55</f>
        <v/>
      </c>
      <c r="BJ1079">
        <f>'T_TTAFStock'!BH55</f>
        <v/>
      </c>
      <c r="BK1079">
        <f>'T_TTAFStock'!BI55</f>
        <v/>
      </c>
      <c r="BL1079">
        <f>'T_TTAFStock'!BJ55</f>
        <v/>
      </c>
      <c r="BM1079">
        <f>'T_TTAFStock'!BK55</f>
        <v/>
      </c>
      <c r="BN1079">
        <f>'T_TTAFStock'!BL55</f>
        <v/>
      </c>
      <c r="BO1079">
        <f>'T_TTAFStock'!BM55</f>
        <v/>
      </c>
      <c r="BP1079">
        <f>'T_TTAFStock'!BN55</f>
        <v/>
      </c>
      <c r="BQ1079">
        <f>'T_TTAFStock'!BO55</f>
        <v/>
      </c>
      <c r="BR1079">
        <f>'T_TTAFStock'!BP55</f>
        <v/>
      </c>
      <c r="BS1079">
        <f>'T_TTAFStock'!BQ55</f>
        <v/>
      </c>
      <c r="BT1079">
        <f>'T_TTAFStock'!BR55</f>
        <v/>
      </c>
      <c r="BU1079">
        <f>'T_TTAFStock'!BS55</f>
        <v/>
      </c>
      <c r="BV1079">
        <f>'T_TTAFStock'!BT55</f>
        <v/>
      </c>
      <c r="BW1079">
        <f>'T_TTAFStock'!BU55</f>
        <v/>
      </c>
      <c r="BX1079">
        <f>'T_TTAFStock'!BV55</f>
        <v/>
      </c>
      <c r="BY1079">
        <f>'T_TTAFStock'!BW55</f>
        <v/>
      </c>
      <c r="BZ1079">
        <f>'T_TTAFStock'!BX55</f>
        <v/>
      </c>
      <c r="CA1079">
        <f>'T_TTAFStock'!BY55</f>
        <v/>
      </c>
      <c r="CB1079">
        <f>'T_TTAFStock'!BZ55</f>
        <v/>
      </c>
      <c r="CC1079">
        <f>'T_TTAFStock'!CA55</f>
        <v/>
      </c>
      <c r="CD1079">
        <f>'T_TTAFStock'!CB55</f>
        <v/>
      </c>
      <c r="CE1079">
        <f>'T_TTAFStock'!CC55</f>
        <v/>
      </c>
      <c r="CF1079">
        <f>'T_TTAFStock'!CD55</f>
        <v/>
      </c>
      <c r="CG1079">
        <f>'T_TTAFStock'!CE55</f>
        <v/>
      </c>
      <c r="CH1079">
        <f>'T_TTAFStock'!CF55</f>
        <v/>
      </c>
      <c r="CI1079">
        <f>'T_TTAFStock'!CG55</f>
        <v/>
      </c>
      <c r="CJ1079">
        <f>'T_TTAFStock'!CH55</f>
        <v/>
      </c>
      <c r="CK1079">
        <f>'T_TTAFStock'!CI55</f>
        <v/>
      </c>
      <c r="CL1079">
        <f>'T_TTAFStock'!CJ55</f>
        <v/>
      </c>
      <c r="CM1079">
        <f>'T_TTAFStock'!CK55</f>
        <v/>
      </c>
      <c r="CN1079">
        <f>'T_TTAFStock'!CL55</f>
        <v/>
      </c>
      <c r="CO1079">
        <f>'T_TTAFStock'!CM55</f>
        <v/>
      </c>
      <c r="CP1079">
        <f>'T_TTAFStock'!CN55</f>
        <v/>
      </c>
      <c r="CQ1079">
        <f>'T_TTAFStock'!CO55</f>
        <v/>
      </c>
      <c r="CR1079">
        <f>'T_TTAFStock'!CP55</f>
        <v/>
      </c>
      <c r="CS1079">
        <f>'T_TTAFStock'!CQ55</f>
        <v/>
      </c>
      <c r="CT1079">
        <f>'T_TTAFStock'!CR55</f>
        <v/>
      </c>
      <c r="CU1079">
        <f>'T_TTAFStock'!CS55</f>
        <v/>
      </c>
      <c r="CV1079">
        <f>'T_TTAFStock'!CT55</f>
        <v/>
      </c>
      <c r="CW1079">
        <f>'T_TTAFStock'!CU55</f>
        <v/>
      </c>
      <c r="CX1079">
        <f>'T_TTAFStock'!CV55</f>
        <v/>
      </c>
      <c r="CY1079">
        <f>'T_TTAFStock'!CW55</f>
        <v/>
      </c>
      <c r="CZ1079">
        <f>'T_TTAFStock'!CX55</f>
        <v/>
      </c>
      <c r="DA1079">
        <f>'T_TTAFStock'!CY55</f>
        <v/>
      </c>
      <c r="DB1079">
        <f>'T_TTAFStock'!CZ55</f>
        <v/>
      </c>
      <c r="DC1079">
        <f>'T_TTAFStock'!DA55</f>
        <v/>
      </c>
    </row>
    <row r="1080">
      <c r="B1080" t="inlineStr">
        <is>
          <t>自社在庫(実績,kg)</t>
        </is>
      </c>
      <c r="D1080">
        <f>'T_SelfStock'!B55</f>
        <v/>
      </c>
      <c r="E1080">
        <f>'T_SelfStock'!C55</f>
        <v/>
      </c>
      <c r="F1080">
        <f>'T_SelfStock'!D55</f>
        <v/>
      </c>
      <c r="G1080">
        <f>'T_SelfStock'!E55</f>
        <v/>
      </c>
      <c r="H1080">
        <f>'T_SelfStock'!F55</f>
        <v/>
      </c>
      <c r="I1080">
        <f>'T_SelfStock'!G55</f>
        <v/>
      </c>
      <c r="J1080">
        <f>'T_SelfStock'!H55</f>
        <v/>
      </c>
      <c r="K1080">
        <f>'T_SelfStock'!I55</f>
        <v/>
      </c>
      <c r="L1080">
        <f>'T_SelfStock'!J55</f>
        <v/>
      </c>
      <c r="M1080">
        <f>'T_SelfStock'!K55</f>
        <v/>
      </c>
      <c r="N1080">
        <f>'T_SelfStock'!L55</f>
        <v/>
      </c>
      <c r="O1080">
        <f>'T_SelfStock'!M55</f>
        <v/>
      </c>
      <c r="P1080">
        <f>'T_SelfStock'!N55</f>
        <v/>
      </c>
      <c r="Q1080">
        <f>'T_SelfStock'!O55</f>
        <v/>
      </c>
      <c r="R1080">
        <f>'T_SelfStock'!P55</f>
        <v/>
      </c>
      <c r="S1080">
        <f>'T_SelfStock'!Q55</f>
        <v/>
      </c>
      <c r="T1080">
        <f>'T_SelfStock'!R55</f>
        <v/>
      </c>
      <c r="U1080">
        <f>'T_SelfStock'!S55</f>
        <v/>
      </c>
      <c r="V1080">
        <f>'T_SelfStock'!T55</f>
        <v/>
      </c>
      <c r="W1080">
        <f>'T_SelfStock'!U55</f>
        <v/>
      </c>
      <c r="X1080">
        <f>'T_SelfStock'!V55</f>
        <v/>
      </c>
      <c r="Y1080">
        <f>'T_SelfStock'!W55</f>
        <v/>
      </c>
      <c r="Z1080">
        <f>'T_SelfStock'!X55</f>
        <v/>
      </c>
      <c r="AA1080">
        <f>'T_SelfStock'!Y55</f>
        <v/>
      </c>
      <c r="AB1080">
        <f>'T_SelfStock'!Z55</f>
        <v/>
      </c>
      <c r="AC1080">
        <f>'T_SelfStock'!AA55</f>
        <v/>
      </c>
      <c r="AD1080">
        <f>'T_SelfStock'!AB55</f>
        <v/>
      </c>
      <c r="AE1080">
        <f>'T_SelfStock'!AC55</f>
        <v/>
      </c>
      <c r="AF1080">
        <f>'T_SelfStock'!AD55</f>
        <v/>
      </c>
      <c r="AG1080">
        <f>'T_SelfStock'!AE55</f>
        <v/>
      </c>
      <c r="AH1080">
        <f>'T_SelfStock'!AF55</f>
        <v/>
      </c>
      <c r="AI1080">
        <f>'T_SelfStock'!AG55</f>
        <v/>
      </c>
      <c r="AJ1080">
        <f>'T_SelfStock'!AH55</f>
        <v/>
      </c>
      <c r="AK1080">
        <f>'T_SelfStock'!AI55</f>
        <v/>
      </c>
      <c r="AL1080">
        <f>'T_SelfStock'!AJ55</f>
        <v/>
      </c>
      <c r="AM1080">
        <f>'T_SelfStock'!AK55</f>
        <v/>
      </c>
      <c r="AN1080">
        <f>'T_SelfStock'!AL55</f>
        <v/>
      </c>
      <c r="AO1080">
        <f>'T_SelfStock'!AM55</f>
        <v/>
      </c>
      <c r="AP1080">
        <f>'T_SelfStock'!AN55</f>
        <v/>
      </c>
      <c r="AQ1080">
        <f>'T_SelfStock'!AO55</f>
        <v/>
      </c>
      <c r="AR1080">
        <f>'T_SelfStock'!AP55</f>
        <v/>
      </c>
      <c r="AS1080">
        <f>'T_SelfStock'!AQ55</f>
        <v/>
      </c>
      <c r="AT1080">
        <f>'T_SelfStock'!AR55</f>
        <v/>
      </c>
      <c r="AU1080">
        <f>'T_SelfStock'!AS55</f>
        <v/>
      </c>
      <c r="AV1080">
        <f>'T_SelfStock'!AT55</f>
        <v/>
      </c>
      <c r="AW1080">
        <f>'T_SelfStock'!AU55</f>
        <v/>
      </c>
      <c r="AX1080">
        <f>'T_SelfStock'!AV55</f>
        <v/>
      </c>
      <c r="AY1080">
        <f>'T_SelfStock'!AW55</f>
        <v/>
      </c>
      <c r="AZ1080">
        <f>'T_SelfStock'!AX55</f>
        <v/>
      </c>
      <c r="BA1080">
        <f>'T_SelfStock'!AY55</f>
        <v/>
      </c>
      <c r="BB1080">
        <f>'T_SelfStock'!AZ55</f>
        <v/>
      </c>
      <c r="BC1080">
        <f>'T_SelfStock'!BA55</f>
        <v/>
      </c>
      <c r="BD1080">
        <f>'T_SelfStock'!BB55</f>
        <v/>
      </c>
      <c r="BE1080">
        <f>'T_SelfStock'!BC55</f>
        <v/>
      </c>
      <c r="BF1080">
        <f>'T_SelfStock'!BD55</f>
        <v/>
      </c>
      <c r="BG1080">
        <f>'T_SelfStock'!BE55</f>
        <v/>
      </c>
      <c r="BH1080">
        <f>'T_SelfStock'!BF55</f>
        <v/>
      </c>
      <c r="BI1080">
        <f>'T_SelfStock'!BG55</f>
        <v/>
      </c>
      <c r="BJ1080">
        <f>'T_SelfStock'!BH55</f>
        <v/>
      </c>
      <c r="BK1080">
        <f>'T_SelfStock'!BI55</f>
        <v/>
      </c>
      <c r="BL1080">
        <f>'T_SelfStock'!BJ55</f>
        <v/>
      </c>
      <c r="BM1080">
        <f>'T_SelfStock'!BK55</f>
        <v/>
      </c>
      <c r="BN1080">
        <f>'T_SelfStock'!BL55</f>
        <v/>
      </c>
      <c r="BO1080">
        <f>'T_SelfStock'!BM55</f>
        <v/>
      </c>
      <c r="BP1080">
        <f>'T_SelfStock'!BN55</f>
        <v/>
      </c>
      <c r="BQ1080">
        <f>'T_SelfStock'!BO55</f>
        <v/>
      </c>
      <c r="BR1080">
        <f>'T_SelfStock'!BP55</f>
        <v/>
      </c>
      <c r="BS1080">
        <f>'T_SelfStock'!BQ55</f>
        <v/>
      </c>
      <c r="BT1080">
        <f>'T_SelfStock'!BR55</f>
        <v/>
      </c>
      <c r="BU1080">
        <f>'T_SelfStock'!BS55</f>
        <v/>
      </c>
      <c r="BV1080">
        <f>'T_SelfStock'!BT55</f>
        <v/>
      </c>
      <c r="BW1080">
        <f>'T_SelfStock'!BU55</f>
        <v/>
      </c>
      <c r="BX1080">
        <f>'T_SelfStock'!BV55</f>
        <v/>
      </c>
      <c r="BY1080">
        <f>'T_SelfStock'!BW55</f>
        <v/>
      </c>
      <c r="BZ1080">
        <f>'T_SelfStock'!BX55</f>
        <v/>
      </c>
      <c r="CA1080">
        <f>'T_SelfStock'!BY55</f>
        <v/>
      </c>
      <c r="CB1080">
        <f>'T_SelfStock'!BZ55</f>
        <v/>
      </c>
      <c r="CC1080">
        <f>'T_SelfStock'!CA55</f>
        <v/>
      </c>
      <c r="CD1080">
        <f>'T_SelfStock'!CB55</f>
        <v/>
      </c>
      <c r="CE1080">
        <f>'T_SelfStock'!CC55</f>
        <v/>
      </c>
      <c r="CF1080">
        <f>'T_SelfStock'!CD55</f>
        <v/>
      </c>
      <c r="CG1080">
        <f>'T_SelfStock'!CE55</f>
        <v/>
      </c>
      <c r="CH1080">
        <f>'T_SelfStock'!CF55</f>
        <v/>
      </c>
      <c r="CI1080">
        <f>'T_SelfStock'!CG55</f>
        <v/>
      </c>
      <c r="CJ1080">
        <f>'T_SelfStock'!CH55</f>
        <v/>
      </c>
      <c r="CK1080">
        <f>'T_SelfStock'!CI55</f>
        <v/>
      </c>
      <c r="CL1080">
        <f>'T_SelfStock'!CJ55</f>
        <v/>
      </c>
      <c r="CM1080">
        <f>'T_SelfStock'!CK55</f>
        <v/>
      </c>
      <c r="CN1080">
        <f>'T_SelfStock'!CL55</f>
        <v/>
      </c>
      <c r="CO1080">
        <f>'T_SelfStock'!CM55</f>
        <v/>
      </c>
      <c r="CP1080">
        <f>'T_SelfStock'!CN55</f>
        <v/>
      </c>
      <c r="CQ1080">
        <f>'T_SelfStock'!CO55</f>
        <v/>
      </c>
      <c r="CR1080">
        <f>'T_SelfStock'!CP55</f>
        <v/>
      </c>
      <c r="CS1080">
        <f>'T_SelfStock'!CQ55</f>
        <v/>
      </c>
      <c r="CT1080">
        <f>'T_SelfStock'!CR55</f>
        <v/>
      </c>
      <c r="CU1080">
        <f>'T_SelfStock'!CS55</f>
        <v/>
      </c>
      <c r="CV1080">
        <f>'T_SelfStock'!CT55</f>
        <v/>
      </c>
      <c r="CW1080">
        <f>'T_SelfStock'!CU55</f>
        <v/>
      </c>
      <c r="CX1080">
        <f>'T_SelfStock'!CV55</f>
        <v/>
      </c>
      <c r="CY1080">
        <f>'T_SelfStock'!CW55</f>
        <v/>
      </c>
      <c r="CZ1080">
        <f>'T_SelfStock'!CX55</f>
        <v/>
      </c>
      <c r="DA1080">
        <f>'T_SelfStock'!CY55</f>
        <v/>
      </c>
      <c r="DB1080">
        <f>'T_SelfStock'!CZ55</f>
        <v/>
      </c>
      <c r="DC1080">
        <f>'T_SelfStock'!DA55</f>
        <v/>
      </c>
    </row>
    <row r="1081">
      <c r="B1081" t="inlineStr">
        <is>
          <t>Order(発注予定,kg)</t>
        </is>
      </c>
      <c r="D1081">
        <f>IF(SUMIFS(T_PlannedOrders[EffectiveQty],T_PlannedOrders[Part Name],$A1075,T_PlannedOrders[WeekIndex],1)=0,"",SUMIFS(T_PlannedOrders[EffectiveQty],T_PlannedOrders[Part Name],$A1075,T_PlannedOrders[WeekIndex],1)&amp;" ("&amp;TEXT(SUMPRODUCT(MAX((T_PlannedOrders[Part Name]=$A1075)*(T_PlannedOrders[WeekIndex]=1)*(T_PlannedOrders[EffectiveQty]&gt;0)*T_PlannedOrders[Order_Month])),"m月")&amp;"発注)")</f>
        <v/>
      </c>
      <c r="E1081">
        <f>IF(SUMIFS(T_PlannedOrders[EffectiveQty],T_PlannedOrders[Part Name],$A1075,T_PlannedOrders[WeekIndex],2)=0,"",SUMIFS(T_PlannedOrders[EffectiveQty],T_PlannedOrders[Part Name],$A1075,T_PlannedOrders[WeekIndex],2)&amp;" ("&amp;TEXT(SUMPRODUCT(MAX((T_PlannedOrders[Part Name]=$A1075)*(T_PlannedOrders[WeekIndex]=2)*(T_PlannedOrders[EffectiveQty]&gt;0)*T_PlannedOrders[Order_Month])),"m月")&amp;"発注)")</f>
        <v/>
      </c>
      <c r="F1081">
        <f>IF(SUMIFS(T_PlannedOrders[EffectiveQty],T_PlannedOrders[Part Name],$A1075,T_PlannedOrders[WeekIndex],3)=0,"",SUMIFS(T_PlannedOrders[EffectiveQty],T_PlannedOrders[Part Name],$A1075,T_PlannedOrders[WeekIndex],3)&amp;" ("&amp;TEXT(SUMPRODUCT(MAX((T_PlannedOrders[Part Name]=$A1075)*(T_PlannedOrders[WeekIndex]=3)*(T_PlannedOrders[EffectiveQty]&gt;0)*T_PlannedOrders[Order_Month])),"m月")&amp;"発注)")</f>
        <v/>
      </c>
      <c r="G1081">
        <f>IF(SUMIFS(T_PlannedOrders[EffectiveQty],T_PlannedOrders[Part Name],$A1075,T_PlannedOrders[WeekIndex],4)=0,"",SUMIFS(T_PlannedOrders[EffectiveQty],T_PlannedOrders[Part Name],$A1075,T_PlannedOrders[WeekIndex],4)&amp;" ("&amp;TEXT(SUMPRODUCT(MAX((T_PlannedOrders[Part Name]=$A1075)*(T_PlannedOrders[WeekIndex]=4)*(T_PlannedOrders[EffectiveQty]&gt;0)*T_PlannedOrders[Order_Month])),"m月")&amp;"発注)")</f>
        <v/>
      </c>
      <c r="H1081">
        <f>IF(SUMIFS(T_PlannedOrders[EffectiveQty],T_PlannedOrders[Part Name],$A1075,T_PlannedOrders[WeekIndex],5)=0,"",SUMIFS(T_PlannedOrders[EffectiveQty],T_PlannedOrders[Part Name],$A1075,T_PlannedOrders[WeekIndex],5)&amp;" ("&amp;TEXT(SUMPRODUCT(MAX((T_PlannedOrders[Part Name]=$A1075)*(T_PlannedOrders[WeekIndex]=5)*(T_PlannedOrders[EffectiveQty]&gt;0)*T_PlannedOrders[Order_Month])),"m月")&amp;"発注)")</f>
        <v/>
      </c>
      <c r="I1081">
        <f>IF(SUMIFS(T_PlannedOrders[EffectiveQty],T_PlannedOrders[Part Name],$A1075,T_PlannedOrders[WeekIndex],6)=0,"",SUMIFS(T_PlannedOrders[EffectiveQty],T_PlannedOrders[Part Name],$A1075,T_PlannedOrders[WeekIndex],6)&amp;" ("&amp;TEXT(SUMPRODUCT(MAX((T_PlannedOrders[Part Name]=$A1075)*(T_PlannedOrders[WeekIndex]=6)*(T_PlannedOrders[EffectiveQty]&gt;0)*T_PlannedOrders[Order_Month])),"m月")&amp;"発注)")</f>
        <v/>
      </c>
      <c r="J1081">
        <f>IF(SUMIFS(T_PlannedOrders[EffectiveQty],T_PlannedOrders[Part Name],$A1075,T_PlannedOrders[WeekIndex],7)=0,"",SUMIFS(T_PlannedOrders[EffectiveQty],T_PlannedOrders[Part Name],$A1075,T_PlannedOrders[WeekIndex],7)&amp;" ("&amp;TEXT(SUMPRODUCT(MAX((T_PlannedOrders[Part Name]=$A1075)*(T_PlannedOrders[WeekIndex]=7)*(T_PlannedOrders[EffectiveQty]&gt;0)*T_PlannedOrders[Order_Month])),"m月")&amp;"発注)")</f>
        <v/>
      </c>
      <c r="K1081">
        <f>IF(SUMIFS(T_PlannedOrders[EffectiveQty],T_PlannedOrders[Part Name],$A1075,T_PlannedOrders[WeekIndex],8)=0,"",SUMIFS(T_PlannedOrders[EffectiveQty],T_PlannedOrders[Part Name],$A1075,T_PlannedOrders[WeekIndex],8)&amp;" ("&amp;TEXT(SUMPRODUCT(MAX((T_PlannedOrders[Part Name]=$A1075)*(T_PlannedOrders[WeekIndex]=8)*(T_PlannedOrders[EffectiveQty]&gt;0)*T_PlannedOrders[Order_Month])),"m月")&amp;"発注)")</f>
        <v/>
      </c>
      <c r="L1081">
        <f>IF(SUMIFS(T_PlannedOrders[EffectiveQty],T_PlannedOrders[Part Name],$A1075,T_PlannedOrders[WeekIndex],9)=0,"",SUMIFS(T_PlannedOrders[EffectiveQty],T_PlannedOrders[Part Name],$A1075,T_PlannedOrders[WeekIndex],9)&amp;" ("&amp;TEXT(SUMPRODUCT(MAX((T_PlannedOrders[Part Name]=$A1075)*(T_PlannedOrders[WeekIndex]=9)*(T_PlannedOrders[EffectiveQty]&gt;0)*T_PlannedOrders[Order_Month])),"m月")&amp;"発注)")</f>
        <v/>
      </c>
      <c r="M1081">
        <f>IF(SUMIFS(T_PlannedOrders[EffectiveQty],T_PlannedOrders[Part Name],$A1075,T_PlannedOrders[WeekIndex],10)=0,"",SUMIFS(T_PlannedOrders[EffectiveQty],T_PlannedOrders[Part Name],$A1075,T_PlannedOrders[WeekIndex],10)&amp;" ("&amp;TEXT(SUMPRODUCT(MAX((T_PlannedOrders[Part Name]=$A1075)*(T_PlannedOrders[WeekIndex]=10)*(T_PlannedOrders[EffectiveQty]&gt;0)*T_PlannedOrders[Order_Month])),"m月")&amp;"発注)")</f>
        <v/>
      </c>
      <c r="N1081">
        <f>IF(SUMIFS(T_PlannedOrders[EffectiveQty],T_PlannedOrders[Part Name],$A1075,T_PlannedOrders[WeekIndex],11)=0,"",SUMIFS(T_PlannedOrders[EffectiveQty],T_PlannedOrders[Part Name],$A1075,T_PlannedOrders[WeekIndex],11)&amp;" ("&amp;TEXT(SUMPRODUCT(MAX((T_PlannedOrders[Part Name]=$A1075)*(T_PlannedOrders[WeekIndex]=11)*(T_PlannedOrders[EffectiveQty]&gt;0)*T_PlannedOrders[Order_Month])),"m月")&amp;"発注)")</f>
        <v/>
      </c>
      <c r="O1081">
        <f>IF(SUMIFS(T_PlannedOrders[EffectiveQty],T_PlannedOrders[Part Name],$A1075,T_PlannedOrders[WeekIndex],12)=0,"",SUMIFS(T_PlannedOrders[EffectiveQty],T_PlannedOrders[Part Name],$A1075,T_PlannedOrders[WeekIndex],12)&amp;" ("&amp;TEXT(SUMPRODUCT(MAX((T_PlannedOrders[Part Name]=$A1075)*(T_PlannedOrders[WeekIndex]=12)*(T_PlannedOrders[EffectiveQty]&gt;0)*T_PlannedOrders[Order_Month])),"m月")&amp;"発注)")</f>
        <v/>
      </c>
      <c r="P1081">
        <f>IF(SUMIFS(T_PlannedOrders[EffectiveQty],T_PlannedOrders[Part Name],$A1075,T_PlannedOrders[WeekIndex],13)=0,"",SUMIFS(T_PlannedOrders[EffectiveQty],T_PlannedOrders[Part Name],$A1075,T_PlannedOrders[WeekIndex],13)&amp;" ("&amp;TEXT(SUMPRODUCT(MAX((T_PlannedOrders[Part Name]=$A1075)*(T_PlannedOrders[WeekIndex]=13)*(T_PlannedOrders[EffectiveQty]&gt;0)*T_PlannedOrders[Order_Month])),"m月")&amp;"発注)")</f>
        <v/>
      </c>
      <c r="Q1081">
        <f>IF(SUMIFS(T_PlannedOrders[EffectiveQty],T_PlannedOrders[Part Name],$A1075,T_PlannedOrders[WeekIndex],14)=0,"",SUMIFS(T_PlannedOrders[EffectiveQty],T_PlannedOrders[Part Name],$A1075,T_PlannedOrders[WeekIndex],14)&amp;" ("&amp;TEXT(SUMPRODUCT(MAX((T_PlannedOrders[Part Name]=$A1075)*(T_PlannedOrders[WeekIndex]=14)*(T_PlannedOrders[EffectiveQty]&gt;0)*T_PlannedOrders[Order_Month])),"m月")&amp;"発注)")</f>
        <v/>
      </c>
      <c r="R1081">
        <f>IF(SUMIFS(T_PlannedOrders[EffectiveQty],T_PlannedOrders[Part Name],$A1075,T_PlannedOrders[WeekIndex],15)=0,"",SUMIFS(T_PlannedOrders[EffectiveQty],T_PlannedOrders[Part Name],$A1075,T_PlannedOrders[WeekIndex],15)&amp;" ("&amp;TEXT(SUMPRODUCT(MAX((T_PlannedOrders[Part Name]=$A1075)*(T_PlannedOrders[WeekIndex]=15)*(T_PlannedOrders[EffectiveQty]&gt;0)*T_PlannedOrders[Order_Month])),"m月")&amp;"発注)")</f>
        <v/>
      </c>
      <c r="S1081">
        <f>IF(SUMIFS(T_PlannedOrders[EffectiveQty],T_PlannedOrders[Part Name],$A1075,T_PlannedOrders[WeekIndex],16)=0,"",SUMIFS(T_PlannedOrders[EffectiveQty],T_PlannedOrders[Part Name],$A1075,T_PlannedOrders[WeekIndex],16)&amp;" ("&amp;TEXT(SUMPRODUCT(MAX((T_PlannedOrders[Part Name]=$A1075)*(T_PlannedOrders[WeekIndex]=16)*(T_PlannedOrders[EffectiveQty]&gt;0)*T_PlannedOrders[Order_Month])),"m月")&amp;"発注)")</f>
        <v/>
      </c>
      <c r="T1081">
        <f>IF(SUMIFS(T_PlannedOrders[EffectiveQty],T_PlannedOrders[Part Name],$A1075,T_PlannedOrders[WeekIndex],17)=0,"",SUMIFS(T_PlannedOrders[EffectiveQty],T_PlannedOrders[Part Name],$A1075,T_PlannedOrders[WeekIndex],17)&amp;" ("&amp;TEXT(SUMPRODUCT(MAX((T_PlannedOrders[Part Name]=$A1075)*(T_PlannedOrders[WeekIndex]=17)*(T_PlannedOrders[EffectiveQty]&gt;0)*T_PlannedOrders[Order_Month])),"m月")&amp;"発注)")</f>
        <v/>
      </c>
      <c r="U1081">
        <f>IF(SUMIFS(T_PlannedOrders[EffectiveQty],T_PlannedOrders[Part Name],$A1075,T_PlannedOrders[WeekIndex],18)=0,"",SUMIFS(T_PlannedOrders[EffectiveQty],T_PlannedOrders[Part Name],$A1075,T_PlannedOrders[WeekIndex],18)&amp;" ("&amp;TEXT(SUMPRODUCT(MAX((T_PlannedOrders[Part Name]=$A1075)*(T_PlannedOrders[WeekIndex]=18)*(T_PlannedOrders[EffectiveQty]&gt;0)*T_PlannedOrders[Order_Month])),"m月")&amp;"発注)")</f>
        <v/>
      </c>
      <c r="V1081">
        <f>IF(SUMIFS(T_PlannedOrders[EffectiveQty],T_PlannedOrders[Part Name],$A1075,T_PlannedOrders[WeekIndex],19)=0,"",SUMIFS(T_PlannedOrders[EffectiveQty],T_PlannedOrders[Part Name],$A1075,T_PlannedOrders[WeekIndex],19)&amp;" ("&amp;TEXT(SUMPRODUCT(MAX((T_PlannedOrders[Part Name]=$A1075)*(T_PlannedOrders[WeekIndex]=19)*(T_PlannedOrders[EffectiveQty]&gt;0)*T_PlannedOrders[Order_Month])),"m月")&amp;"発注)")</f>
        <v/>
      </c>
      <c r="W1081">
        <f>IF(SUMIFS(T_PlannedOrders[EffectiveQty],T_PlannedOrders[Part Name],$A1075,T_PlannedOrders[WeekIndex],20)=0,"",SUMIFS(T_PlannedOrders[EffectiveQty],T_PlannedOrders[Part Name],$A1075,T_PlannedOrders[WeekIndex],20)&amp;" ("&amp;TEXT(SUMPRODUCT(MAX((T_PlannedOrders[Part Name]=$A1075)*(T_PlannedOrders[WeekIndex]=20)*(T_PlannedOrders[EffectiveQty]&gt;0)*T_PlannedOrders[Order_Month])),"m月")&amp;"発注)")</f>
        <v/>
      </c>
      <c r="X1081">
        <f>IF(SUMIFS(T_PlannedOrders[EffectiveQty],T_PlannedOrders[Part Name],$A1075,T_PlannedOrders[WeekIndex],21)=0,"",SUMIFS(T_PlannedOrders[EffectiveQty],T_PlannedOrders[Part Name],$A1075,T_PlannedOrders[WeekIndex],21)&amp;" ("&amp;TEXT(SUMPRODUCT(MAX((T_PlannedOrders[Part Name]=$A1075)*(T_PlannedOrders[WeekIndex]=21)*(T_PlannedOrders[EffectiveQty]&gt;0)*T_PlannedOrders[Order_Month])),"m月")&amp;"発注)")</f>
        <v/>
      </c>
      <c r="Y1081">
        <f>IF(SUMIFS(T_PlannedOrders[EffectiveQty],T_PlannedOrders[Part Name],$A1075,T_PlannedOrders[WeekIndex],22)=0,"",SUMIFS(T_PlannedOrders[EffectiveQty],T_PlannedOrders[Part Name],$A1075,T_PlannedOrders[WeekIndex],22)&amp;" ("&amp;TEXT(SUMPRODUCT(MAX((T_PlannedOrders[Part Name]=$A1075)*(T_PlannedOrders[WeekIndex]=22)*(T_PlannedOrders[EffectiveQty]&gt;0)*T_PlannedOrders[Order_Month])),"m月")&amp;"発注)")</f>
        <v/>
      </c>
      <c r="Z1081">
        <f>IF(SUMIFS(T_PlannedOrders[EffectiveQty],T_PlannedOrders[Part Name],$A1075,T_PlannedOrders[WeekIndex],23)=0,"",SUMIFS(T_PlannedOrders[EffectiveQty],T_PlannedOrders[Part Name],$A1075,T_PlannedOrders[WeekIndex],23)&amp;" ("&amp;TEXT(SUMPRODUCT(MAX((T_PlannedOrders[Part Name]=$A1075)*(T_PlannedOrders[WeekIndex]=23)*(T_PlannedOrders[EffectiveQty]&gt;0)*T_PlannedOrders[Order_Month])),"m月")&amp;"発注)")</f>
        <v/>
      </c>
      <c r="AA1081">
        <f>IF(SUMIFS(T_PlannedOrders[EffectiveQty],T_PlannedOrders[Part Name],$A1075,T_PlannedOrders[WeekIndex],24)=0,"",SUMIFS(T_PlannedOrders[EffectiveQty],T_PlannedOrders[Part Name],$A1075,T_PlannedOrders[WeekIndex],24)&amp;" ("&amp;TEXT(SUMPRODUCT(MAX((T_PlannedOrders[Part Name]=$A1075)*(T_PlannedOrders[WeekIndex]=24)*(T_PlannedOrders[EffectiveQty]&gt;0)*T_PlannedOrders[Order_Month])),"m月")&amp;"発注)")</f>
        <v/>
      </c>
      <c r="AB1081">
        <f>IF(SUMIFS(T_PlannedOrders[EffectiveQty],T_PlannedOrders[Part Name],$A1075,T_PlannedOrders[WeekIndex],25)=0,"",SUMIFS(T_PlannedOrders[EffectiveQty],T_PlannedOrders[Part Name],$A1075,T_PlannedOrders[WeekIndex],25)&amp;" ("&amp;TEXT(SUMPRODUCT(MAX((T_PlannedOrders[Part Name]=$A1075)*(T_PlannedOrders[WeekIndex]=25)*(T_PlannedOrders[EffectiveQty]&gt;0)*T_PlannedOrders[Order_Month])),"m月")&amp;"発注)")</f>
        <v/>
      </c>
      <c r="AC1081">
        <f>IF(SUMIFS(T_PlannedOrders[EffectiveQty],T_PlannedOrders[Part Name],$A1075,T_PlannedOrders[WeekIndex],26)=0,"",SUMIFS(T_PlannedOrders[EffectiveQty],T_PlannedOrders[Part Name],$A1075,T_PlannedOrders[WeekIndex],26)&amp;" ("&amp;TEXT(SUMPRODUCT(MAX((T_PlannedOrders[Part Name]=$A1075)*(T_PlannedOrders[WeekIndex]=26)*(T_PlannedOrders[EffectiveQty]&gt;0)*T_PlannedOrders[Order_Month])),"m月")&amp;"発注)")</f>
        <v/>
      </c>
      <c r="AD1081">
        <f>IF(SUMIFS(T_PlannedOrders[EffectiveQty],T_PlannedOrders[Part Name],$A1075,T_PlannedOrders[WeekIndex],27)=0,"",SUMIFS(T_PlannedOrders[EffectiveQty],T_PlannedOrders[Part Name],$A1075,T_PlannedOrders[WeekIndex],27)&amp;" ("&amp;TEXT(SUMPRODUCT(MAX((T_PlannedOrders[Part Name]=$A1075)*(T_PlannedOrders[WeekIndex]=27)*(T_PlannedOrders[EffectiveQty]&gt;0)*T_PlannedOrders[Order_Month])),"m月")&amp;"発注)")</f>
        <v/>
      </c>
      <c r="AE1081">
        <f>IF(SUMIFS(T_PlannedOrders[EffectiveQty],T_PlannedOrders[Part Name],$A1075,T_PlannedOrders[WeekIndex],28)=0,"",SUMIFS(T_PlannedOrders[EffectiveQty],T_PlannedOrders[Part Name],$A1075,T_PlannedOrders[WeekIndex],28)&amp;" ("&amp;TEXT(SUMPRODUCT(MAX((T_PlannedOrders[Part Name]=$A1075)*(T_PlannedOrders[WeekIndex]=28)*(T_PlannedOrders[EffectiveQty]&gt;0)*T_PlannedOrders[Order_Month])),"m月")&amp;"発注)")</f>
        <v/>
      </c>
      <c r="AF1081">
        <f>IF(SUMIFS(T_PlannedOrders[EffectiveQty],T_PlannedOrders[Part Name],$A1075,T_PlannedOrders[WeekIndex],29)=0,"",SUMIFS(T_PlannedOrders[EffectiveQty],T_PlannedOrders[Part Name],$A1075,T_PlannedOrders[WeekIndex],29)&amp;" ("&amp;TEXT(SUMPRODUCT(MAX((T_PlannedOrders[Part Name]=$A1075)*(T_PlannedOrders[WeekIndex]=29)*(T_PlannedOrders[EffectiveQty]&gt;0)*T_PlannedOrders[Order_Month])),"m月")&amp;"発注)")</f>
        <v/>
      </c>
      <c r="AG1081">
        <f>IF(SUMIFS(T_PlannedOrders[EffectiveQty],T_PlannedOrders[Part Name],$A1075,T_PlannedOrders[WeekIndex],30)=0,"",SUMIFS(T_PlannedOrders[EffectiveQty],T_PlannedOrders[Part Name],$A1075,T_PlannedOrders[WeekIndex],30)&amp;" ("&amp;TEXT(SUMPRODUCT(MAX((T_PlannedOrders[Part Name]=$A1075)*(T_PlannedOrders[WeekIndex]=30)*(T_PlannedOrders[EffectiveQty]&gt;0)*T_PlannedOrders[Order_Month])),"m月")&amp;"発注)")</f>
        <v/>
      </c>
      <c r="AH1081">
        <f>IF(SUMIFS(T_PlannedOrders[EffectiveQty],T_PlannedOrders[Part Name],$A1075,T_PlannedOrders[WeekIndex],31)=0,"",SUMIFS(T_PlannedOrders[EffectiveQty],T_PlannedOrders[Part Name],$A1075,T_PlannedOrders[WeekIndex],31)&amp;" ("&amp;TEXT(SUMPRODUCT(MAX((T_PlannedOrders[Part Name]=$A1075)*(T_PlannedOrders[WeekIndex]=31)*(T_PlannedOrders[EffectiveQty]&gt;0)*T_PlannedOrders[Order_Month])),"m月")&amp;"発注)")</f>
        <v/>
      </c>
      <c r="AI1081">
        <f>IF(SUMIFS(T_PlannedOrders[EffectiveQty],T_PlannedOrders[Part Name],$A1075,T_PlannedOrders[WeekIndex],32)=0,"",SUMIFS(T_PlannedOrders[EffectiveQty],T_PlannedOrders[Part Name],$A1075,T_PlannedOrders[WeekIndex],32)&amp;" ("&amp;TEXT(SUMPRODUCT(MAX((T_PlannedOrders[Part Name]=$A1075)*(T_PlannedOrders[WeekIndex]=32)*(T_PlannedOrders[EffectiveQty]&gt;0)*T_PlannedOrders[Order_Month])),"m月")&amp;"発注)")</f>
        <v/>
      </c>
      <c r="AJ1081">
        <f>IF(SUMIFS(T_PlannedOrders[EffectiveQty],T_PlannedOrders[Part Name],$A1075,T_PlannedOrders[WeekIndex],33)=0,"",SUMIFS(T_PlannedOrders[EffectiveQty],T_PlannedOrders[Part Name],$A1075,T_PlannedOrders[WeekIndex],33)&amp;" ("&amp;TEXT(SUMPRODUCT(MAX((T_PlannedOrders[Part Name]=$A1075)*(T_PlannedOrders[WeekIndex]=33)*(T_PlannedOrders[EffectiveQty]&gt;0)*T_PlannedOrders[Order_Month])),"m月")&amp;"発注)")</f>
        <v/>
      </c>
      <c r="AK1081">
        <f>IF(SUMIFS(T_PlannedOrders[EffectiveQty],T_PlannedOrders[Part Name],$A1075,T_PlannedOrders[WeekIndex],34)=0,"",SUMIFS(T_PlannedOrders[EffectiveQty],T_PlannedOrders[Part Name],$A1075,T_PlannedOrders[WeekIndex],34)&amp;" ("&amp;TEXT(SUMPRODUCT(MAX((T_PlannedOrders[Part Name]=$A1075)*(T_PlannedOrders[WeekIndex]=34)*(T_PlannedOrders[EffectiveQty]&gt;0)*T_PlannedOrders[Order_Month])),"m月")&amp;"発注)")</f>
        <v/>
      </c>
      <c r="AL1081">
        <f>IF(SUMIFS(T_PlannedOrders[EffectiveQty],T_PlannedOrders[Part Name],$A1075,T_PlannedOrders[WeekIndex],35)=0,"",SUMIFS(T_PlannedOrders[EffectiveQty],T_PlannedOrders[Part Name],$A1075,T_PlannedOrders[WeekIndex],35)&amp;" ("&amp;TEXT(SUMPRODUCT(MAX((T_PlannedOrders[Part Name]=$A1075)*(T_PlannedOrders[WeekIndex]=35)*(T_PlannedOrders[EffectiveQty]&gt;0)*T_PlannedOrders[Order_Month])),"m月")&amp;"発注)")</f>
        <v/>
      </c>
      <c r="AM1081">
        <f>IF(SUMIFS(T_PlannedOrders[EffectiveQty],T_PlannedOrders[Part Name],$A1075,T_PlannedOrders[WeekIndex],36)=0,"",SUMIFS(T_PlannedOrders[EffectiveQty],T_PlannedOrders[Part Name],$A1075,T_PlannedOrders[WeekIndex],36)&amp;" ("&amp;TEXT(SUMPRODUCT(MAX((T_PlannedOrders[Part Name]=$A1075)*(T_PlannedOrders[WeekIndex]=36)*(T_PlannedOrders[EffectiveQty]&gt;0)*T_PlannedOrders[Order_Month])),"m月")&amp;"発注)")</f>
        <v/>
      </c>
      <c r="AN1081">
        <f>IF(SUMIFS(T_PlannedOrders[EffectiveQty],T_PlannedOrders[Part Name],$A1075,T_PlannedOrders[WeekIndex],37)=0,"",SUMIFS(T_PlannedOrders[EffectiveQty],T_PlannedOrders[Part Name],$A1075,T_PlannedOrders[WeekIndex],37)&amp;" ("&amp;TEXT(SUMPRODUCT(MAX((T_PlannedOrders[Part Name]=$A1075)*(T_PlannedOrders[WeekIndex]=37)*(T_PlannedOrders[EffectiveQty]&gt;0)*T_PlannedOrders[Order_Month])),"m月")&amp;"発注)")</f>
        <v/>
      </c>
      <c r="AO1081">
        <f>IF(SUMIFS(T_PlannedOrders[EffectiveQty],T_PlannedOrders[Part Name],$A1075,T_PlannedOrders[WeekIndex],38)=0,"",SUMIFS(T_PlannedOrders[EffectiveQty],T_PlannedOrders[Part Name],$A1075,T_PlannedOrders[WeekIndex],38)&amp;" ("&amp;TEXT(SUMPRODUCT(MAX((T_PlannedOrders[Part Name]=$A1075)*(T_PlannedOrders[WeekIndex]=38)*(T_PlannedOrders[EffectiveQty]&gt;0)*T_PlannedOrders[Order_Month])),"m月")&amp;"発注)")</f>
        <v/>
      </c>
      <c r="AP1081">
        <f>IF(SUMIFS(T_PlannedOrders[EffectiveQty],T_PlannedOrders[Part Name],$A1075,T_PlannedOrders[WeekIndex],39)=0,"",SUMIFS(T_PlannedOrders[EffectiveQty],T_PlannedOrders[Part Name],$A1075,T_PlannedOrders[WeekIndex],39)&amp;" ("&amp;TEXT(SUMPRODUCT(MAX((T_PlannedOrders[Part Name]=$A1075)*(T_PlannedOrders[WeekIndex]=39)*(T_PlannedOrders[EffectiveQty]&gt;0)*T_PlannedOrders[Order_Month])),"m月")&amp;"発注)")</f>
        <v/>
      </c>
      <c r="AQ1081">
        <f>IF(SUMIFS(T_PlannedOrders[EffectiveQty],T_PlannedOrders[Part Name],$A1075,T_PlannedOrders[WeekIndex],40)=0,"",SUMIFS(T_PlannedOrders[EffectiveQty],T_PlannedOrders[Part Name],$A1075,T_PlannedOrders[WeekIndex],40)&amp;" ("&amp;TEXT(SUMPRODUCT(MAX((T_PlannedOrders[Part Name]=$A1075)*(T_PlannedOrders[WeekIndex]=40)*(T_PlannedOrders[EffectiveQty]&gt;0)*T_PlannedOrders[Order_Month])),"m月")&amp;"発注)")</f>
        <v/>
      </c>
      <c r="AR1081">
        <f>IF(SUMIFS(T_PlannedOrders[EffectiveQty],T_PlannedOrders[Part Name],$A1075,T_PlannedOrders[WeekIndex],41)=0,"",SUMIFS(T_PlannedOrders[EffectiveQty],T_PlannedOrders[Part Name],$A1075,T_PlannedOrders[WeekIndex],41)&amp;" ("&amp;TEXT(SUMPRODUCT(MAX((T_PlannedOrders[Part Name]=$A1075)*(T_PlannedOrders[WeekIndex]=41)*(T_PlannedOrders[EffectiveQty]&gt;0)*T_PlannedOrders[Order_Month])),"m月")&amp;"発注)")</f>
        <v/>
      </c>
      <c r="AS1081">
        <f>IF(SUMIFS(T_PlannedOrders[EffectiveQty],T_PlannedOrders[Part Name],$A1075,T_PlannedOrders[WeekIndex],42)=0,"",SUMIFS(T_PlannedOrders[EffectiveQty],T_PlannedOrders[Part Name],$A1075,T_PlannedOrders[WeekIndex],42)&amp;" ("&amp;TEXT(SUMPRODUCT(MAX((T_PlannedOrders[Part Name]=$A1075)*(T_PlannedOrders[WeekIndex]=42)*(T_PlannedOrders[EffectiveQty]&gt;0)*T_PlannedOrders[Order_Month])),"m月")&amp;"発注)")</f>
        <v/>
      </c>
      <c r="AT1081">
        <f>IF(SUMIFS(T_PlannedOrders[EffectiveQty],T_PlannedOrders[Part Name],$A1075,T_PlannedOrders[WeekIndex],43)=0,"",SUMIFS(T_PlannedOrders[EffectiveQty],T_PlannedOrders[Part Name],$A1075,T_PlannedOrders[WeekIndex],43)&amp;" ("&amp;TEXT(SUMPRODUCT(MAX((T_PlannedOrders[Part Name]=$A1075)*(T_PlannedOrders[WeekIndex]=43)*(T_PlannedOrders[EffectiveQty]&gt;0)*T_PlannedOrders[Order_Month])),"m月")&amp;"発注)")</f>
        <v/>
      </c>
      <c r="AU1081">
        <f>IF(SUMIFS(T_PlannedOrders[EffectiveQty],T_PlannedOrders[Part Name],$A1075,T_PlannedOrders[WeekIndex],44)=0,"",SUMIFS(T_PlannedOrders[EffectiveQty],T_PlannedOrders[Part Name],$A1075,T_PlannedOrders[WeekIndex],44)&amp;" ("&amp;TEXT(SUMPRODUCT(MAX((T_PlannedOrders[Part Name]=$A1075)*(T_PlannedOrders[WeekIndex]=44)*(T_PlannedOrders[EffectiveQty]&gt;0)*T_PlannedOrders[Order_Month])),"m月")&amp;"発注)")</f>
        <v/>
      </c>
      <c r="AV1081">
        <f>IF(SUMIFS(T_PlannedOrders[EffectiveQty],T_PlannedOrders[Part Name],$A1075,T_PlannedOrders[WeekIndex],45)=0,"",SUMIFS(T_PlannedOrders[EffectiveQty],T_PlannedOrders[Part Name],$A1075,T_PlannedOrders[WeekIndex],45)&amp;" ("&amp;TEXT(SUMPRODUCT(MAX((T_PlannedOrders[Part Name]=$A1075)*(T_PlannedOrders[WeekIndex]=45)*(T_PlannedOrders[EffectiveQty]&gt;0)*T_PlannedOrders[Order_Month])),"m月")&amp;"発注)")</f>
        <v/>
      </c>
      <c r="AW1081">
        <f>IF(SUMIFS(T_PlannedOrders[EffectiveQty],T_PlannedOrders[Part Name],$A1075,T_PlannedOrders[WeekIndex],46)=0,"",SUMIFS(T_PlannedOrders[EffectiveQty],T_PlannedOrders[Part Name],$A1075,T_PlannedOrders[WeekIndex],46)&amp;" ("&amp;TEXT(SUMPRODUCT(MAX((T_PlannedOrders[Part Name]=$A1075)*(T_PlannedOrders[WeekIndex]=46)*(T_PlannedOrders[EffectiveQty]&gt;0)*T_PlannedOrders[Order_Month])),"m月")&amp;"発注)")</f>
        <v/>
      </c>
      <c r="AX1081">
        <f>IF(SUMIFS(T_PlannedOrders[EffectiveQty],T_PlannedOrders[Part Name],$A1075,T_PlannedOrders[WeekIndex],47)=0,"",SUMIFS(T_PlannedOrders[EffectiveQty],T_PlannedOrders[Part Name],$A1075,T_PlannedOrders[WeekIndex],47)&amp;" ("&amp;TEXT(SUMPRODUCT(MAX((T_PlannedOrders[Part Name]=$A1075)*(T_PlannedOrders[WeekIndex]=47)*(T_PlannedOrders[EffectiveQty]&gt;0)*T_PlannedOrders[Order_Month])),"m月")&amp;"発注)")</f>
        <v/>
      </c>
      <c r="AY1081">
        <f>IF(SUMIFS(T_PlannedOrders[EffectiveQty],T_PlannedOrders[Part Name],$A1075,T_PlannedOrders[WeekIndex],48)=0,"",SUMIFS(T_PlannedOrders[EffectiveQty],T_PlannedOrders[Part Name],$A1075,T_PlannedOrders[WeekIndex],48)&amp;" ("&amp;TEXT(SUMPRODUCT(MAX((T_PlannedOrders[Part Name]=$A1075)*(T_PlannedOrders[WeekIndex]=48)*(T_PlannedOrders[EffectiveQty]&gt;0)*T_PlannedOrders[Order_Month])),"m月")&amp;"発注)")</f>
        <v/>
      </c>
      <c r="AZ1081">
        <f>IF(SUMIFS(T_PlannedOrders[EffectiveQty],T_PlannedOrders[Part Name],$A1075,T_PlannedOrders[WeekIndex],49)=0,"",SUMIFS(T_PlannedOrders[EffectiveQty],T_PlannedOrders[Part Name],$A1075,T_PlannedOrders[WeekIndex],49)&amp;" ("&amp;TEXT(SUMPRODUCT(MAX((T_PlannedOrders[Part Name]=$A1075)*(T_PlannedOrders[WeekIndex]=49)*(T_PlannedOrders[EffectiveQty]&gt;0)*T_PlannedOrders[Order_Month])),"m月")&amp;"発注)")</f>
        <v/>
      </c>
      <c r="BA1081">
        <f>IF(SUMIFS(T_PlannedOrders[EffectiveQty],T_PlannedOrders[Part Name],$A1075,T_PlannedOrders[WeekIndex],50)=0,"",SUMIFS(T_PlannedOrders[EffectiveQty],T_PlannedOrders[Part Name],$A1075,T_PlannedOrders[WeekIndex],50)&amp;" ("&amp;TEXT(SUMPRODUCT(MAX((T_PlannedOrders[Part Name]=$A1075)*(T_PlannedOrders[WeekIndex]=50)*(T_PlannedOrders[EffectiveQty]&gt;0)*T_PlannedOrders[Order_Month])),"m月")&amp;"発注)")</f>
        <v/>
      </c>
      <c r="BB1081">
        <f>IF(SUMIFS(T_PlannedOrders[EffectiveQty],T_PlannedOrders[Part Name],$A1075,T_PlannedOrders[WeekIndex],51)=0,"",SUMIFS(T_PlannedOrders[EffectiveQty],T_PlannedOrders[Part Name],$A1075,T_PlannedOrders[WeekIndex],51)&amp;" ("&amp;TEXT(SUMPRODUCT(MAX((T_PlannedOrders[Part Name]=$A1075)*(T_PlannedOrders[WeekIndex]=51)*(T_PlannedOrders[EffectiveQty]&gt;0)*T_PlannedOrders[Order_Month])),"m月")&amp;"発注)")</f>
        <v/>
      </c>
      <c r="BC1081">
        <f>IF(SUMIFS(T_PlannedOrders[EffectiveQty],T_PlannedOrders[Part Name],$A1075,T_PlannedOrders[WeekIndex],52)=0,"",SUMIFS(T_PlannedOrders[EffectiveQty],T_PlannedOrders[Part Name],$A1075,T_PlannedOrders[WeekIndex],52)&amp;" ("&amp;TEXT(SUMPRODUCT(MAX((T_PlannedOrders[Part Name]=$A1075)*(T_PlannedOrders[WeekIndex]=52)*(T_PlannedOrders[EffectiveQty]&gt;0)*T_PlannedOrders[Order_Month])),"m月")&amp;"発注)")</f>
        <v/>
      </c>
      <c r="BD1081">
        <f>IF(SUMIFS(T_PlannedOrders[EffectiveQty],T_PlannedOrders[Part Name],$A1075,T_PlannedOrders[WeekIndex],53)=0,"",SUMIFS(T_PlannedOrders[EffectiveQty],T_PlannedOrders[Part Name],$A1075,T_PlannedOrders[WeekIndex],53)&amp;" ("&amp;TEXT(SUMPRODUCT(MAX((T_PlannedOrders[Part Name]=$A1075)*(T_PlannedOrders[WeekIndex]=53)*(T_PlannedOrders[EffectiveQty]&gt;0)*T_PlannedOrders[Order_Month])),"m月")&amp;"発注)")</f>
        <v/>
      </c>
      <c r="BE1081">
        <f>IF(SUMIFS(T_PlannedOrders[EffectiveQty],T_PlannedOrders[Part Name],$A1075,T_PlannedOrders[WeekIndex],54)=0,"",SUMIFS(T_PlannedOrders[EffectiveQty],T_PlannedOrders[Part Name],$A1075,T_PlannedOrders[WeekIndex],54)&amp;" ("&amp;TEXT(SUMPRODUCT(MAX((T_PlannedOrders[Part Name]=$A1075)*(T_PlannedOrders[WeekIndex]=54)*(T_PlannedOrders[EffectiveQty]&gt;0)*T_PlannedOrders[Order_Month])),"m月")&amp;"発注)")</f>
        <v/>
      </c>
      <c r="BF1081">
        <f>IF(SUMIFS(T_PlannedOrders[EffectiveQty],T_PlannedOrders[Part Name],$A1075,T_PlannedOrders[WeekIndex],55)=0,"",SUMIFS(T_PlannedOrders[EffectiveQty],T_PlannedOrders[Part Name],$A1075,T_PlannedOrders[WeekIndex],55)&amp;" ("&amp;TEXT(SUMPRODUCT(MAX((T_PlannedOrders[Part Name]=$A1075)*(T_PlannedOrders[WeekIndex]=55)*(T_PlannedOrders[EffectiveQty]&gt;0)*T_PlannedOrders[Order_Month])),"m月")&amp;"発注)")</f>
        <v/>
      </c>
      <c r="BG1081">
        <f>IF(SUMIFS(T_PlannedOrders[EffectiveQty],T_PlannedOrders[Part Name],$A1075,T_PlannedOrders[WeekIndex],56)=0,"",SUMIFS(T_PlannedOrders[EffectiveQty],T_PlannedOrders[Part Name],$A1075,T_PlannedOrders[WeekIndex],56)&amp;" ("&amp;TEXT(SUMPRODUCT(MAX((T_PlannedOrders[Part Name]=$A1075)*(T_PlannedOrders[WeekIndex]=56)*(T_PlannedOrders[EffectiveQty]&gt;0)*T_PlannedOrders[Order_Month])),"m月")&amp;"発注)")</f>
        <v/>
      </c>
      <c r="BH1081">
        <f>IF(SUMIFS(T_PlannedOrders[EffectiveQty],T_PlannedOrders[Part Name],$A1075,T_PlannedOrders[WeekIndex],57)=0,"",SUMIFS(T_PlannedOrders[EffectiveQty],T_PlannedOrders[Part Name],$A1075,T_PlannedOrders[WeekIndex],57)&amp;" ("&amp;TEXT(SUMPRODUCT(MAX((T_PlannedOrders[Part Name]=$A1075)*(T_PlannedOrders[WeekIndex]=57)*(T_PlannedOrders[EffectiveQty]&gt;0)*T_PlannedOrders[Order_Month])),"m月")&amp;"発注)")</f>
        <v/>
      </c>
      <c r="BI1081">
        <f>IF(SUMIFS(T_PlannedOrders[EffectiveQty],T_PlannedOrders[Part Name],$A1075,T_PlannedOrders[WeekIndex],58)=0,"",SUMIFS(T_PlannedOrders[EffectiveQty],T_PlannedOrders[Part Name],$A1075,T_PlannedOrders[WeekIndex],58)&amp;" ("&amp;TEXT(SUMPRODUCT(MAX((T_PlannedOrders[Part Name]=$A1075)*(T_PlannedOrders[WeekIndex]=58)*(T_PlannedOrders[EffectiveQty]&gt;0)*T_PlannedOrders[Order_Month])),"m月")&amp;"発注)")</f>
        <v/>
      </c>
      <c r="BJ1081">
        <f>IF(SUMIFS(T_PlannedOrders[EffectiveQty],T_PlannedOrders[Part Name],$A1075,T_PlannedOrders[WeekIndex],59)=0,"",SUMIFS(T_PlannedOrders[EffectiveQty],T_PlannedOrders[Part Name],$A1075,T_PlannedOrders[WeekIndex],59)&amp;" ("&amp;TEXT(SUMPRODUCT(MAX((T_PlannedOrders[Part Name]=$A1075)*(T_PlannedOrders[WeekIndex]=59)*(T_PlannedOrders[EffectiveQty]&gt;0)*T_PlannedOrders[Order_Month])),"m月")&amp;"発注)")</f>
        <v/>
      </c>
      <c r="BK1081">
        <f>IF(SUMIFS(T_PlannedOrders[EffectiveQty],T_PlannedOrders[Part Name],$A1075,T_PlannedOrders[WeekIndex],60)=0,"",SUMIFS(T_PlannedOrders[EffectiveQty],T_PlannedOrders[Part Name],$A1075,T_PlannedOrders[WeekIndex],60)&amp;" ("&amp;TEXT(SUMPRODUCT(MAX((T_PlannedOrders[Part Name]=$A1075)*(T_PlannedOrders[WeekIndex]=60)*(T_PlannedOrders[EffectiveQty]&gt;0)*T_PlannedOrders[Order_Month])),"m月")&amp;"発注)")</f>
        <v/>
      </c>
      <c r="BL1081">
        <f>IF(SUMIFS(T_PlannedOrders[EffectiveQty],T_PlannedOrders[Part Name],$A1075,T_PlannedOrders[WeekIndex],61)=0,"",SUMIFS(T_PlannedOrders[EffectiveQty],T_PlannedOrders[Part Name],$A1075,T_PlannedOrders[WeekIndex],61)&amp;" ("&amp;TEXT(SUMPRODUCT(MAX((T_PlannedOrders[Part Name]=$A1075)*(T_PlannedOrders[WeekIndex]=61)*(T_PlannedOrders[EffectiveQty]&gt;0)*T_PlannedOrders[Order_Month])),"m月")&amp;"発注)")</f>
        <v/>
      </c>
      <c r="BM1081">
        <f>IF(SUMIFS(T_PlannedOrders[EffectiveQty],T_PlannedOrders[Part Name],$A1075,T_PlannedOrders[WeekIndex],62)=0,"",SUMIFS(T_PlannedOrders[EffectiveQty],T_PlannedOrders[Part Name],$A1075,T_PlannedOrders[WeekIndex],62)&amp;" ("&amp;TEXT(SUMPRODUCT(MAX((T_PlannedOrders[Part Name]=$A1075)*(T_PlannedOrders[WeekIndex]=62)*(T_PlannedOrders[EffectiveQty]&gt;0)*T_PlannedOrders[Order_Month])),"m月")&amp;"発注)")</f>
        <v/>
      </c>
      <c r="BN1081">
        <f>IF(SUMIFS(T_PlannedOrders[EffectiveQty],T_PlannedOrders[Part Name],$A1075,T_PlannedOrders[WeekIndex],63)=0,"",SUMIFS(T_PlannedOrders[EffectiveQty],T_PlannedOrders[Part Name],$A1075,T_PlannedOrders[WeekIndex],63)&amp;" ("&amp;TEXT(SUMPRODUCT(MAX((T_PlannedOrders[Part Name]=$A1075)*(T_PlannedOrders[WeekIndex]=63)*(T_PlannedOrders[EffectiveQty]&gt;0)*T_PlannedOrders[Order_Month])),"m月")&amp;"発注)")</f>
        <v/>
      </c>
      <c r="BO1081">
        <f>IF(SUMIFS(T_PlannedOrders[EffectiveQty],T_PlannedOrders[Part Name],$A1075,T_PlannedOrders[WeekIndex],64)=0,"",SUMIFS(T_PlannedOrders[EffectiveQty],T_PlannedOrders[Part Name],$A1075,T_PlannedOrders[WeekIndex],64)&amp;" ("&amp;TEXT(SUMPRODUCT(MAX((T_PlannedOrders[Part Name]=$A1075)*(T_PlannedOrders[WeekIndex]=64)*(T_PlannedOrders[EffectiveQty]&gt;0)*T_PlannedOrders[Order_Month])),"m月")&amp;"発注)")</f>
        <v/>
      </c>
      <c r="BP1081">
        <f>IF(SUMIFS(T_PlannedOrders[EffectiveQty],T_PlannedOrders[Part Name],$A1075,T_PlannedOrders[WeekIndex],65)=0,"",SUMIFS(T_PlannedOrders[EffectiveQty],T_PlannedOrders[Part Name],$A1075,T_PlannedOrders[WeekIndex],65)&amp;" ("&amp;TEXT(SUMPRODUCT(MAX((T_PlannedOrders[Part Name]=$A1075)*(T_PlannedOrders[WeekIndex]=65)*(T_PlannedOrders[EffectiveQty]&gt;0)*T_PlannedOrders[Order_Month])),"m月")&amp;"発注)")</f>
        <v/>
      </c>
      <c r="BQ1081">
        <f>IF(SUMIFS(T_PlannedOrders[EffectiveQty],T_PlannedOrders[Part Name],$A1075,T_PlannedOrders[WeekIndex],66)=0,"",SUMIFS(T_PlannedOrders[EffectiveQty],T_PlannedOrders[Part Name],$A1075,T_PlannedOrders[WeekIndex],66)&amp;" ("&amp;TEXT(SUMPRODUCT(MAX((T_PlannedOrders[Part Name]=$A1075)*(T_PlannedOrders[WeekIndex]=66)*(T_PlannedOrders[EffectiveQty]&gt;0)*T_PlannedOrders[Order_Month])),"m月")&amp;"発注)")</f>
        <v/>
      </c>
      <c r="BR1081">
        <f>IF(SUMIFS(T_PlannedOrders[EffectiveQty],T_PlannedOrders[Part Name],$A1075,T_PlannedOrders[WeekIndex],67)=0,"",SUMIFS(T_PlannedOrders[EffectiveQty],T_PlannedOrders[Part Name],$A1075,T_PlannedOrders[WeekIndex],67)&amp;" ("&amp;TEXT(SUMPRODUCT(MAX((T_PlannedOrders[Part Name]=$A1075)*(T_PlannedOrders[WeekIndex]=67)*(T_PlannedOrders[EffectiveQty]&gt;0)*T_PlannedOrders[Order_Month])),"m月")&amp;"発注)")</f>
        <v/>
      </c>
      <c r="BS1081">
        <f>IF(SUMIFS(T_PlannedOrders[EffectiveQty],T_PlannedOrders[Part Name],$A1075,T_PlannedOrders[WeekIndex],68)=0,"",SUMIFS(T_PlannedOrders[EffectiveQty],T_PlannedOrders[Part Name],$A1075,T_PlannedOrders[WeekIndex],68)&amp;" ("&amp;TEXT(SUMPRODUCT(MAX((T_PlannedOrders[Part Name]=$A1075)*(T_PlannedOrders[WeekIndex]=68)*(T_PlannedOrders[EffectiveQty]&gt;0)*T_PlannedOrders[Order_Month])),"m月")&amp;"発注)")</f>
        <v/>
      </c>
      <c r="BT1081">
        <f>IF(SUMIFS(T_PlannedOrders[EffectiveQty],T_PlannedOrders[Part Name],$A1075,T_PlannedOrders[WeekIndex],69)=0,"",SUMIFS(T_PlannedOrders[EffectiveQty],T_PlannedOrders[Part Name],$A1075,T_PlannedOrders[WeekIndex],69)&amp;" ("&amp;TEXT(SUMPRODUCT(MAX((T_PlannedOrders[Part Name]=$A1075)*(T_PlannedOrders[WeekIndex]=69)*(T_PlannedOrders[EffectiveQty]&gt;0)*T_PlannedOrders[Order_Month])),"m月")&amp;"発注)")</f>
        <v/>
      </c>
      <c r="BU1081">
        <f>IF(SUMIFS(T_PlannedOrders[EffectiveQty],T_PlannedOrders[Part Name],$A1075,T_PlannedOrders[WeekIndex],70)=0,"",SUMIFS(T_PlannedOrders[EffectiveQty],T_PlannedOrders[Part Name],$A1075,T_PlannedOrders[WeekIndex],70)&amp;" ("&amp;TEXT(SUMPRODUCT(MAX((T_PlannedOrders[Part Name]=$A1075)*(T_PlannedOrders[WeekIndex]=70)*(T_PlannedOrders[EffectiveQty]&gt;0)*T_PlannedOrders[Order_Month])),"m月")&amp;"発注)")</f>
        <v/>
      </c>
      <c r="BV1081">
        <f>IF(SUMIFS(T_PlannedOrders[EffectiveQty],T_PlannedOrders[Part Name],$A1075,T_PlannedOrders[WeekIndex],71)=0,"",SUMIFS(T_PlannedOrders[EffectiveQty],T_PlannedOrders[Part Name],$A1075,T_PlannedOrders[WeekIndex],71)&amp;" ("&amp;TEXT(SUMPRODUCT(MAX((T_PlannedOrders[Part Name]=$A1075)*(T_PlannedOrders[WeekIndex]=71)*(T_PlannedOrders[EffectiveQty]&gt;0)*T_PlannedOrders[Order_Month])),"m月")&amp;"発注)")</f>
        <v/>
      </c>
      <c r="BW1081">
        <f>IF(SUMIFS(T_PlannedOrders[EffectiveQty],T_PlannedOrders[Part Name],$A1075,T_PlannedOrders[WeekIndex],72)=0,"",SUMIFS(T_PlannedOrders[EffectiveQty],T_PlannedOrders[Part Name],$A1075,T_PlannedOrders[WeekIndex],72)&amp;" ("&amp;TEXT(SUMPRODUCT(MAX((T_PlannedOrders[Part Name]=$A1075)*(T_PlannedOrders[WeekIndex]=72)*(T_PlannedOrders[EffectiveQty]&gt;0)*T_PlannedOrders[Order_Month])),"m月")&amp;"発注)")</f>
        <v/>
      </c>
      <c r="BX1081">
        <f>IF(SUMIFS(T_PlannedOrders[EffectiveQty],T_PlannedOrders[Part Name],$A1075,T_PlannedOrders[WeekIndex],73)=0,"",SUMIFS(T_PlannedOrders[EffectiveQty],T_PlannedOrders[Part Name],$A1075,T_PlannedOrders[WeekIndex],73)&amp;" ("&amp;TEXT(SUMPRODUCT(MAX((T_PlannedOrders[Part Name]=$A1075)*(T_PlannedOrders[WeekIndex]=73)*(T_PlannedOrders[EffectiveQty]&gt;0)*T_PlannedOrders[Order_Month])),"m月")&amp;"発注)")</f>
        <v/>
      </c>
      <c r="BY1081">
        <f>IF(SUMIFS(T_PlannedOrders[EffectiveQty],T_PlannedOrders[Part Name],$A1075,T_PlannedOrders[WeekIndex],74)=0,"",SUMIFS(T_PlannedOrders[EffectiveQty],T_PlannedOrders[Part Name],$A1075,T_PlannedOrders[WeekIndex],74)&amp;" ("&amp;TEXT(SUMPRODUCT(MAX((T_PlannedOrders[Part Name]=$A1075)*(T_PlannedOrders[WeekIndex]=74)*(T_PlannedOrders[EffectiveQty]&gt;0)*T_PlannedOrders[Order_Month])),"m月")&amp;"発注)")</f>
        <v/>
      </c>
      <c r="BZ1081">
        <f>IF(SUMIFS(T_PlannedOrders[EffectiveQty],T_PlannedOrders[Part Name],$A1075,T_PlannedOrders[WeekIndex],75)=0,"",SUMIFS(T_PlannedOrders[EffectiveQty],T_PlannedOrders[Part Name],$A1075,T_PlannedOrders[WeekIndex],75)&amp;" ("&amp;TEXT(SUMPRODUCT(MAX((T_PlannedOrders[Part Name]=$A1075)*(T_PlannedOrders[WeekIndex]=75)*(T_PlannedOrders[EffectiveQty]&gt;0)*T_PlannedOrders[Order_Month])),"m月")&amp;"発注)")</f>
        <v/>
      </c>
      <c r="CA1081">
        <f>IF(SUMIFS(T_PlannedOrders[EffectiveQty],T_PlannedOrders[Part Name],$A1075,T_PlannedOrders[WeekIndex],76)=0,"",SUMIFS(T_PlannedOrders[EffectiveQty],T_PlannedOrders[Part Name],$A1075,T_PlannedOrders[WeekIndex],76)&amp;" ("&amp;TEXT(SUMPRODUCT(MAX((T_PlannedOrders[Part Name]=$A1075)*(T_PlannedOrders[WeekIndex]=76)*(T_PlannedOrders[EffectiveQty]&gt;0)*T_PlannedOrders[Order_Month])),"m月")&amp;"発注)")</f>
        <v/>
      </c>
      <c r="CB1081">
        <f>IF(SUMIFS(T_PlannedOrders[EffectiveQty],T_PlannedOrders[Part Name],$A1075,T_PlannedOrders[WeekIndex],77)=0,"",SUMIFS(T_PlannedOrders[EffectiveQty],T_PlannedOrders[Part Name],$A1075,T_PlannedOrders[WeekIndex],77)&amp;" ("&amp;TEXT(SUMPRODUCT(MAX((T_PlannedOrders[Part Name]=$A1075)*(T_PlannedOrders[WeekIndex]=77)*(T_PlannedOrders[EffectiveQty]&gt;0)*T_PlannedOrders[Order_Month])),"m月")&amp;"発注)")</f>
        <v/>
      </c>
      <c r="CC1081">
        <f>IF(SUMIFS(T_PlannedOrders[EffectiveQty],T_PlannedOrders[Part Name],$A1075,T_PlannedOrders[WeekIndex],78)=0,"",SUMIFS(T_PlannedOrders[EffectiveQty],T_PlannedOrders[Part Name],$A1075,T_PlannedOrders[WeekIndex],78)&amp;" ("&amp;TEXT(SUMPRODUCT(MAX((T_PlannedOrders[Part Name]=$A1075)*(T_PlannedOrders[WeekIndex]=78)*(T_PlannedOrders[EffectiveQty]&gt;0)*T_PlannedOrders[Order_Month])),"m月")&amp;"発注)")</f>
        <v/>
      </c>
      <c r="CD1081">
        <f>IF(SUMIFS(T_PlannedOrders[EffectiveQty],T_PlannedOrders[Part Name],$A1075,T_PlannedOrders[WeekIndex],79)=0,"",SUMIFS(T_PlannedOrders[EffectiveQty],T_PlannedOrders[Part Name],$A1075,T_PlannedOrders[WeekIndex],79)&amp;" ("&amp;TEXT(SUMPRODUCT(MAX((T_PlannedOrders[Part Name]=$A1075)*(T_PlannedOrders[WeekIndex]=79)*(T_PlannedOrders[EffectiveQty]&gt;0)*T_PlannedOrders[Order_Month])),"m月")&amp;"発注)")</f>
        <v/>
      </c>
      <c r="CE1081">
        <f>IF(SUMIFS(T_PlannedOrders[EffectiveQty],T_PlannedOrders[Part Name],$A1075,T_PlannedOrders[WeekIndex],80)=0,"",SUMIFS(T_PlannedOrders[EffectiveQty],T_PlannedOrders[Part Name],$A1075,T_PlannedOrders[WeekIndex],80)&amp;" ("&amp;TEXT(SUMPRODUCT(MAX((T_PlannedOrders[Part Name]=$A1075)*(T_PlannedOrders[WeekIndex]=80)*(T_PlannedOrders[EffectiveQty]&gt;0)*T_PlannedOrders[Order_Month])),"m月")&amp;"発注)")</f>
        <v/>
      </c>
      <c r="CF1081">
        <f>IF(SUMIFS(T_PlannedOrders[EffectiveQty],T_PlannedOrders[Part Name],$A1075,T_PlannedOrders[WeekIndex],81)=0,"",SUMIFS(T_PlannedOrders[EffectiveQty],T_PlannedOrders[Part Name],$A1075,T_PlannedOrders[WeekIndex],81)&amp;" ("&amp;TEXT(SUMPRODUCT(MAX((T_PlannedOrders[Part Name]=$A1075)*(T_PlannedOrders[WeekIndex]=81)*(T_PlannedOrders[EffectiveQty]&gt;0)*T_PlannedOrders[Order_Month])),"m月")&amp;"発注)")</f>
        <v/>
      </c>
      <c r="CG1081">
        <f>IF(SUMIFS(T_PlannedOrders[EffectiveQty],T_PlannedOrders[Part Name],$A1075,T_PlannedOrders[WeekIndex],82)=0,"",SUMIFS(T_PlannedOrders[EffectiveQty],T_PlannedOrders[Part Name],$A1075,T_PlannedOrders[WeekIndex],82)&amp;" ("&amp;TEXT(SUMPRODUCT(MAX((T_PlannedOrders[Part Name]=$A1075)*(T_PlannedOrders[WeekIndex]=82)*(T_PlannedOrders[EffectiveQty]&gt;0)*T_PlannedOrders[Order_Month])),"m月")&amp;"発注)")</f>
        <v/>
      </c>
      <c r="CH1081">
        <f>IF(SUMIFS(T_PlannedOrders[EffectiveQty],T_PlannedOrders[Part Name],$A1075,T_PlannedOrders[WeekIndex],83)=0,"",SUMIFS(T_PlannedOrders[EffectiveQty],T_PlannedOrders[Part Name],$A1075,T_PlannedOrders[WeekIndex],83)&amp;" ("&amp;TEXT(SUMPRODUCT(MAX((T_PlannedOrders[Part Name]=$A1075)*(T_PlannedOrders[WeekIndex]=83)*(T_PlannedOrders[EffectiveQty]&gt;0)*T_PlannedOrders[Order_Month])),"m月")&amp;"発注)")</f>
        <v/>
      </c>
      <c r="CI1081">
        <f>IF(SUMIFS(T_PlannedOrders[EffectiveQty],T_PlannedOrders[Part Name],$A1075,T_PlannedOrders[WeekIndex],84)=0,"",SUMIFS(T_PlannedOrders[EffectiveQty],T_PlannedOrders[Part Name],$A1075,T_PlannedOrders[WeekIndex],84)&amp;" ("&amp;TEXT(SUMPRODUCT(MAX((T_PlannedOrders[Part Name]=$A1075)*(T_PlannedOrders[WeekIndex]=84)*(T_PlannedOrders[EffectiveQty]&gt;0)*T_PlannedOrders[Order_Month])),"m月")&amp;"発注)")</f>
        <v/>
      </c>
      <c r="CJ1081">
        <f>IF(SUMIFS(T_PlannedOrders[EffectiveQty],T_PlannedOrders[Part Name],$A1075,T_PlannedOrders[WeekIndex],85)=0,"",SUMIFS(T_PlannedOrders[EffectiveQty],T_PlannedOrders[Part Name],$A1075,T_PlannedOrders[WeekIndex],85)&amp;" ("&amp;TEXT(SUMPRODUCT(MAX((T_PlannedOrders[Part Name]=$A1075)*(T_PlannedOrders[WeekIndex]=85)*(T_PlannedOrders[EffectiveQty]&gt;0)*T_PlannedOrders[Order_Month])),"m月")&amp;"発注)")</f>
        <v/>
      </c>
      <c r="CK1081">
        <f>IF(SUMIFS(T_PlannedOrders[EffectiveQty],T_PlannedOrders[Part Name],$A1075,T_PlannedOrders[WeekIndex],86)=0,"",SUMIFS(T_PlannedOrders[EffectiveQty],T_PlannedOrders[Part Name],$A1075,T_PlannedOrders[WeekIndex],86)&amp;" ("&amp;TEXT(SUMPRODUCT(MAX((T_PlannedOrders[Part Name]=$A1075)*(T_PlannedOrders[WeekIndex]=86)*(T_PlannedOrders[EffectiveQty]&gt;0)*T_PlannedOrders[Order_Month])),"m月")&amp;"発注)")</f>
        <v/>
      </c>
      <c r="CL1081">
        <f>IF(SUMIFS(T_PlannedOrders[EffectiveQty],T_PlannedOrders[Part Name],$A1075,T_PlannedOrders[WeekIndex],87)=0,"",SUMIFS(T_PlannedOrders[EffectiveQty],T_PlannedOrders[Part Name],$A1075,T_PlannedOrders[WeekIndex],87)&amp;" ("&amp;TEXT(SUMPRODUCT(MAX((T_PlannedOrders[Part Name]=$A1075)*(T_PlannedOrders[WeekIndex]=87)*(T_PlannedOrders[EffectiveQty]&gt;0)*T_PlannedOrders[Order_Month])),"m月")&amp;"発注)")</f>
        <v/>
      </c>
      <c r="CM1081">
        <f>IF(SUMIFS(T_PlannedOrders[EffectiveQty],T_PlannedOrders[Part Name],$A1075,T_PlannedOrders[WeekIndex],88)=0,"",SUMIFS(T_PlannedOrders[EffectiveQty],T_PlannedOrders[Part Name],$A1075,T_PlannedOrders[WeekIndex],88)&amp;" ("&amp;TEXT(SUMPRODUCT(MAX((T_PlannedOrders[Part Name]=$A1075)*(T_PlannedOrders[WeekIndex]=88)*(T_PlannedOrders[EffectiveQty]&gt;0)*T_PlannedOrders[Order_Month])),"m月")&amp;"発注)")</f>
        <v/>
      </c>
      <c r="CN1081">
        <f>IF(SUMIFS(T_PlannedOrders[EffectiveQty],T_PlannedOrders[Part Name],$A1075,T_PlannedOrders[WeekIndex],89)=0,"",SUMIFS(T_PlannedOrders[EffectiveQty],T_PlannedOrders[Part Name],$A1075,T_PlannedOrders[WeekIndex],89)&amp;" ("&amp;TEXT(SUMPRODUCT(MAX((T_PlannedOrders[Part Name]=$A1075)*(T_PlannedOrders[WeekIndex]=89)*(T_PlannedOrders[EffectiveQty]&gt;0)*T_PlannedOrders[Order_Month])),"m月")&amp;"発注)")</f>
        <v/>
      </c>
      <c r="CO1081">
        <f>IF(SUMIFS(T_PlannedOrders[EffectiveQty],T_PlannedOrders[Part Name],$A1075,T_PlannedOrders[WeekIndex],90)=0,"",SUMIFS(T_PlannedOrders[EffectiveQty],T_PlannedOrders[Part Name],$A1075,T_PlannedOrders[WeekIndex],90)&amp;" ("&amp;TEXT(SUMPRODUCT(MAX((T_PlannedOrders[Part Name]=$A1075)*(T_PlannedOrders[WeekIndex]=90)*(T_PlannedOrders[EffectiveQty]&gt;0)*T_PlannedOrders[Order_Month])),"m月")&amp;"発注)")</f>
        <v/>
      </c>
      <c r="CP1081">
        <f>IF(SUMIFS(T_PlannedOrders[EffectiveQty],T_PlannedOrders[Part Name],$A1075,T_PlannedOrders[WeekIndex],91)=0,"",SUMIFS(T_PlannedOrders[EffectiveQty],T_PlannedOrders[Part Name],$A1075,T_PlannedOrders[WeekIndex],91)&amp;" ("&amp;TEXT(SUMPRODUCT(MAX((T_PlannedOrders[Part Name]=$A1075)*(T_PlannedOrders[WeekIndex]=91)*(T_PlannedOrders[EffectiveQty]&gt;0)*T_PlannedOrders[Order_Month])),"m月")&amp;"発注)")</f>
        <v/>
      </c>
      <c r="CQ1081">
        <f>IF(SUMIFS(T_PlannedOrders[EffectiveQty],T_PlannedOrders[Part Name],$A1075,T_PlannedOrders[WeekIndex],92)=0,"",SUMIFS(T_PlannedOrders[EffectiveQty],T_PlannedOrders[Part Name],$A1075,T_PlannedOrders[WeekIndex],92)&amp;" ("&amp;TEXT(SUMPRODUCT(MAX((T_PlannedOrders[Part Name]=$A1075)*(T_PlannedOrders[WeekIndex]=92)*(T_PlannedOrders[EffectiveQty]&gt;0)*T_PlannedOrders[Order_Month])),"m月")&amp;"発注)")</f>
        <v/>
      </c>
      <c r="CR1081">
        <f>IF(SUMIFS(T_PlannedOrders[EffectiveQty],T_PlannedOrders[Part Name],$A1075,T_PlannedOrders[WeekIndex],93)=0,"",SUMIFS(T_PlannedOrders[EffectiveQty],T_PlannedOrders[Part Name],$A1075,T_PlannedOrders[WeekIndex],93)&amp;" ("&amp;TEXT(SUMPRODUCT(MAX((T_PlannedOrders[Part Name]=$A1075)*(T_PlannedOrders[WeekIndex]=93)*(T_PlannedOrders[EffectiveQty]&gt;0)*T_PlannedOrders[Order_Month])),"m月")&amp;"発注)")</f>
        <v/>
      </c>
      <c r="CS1081">
        <f>IF(SUMIFS(T_PlannedOrders[EffectiveQty],T_PlannedOrders[Part Name],$A1075,T_PlannedOrders[WeekIndex],94)=0,"",SUMIFS(T_PlannedOrders[EffectiveQty],T_PlannedOrders[Part Name],$A1075,T_PlannedOrders[WeekIndex],94)&amp;" ("&amp;TEXT(SUMPRODUCT(MAX((T_PlannedOrders[Part Name]=$A1075)*(T_PlannedOrders[WeekIndex]=94)*(T_PlannedOrders[EffectiveQty]&gt;0)*T_PlannedOrders[Order_Month])),"m月")&amp;"発注)")</f>
        <v/>
      </c>
      <c r="CT1081">
        <f>IF(SUMIFS(T_PlannedOrders[EffectiveQty],T_PlannedOrders[Part Name],$A1075,T_PlannedOrders[WeekIndex],95)=0,"",SUMIFS(T_PlannedOrders[EffectiveQty],T_PlannedOrders[Part Name],$A1075,T_PlannedOrders[WeekIndex],95)&amp;" ("&amp;TEXT(SUMPRODUCT(MAX((T_PlannedOrders[Part Name]=$A1075)*(T_PlannedOrders[WeekIndex]=95)*(T_PlannedOrders[EffectiveQty]&gt;0)*T_PlannedOrders[Order_Month])),"m月")&amp;"発注)")</f>
        <v/>
      </c>
      <c r="CU1081">
        <f>IF(SUMIFS(T_PlannedOrders[EffectiveQty],T_PlannedOrders[Part Name],$A1075,T_PlannedOrders[WeekIndex],96)=0,"",SUMIFS(T_PlannedOrders[EffectiveQty],T_PlannedOrders[Part Name],$A1075,T_PlannedOrders[WeekIndex],96)&amp;" ("&amp;TEXT(SUMPRODUCT(MAX((T_PlannedOrders[Part Name]=$A1075)*(T_PlannedOrders[WeekIndex]=96)*(T_PlannedOrders[EffectiveQty]&gt;0)*T_PlannedOrders[Order_Month])),"m月")&amp;"発注)")</f>
        <v/>
      </c>
      <c r="CV1081">
        <f>IF(SUMIFS(T_PlannedOrders[EffectiveQty],T_PlannedOrders[Part Name],$A1075,T_PlannedOrders[WeekIndex],97)=0,"",SUMIFS(T_PlannedOrders[EffectiveQty],T_PlannedOrders[Part Name],$A1075,T_PlannedOrders[WeekIndex],97)&amp;" ("&amp;TEXT(SUMPRODUCT(MAX((T_PlannedOrders[Part Name]=$A1075)*(T_PlannedOrders[WeekIndex]=97)*(T_PlannedOrders[EffectiveQty]&gt;0)*T_PlannedOrders[Order_Month])),"m月")&amp;"発注)")</f>
        <v/>
      </c>
      <c r="CW1081">
        <f>IF(SUMIFS(T_PlannedOrders[EffectiveQty],T_PlannedOrders[Part Name],$A1075,T_PlannedOrders[WeekIndex],98)=0,"",SUMIFS(T_PlannedOrders[EffectiveQty],T_PlannedOrders[Part Name],$A1075,T_PlannedOrders[WeekIndex],98)&amp;" ("&amp;TEXT(SUMPRODUCT(MAX((T_PlannedOrders[Part Name]=$A1075)*(T_PlannedOrders[WeekIndex]=98)*(T_PlannedOrders[EffectiveQty]&gt;0)*T_PlannedOrders[Order_Month])),"m月")&amp;"発注)")</f>
        <v/>
      </c>
      <c r="CX1081">
        <f>IF(SUMIFS(T_PlannedOrders[EffectiveQty],T_PlannedOrders[Part Name],$A1075,T_PlannedOrders[WeekIndex],99)=0,"",SUMIFS(T_PlannedOrders[EffectiveQty],T_PlannedOrders[Part Name],$A1075,T_PlannedOrders[WeekIndex],99)&amp;" ("&amp;TEXT(SUMPRODUCT(MAX((T_PlannedOrders[Part Name]=$A1075)*(T_PlannedOrders[WeekIndex]=99)*(T_PlannedOrders[EffectiveQty]&gt;0)*T_PlannedOrders[Order_Month])),"m月")&amp;"発注)")</f>
        <v/>
      </c>
      <c r="CY1081">
        <f>IF(SUMIFS(T_PlannedOrders[EffectiveQty],T_PlannedOrders[Part Name],$A1075,T_PlannedOrders[WeekIndex],100)=0,"",SUMIFS(T_PlannedOrders[EffectiveQty],T_PlannedOrders[Part Name],$A1075,T_PlannedOrders[WeekIndex],100)&amp;" ("&amp;TEXT(SUMPRODUCT(MAX((T_PlannedOrders[Part Name]=$A1075)*(T_PlannedOrders[WeekIndex]=100)*(T_PlannedOrders[EffectiveQty]&gt;0)*T_PlannedOrders[Order_Month])),"m月")&amp;"発注)")</f>
        <v/>
      </c>
      <c r="CZ1081">
        <f>IF(SUMIFS(T_PlannedOrders[EffectiveQty],T_PlannedOrders[Part Name],$A1075,T_PlannedOrders[WeekIndex],101)=0,"",SUMIFS(T_PlannedOrders[EffectiveQty],T_PlannedOrders[Part Name],$A1075,T_PlannedOrders[WeekIndex],101)&amp;" ("&amp;TEXT(SUMPRODUCT(MAX((T_PlannedOrders[Part Name]=$A1075)*(T_PlannedOrders[WeekIndex]=101)*(T_PlannedOrders[EffectiveQty]&gt;0)*T_PlannedOrders[Order_Month])),"m月")&amp;"発注)")</f>
        <v/>
      </c>
      <c r="DA1081">
        <f>IF(SUMIFS(T_PlannedOrders[EffectiveQty],T_PlannedOrders[Part Name],$A1075,T_PlannedOrders[WeekIndex],102)=0,"",SUMIFS(T_PlannedOrders[EffectiveQty],T_PlannedOrders[Part Name],$A1075,T_PlannedOrders[WeekIndex],102)&amp;" ("&amp;TEXT(SUMPRODUCT(MAX((T_PlannedOrders[Part Name]=$A1075)*(T_PlannedOrders[WeekIndex]=102)*(T_PlannedOrders[EffectiveQty]&gt;0)*T_PlannedOrders[Order_Month])),"m月")&amp;"発注)")</f>
        <v/>
      </c>
      <c r="DB1081">
        <f>IF(SUMIFS(T_PlannedOrders[EffectiveQty],T_PlannedOrders[Part Name],$A1075,T_PlannedOrders[WeekIndex],103)=0,"",SUMIFS(T_PlannedOrders[EffectiveQty],T_PlannedOrders[Part Name],$A1075,T_PlannedOrders[WeekIndex],103)&amp;" ("&amp;TEXT(SUMPRODUCT(MAX((T_PlannedOrders[Part Name]=$A1075)*(T_PlannedOrders[WeekIndex]=103)*(T_PlannedOrders[EffectiveQty]&gt;0)*T_PlannedOrders[Order_Month])),"m月")&amp;"発注)")</f>
        <v/>
      </c>
      <c r="DC1081">
        <f>IF(SUMIFS(T_PlannedOrders[EffectiveQty],T_PlannedOrders[Part Name],$A1075,T_PlannedOrders[WeekIndex],104)=0,"",SUMIFS(T_PlannedOrders[EffectiveQty],T_PlannedOrders[Part Name],$A1075,T_PlannedOrders[WeekIndex],104)&amp;" ("&amp;TEXT(SUMPRODUCT(MAX((T_PlannedOrders[Part Name]=$A1075)*(T_PlannedOrders[WeekIndex]=104)*(T_PlannedOrders[EffectiveQty]&gt;0)*T_PlannedOrders[Order_Month])),"m月")&amp;"発注)")</f>
        <v/>
      </c>
    </row>
    <row r="1082">
      <c r="B1082" s="5" t="inlineStr">
        <is>
          <t>合計在庫(週末時点,kg)</t>
        </is>
      </c>
      <c r="D1082">
        <f>'Grid_Stock'!B51</f>
        <v/>
      </c>
      <c r="E1082">
        <f>'Grid_Stock'!C51</f>
        <v/>
      </c>
      <c r="F1082">
        <f>'Grid_Stock'!D51</f>
        <v/>
      </c>
      <c r="G1082">
        <f>'Grid_Stock'!E51</f>
        <v/>
      </c>
      <c r="H1082">
        <f>'Grid_Stock'!F51</f>
        <v/>
      </c>
      <c r="I1082">
        <f>'Grid_Stock'!G51</f>
        <v/>
      </c>
      <c r="J1082">
        <f>'Grid_Stock'!H51</f>
        <v/>
      </c>
      <c r="K1082">
        <f>'Grid_Stock'!I51</f>
        <v/>
      </c>
      <c r="L1082">
        <f>'Grid_Stock'!J51</f>
        <v/>
      </c>
      <c r="M1082">
        <f>'Grid_Stock'!K51</f>
        <v/>
      </c>
      <c r="N1082">
        <f>'Grid_Stock'!L51</f>
        <v/>
      </c>
      <c r="O1082">
        <f>'Grid_Stock'!M51</f>
        <v/>
      </c>
      <c r="P1082">
        <f>'Grid_Stock'!N51</f>
        <v/>
      </c>
      <c r="Q1082">
        <f>'Grid_Stock'!O51</f>
        <v/>
      </c>
      <c r="R1082">
        <f>'Grid_Stock'!P51</f>
        <v/>
      </c>
      <c r="S1082">
        <f>'Grid_Stock'!Q51</f>
        <v/>
      </c>
      <c r="T1082">
        <f>'Grid_Stock'!R51</f>
        <v/>
      </c>
      <c r="U1082">
        <f>'Grid_Stock'!S51</f>
        <v/>
      </c>
      <c r="V1082">
        <f>'Grid_Stock'!T51</f>
        <v/>
      </c>
      <c r="W1082">
        <f>'Grid_Stock'!U51</f>
        <v/>
      </c>
      <c r="X1082">
        <f>'Grid_Stock'!V51</f>
        <v/>
      </c>
      <c r="Y1082">
        <f>'Grid_Stock'!W51</f>
        <v/>
      </c>
      <c r="Z1082">
        <f>'Grid_Stock'!X51</f>
        <v/>
      </c>
      <c r="AA1082">
        <f>'Grid_Stock'!Y51</f>
        <v/>
      </c>
      <c r="AB1082">
        <f>'Grid_Stock'!Z51</f>
        <v/>
      </c>
      <c r="AC1082">
        <f>'Grid_Stock'!AA51</f>
        <v/>
      </c>
      <c r="AD1082">
        <f>'Grid_Stock'!AB51</f>
        <v/>
      </c>
      <c r="AE1082">
        <f>'Grid_Stock'!AC51</f>
        <v/>
      </c>
      <c r="AF1082">
        <f>'Grid_Stock'!AD51</f>
        <v/>
      </c>
      <c r="AG1082">
        <f>'Grid_Stock'!AE51</f>
        <v/>
      </c>
      <c r="AH1082">
        <f>'Grid_Stock'!AF51</f>
        <v/>
      </c>
      <c r="AI1082">
        <f>'Grid_Stock'!AG51</f>
        <v/>
      </c>
      <c r="AJ1082">
        <f>'Grid_Stock'!AH51</f>
        <v/>
      </c>
      <c r="AK1082">
        <f>'Grid_Stock'!AI51</f>
        <v/>
      </c>
      <c r="AL1082">
        <f>'Grid_Stock'!AJ51</f>
        <v/>
      </c>
      <c r="AM1082">
        <f>'Grid_Stock'!AK51</f>
        <v/>
      </c>
      <c r="AN1082">
        <f>'Grid_Stock'!AL51</f>
        <v/>
      </c>
      <c r="AO1082">
        <f>'Grid_Stock'!AM51</f>
        <v/>
      </c>
      <c r="AP1082">
        <f>'Grid_Stock'!AN51</f>
        <v/>
      </c>
      <c r="AQ1082">
        <f>'Grid_Stock'!AO51</f>
        <v/>
      </c>
      <c r="AR1082">
        <f>'Grid_Stock'!AP51</f>
        <v/>
      </c>
      <c r="AS1082">
        <f>'Grid_Stock'!AQ51</f>
        <v/>
      </c>
      <c r="AT1082">
        <f>'Grid_Stock'!AR51</f>
        <v/>
      </c>
      <c r="AU1082">
        <f>'Grid_Stock'!AS51</f>
        <v/>
      </c>
      <c r="AV1082">
        <f>'Grid_Stock'!AT51</f>
        <v/>
      </c>
      <c r="AW1082">
        <f>'Grid_Stock'!AU51</f>
        <v/>
      </c>
      <c r="AX1082">
        <f>'Grid_Stock'!AV51</f>
        <v/>
      </c>
      <c r="AY1082">
        <f>'Grid_Stock'!AW51</f>
        <v/>
      </c>
      <c r="AZ1082">
        <f>'Grid_Stock'!AX51</f>
        <v/>
      </c>
      <c r="BA1082">
        <f>'Grid_Stock'!AY51</f>
        <v/>
      </c>
      <c r="BB1082">
        <f>'Grid_Stock'!AZ51</f>
        <v/>
      </c>
      <c r="BC1082">
        <f>'Grid_Stock'!BA51</f>
        <v/>
      </c>
      <c r="BD1082">
        <f>'Grid_Stock'!BB51</f>
        <v/>
      </c>
      <c r="BE1082">
        <f>'Grid_Stock'!BC51</f>
        <v/>
      </c>
      <c r="BF1082">
        <f>'Grid_Stock'!BD51</f>
        <v/>
      </c>
      <c r="BG1082">
        <f>'Grid_Stock'!BE51</f>
        <v/>
      </c>
      <c r="BH1082">
        <f>'Grid_Stock'!BF51</f>
        <v/>
      </c>
      <c r="BI1082">
        <f>'Grid_Stock'!BG51</f>
        <v/>
      </c>
      <c r="BJ1082">
        <f>'Grid_Stock'!BH51</f>
        <v/>
      </c>
      <c r="BK1082">
        <f>'Grid_Stock'!BI51</f>
        <v/>
      </c>
      <c r="BL1082">
        <f>'Grid_Stock'!BJ51</f>
        <v/>
      </c>
      <c r="BM1082">
        <f>'Grid_Stock'!BK51</f>
        <v/>
      </c>
      <c r="BN1082">
        <f>'Grid_Stock'!BL51</f>
        <v/>
      </c>
      <c r="BO1082">
        <f>'Grid_Stock'!BM51</f>
        <v/>
      </c>
      <c r="BP1082">
        <f>'Grid_Stock'!BN51</f>
        <v/>
      </c>
      <c r="BQ1082">
        <f>'Grid_Stock'!BO51</f>
        <v/>
      </c>
      <c r="BR1082">
        <f>'Grid_Stock'!BP51</f>
        <v/>
      </c>
      <c r="BS1082">
        <f>'Grid_Stock'!BQ51</f>
        <v/>
      </c>
      <c r="BT1082">
        <f>'Grid_Stock'!BR51</f>
        <v/>
      </c>
      <c r="BU1082">
        <f>'Grid_Stock'!BS51</f>
        <v/>
      </c>
      <c r="BV1082">
        <f>'Grid_Stock'!BT51</f>
        <v/>
      </c>
      <c r="BW1082">
        <f>'Grid_Stock'!BU51</f>
        <v/>
      </c>
      <c r="BX1082">
        <f>'Grid_Stock'!BV51</f>
        <v/>
      </c>
      <c r="BY1082">
        <f>'Grid_Stock'!BW51</f>
        <v/>
      </c>
      <c r="BZ1082">
        <f>'Grid_Stock'!BX51</f>
        <v/>
      </c>
      <c r="CA1082">
        <f>'Grid_Stock'!BY51</f>
        <v/>
      </c>
      <c r="CB1082">
        <f>'Grid_Stock'!BZ51</f>
        <v/>
      </c>
      <c r="CC1082">
        <f>'Grid_Stock'!CA51</f>
        <v/>
      </c>
      <c r="CD1082">
        <f>'Grid_Stock'!CB51</f>
        <v/>
      </c>
      <c r="CE1082">
        <f>'Grid_Stock'!CC51</f>
        <v/>
      </c>
      <c r="CF1082">
        <f>'Grid_Stock'!CD51</f>
        <v/>
      </c>
      <c r="CG1082">
        <f>'Grid_Stock'!CE51</f>
        <v/>
      </c>
      <c r="CH1082">
        <f>'Grid_Stock'!CF51</f>
        <v/>
      </c>
      <c r="CI1082">
        <f>'Grid_Stock'!CG51</f>
        <v/>
      </c>
      <c r="CJ1082">
        <f>'Grid_Stock'!CH51</f>
        <v/>
      </c>
      <c r="CK1082">
        <f>'Grid_Stock'!CI51</f>
        <v/>
      </c>
      <c r="CL1082">
        <f>'Grid_Stock'!CJ51</f>
        <v/>
      </c>
      <c r="CM1082">
        <f>'Grid_Stock'!CK51</f>
        <v/>
      </c>
      <c r="CN1082">
        <f>'Grid_Stock'!CL51</f>
        <v/>
      </c>
      <c r="CO1082">
        <f>'Grid_Stock'!CM51</f>
        <v/>
      </c>
      <c r="CP1082">
        <f>'Grid_Stock'!CN51</f>
        <v/>
      </c>
      <c r="CQ1082">
        <f>'Grid_Stock'!CO51</f>
        <v/>
      </c>
      <c r="CR1082">
        <f>'Grid_Stock'!CP51</f>
        <v/>
      </c>
      <c r="CS1082">
        <f>'Grid_Stock'!CQ51</f>
        <v/>
      </c>
      <c r="CT1082">
        <f>'Grid_Stock'!CR51</f>
        <v/>
      </c>
      <c r="CU1082">
        <f>'Grid_Stock'!CS51</f>
        <v/>
      </c>
      <c r="CV1082">
        <f>'Grid_Stock'!CT51</f>
        <v/>
      </c>
      <c r="CW1082">
        <f>'Grid_Stock'!CU51</f>
        <v/>
      </c>
      <c r="CX1082">
        <f>'Grid_Stock'!CV51</f>
        <v/>
      </c>
      <c r="CY1082">
        <f>'Grid_Stock'!CW51</f>
        <v/>
      </c>
      <c r="CZ1082">
        <f>'Grid_Stock'!CX51</f>
        <v/>
      </c>
      <c r="DA1082">
        <f>'Grid_Stock'!CY51</f>
        <v/>
      </c>
      <c r="DB1082">
        <f>'Grid_Stock'!CZ51</f>
        <v/>
      </c>
      <c r="DC1082">
        <f>'Grid_Stock'!DA51</f>
        <v/>
      </c>
    </row>
    <row r="1083">
      <c r="B1083" s="23" t="inlineStr">
        <is>
          <t>（発注の目安はDashboardの基準在庫[下限/上限]と色分けを参照）</t>
        </is>
      </c>
    </row>
    <row r="1085">
      <c r="A1085" s="21" t="inlineStr">
        <is>
          <t>CHEM-1480</t>
        </is>
      </c>
      <c r="B1085" s="21" t="inlineStr">
        <is>
          <t>NAT 30</t>
        </is>
      </c>
      <c r="C1085" s="22" t="n"/>
      <c r="D1085" s="21" t="n"/>
      <c r="E1085" s="21" t="n"/>
      <c r="F1085" s="21" t="n"/>
      <c r="G1085" s="21" t="n"/>
      <c r="H1085" s="21" t="n"/>
      <c r="I1085" s="21" t="n"/>
      <c r="J1085" s="21" t="n"/>
      <c r="K1085" s="21" t="n"/>
      <c r="L1085" s="21" t="n"/>
      <c r="M1085" s="21" t="n"/>
      <c r="N1085" s="21" t="n"/>
      <c r="O1085" s="21" t="n"/>
      <c r="P1085" s="21" t="n"/>
      <c r="Q1085" s="21" t="n"/>
      <c r="R1085" s="21" t="n"/>
      <c r="S1085" s="21" t="n"/>
      <c r="T1085" s="21" t="n"/>
      <c r="U1085" s="21" t="n"/>
      <c r="V1085" s="21" t="n"/>
      <c r="W1085" s="21" t="n"/>
      <c r="X1085" s="21" t="n"/>
      <c r="Y1085" s="21" t="n"/>
      <c r="Z1085" s="21" t="n"/>
      <c r="AA1085" s="21" t="n"/>
      <c r="AB1085" s="21" t="n"/>
      <c r="AC1085" s="21" t="n"/>
      <c r="AD1085" s="21" t="n"/>
      <c r="AE1085" s="21" t="n"/>
      <c r="AF1085" s="21" t="n"/>
      <c r="AG1085" s="21" t="n"/>
      <c r="AH1085" s="21" t="n"/>
      <c r="AI1085" s="21" t="n"/>
      <c r="AJ1085" s="21" t="n"/>
      <c r="AK1085" s="21" t="n"/>
      <c r="AL1085" s="21" t="n"/>
      <c r="AM1085" s="21" t="n"/>
      <c r="AN1085" s="21" t="n"/>
      <c r="AO1085" s="21" t="n"/>
      <c r="AP1085" s="21" t="n"/>
      <c r="AQ1085" s="21" t="n"/>
      <c r="AR1085" s="21" t="n"/>
      <c r="AS1085" s="21" t="n"/>
      <c r="AT1085" s="21" t="n"/>
      <c r="AU1085" s="21" t="n"/>
      <c r="AV1085" s="21" t="n"/>
      <c r="AW1085" s="21" t="n"/>
      <c r="AX1085" s="21" t="n"/>
      <c r="AY1085" s="21" t="n"/>
      <c r="AZ1085" s="21" t="n"/>
      <c r="BA1085" s="21" t="n"/>
      <c r="BB1085" s="21" t="n"/>
      <c r="BC1085" s="21" t="n"/>
      <c r="BD1085" s="21" t="n"/>
      <c r="BE1085" s="21" t="n"/>
      <c r="BF1085" s="21" t="n"/>
      <c r="BG1085" s="21" t="n"/>
      <c r="BH1085" s="21" t="n"/>
      <c r="BI1085" s="21" t="n"/>
      <c r="BJ1085" s="21" t="n"/>
      <c r="BK1085" s="21" t="n"/>
      <c r="BL1085" s="21" t="n"/>
      <c r="BM1085" s="21" t="n"/>
      <c r="BN1085" s="21" t="n"/>
      <c r="BO1085" s="21" t="n"/>
      <c r="BP1085" s="21" t="n"/>
      <c r="BQ1085" s="21" t="n"/>
      <c r="BR1085" s="21" t="n"/>
      <c r="BS1085" s="21" t="n"/>
      <c r="BT1085" s="21" t="n"/>
      <c r="BU1085" s="21" t="n"/>
      <c r="BV1085" s="21" t="n"/>
      <c r="BW1085" s="21" t="n"/>
      <c r="BX1085" s="21" t="n"/>
      <c r="BY1085" s="21" t="n"/>
      <c r="BZ1085" s="21" t="n"/>
      <c r="CA1085" s="21" t="n"/>
      <c r="CB1085" s="21" t="n"/>
      <c r="CC1085" s="21" t="n"/>
      <c r="CD1085" s="21" t="n"/>
      <c r="CE1085" s="21" t="n"/>
      <c r="CF1085" s="21" t="n"/>
      <c r="CG1085" s="21" t="n"/>
      <c r="CH1085" s="21" t="n"/>
      <c r="CI1085" s="21" t="n"/>
      <c r="CJ1085" s="21" t="n"/>
      <c r="CK1085" s="21" t="n"/>
      <c r="CL1085" s="21" t="n"/>
      <c r="CM1085" s="21" t="n"/>
      <c r="CN1085" s="21" t="n"/>
      <c r="CO1085" s="21" t="n"/>
      <c r="CP1085" s="21" t="n"/>
      <c r="CQ1085" s="21" t="n"/>
      <c r="CR1085" s="21" t="n"/>
      <c r="CS1085" s="21" t="n"/>
      <c r="CT1085" s="21" t="n"/>
      <c r="CU1085" s="21" t="n"/>
      <c r="CV1085" s="21" t="n"/>
      <c r="CW1085" s="21" t="n"/>
      <c r="CX1085" s="21" t="n"/>
      <c r="CY1085" s="21" t="n"/>
      <c r="CZ1085" s="21" t="n"/>
      <c r="DA1085" s="21" t="n"/>
      <c r="DB1085" s="21" t="n"/>
      <c r="DC1085" s="21" t="n"/>
    </row>
    <row r="1086">
      <c r="B1086" t="inlineStr">
        <is>
          <t>TSP-206</t>
        </is>
      </c>
      <c r="C1086" t="inlineStr">
        <is>
          <t>No. of batches</t>
        </is>
      </c>
      <c r="D1086">
        <f>IFERROR(INDEX(PP_Grid[#Data],$DD1086,2),0)</f>
        <v/>
      </c>
      <c r="E1086">
        <f>IFERROR(INDEX(PP_Grid[#Data],$DD1086,3),0)</f>
        <v/>
      </c>
      <c r="F1086">
        <f>IFERROR(INDEX(PP_Grid[#Data],$DD1086,4),0)</f>
        <v/>
      </c>
      <c r="G1086">
        <f>IFERROR(INDEX(PP_Grid[#Data],$DD1086,5),0)</f>
        <v/>
      </c>
      <c r="H1086">
        <f>IFERROR(INDEX(PP_Grid[#Data],$DD1086,6),0)</f>
        <v/>
      </c>
      <c r="I1086">
        <f>IFERROR(INDEX(PP_Grid[#Data],$DD1086,7),0)</f>
        <v/>
      </c>
      <c r="J1086">
        <f>IFERROR(INDEX(PP_Grid[#Data],$DD1086,8),0)</f>
        <v/>
      </c>
      <c r="K1086">
        <f>IFERROR(INDEX(PP_Grid[#Data],$DD1086,9),0)</f>
        <v/>
      </c>
      <c r="L1086">
        <f>IFERROR(INDEX(PP_Grid[#Data],$DD1086,10),0)</f>
        <v/>
      </c>
      <c r="M1086">
        <f>IFERROR(INDEX(PP_Grid[#Data],$DD1086,11),0)</f>
        <v/>
      </c>
      <c r="N1086">
        <f>IFERROR(INDEX(PP_Grid[#Data],$DD1086,12),0)</f>
        <v/>
      </c>
      <c r="O1086">
        <f>IFERROR(INDEX(PP_Grid[#Data],$DD1086,13),0)</f>
        <v/>
      </c>
      <c r="P1086">
        <f>IFERROR(INDEX(PP_Grid[#Data],$DD1086,14),0)</f>
        <v/>
      </c>
      <c r="Q1086">
        <f>IFERROR(INDEX(PP_Grid[#Data],$DD1086,15),0)</f>
        <v/>
      </c>
      <c r="R1086">
        <f>IFERROR(INDEX(PP_Grid[#Data],$DD1086,16),0)</f>
        <v/>
      </c>
      <c r="S1086">
        <f>IFERROR(INDEX(PP_Grid[#Data],$DD1086,17),0)</f>
        <v/>
      </c>
      <c r="T1086">
        <f>IFERROR(INDEX(PP_Grid[#Data],$DD1086,18),0)</f>
        <v/>
      </c>
      <c r="U1086">
        <f>IFERROR(INDEX(PP_Grid[#Data],$DD1086,19),0)</f>
        <v/>
      </c>
      <c r="V1086">
        <f>IFERROR(INDEX(PP_Grid[#Data],$DD1086,20),0)</f>
        <v/>
      </c>
      <c r="W1086">
        <f>IFERROR(INDEX(PP_Grid[#Data],$DD1086,21),0)</f>
        <v/>
      </c>
      <c r="X1086">
        <f>IFERROR(INDEX(PP_Grid[#Data],$DD1086,22),0)</f>
        <v/>
      </c>
      <c r="Y1086">
        <f>IFERROR(INDEX(PP_Grid[#Data],$DD1086,23),0)</f>
        <v/>
      </c>
      <c r="Z1086">
        <f>IFERROR(INDEX(PP_Grid[#Data],$DD1086,24),0)</f>
        <v/>
      </c>
      <c r="AA1086">
        <f>IFERROR(INDEX(PP_Grid[#Data],$DD1086,25),0)</f>
        <v/>
      </c>
      <c r="AB1086">
        <f>IFERROR(INDEX(PP_Grid[#Data],$DD1086,26),0)</f>
        <v/>
      </c>
      <c r="AC1086">
        <f>IFERROR(INDEX(PP_Grid[#Data],$DD1086,27),0)</f>
        <v/>
      </c>
      <c r="AD1086">
        <f>IFERROR(INDEX(PP_Grid[#Data],$DD1086,28),0)</f>
        <v/>
      </c>
      <c r="AE1086">
        <f>IFERROR(INDEX(PP_Grid[#Data],$DD1086,29),0)</f>
        <v/>
      </c>
      <c r="AF1086">
        <f>IFERROR(INDEX(PP_Grid[#Data],$DD1086,30),0)</f>
        <v/>
      </c>
      <c r="AG1086">
        <f>IFERROR(INDEX(PP_Grid[#Data],$DD1086,31),0)</f>
        <v/>
      </c>
      <c r="AH1086">
        <f>IFERROR(INDEX(PP_Grid[#Data],$DD1086,32),0)</f>
        <v/>
      </c>
      <c r="AI1086">
        <f>IFERROR(INDEX(PP_Grid[#Data],$DD1086,33),0)</f>
        <v/>
      </c>
      <c r="AJ1086">
        <f>IFERROR(INDEX(PP_Grid[#Data],$DD1086,34),0)</f>
        <v/>
      </c>
      <c r="AK1086">
        <f>IFERROR(INDEX(PP_Grid[#Data],$DD1086,35),0)</f>
        <v/>
      </c>
      <c r="AL1086">
        <f>IFERROR(INDEX(PP_Grid[#Data],$DD1086,36),0)</f>
        <v/>
      </c>
      <c r="AM1086">
        <f>IFERROR(INDEX(PP_Grid[#Data],$DD1086,37),0)</f>
        <v/>
      </c>
      <c r="AN1086">
        <f>IFERROR(INDEX(PP_Grid[#Data],$DD1086,38),0)</f>
        <v/>
      </c>
      <c r="AO1086">
        <f>IFERROR(INDEX(PP_Grid[#Data],$DD1086,39),0)</f>
        <v/>
      </c>
      <c r="AP1086">
        <f>IFERROR(INDEX(PP_Grid[#Data],$DD1086,40),0)</f>
        <v/>
      </c>
      <c r="AQ1086">
        <f>IFERROR(INDEX(PP_Grid[#Data],$DD1086,41),0)</f>
        <v/>
      </c>
      <c r="AR1086">
        <f>IFERROR(INDEX(PP_Grid[#Data],$DD1086,42),0)</f>
        <v/>
      </c>
      <c r="AS1086">
        <f>IFERROR(INDEX(PP_Grid[#Data],$DD1086,43),0)</f>
        <v/>
      </c>
      <c r="AT1086">
        <f>IFERROR(INDEX(PP_Grid[#Data],$DD1086,44),0)</f>
        <v/>
      </c>
      <c r="AU1086">
        <f>IFERROR(INDEX(PP_Grid[#Data],$DD1086,45),0)</f>
        <v/>
      </c>
      <c r="AV1086">
        <f>IFERROR(INDEX(PP_Grid[#Data],$DD1086,46),0)</f>
        <v/>
      </c>
      <c r="AW1086">
        <f>IFERROR(INDEX(PP_Grid[#Data],$DD1086,47),0)</f>
        <v/>
      </c>
      <c r="AX1086">
        <f>IFERROR(INDEX(PP_Grid[#Data],$DD1086,48),0)</f>
        <v/>
      </c>
      <c r="AY1086">
        <f>IFERROR(INDEX(PP_Grid[#Data],$DD1086,49),0)</f>
        <v/>
      </c>
      <c r="AZ1086">
        <f>IFERROR(INDEX(PP_Grid[#Data],$DD1086,50),0)</f>
        <v/>
      </c>
      <c r="BA1086">
        <f>IFERROR(INDEX(PP_Grid[#Data],$DD1086,51),0)</f>
        <v/>
      </c>
      <c r="BB1086">
        <f>IFERROR(INDEX(PP_Grid[#Data],$DD1086,52),0)</f>
        <v/>
      </c>
      <c r="BC1086">
        <f>IFERROR(INDEX(PP_Grid[#Data],$DD1086,53),0)</f>
        <v/>
      </c>
      <c r="BD1086">
        <f>IFERROR(INDEX(PP_Grid[#Data],$DD1086,54),0)</f>
        <v/>
      </c>
      <c r="BE1086">
        <f>IFERROR(INDEX(PP_Grid[#Data],$DD1086,55),0)</f>
        <v/>
      </c>
      <c r="BF1086">
        <f>IFERROR(INDEX(PP_Grid[#Data],$DD1086,56),0)</f>
        <v/>
      </c>
      <c r="BG1086">
        <f>IFERROR(INDEX(PP_Grid[#Data],$DD1086,57),0)</f>
        <v/>
      </c>
      <c r="BH1086">
        <f>IFERROR(INDEX(PP_Grid[#Data],$DD1086,58),0)</f>
        <v/>
      </c>
      <c r="BI1086">
        <f>IFERROR(INDEX(PP_Grid[#Data],$DD1086,59),0)</f>
        <v/>
      </c>
      <c r="BJ1086">
        <f>IFERROR(INDEX(PP_Grid[#Data],$DD1086,60),0)</f>
        <v/>
      </c>
      <c r="BK1086">
        <f>IFERROR(INDEX(PP_Grid[#Data],$DD1086,61),0)</f>
        <v/>
      </c>
      <c r="BL1086">
        <f>IFERROR(INDEX(PP_Grid[#Data],$DD1086,62),0)</f>
        <v/>
      </c>
      <c r="BM1086">
        <f>IFERROR(INDEX(PP_Grid[#Data],$DD1086,63),0)</f>
        <v/>
      </c>
      <c r="BN1086">
        <f>IFERROR(INDEX(PP_Grid[#Data],$DD1086,64),0)</f>
        <v/>
      </c>
      <c r="BO1086">
        <f>IFERROR(INDEX(PP_Grid[#Data],$DD1086,65),0)</f>
        <v/>
      </c>
      <c r="BP1086">
        <f>IFERROR(INDEX(PP_Grid[#Data],$DD1086,66),0)</f>
        <v/>
      </c>
      <c r="BQ1086">
        <f>IFERROR(INDEX(PP_Grid[#Data],$DD1086,67),0)</f>
        <v/>
      </c>
      <c r="BR1086">
        <f>IFERROR(INDEX(PP_Grid[#Data],$DD1086,68),0)</f>
        <v/>
      </c>
      <c r="BS1086">
        <f>IFERROR(INDEX(PP_Grid[#Data],$DD1086,69),0)</f>
        <v/>
      </c>
      <c r="BT1086">
        <f>IFERROR(INDEX(PP_Grid[#Data],$DD1086,70),0)</f>
        <v/>
      </c>
      <c r="BU1086">
        <f>IFERROR(INDEX(PP_Grid[#Data],$DD1086,71),0)</f>
        <v/>
      </c>
      <c r="BV1086">
        <f>IFERROR(INDEX(PP_Grid[#Data],$DD1086,72),0)</f>
        <v/>
      </c>
      <c r="BW1086">
        <f>IFERROR(INDEX(PP_Grid[#Data],$DD1086,73),0)</f>
        <v/>
      </c>
      <c r="BX1086">
        <f>IFERROR(INDEX(PP_Grid[#Data],$DD1086,74),0)</f>
        <v/>
      </c>
      <c r="BY1086">
        <f>IFERROR(INDEX(PP_Grid[#Data],$DD1086,75),0)</f>
        <v/>
      </c>
      <c r="BZ1086">
        <f>IFERROR(INDEX(PP_Grid[#Data],$DD1086,76),0)</f>
        <v/>
      </c>
      <c r="CA1086">
        <f>IFERROR(INDEX(PP_Grid[#Data],$DD1086,77),0)</f>
        <v/>
      </c>
      <c r="CB1086">
        <f>IFERROR(INDEX(PP_Grid[#Data],$DD1086,78),0)</f>
        <v/>
      </c>
      <c r="CC1086">
        <f>IFERROR(INDEX(PP_Grid[#Data],$DD1086,79),0)</f>
        <v/>
      </c>
      <c r="CD1086">
        <f>IFERROR(INDEX(PP_Grid[#Data],$DD1086,80),0)</f>
        <v/>
      </c>
      <c r="CE1086">
        <f>IFERROR(INDEX(PP_Grid[#Data],$DD1086,81),0)</f>
        <v/>
      </c>
      <c r="CF1086">
        <f>IFERROR(INDEX(PP_Grid[#Data],$DD1086,82),0)</f>
        <v/>
      </c>
      <c r="CG1086">
        <f>IFERROR(INDEX(PP_Grid[#Data],$DD1086,83),0)</f>
        <v/>
      </c>
      <c r="CH1086">
        <f>IFERROR(INDEX(PP_Grid[#Data],$DD1086,84),0)</f>
        <v/>
      </c>
      <c r="CI1086">
        <f>IFERROR(INDEX(PP_Grid[#Data],$DD1086,85),0)</f>
        <v/>
      </c>
      <c r="CJ1086">
        <f>IFERROR(INDEX(PP_Grid[#Data],$DD1086,86),0)</f>
        <v/>
      </c>
      <c r="CK1086">
        <f>IFERROR(INDEX(PP_Grid[#Data],$DD1086,87),0)</f>
        <v/>
      </c>
      <c r="CL1086">
        <f>IFERROR(INDEX(PP_Grid[#Data],$DD1086,88),0)</f>
        <v/>
      </c>
      <c r="CM1086">
        <f>IFERROR(INDEX(PP_Grid[#Data],$DD1086,89),0)</f>
        <v/>
      </c>
      <c r="CN1086">
        <f>IFERROR(INDEX(PP_Grid[#Data],$DD1086,90),0)</f>
        <v/>
      </c>
      <c r="CO1086">
        <f>IFERROR(INDEX(PP_Grid[#Data],$DD1086,91),0)</f>
        <v/>
      </c>
      <c r="CP1086">
        <f>IFERROR(INDEX(PP_Grid[#Data],$DD1086,92),0)</f>
        <v/>
      </c>
      <c r="CQ1086">
        <f>IFERROR(INDEX(PP_Grid[#Data],$DD1086,93),0)</f>
        <v/>
      </c>
      <c r="CR1086">
        <f>IFERROR(INDEX(PP_Grid[#Data],$DD1086,94),0)</f>
        <v/>
      </c>
      <c r="CS1086">
        <f>IFERROR(INDEX(PP_Grid[#Data],$DD1086,95),0)</f>
        <v/>
      </c>
      <c r="CT1086">
        <f>IFERROR(INDEX(PP_Grid[#Data],$DD1086,96),0)</f>
        <v/>
      </c>
      <c r="CU1086">
        <f>IFERROR(INDEX(PP_Grid[#Data],$DD1086,97),0)</f>
        <v/>
      </c>
      <c r="CV1086">
        <f>IFERROR(INDEX(PP_Grid[#Data],$DD1086,98),0)</f>
        <v/>
      </c>
      <c r="CW1086">
        <f>IFERROR(INDEX(PP_Grid[#Data],$DD1086,99),0)</f>
        <v/>
      </c>
      <c r="CX1086">
        <f>IFERROR(INDEX(PP_Grid[#Data],$DD1086,100),0)</f>
        <v/>
      </c>
      <c r="CY1086">
        <f>IFERROR(INDEX(PP_Grid[#Data],$DD1086,101),0)</f>
        <v/>
      </c>
      <c r="CZ1086">
        <f>IFERROR(INDEX(PP_Grid[#Data],$DD1086,102),0)</f>
        <v/>
      </c>
      <c r="DA1086">
        <f>IFERROR(INDEX(PP_Grid[#Data],$DD1086,103),0)</f>
        <v/>
      </c>
      <c r="DB1086">
        <f>IFERROR(INDEX(PP_Grid[#Data],$DD1086,104),0)</f>
        <v/>
      </c>
      <c r="DC1086">
        <f>IFERROR(INDEX(PP_Grid[#Data],$DD1086,105),0)</f>
        <v/>
      </c>
      <c r="DD1086" s="12">
        <f>IFERROR(MATCH($B1086,PP_Grid[Intermediate],0),99999)</f>
        <v/>
      </c>
    </row>
    <row r="1087">
      <c r="B1087" t="inlineStr">
        <is>
          <t>使用量(kg)</t>
        </is>
      </c>
      <c r="C1087">
        <f>SUMIFS(M_BOM[RM_Qty_Per_Batch],M_BOM[Intermediate],$B1086,M_BOM[Part Name],$A1085)</f>
        <v/>
      </c>
      <c r="D1087">
        <f>$C1087*D1086</f>
        <v/>
      </c>
      <c r="E1087">
        <f>$C1087*E1086</f>
        <v/>
      </c>
      <c r="F1087">
        <f>$C1087*F1086</f>
        <v/>
      </c>
      <c r="G1087">
        <f>$C1087*G1086</f>
        <v/>
      </c>
      <c r="H1087">
        <f>$C1087*H1086</f>
        <v/>
      </c>
      <c r="I1087">
        <f>$C1087*I1086</f>
        <v/>
      </c>
      <c r="J1087">
        <f>$C1087*J1086</f>
        <v/>
      </c>
      <c r="K1087">
        <f>$C1087*K1086</f>
        <v/>
      </c>
      <c r="L1087">
        <f>$C1087*L1086</f>
        <v/>
      </c>
      <c r="M1087">
        <f>$C1087*M1086</f>
        <v/>
      </c>
      <c r="N1087">
        <f>$C1087*N1086</f>
        <v/>
      </c>
      <c r="O1087">
        <f>$C1087*O1086</f>
        <v/>
      </c>
      <c r="P1087">
        <f>$C1087*P1086</f>
        <v/>
      </c>
      <c r="Q1087">
        <f>$C1087*Q1086</f>
        <v/>
      </c>
      <c r="R1087">
        <f>$C1087*R1086</f>
        <v/>
      </c>
      <c r="S1087">
        <f>$C1087*S1086</f>
        <v/>
      </c>
      <c r="T1087">
        <f>$C1087*T1086</f>
        <v/>
      </c>
      <c r="U1087">
        <f>$C1087*U1086</f>
        <v/>
      </c>
      <c r="V1087">
        <f>$C1087*V1086</f>
        <v/>
      </c>
      <c r="W1087">
        <f>$C1087*W1086</f>
        <v/>
      </c>
      <c r="X1087">
        <f>$C1087*X1086</f>
        <v/>
      </c>
      <c r="Y1087">
        <f>$C1087*Y1086</f>
        <v/>
      </c>
      <c r="Z1087">
        <f>$C1087*Z1086</f>
        <v/>
      </c>
      <c r="AA1087">
        <f>$C1087*AA1086</f>
        <v/>
      </c>
      <c r="AB1087">
        <f>$C1087*AB1086</f>
        <v/>
      </c>
      <c r="AC1087">
        <f>$C1087*AC1086</f>
        <v/>
      </c>
      <c r="AD1087">
        <f>$C1087*AD1086</f>
        <v/>
      </c>
      <c r="AE1087">
        <f>$C1087*AE1086</f>
        <v/>
      </c>
      <c r="AF1087">
        <f>$C1087*AF1086</f>
        <v/>
      </c>
      <c r="AG1087">
        <f>$C1087*AG1086</f>
        <v/>
      </c>
      <c r="AH1087">
        <f>$C1087*AH1086</f>
        <v/>
      </c>
      <c r="AI1087">
        <f>$C1087*AI1086</f>
        <v/>
      </c>
      <c r="AJ1087">
        <f>$C1087*AJ1086</f>
        <v/>
      </c>
      <c r="AK1087">
        <f>$C1087*AK1086</f>
        <v/>
      </c>
      <c r="AL1087">
        <f>$C1087*AL1086</f>
        <v/>
      </c>
      <c r="AM1087">
        <f>$C1087*AM1086</f>
        <v/>
      </c>
      <c r="AN1087">
        <f>$C1087*AN1086</f>
        <v/>
      </c>
      <c r="AO1087">
        <f>$C1087*AO1086</f>
        <v/>
      </c>
      <c r="AP1087">
        <f>$C1087*AP1086</f>
        <v/>
      </c>
      <c r="AQ1087">
        <f>$C1087*AQ1086</f>
        <v/>
      </c>
      <c r="AR1087">
        <f>$C1087*AR1086</f>
        <v/>
      </c>
      <c r="AS1087">
        <f>$C1087*AS1086</f>
        <v/>
      </c>
      <c r="AT1087">
        <f>$C1087*AT1086</f>
        <v/>
      </c>
      <c r="AU1087">
        <f>$C1087*AU1086</f>
        <v/>
      </c>
      <c r="AV1087">
        <f>$C1087*AV1086</f>
        <v/>
      </c>
      <c r="AW1087">
        <f>$C1087*AW1086</f>
        <v/>
      </c>
      <c r="AX1087">
        <f>$C1087*AX1086</f>
        <v/>
      </c>
      <c r="AY1087">
        <f>$C1087*AY1086</f>
        <v/>
      </c>
      <c r="AZ1087">
        <f>$C1087*AZ1086</f>
        <v/>
      </c>
      <c r="BA1087">
        <f>$C1087*BA1086</f>
        <v/>
      </c>
      <c r="BB1087">
        <f>$C1087*BB1086</f>
        <v/>
      </c>
      <c r="BC1087">
        <f>$C1087*BC1086</f>
        <v/>
      </c>
      <c r="BD1087">
        <f>$C1087*BD1086</f>
        <v/>
      </c>
      <c r="BE1087">
        <f>$C1087*BE1086</f>
        <v/>
      </c>
      <c r="BF1087">
        <f>$C1087*BF1086</f>
        <v/>
      </c>
      <c r="BG1087">
        <f>$C1087*BG1086</f>
        <v/>
      </c>
      <c r="BH1087">
        <f>$C1087*BH1086</f>
        <v/>
      </c>
      <c r="BI1087">
        <f>$C1087*BI1086</f>
        <v/>
      </c>
      <c r="BJ1087">
        <f>$C1087*BJ1086</f>
        <v/>
      </c>
      <c r="BK1087">
        <f>$C1087*BK1086</f>
        <v/>
      </c>
      <c r="BL1087">
        <f>$C1087*BL1086</f>
        <v/>
      </c>
      <c r="BM1087">
        <f>$C1087*BM1086</f>
        <v/>
      </c>
      <c r="BN1087">
        <f>$C1087*BN1086</f>
        <v/>
      </c>
      <c r="BO1087">
        <f>$C1087*BO1086</f>
        <v/>
      </c>
      <c r="BP1087">
        <f>$C1087*BP1086</f>
        <v/>
      </c>
      <c r="BQ1087">
        <f>$C1087*BQ1086</f>
        <v/>
      </c>
      <c r="BR1087">
        <f>$C1087*BR1086</f>
        <v/>
      </c>
      <c r="BS1087">
        <f>$C1087*BS1086</f>
        <v/>
      </c>
      <c r="BT1087">
        <f>$C1087*BT1086</f>
        <v/>
      </c>
      <c r="BU1087">
        <f>$C1087*BU1086</f>
        <v/>
      </c>
      <c r="BV1087">
        <f>$C1087*BV1086</f>
        <v/>
      </c>
      <c r="BW1087">
        <f>$C1087*BW1086</f>
        <v/>
      </c>
      <c r="BX1087">
        <f>$C1087*BX1086</f>
        <v/>
      </c>
      <c r="BY1087">
        <f>$C1087*BY1086</f>
        <v/>
      </c>
      <c r="BZ1087">
        <f>$C1087*BZ1086</f>
        <v/>
      </c>
      <c r="CA1087">
        <f>$C1087*CA1086</f>
        <v/>
      </c>
      <c r="CB1087">
        <f>$C1087*CB1086</f>
        <v/>
      </c>
      <c r="CC1087">
        <f>$C1087*CC1086</f>
        <v/>
      </c>
      <c r="CD1087">
        <f>$C1087*CD1086</f>
        <v/>
      </c>
      <c r="CE1087">
        <f>$C1087*CE1086</f>
        <v/>
      </c>
      <c r="CF1087">
        <f>$C1087*CF1086</f>
        <v/>
      </c>
      <c r="CG1087">
        <f>$C1087*CG1086</f>
        <v/>
      </c>
      <c r="CH1087">
        <f>$C1087*CH1086</f>
        <v/>
      </c>
      <c r="CI1087">
        <f>$C1087*CI1086</f>
        <v/>
      </c>
      <c r="CJ1087">
        <f>$C1087*CJ1086</f>
        <v/>
      </c>
      <c r="CK1087">
        <f>$C1087*CK1086</f>
        <v/>
      </c>
      <c r="CL1087">
        <f>$C1087*CL1086</f>
        <v/>
      </c>
      <c r="CM1087">
        <f>$C1087*CM1086</f>
        <v/>
      </c>
      <c r="CN1087">
        <f>$C1087*CN1086</f>
        <v/>
      </c>
      <c r="CO1087">
        <f>$C1087*CO1086</f>
        <v/>
      </c>
      <c r="CP1087">
        <f>$C1087*CP1086</f>
        <v/>
      </c>
      <c r="CQ1087">
        <f>$C1087*CQ1086</f>
        <v/>
      </c>
      <c r="CR1087">
        <f>$C1087*CR1086</f>
        <v/>
      </c>
      <c r="CS1087">
        <f>$C1087*CS1086</f>
        <v/>
      </c>
      <c r="CT1087">
        <f>$C1087*CT1086</f>
        <v/>
      </c>
      <c r="CU1087">
        <f>$C1087*CU1086</f>
        <v/>
      </c>
      <c r="CV1087">
        <f>$C1087*CV1086</f>
        <v/>
      </c>
      <c r="CW1087">
        <f>$C1087*CW1086</f>
        <v/>
      </c>
      <c r="CX1087">
        <f>$C1087*CX1086</f>
        <v/>
      </c>
      <c r="CY1087">
        <f>$C1087*CY1086</f>
        <v/>
      </c>
      <c r="CZ1087">
        <f>$C1087*CZ1086</f>
        <v/>
      </c>
      <c r="DA1087">
        <f>$C1087*DA1086</f>
        <v/>
      </c>
      <c r="DB1087">
        <f>$C1087*DB1086</f>
        <v/>
      </c>
      <c r="DC1087">
        <f>$C1087*DC1086</f>
        <v/>
      </c>
    </row>
    <row r="1088">
      <c r="B1088" s="5" t="inlineStr">
        <is>
          <t>合計使用量(kg)/週</t>
        </is>
      </c>
      <c r="D1088">
        <f>'Grid_Requirement'!B38</f>
        <v/>
      </c>
      <c r="E1088">
        <f>'Grid_Requirement'!C38</f>
        <v/>
      </c>
      <c r="F1088">
        <f>'Grid_Requirement'!D38</f>
        <v/>
      </c>
      <c r="G1088">
        <f>'Grid_Requirement'!E38</f>
        <v/>
      </c>
      <c r="H1088">
        <f>'Grid_Requirement'!F38</f>
        <v/>
      </c>
      <c r="I1088">
        <f>'Grid_Requirement'!G38</f>
        <v/>
      </c>
      <c r="J1088">
        <f>'Grid_Requirement'!H38</f>
        <v/>
      </c>
      <c r="K1088">
        <f>'Grid_Requirement'!I38</f>
        <v/>
      </c>
      <c r="L1088">
        <f>'Grid_Requirement'!J38</f>
        <v/>
      </c>
      <c r="M1088">
        <f>'Grid_Requirement'!K38</f>
        <v/>
      </c>
      <c r="N1088">
        <f>'Grid_Requirement'!L38</f>
        <v/>
      </c>
      <c r="O1088">
        <f>'Grid_Requirement'!M38</f>
        <v/>
      </c>
      <c r="P1088">
        <f>'Grid_Requirement'!N38</f>
        <v/>
      </c>
      <c r="Q1088">
        <f>'Grid_Requirement'!O38</f>
        <v/>
      </c>
      <c r="R1088">
        <f>'Grid_Requirement'!P38</f>
        <v/>
      </c>
      <c r="S1088">
        <f>'Grid_Requirement'!Q38</f>
        <v/>
      </c>
      <c r="T1088">
        <f>'Grid_Requirement'!R38</f>
        <v/>
      </c>
      <c r="U1088">
        <f>'Grid_Requirement'!S38</f>
        <v/>
      </c>
      <c r="V1088">
        <f>'Grid_Requirement'!T38</f>
        <v/>
      </c>
      <c r="W1088">
        <f>'Grid_Requirement'!U38</f>
        <v/>
      </c>
      <c r="X1088">
        <f>'Grid_Requirement'!V38</f>
        <v/>
      </c>
      <c r="Y1088">
        <f>'Grid_Requirement'!W38</f>
        <v/>
      </c>
      <c r="Z1088">
        <f>'Grid_Requirement'!X38</f>
        <v/>
      </c>
      <c r="AA1088">
        <f>'Grid_Requirement'!Y38</f>
        <v/>
      </c>
      <c r="AB1088">
        <f>'Grid_Requirement'!Z38</f>
        <v/>
      </c>
      <c r="AC1088">
        <f>'Grid_Requirement'!AA38</f>
        <v/>
      </c>
      <c r="AD1088">
        <f>'Grid_Requirement'!AB38</f>
        <v/>
      </c>
      <c r="AE1088">
        <f>'Grid_Requirement'!AC38</f>
        <v/>
      </c>
      <c r="AF1088">
        <f>'Grid_Requirement'!AD38</f>
        <v/>
      </c>
      <c r="AG1088">
        <f>'Grid_Requirement'!AE38</f>
        <v/>
      </c>
      <c r="AH1088">
        <f>'Grid_Requirement'!AF38</f>
        <v/>
      </c>
      <c r="AI1088">
        <f>'Grid_Requirement'!AG38</f>
        <v/>
      </c>
      <c r="AJ1088">
        <f>'Grid_Requirement'!AH38</f>
        <v/>
      </c>
      <c r="AK1088">
        <f>'Grid_Requirement'!AI38</f>
        <v/>
      </c>
      <c r="AL1088">
        <f>'Grid_Requirement'!AJ38</f>
        <v/>
      </c>
      <c r="AM1088">
        <f>'Grid_Requirement'!AK38</f>
        <v/>
      </c>
      <c r="AN1088">
        <f>'Grid_Requirement'!AL38</f>
        <v/>
      </c>
      <c r="AO1088">
        <f>'Grid_Requirement'!AM38</f>
        <v/>
      </c>
      <c r="AP1088">
        <f>'Grid_Requirement'!AN38</f>
        <v/>
      </c>
      <c r="AQ1088">
        <f>'Grid_Requirement'!AO38</f>
        <v/>
      </c>
      <c r="AR1088">
        <f>'Grid_Requirement'!AP38</f>
        <v/>
      </c>
      <c r="AS1088">
        <f>'Grid_Requirement'!AQ38</f>
        <v/>
      </c>
      <c r="AT1088">
        <f>'Grid_Requirement'!AR38</f>
        <v/>
      </c>
      <c r="AU1088">
        <f>'Grid_Requirement'!AS38</f>
        <v/>
      </c>
      <c r="AV1088">
        <f>'Grid_Requirement'!AT38</f>
        <v/>
      </c>
      <c r="AW1088">
        <f>'Grid_Requirement'!AU38</f>
        <v/>
      </c>
      <c r="AX1088">
        <f>'Grid_Requirement'!AV38</f>
        <v/>
      </c>
      <c r="AY1088">
        <f>'Grid_Requirement'!AW38</f>
        <v/>
      </c>
      <c r="AZ1088">
        <f>'Grid_Requirement'!AX38</f>
        <v/>
      </c>
      <c r="BA1088">
        <f>'Grid_Requirement'!AY38</f>
        <v/>
      </c>
      <c r="BB1088">
        <f>'Grid_Requirement'!AZ38</f>
        <v/>
      </c>
      <c r="BC1088">
        <f>'Grid_Requirement'!BA38</f>
        <v/>
      </c>
      <c r="BD1088">
        <f>'Grid_Requirement'!BB38</f>
        <v/>
      </c>
      <c r="BE1088">
        <f>'Grid_Requirement'!BC38</f>
        <v/>
      </c>
      <c r="BF1088">
        <f>'Grid_Requirement'!BD38</f>
        <v/>
      </c>
      <c r="BG1088">
        <f>'Grid_Requirement'!BE38</f>
        <v/>
      </c>
      <c r="BH1088">
        <f>'Grid_Requirement'!BF38</f>
        <v/>
      </c>
      <c r="BI1088">
        <f>'Grid_Requirement'!BG38</f>
        <v/>
      </c>
      <c r="BJ1088">
        <f>'Grid_Requirement'!BH38</f>
        <v/>
      </c>
      <c r="BK1088">
        <f>'Grid_Requirement'!BI38</f>
        <v/>
      </c>
      <c r="BL1088">
        <f>'Grid_Requirement'!BJ38</f>
        <v/>
      </c>
      <c r="BM1088">
        <f>'Grid_Requirement'!BK38</f>
        <v/>
      </c>
      <c r="BN1088">
        <f>'Grid_Requirement'!BL38</f>
        <v/>
      </c>
      <c r="BO1088">
        <f>'Grid_Requirement'!BM38</f>
        <v/>
      </c>
      <c r="BP1088">
        <f>'Grid_Requirement'!BN38</f>
        <v/>
      </c>
      <c r="BQ1088">
        <f>'Grid_Requirement'!BO38</f>
        <v/>
      </c>
      <c r="BR1088">
        <f>'Grid_Requirement'!BP38</f>
        <v/>
      </c>
      <c r="BS1088">
        <f>'Grid_Requirement'!BQ38</f>
        <v/>
      </c>
      <c r="BT1088">
        <f>'Grid_Requirement'!BR38</f>
        <v/>
      </c>
      <c r="BU1088">
        <f>'Grid_Requirement'!BS38</f>
        <v/>
      </c>
      <c r="BV1088">
        <f>'Grid_Requirement'!BT38</f>
        <v/>
      </c>
      <c r="BW1088">
        <f>'Grid_Requirement'!BU38</f>
        <v/>
      </c>
      <c r="BX1088">
        <f>'Grid_Requirement'!BV38</f>
        <v/>
      </c>
      <c r="BY1088">
        <f>'Grid_Requirement'!BW38</f>
        <v/>
      </c>
      <c r="BZ1088">
        <f>'Grid_Requirement'!BX38</f>
        <v/>
      </c>
      <c r="CA1088">
        <f>'Grid_Requirement'!BY38</f>
        <v/>
      </c>
      <c r="CB1088">
        <f>'Grid_Requirement'!BZ38</f>
        <v/>
      </c>
      <c r="CC1088">
        <f>'Grid_Requirement'!CA38</f>
        <v/>
      </c>
      <c r="CD1088">
        <f>'Grid_Requirement'!CB38</f>
        <v/>
      </c>
      <c r="CE1088">
        <f>'Grid_Requirement'!CC38</f>
        <v/>
      </c>
      <c r="CF1088">
        <f>'Grid_Requirement'!CD38</f>
        <v/>
      </c>
      <c r="CG1088">
        <f>'Grid_Requirement'!CE38</f>
        <v/>
      </c>
      <c r="CH1088">
        <f>'Grid_Requirement'!CF38</f>
        <v/>
      </c>
      <c r="CI1088">
        <f>'Grid_Requirement'!CG38</f>
        <v/>
      </c>
      <c r="CJ1088">
        <f>'Grid_Requirement'!CH38</f>
        <v/>
      </c>
      <c r="CK1088">
        <f>'Grid_Requirement'!CI38</f>
        <v/>
      </c>
      <c r="CL1088">
        <f>'Grid_Requirement'!CJ38</f>
        <v/>
      </c>
      <c r="CM1088">
        <f>'Grid_Requirement'!CK38</f>
        <v/>
      </c>
      <c r="CN1088">
        <f>'Grid_Requirement'!CL38</f>
        <v/>
      </c>
      <c r="CO1088">
        <f>'Grid_Requirement'!CM38</f>
        <v/>
      </c>
      <c r="CP1088">
        <f>'Grid_Requirement'!CN38</f>
        <v/>
      </c>
      <c r="CQ1088">
        <f>'Grid_Requirement'!CO38</f>
        <v/>
      </c>
      <c r="CR1088">
        <f>'Grid_Requirement'!CP38</f>
        <v/>
      </c>
      <c r="CS1088">
        <f>'Grid_Requirement'!CQ38</f>
        <v/>
      </c>
      <c r="CT1088">
        <f>'Grid_Requirement'!CR38</f>
        <v/>
      </c>
      <c r="CU1088">
        <f>'Grid_Requirement'!CS38</f>
        <v/>
      </c>
      <c r="CV1088">
        <f>'Grid_Requirement'!CT38</f>
        <v/>
      </c>
      <c r="CW1088">
        <f>'Grid_Requirement'!CU38</f>
        <v/>
      </c>
      <c r="CX1088">
        <f>'Grid_Requirement'!CV38</f>
        <v/>
      </c>
      <c r="CY1088">
        <f>'Grid_Requirement'!CW38</f>
        <v/>
      </c>
      <c r="CZ1088">
        <f>'Grid_Requirement'!CX38</f>
        <v/>
      </c>
      <c r="DA1088">
        <f>'Grid_Requirement'!CY38</f>
        <v/>
      </c>
      <c r="DB1088">
        <f>'Grid_Requirement'!CZ38</f>
        <v/>
      </c>
      <c r="DC1088">
        <f>'Grid_Requirement'!DA38</f>
        <v/>
      </c>
    </row>
    <row r="1089">
      <c r="B1089" t="inlineStr">
        <is>
          <t>TTAF在庫(実績,kg)</t>
        </is>
      </c>
      <c r="D1089">
        <f>'T_TTAFStock'!B42</f>
        <v/>
      </c>
      <c r="E1089">
        <f>'T_TTAFStock'!C42</f>
        <v/>
      </c>
      <c r="F1089">
        <f>'T_TTAFStock'!D42</f>
        <v/>
      </c>
      <c r="G1089">
        <f>'T_TTAFStock'!E42</f>
        <v/>
      </c>
      <c r="H1089">
        <f>'T_TTAFStock'!F42</f>
        <v/>
      </c>
      <c r="I1089">
        <f>'T_TTAFStock'!G42</f>
        <v/>
      </c>
      <c r="J1089">
        <f>'T_TTAFStock'!H42</f>
        <v/>
      </c>
      <c r="K1089">
        <f>'T_TTAFStock'!I42</f>
        <v/>
      </c>
      <c r="L1089">
        <f>'T_TTAFStock'!J42</f>
        <v/>
      </c>
      <c r="M1089">
        <f>'T_TTAFStock'!K42</f>
        <v/>
      </c>
      <c r="N1089">
        <f>'T_TTAFStock'!L42</f>
        <v/>
      </c>
      <c r="O1089">
        <f>'T_TTAFStock'!M42</f>
        <v/>
      </c>
      <c r="P1089">
        <f>'T_TTAFStock'!N42</f>
        <v/>
      </c>
      <c r="Q1089">
        <f>'T_TTAFStock'!O42</f>
        <v/>
      </c>
      <c r="R1089">
        <f>'T_TTAFStock'!P42</f>
        <v/>
      </c>
      <c r="S1089">
        <f>'T_TTAFStock'!Q42</f>
        <v/>
      </c>
      <c r="T1089">
        <f>'T_TTAFStock'!R42</f>
        <v/>
      </c>
      <c r="U1089">
        <f>'T_TTAFStock'!S42</f>
        <v/>
      </c>
      <c r="V1089">
        <f>'T_TTAFStock'!T42</f>
        <v/>
      </c>
      <c r="W1089">
        <f>'T_TTAFStock'!U42</f>
        <v/>
      </c>
      <c r="X1089">
        <f>'T_TTAFStock'!V42</f>
        <v/>
      </c>
      <c r="Y1089">
        <f>'T_TTAFStock'!W42</f>
        <v/>
      </c>
      <c r="Z1089">
        <f>'T_TTAFStock'!X42</f>
        <v/>
      </c>
      <c r="AA1089">
        <f>'T_TTAFStock'!Y42</f>
        <v/>
      </c>
      <c r="AB1089">
        <f>'T_TTAFStock'!Z42</f>
        <v/>
      </c>
      <c r="AC1089">
        <f>'T_TTAFStock'!AA42</f>
        <v/>
      </c>
      <c r="AD1089">
        <f>'T_TTAFStock'!AB42</f>
        <v/>
      </c>
      <c r="AE1089">
        <f>'T_TTAFStock'!AC42</f>
        <v/>
      </c>
      <c r="AF1089">
        <f>'T_TTAFStock'!AD42</f>
        <v/>
      </c>
      <c r="AG1089">
        <f>'T_TTAFStock'!AE42</f>
        <v/>
      </c>
      <c r="AH1089">
        <f>'T_TTAFStock'!AF42</f>
        <v/>
      </c>
      <c r="AI1089">
        <f>'T_TTAFStock'!AG42</f>
        <v/>
      </c>
      <c r="AJ1089">
        <f>'T_TTAFStock'!AH42</f>
        <v/>
      </c>
      <c r="AK1089">
        <f>'T_TTAFStock'!AI42</f>
        <v/>
      </c>
      <c r="AL1089">
        <f>'T_TTAFStock'!AJ42</f>
        <v/>
      </c>
      <c r="AM1089">
        <f>'T_TTAFStock'!AK42</f>
        <v/>
      </c>
      <c r="AN1089">
        <f>'T_TTAFStock'!AL42</f>
        <v/>
      </c>
      <c r="AO1089">
        <f>'T_TTAFStock'!AM42</f>
        <v/>
      </c>
      <c r="AP1089">
        <f>'T_TTAFStock'!AN42</f>
        <v/>
      </c>
      <c r="AQ1089">
        <f>'T_TTAFStock'!AO42</f>
        <v/>
      </c>
      <c r="AR1089">
        <f>'T_TTAFStock'!AP42</f>
        <v/>
      </c>
      <c r="AS1089">
        <f>'T_TTAFStock'!AQ42</f>
        <v/>
      </c>
      <c r="AT1089">
        <f>'T_TTAFStock'!AR42</f>
        <v/>
      </c>
      <c r="AU1089">
        <f>'T_TTAFStock'!AS42</f>
        <v/>
      </c>
      <c r="AV1089">
        <f>'T_TTAFStock'!AT42</f>
        <v/>
      </c>
      <c r="AW1089">
        <f>'T_TTAFStock'!AU42</f>
        <v/>
      </c>
      <c r="AX1089">
        <f>'T_TTAFStock'!AV42</f>
        <v/>
      </c>
      <c r="AY1089">
        <f>'T_TTAFStock'!AW42</f>
        <v/>
      </c>
      <c r="AZ1089">
        <f>'T_TTAFStock'!AX42</f>
        <v/>
      </c>
      <c r="BA1089">
        <f>'T_TTAFStock'!AY42</f>
        <v/>
      </c>
      <c r="BB1089">
        <f>'T_TTAFStock'!AZ42</f>
        <v/>
      </c>
      <c r="BC1089">
        <f>'T_TTAFStock'!BA42</f>
        <v/>
      </c>
      <c r="BD1089">
        <f>'T_TTAFStock'!BB42</f>
        <v/>
      </c>
      <c r="BE1089">
        <f>'T_TTAFStock'!BC42</f>
        <v/>
      </c>
      <c r="BF1089">
        <f>'T_TTAFStock'!BD42</f>
        <v/>
      </c>
      <c r="BG1089">
        <f>'T_TTAFStock'!BE42</f>
        <v/>
      </c>
      <c r="BH1089">
        <f>'T_TTAFStock'!BF42</f>
        <v/>
      </c>
      <c r="BI1089">
        <f>'T_TTAFStock'!BG42</f>
        <v/>
      </c>
      <c r="BJ1089">
        <f>'T_TTAFStock'!BH42</f>
        <v/>
      </c>
      <c r="BK1089">
        <f>'T_TTAFStock'!BI42</f>
        <v/>
      </c>
      <c r="BL1089">
        <f>'T_TTAFStock'!BJ42</f>
        <v/>
      </c>
      <c r="BM1089">
        <f>'T_TTAFStock'!BK42</f>
        <v/>
      </c>
      <c r="BN1089">
        <f>'T_TTAFStock'!BL42</f>
        <v/>
      </c>
      <c r="BO1089">
        <f>'T_TTAFStock'!BM42</f>
        <v/>
      </c>
      <c r="BP1089">
        <f>'T_TTAFStock'!BN42</f>
        <v/>
      </c>
      <c r="BQ1089">
        <f>'T_TTAFStock'!BO42</f>
        <v/>
      </c>
      <c r="BR1089">
        <f>'T_TTAFStock'!BP42</f>
        <v/>
      </c>
      <c r="BS1089">
        <f>'T_TTAFStock'!BQ42</f>
        <v/>
      </c>
      <c r="BT1089">
        <f>'T_TTAFStock'!BR42</f>
        <v/>
      </c>
      <c r="BU1089">
        <f>'T_TTAFStock'!BS42</f>
        <v/>
      </c>
      <c r="BV1089">
        <f>'T_TTAFStock'!BT42</f>
        <v/>
      </c>
      <c r="BW1089">
        <f>'T_TTAFStock'!BU42</f>
        <v/>
      </c>
      <c r="BX1089">
        <f>'T_TTAFStock'!BV42</f>
        <v/>
      </c>
      <c r="BY1089">
        <f>'T_TTAFStock'!BW42</f>
        <v/>
      </c>
      <c r="BZ1089">
        <f>'T_TTAFStock'!BX42</f>
        <v/>
      </c>
      <c r="CA1089">
        <f>'T_TTAFStock'!BY42</f>
        <v/>
      </c>
      <c r="CB1089">
        <f>'T_TTAFStock'!BZ42</f>
        <v/>
      </c>
      <c r="CC1089">
        <f>'T_TTAFStock'!CA42</f>
        <v/>
      </c>
      <c r="CD1089">
        <f>'T_TTAFStock'!CB42</f>
        <v/>
      </c>
      <c r="CE1089">
        <f>'T_TTAFStock'!CC42</f>
        <v/>
      </c>
      <c r="CF1089">
        <f>'T_TTAFStock'!CD42</f>
        <v/>
      </c>
      <c r="CG1089">
        <f>'T_TTAFStock'!CE42</f>
        <v/>
      </c>
      <c r="CH1089">
        <f>'T_TTAFStock'!CF42</f>
        <v/>
      </c>
      <c r="CI1089">
        <f>'T_TTAFStock'!CG42</f>
        <v/>
      </c>
      <c r="CJ1089">
        <f>'T_TTAFStock'!CH42</f>
        <v/>
      </c>
      <c r="CK1089">
        <f>'T_TTAFStock'!CI42</f>
        <v/>
      </c>
      <c r="CL1089">
        <f>'T_TTAFStock'!CJ42</f>
        <v/>
      </c>
      <c r="CM1089">
        <f>'T_TTAFStock'!CK42</f>
        <v/>
      </c>
      <c r="CN1089">
        <f>'T_TTAFStock'!CL42</f>
        <v/>
      </c>
      <c r="CO1089">
        <f>'T_TTAFStock'!CM42</f>
        <v/>
      </c>
      <c r="CP1089">
        <f>'T_TTAFStock'!CN42</f>
        <v/>
      </c>
      <c r="CQ1089">
        <f>'T_TTAFStock'!CO42</f>
        <v/>
      </c>
      <c r="CR1089">
        <f>'T_TTAFStock'!CP42</f>
        <v/>
      </c>
      <c r="CS1089">
        <f>'T_TTAFStock'!CQ42</f>
        <v/>
      </c>
      <c r="CT1089">
        <f>'T_TTAFStock'!CR42</f>
        <v/>
      </c>
      <c r="CU1089">
        <f>'T_TTAFStock'!CS42</f>
        <v/>
      </c>
      <c r="CV1089">
        <f>'T_TTAFStock'!CT42</f>
        <v/>
      </c>
      <c r="CW1089">
        <f>'T_TTAFStock'!CU42</f>
        <v/>
      </c>
      <c r="CX1089">
        <f>'T_TTAFStock'!CV42</f>
        <v/>
      </c>
      <c r="CY1089">
        <f>'T_TTAFStock'!CW42</f>
        <v/>
      </c>
      <c r="CZ1089">
        <f>'T_TTAFStock'!CX42</f>
        <v/>
      </c>
      <c r="DA1089">
        <f>'T_TTAFStock'!CY42</f>
        <v/>
      </c>
      <c r="DB1089">
        <f>'T_TTAFStock'!CZ42</f>
        <v/>
      </c>
      <c r="DC1089">
        <f>'T_TTAFStock'!DA42</f>
        <v/>
      </c>
    </row>
    <row r="1090">
      <c r="B1090" t="inlineStr">
        <is>
          <t>自社在庫(実績,kg)</t>
        </is>
      </c>
      <c r="D1090">
        <f>'T_SelfStock'!B42</f>
        <v/>
      </c>
      <c r="E1090">
        <f>'T_SelfStock'!C42</f>
        <v/>
      </c>
      <c r="F1090">
        <f>'T_SelfStock'!D42</f>
        <v/>
      </c>
      <c r="G1090">
        <f>'T_SelfStock'!E42</f>
        <v/>
      </c>
      <c r="H1090">
        <f>'T_SelfStock'!F42</f>
        <v/>
      </c>
      <c r="I1090">
        <f>'T_SelfStock'!G42</f>
        <v/>
      </c>
      <c r="J1090">
        <f>'T_SelfStock'!H42</f>
        <v/>
      </c>
      <c r="K1090">
        <f>'T_SelfStock'!I42</f>
        <v/>
      </c>
      <c r="L1090">
        <f>'T_SelfStock'!J42</f>
        <v/>
      </c>
      <c r="M1090">
        <f>'T_SelfStock'!K42</f>
        <v/>
      </c>
      <c r="N1090">
        <f>'T_SelfStock'!L42</f>
        <v/>
      </c>
      <c r="O1090">
        <f>'T_SelfStock'!M42</f>
        <v/>
      </c>
      <c r="P1090">
        <f>'T_SelfStock'!N42</f>
        <v/>
      </c>
      <c r="Q1090">
        <f>'T_SelfStock'!O42</f>
        <v/>
      </c>
      <c r="R1090">
        <f>'T_SelfStock'!P42</f>
        <v/>
      </c>
      <c r="S1090">
        <f>'T_SelfStock'!Q42</f>
        <v/>
      </c>
      <c r="T1090">
        <f>'T_SelfStock'!R42</f>
        <v/>
      </c>
      <c r="U1090">
        <f>'T_SelfStock'!S42</f>
        <v/>
      </c>
      <c r="V1090">
        <f>'T_SelfStock'!T42</f>
        <v/>
      </c>
      <c r="W1090">
        <f>'T_SelfStock'!U42</f>
        <v/>
      </c>
      <c r="X1090">
        <f>'T_SelfStock'!V42</f>
        <v/>
      </c>
      <c r="Y1090">
        <f>'T_SelfStock'!W42</f>
        <v/>
      </c>
      <c r="Z1090">
        <f>'T_SelfStock'!X42</f>
        <v/>
      </c>
      <c r="AA1090">
        <f>'T_SelfStock'!Y42</f>
        <v/>
      </c>
      <c r="AB1090">
        <f>'T_SelfStock'!Z42</f>
        <v/>
      </c>
      <c r="AC1090">
        <f>'T_SelfStock'!AA42</f>
        <v/>
      </c>
      <c r="AD1090">
        <f>'T_SelfStock'!AB42</f>
        <v/>
      </c>
      <c r="AE1090">
        <f>'T_SelfStock'!AC42</f>
        <v/>
      </c>
      <c r="AF1090">
        <f>'T_SelfStock'!AD42</f>
        <v/>
      </c>
      <c r="AG1090">
        <f>'T_SelfStock'!AE42</f>
        <v/>
      </c>
      <c r="AH1090">
        <f>'T_SelfStock'!AF42</f>
        <v/>
      </c>
      <c r="AI1090">
        <f>'T_SelfStock'!AG42</f>
        <v/>
      </c>
      <c r="AJ1090">
        <f>'T_SelfStock'!AH42</f>
        <v/>
      </c>
      <c r="AK1090">
        <f>'T_SelfStock'!AI42</f>
        <v/>
      </c>
      <c r="AL1090">
        <f>'T_SelfStock'!AJ42</f>
        <v/>
      </c>
      <c r="AM1090">
        <f>'T_SelfStock'!AK42</f>
        <v/>
      </c>
      <c r="AN1090">
        <f>'T_SelfStock'!AL42</f>
        <v/>
      </c>
      <c r="AO1090">
        <f>'T_SelfStock'!AM42</f>
        <v/>
      </c>
      <c r="AP1090">
        <f>'T_SelfStock'!AN42</f>
        <v/>
      </c>
      <c r="AQ1090">
        <f>'T_SelfStock'!AO42</f>
        <v/>
      </c>
      <c r="AR1090">
        <f>'T_SelfStock'!AP42</f>
        <v/>
      </c>
      <c r="AS1090">
        <f>'T_SelfStock'!AQ42</f>
        <v/>
      </c>
      <c r="AT1090">
        <f>'T_SelfStock'!AR42</f>
        <v/>
      </c>
      <c r="AU1090">
        <f>'T_SelfStock'!AS42</f>
        <v/>
      </c>
      <c r="AV1090">
        <f>'T_SelfStock'!AT42</f>
        <v/>
      </c>
      <c r="AW1090">
        <f>'T_SelfStock'!AU42</f>
        <v/>
      </c>
      <c r="AX1090">
        <f>'T_SelfStock'!AV42</f>
        <v/>
      </c>
      <c r="AY1090">
        <f>'T_SelfStock'!AW42</f>
        <v/>
      </c>
      <c r="AZ1090">
        <f>'T_SelfStock'!AX42</f>
        <v/>
      </c>
      <c r="BA1090">
        <f>'T_SelfStock'!AY42</f>
        <v/>
      </c>
      <c r="BB1090">
        <f>'T_SelfStock'!AZ42</f>
        <v/>
      </c>
      <c r="BC1090">
        <f>'T_SelfStock'!BA42</f>
        <v/>
      </c>
      <c r="BD1090">
        <f>'T_SelfStock'!BB42</f>
        <v/>
      </c>
      <c r="BE1090">
        <f>'T_SelfStock'!BC42</f>
        <v/>
      </c>
      <c r="BF1090">
        <f>'T_SelfStock'!BD42</f>
        <v/>
      </c>
      <c r="BG1090">
        <f>'T_SelfStock'!BE42</f>
        <v/>
      </c>
      <c r="BH1090">
        <f>'T_SelfStock'!BF42</f>
        <v/>
      </c>
      <c r="BI1090">
        <f>'T_SelfStock'!BG42</f>
        <v/>
      </c>
      <c r="BJ1090">
        <f>'T_SelfStock'!BH42</f>
        <v/>
      </c>
      <c r="BK1090">
        <f>'T_SelfStock'!BI42</f>
        <v/>
      </c>
      <c r="BL1090">
        <f>'T_SelfStock'!BJ42</f>
        <v/>
      </c>
      <c r="BM1090">
        <f>'T_SelfStock'!BK42</f>
        <v/>
      </c>
      <c r="BN1090">
        <f>'T_SelfStock'!BL42</f>
        <v/>
      </c>
      <c r="BO1090">
        <f>'T_SelfStock'!BM42</f>
        <v/>
      </c>
      <c r="BP1090">
        <f>'T_SelfStock'!BN42</f>
        <v/>
      </c>
      <c r="BQ1090">
        <f>'T_SelfStock'!BO42</f>
        <v/>
      </c>
      <c r="BR1090">
        <f>'T_SelfStock'!BP42</f>
        <v/>
      </c>
      <c r="BS1090">
        <f>'T_SelfStock'!BQ42</f>
        <v/>
      </c>
      <c r="BT1090">
        <f>'T_SelfStock'!BR42</f>
        <v/>
      </c>
      <c r="BU1090">
        <f>'T_SelfStock'!BS42</f>
        <v/>
      </c>
      <c r="BV1090">
        <f>'T_SelfStock'!BT42</f>
        <v/>
      </c>
      <c r="BW1090">
        <f>'T_SelfStock'!BU42</f>
        <v/>
      </c>
      <c r="BX1090">
        <f>'T_SelfStock'!BV42</f>
        <v/>
      </c>
      <c r="BY1090">
        <f>'T_SelfStock'!BW42</f>
        <v/>
      </c>
      <c r="BZ1090">
        <f>'T_SelfStock'!BX42</f>
        <v/>
      </c>
      <c r="CA1090">
        <f>'T_SelfStock'!BY42</f>
        <v/>
      </c>
      <c r="CB1090">
        <f>'T_SelfStock'!BZ42</f>
        <v/>
      </c>
      <c r="CC1090">
        <f>'T_SelfStock'!CA42</f>
        <v/>
      </c>
      <c r="CD1090">
        <f>'T_SelfStock'!CB42</f>
        <v/>
      </c>
      <c r="CE1090">
        <f>'T_SelfStock'!CC42</f>
        <v/>
      </c>
      <c r="CF1090">
        <f>'T_SelfStock'!CD42</f>
        <v/>
      </c>
      <c r="CG1090">
        <f>'T_SelfStock'!CE42</f>
        <v/>
      </c>
      <c r="CH1090">
        <f>'T_SelfStock'!CF42</f>
        <v/>
      </c>
      <c r="CI1090">
        <f>'T_SelfStock'!CG42</f>
        <v/>
      </c>
      <c r="CJ1090">
        <f>'T_SelfStock'!CH42</f>
        <v/>
      </c>
      <c r="CK1090">
        <f>'T_SelfStock'!CI42</f>
        <v/>
      </c>
      <c r="CL1090">
        <f>'T_SelfStock'!CJ42</f>
        <v/>
      </c>
      <c r="CM1090">
        <f>'T_SelfStock'!CK42</f>
        <v/>
      </c>
      <c r="CN1090">
        <f>'T_SelfStock'!CL42</f>
        <v/>
      </c>
      <c r="CO1090">
        <f>'T_SelfStock'!CM42</f>
        <v/>
      </c>
      <c r="CP1090">
        <f>'T_SelfStock'!CN42</f>
        <v/>
      </c>
      <c r="CQ1090">
        <f>'T_SelfStock'!CO42</f>
        <v/>
      </c>
      <c r="CR1090">
        <f>'T_SelfStock'!CP42</f>
        <v/>
      </c>
      <c r="CS1090">
        <f>'T_SelfStock'!CQ42</f>
        <v/>
      </c>
      <c r="CT1090">
        <f>'T_SelfStock'!CR42</f>
        <v/>
      </c>
      <c r="CU1090">
        <f>'T_SelfStock'!CS42</f>
        <v/>
      </c>
      <c r="CV1090">
        <f>'T_SelfStock'!CT42</f>
        <v/>
      </c>
      <c r="CW1090">
        <f>'T_SelfStock'!CU42</f>
        <v/>
      </c>
      <c r="CX1090">
        <f>'T_SelfStock'!CV42</f>
        <v/>
      </c>
      <c r="CY1090">
        <f>'T_SelfStock'!CW42</f>
        <v/>
      </c>
      <c r="CZ1090">
        <f>'T_SelfStock'!CX42</f>
        <v/>
      </c>
      <c r="DA1090">
        <f>'T_SelfStock'!CY42</f>
        <v/>
      </c>
      <c r="DB1090">
        <f>'T_SelfStock'!CZ42</f>
        <v/>
      </c>
      <c r="DC1090">
        <f>'T_SelfStock'!DA42</f>
        <v/>
      </c>
    </row>
    <row r="1091">
      <c r="B1091" t="inlineStr">
        <is>
          <t>Order(発注予定,kg)</t>
        </is>
      </c>
      <c r="D1091">
        <f>IF(SUMIFS(T_PlannedOrders[EffectiveQty],T_PlannedOrders[Part Name],$A1085,T_PlannedOrders[WeekIndex],1)=0,"",SUMIFS(T_PlannedOrders[EffectiveQty],T_PlannedOrders[Part Name],$A1085,T_PlannedOrders[WeekIndex],1)&amp;" ("&amp;TEXT(SUMPRODUCT(MAX((T_PlannedOrders[Part Name]=$A1085)*(T_PlannedOrders[WeekIndex]=1)*(T_PlannedOrders[EffectiveQty]&gt;0)*T_PlannedOrders[Order_Month])),"m月")&amp;"発注)")</f>
        <v/>
      </c>
      <c r="E1091">
        <f>IF(SUMIFS(T_PlannedOrders[EffectiveQty],T_PlannedOrders[Part Name],$A1085,T_PlannedOrders[WeekIndex],2)=0,"",SUMIFS(T_PlannedOrders[EffectiveQty],T_PlannedOrders[Part Name],$A1085,T_PlannedOrders[WeekIndex],2)&amp;" ("&amp;TEXT(SUMPRODUCT(MAX((T_PlannedOrders[Part Name]=$A1085)*(T_PlannedOrders[WeekIndex]=2)*(T_PlannedOrders[EffectiveQty]&gt;0)*T_PlannedOrders[Order_Month])),"m月")&amp;"発注)")</f>
        <v/>
      </c>
      <c r="F1091">
        <f>IF(SUMIFS(T_PlannedOrders[EffectiveQty],T_PlannedOrders[Part Name],$A1085,T_PlannedOrders[WeekIndex],3)=0,"",SUMIFS(T_PlannedOrders[EffectiveQty],T_PlannedOrders[Part Name],$A1085,T_PlannedOrders[WeekIndex],3)&amp;" ("&amp;TEXT(SUMPRODUCT(MAX((T_PlannedOrders[Part Name]=$A1085)*(T_PlannedOrders[WeekIndex]=3)*(T_PlannedOrders[EffectiveQty]&gt;0)*T_PlannedOrders[Order_Month])),"m月")&amp;"発注)")</f>
        <v/>
      </c>
      <c r="G1091">
        <f>IF(SUMIFS(T_PlannedOrders[EffectiveQty],T_PlannedOrders[Part Name],$A1085,T_PlannedOrders[WeekIndex],4)=0,"",SUMIFS(T_PlannedOrders[EffectiveQty],T_PlannedOrders[Part Name],$A1085,T_PlannedOrders[WeekIndex],4)&amp;" ("&amp;TEXT(SUMPRODUCT(MAX((T_PlannedOrders[Part Name]=$A1085)*(T_PlannedOrders[WeekIndex]=4)*(T_PlannedOrders[EffectiveQty]&gt;0)*T_PlannedOrders[Order_Month])),"m月")&amp;"発注)")</f>
        <v/>
      </c>
      <c r="H1091">
        <f>IF(SUMIFS(T_PlannedOrders[EffectiveQty],T_PlannedOrders[Part Name],$A1085,T_PlannedOrders[WeekIndex],5)=0,"",SUMIFS(T_PlannedOrders[EffectiveQty],T_PlannedOrders[Part Name],$A1085,T_PlannedOrders[WeekIndex],5)&amp;" ("&amp;TEXT(SUMPRODUCT(MAX((T_PlannedOrders[Part Name]=$A1085)*(T_PlannedOrders[WeekIndex]=5)*(T_PlannedOrders[EffectiveQty]&gt;0)*T_PlannedOrders[Order_Month])),"m月")&amp;"発注)")</f>
        <v/>
      </c>
      <c r="I1091">
        <f>IF(SUMIFS(T_PlannedOrders[EffectiveQty],T_PlannedOrders[Part Name],$A1085,T_PlannedOrders[WeekIndex],6)=0,"",SUMIFS(T_PlannedOrders[EffectiveQty],T_PlannedOrders[Part Name],$A1085,T_PlannedOrders[WeekIndex],6)&amp;" ("&amp;TEXT(SUMPRODUCT(MAX((T_PlannedOrders[Part Name]=$A1085)*(T_PlannedOrders[WeekIndex]=6)*(T_PlannedOrders[EffectiveQty]&gt;0)*T_PlannedOrders[Order_Month])),"m月")&amp;"発注)")</f>
        <v/>
      </c>
      <c r="J1091">
        <f>IF(SUMIFS(T_PlannedOrders[EffectiveQty],T_PlannedOrders[Part Name],$A1085,T_PlannedOrders[WeekIndex],7)=0,"",SUMIFS(T_PlannedOrders[EffectiveQty],T_PlannedOrders[Part Name],$A1085,T_PlannedOrders[WeekIndex],7)&amp;" ("&amp;TEXT(SUMPRODUCT(MAX((T_PlannedOrders[Part Name]=$A1085)*(T_PlannedOrders[WeekIndex]=7)*(T_PlannedOrders[EffectiveQty]&gt;0)*T_PlannedOrders[Order_Month])),"m月")&amp;"発注)")</f>
        <v/>
      </c>
      <c r="K1091">
        <f>IF(SUMIFS(T_PlannedOrders[EffectiveQty],T_PlannedOrders[Part Name],$A1085,T_PlannedOrders[WeekIndex],8)=0,"",SUMIFS(T_PlannedOrders[EffectiveQty],T_PlannedOrders[Part Name],$A1085,T_PlannedOrders[WeekIndex],8)&amp;" ("&amp;TEXT(SUMPRODUCT(MAX((T_PlannedOrders[Part Name]=$A1085)*(T_PlannedOrders[WeekIndex]=8)*(T_PlannedOrders[EffectiveQty]&gt;0)*T_PlannedOrders[Order_Month])),"m月")&amp;"発注)")</f>
        <v/>
      </c>
      <c r="L1091">
        <f>IF(SUMIFS(T_PlannedOrders[EffectiveQty],T_PlannedOrders[Part Name],$A1085,T_PlannedOrders[WeekIndex],9)=0,"",SUMIFS(T_PlannedOrders[EffectiveQty],T_PlannedOrders[Part Name],$A1085,T_PlannedOrders[WeekIndex],9)&amp;" ("&amp;TEXT(SUMPRODUCT(MAX((T_PlannedOrders[Part Name]=$A1085)*(T_PlannedOrders[WeekIndex]=9)*(T_PlannedOrders[EffectiveQty]&gt;0)*T_PlannedOrders[Order_Month])),"m月")&amp;"発注)")</f>
        <v/>
      </c>
      <c r="M1091">
        <f>IF(SUMIFS(T_PlannedOrders[EffectiveQty],T_PlannedOrders[Part Name],$A1085,T_PlannedOrders[WeekIndex],10)=0,"",SUMIFS(T_PlannedOrders[EffectiveQty],T_PlannedOrders[Part Name],$A1085,T_PlannedOrders[WeekIndex],10)&amp;" ("&amp;TEXT(SUMPRODUCT(MAX((T_PlannedOrders[Part Name]=$A1085)*(T_PlannedOrders[WeekIndex]=10)*(T_PlannedOrders[EffectiveQty]&gt;0)*T_PlannedOrders[Order_Month])),"m月")&amp;"発注)")</f>
        <v/>
      </c>
      <c r="N1091">
        <f>IF(SUMIFS(T_PlannedOrders[EffectiveQty],T_PlannedOrders[Part Name],$A1085,T_PlannedOrders[WeekIndex],11)=0,"",SUMIFS(T_PlannedOrders[EffectiveQty],T_PlannedOrders[Part Name],$A1085,T_PlannedOrders[WeekIndex],11)&amp;" ("&amp;TEXT(SUMPRODUCT(MAX((T_PlannedOrders[Part Name]=$A1085)*(T_PlannedOrders[WeekIndex]=11)*(T_PlannedOrders[EffectiveQty]&gt;0)*T_PlannedOrders[Order_Month])),"m月")&amp;"発注)")</f>
        <v/>
      </c>
      <c r="O1091">
        <f>IF(SUMIFS(T_PlannedOrders[EffectiveQty],T_PlannedOrders[Part Name],$A1085,T_PlannedOrders[WeekIndex],12)=0,"",SUMIFS(T_PlannedOrders[EffectiveQty],T_PlannedOrders[Part Name],$A1085,T_PlannedOrders[WeekIndex],12)&amp;" ("&amp;TEXT(SUMPRODUCT(MAX((T_PlannedOrders[Part Name]=$A1085)*(T_PlannedOrders[WeekIndex]=12)*(T_PlannedOrders[EffectiveQty]&gt;0)*T_PlannedOrders[Order_Month])),"m月")&amp;"発注)")</f>
        <v/>
      </c>
      <c r="P1091">
        <f>IF(SUMIFS(T_PlannedOrders[EffectiveQty],T_PlannedOrders[Part Name],$A1085,T_PlannedOrders[WeekIndex],13)=0,"",SUMIFS(T_PlannedOrders[EffectiveQty],T_PlannedOrders[Part Name],$A1085,T_PlannedOrders[WeekIndex],13)&amp;" ("&amp;TEXT(SUMPRODUCT(MAX((T_PlannedOrders[Part Name]=$A1085)*(T_PlannedOrders[WeekIndex]=13)*(T_PlannedOrders[EffectiveQty]&gt;0)*T_PlannedOrders[Order_Month])),"m月")&amp;"発注)")</f>
        <v/>
      </c>
      <c r="Q1091">
        <f>IF(SUMIFS(T_PlannedOrders[EffectiveQty],T_PlannedOrders[Part Name],$A1085,T_PlannedOrders[WeekIndex],14)=0,"",SUMIFS(T_PlannedOrders[EffectiveQty],T_PlannedOrders[Part Name],$A1085,T_PlannedOrders[WeekIndex],14)&amp;" ("&amp;TEXT(SUMPRODUCT(MAX((T_PlannedOrders[Part Name]=$A1085)*(T_PlannedOrders[WeekIndex]=14)*(T_PlannedOrders[EffectiveQty]&gt;0)*T_PlannedOrders[Order_Month])),"m月")&amp;"発注)")</f>
        <v/>
      </c>
      <c r="R1091">
        <f>IF(SUMIFS(T_PlannedOrders[EffectiveQty],T_PlannedOrders[Part Name],$A1085,T_PlannedOrders[WeekIndex],15)=0,"",SUMIFS(T_PlannedOrders[EffectiveQty],T_PlannedOrders[Part Name],$A1085,T_PlannedOrders[WeekIndex],15)&amp;" ("&amp;TEXT(SUMPRODUCT(MAX((T_PlannedOrders[Part Name]=$A1085)*(T_PlannedOrders[WeekIndex]=15)*(T_PlannedOrders[EffectiveQty]&gt;0)*T_PlannedOrders[Order_Month])),"m月")&amp;"発注)")</f>
        <v/>
      </c>
      <c r="S1091">
        <f>IF(SUMIFS(T_PlannedOrders[EffectiveQty],T_PlannedOrders[Part Name],$A1085,T_PlannedOrders[WeekIndex],16)=0,"",SUMIFS(T_PlannedOrders[EffectiveQty],T_PlannedOrders[Part Name],$A1085,T_PlannedOrders[WeekIndex],16)&amp;" ("&amp;TEXT(SUMPRODUCT(MAX((T_PlannedOrders[Part Name]=$A1085)*(T_PlannedOrders[WeekIndex]=16)*(T_PlannedOrders[EffectiveQty]&gt;0)*T_PlannedOrders[Order_Month])),"m月")&amp;"発注)")</f>
        <v/>
      </c>
      <c r="T1091">
        <f>IF(SUMIFS(T_PlannedOrders[EffectiveQty],T_PlannedOrders[Part Name],$A1085,T_PlannedOrders[WeekIndex],17)=0,"",SUMIFS(T_PlannedOrders[EffectiveQty],T_PlannedOrders[Part Name],$A1085,T_PlannedOrders[WeekIndex],17)&amp;" ("&amp;TEXT(SUMPRODUCT(MAX((T_PlannedOrders[Part Name]=$A1085)*(T_PlannedOrders[WeekIndex]=17)*(T_PlannedOrders[EffectiveQty]&gt;0)*T_PlannedOrders[Order_Month])),"m月")&amp;"発注)")</f>
        <v/>
      </c>
      <c r="U1091">
        <f>IF(SUMIFS(T_PlannedOrders[EffectiveQty],T_PlannedOrders[Part Name],$A1085,T_PlannedOrders[WeekIndex],18)=0,"",SUMIFS(T_PlannedOrders[EffectiveQty],T_PlannedOrders[Part Name],$A1085,T_PlannedOrders[WeekIndex],18)&amp;" ("&amp;TEXT(SUMPRODUCT(MAX((T_PlannedOrders[Part Name]=$A1085)*(T_PlannedOrders[WeekIndex]=18)*(T_PlannedOrders[EffectiveQty]&gt;0)*T_PlannedOrders[Order_Month])),"m月")&amp;"発注)")</f>
        <v/>
      </c>
      <c r="V1091">
        <f>IF(SUMIFS(T_PlannedOrders[EffectiveQty],T_PlannedOrders[Part Name],$A1085,T_PlannedOrders[WeekIndex],19)=0,"",SUMIFS(T_PlannedOrders[EffectiveQty],T_PlannedOrders[Part Name],$A1085,T_PlannedOrders[WeekIndex],19)&amp;" ("&amp;TEXT(SUMPRODUCT(MAX((T_PlannedOrders[Part Name]=$A1085)*(T_PlannedOrders[WeekIndex]=19)*(T_PlannedOrders[EffectiveQty]&gt;0)*T_PlannedOrders[Order_Month])),"m月")&amp;"発注)")</f>
        <v/>
      </c>
      <c r="W1091">
        <f>IF(SUMIFS(T_PlannedOrders[EffectiveQty],T_PlannedOrders[Part Name],$A1085,T_PlannedOrders[WeekIndex],20)=0,"",SUMIFS(T_PlannedOrders[EffectiveQty],T_PlannedOrders[Part Name],$A1085,T_PlannedOrders[WeekIndex],20)&amp;" ("&amp;TEXT(SUMPRODUCT(MAX((T_PlannedOrders[Part Name]=$A1085)*(T_PlannedOrders[WeekIndex]=20)*(T_PlannedOrders[EffectiveQty]&gt;0)*T_PlannedOrders[Order_Month])),"m月")&amp;"発注)")</f>
        <v/>
      </c>
      <c r="X1091">
        <f>IF(SUMIFS(T_PlannedOrders[EffectiveQty],T_PlannedOrders[Part Name],$A1085,T_PlannedOrders[WeekIndex],21)=0,"",SUMIFS(T_PlannedOrders[EffectiveQty],T_PlannedOrders[Part Name],$A1085,T_PlannedOrders[WeekIndex],21)&amp;" ("&amp;TEXT(SUMPRODUCT(MAX((T_PlannedOrders[Part Name]=$A1085)*(T_PlannedOrders[WeekIndex]=21)*(T_PlannedOrders[EffectiveQty]&gt;0)*T_PlannedOrders[Order_Month])),"m月")&amp;"発注)")</f>
        <v/>
      </c>
      <c r="Y1091">
        <f>IF(SUMIFS(T_PlannedOrders[EffectiveQty],T_PlannedOrders[Part Name],$A1085,T_PlannedOrders[WeekIndex],22)=0,"",SUMIFS(T_PlannedOrders[EffectiveQty],T_PlannedOrders[Part Name],$A1085,T_PlannedOrders[WeekIndex],22)&amp;" ("&amp;TEXT(SUMPRODUCT(MAX((T_PlannedOrders[Part Name]=$A1085)*(T_PlannedOrders[WeekIndex]=22)*(T_PlannedOrders[EffectiveQty]&gt;0)*T_PlannedOrders[Order_Month])),"m月")&amp;"発注)")</f>
        <v/>
      </c>
      <c r="Z1091">
        <f>IF(SUMIFS(T_PlannedOrders[EffectiveQty],T_PlannedOrders[Part Name],$A1085,T_PlannedOrders[WeekIndex],23)=0,"",SUMIFS(T_PlannedOrders[EffectiveQty],T_PlannedOrders[Part Name],$A1085,T_PlannedOrders[WeekIndex],23)&amp;" ("&amp;TEXT(SUMPRODUCT(MAX((T_PlannedOrders[Part Name]=$A1085)*(T_PlannedOrders[WeekIndex]=23)*(T_PlannedOrders[EffectiveQty]&gt;0)*T_PlannedOrders[Order_Month])),"m月")&amp;"発注)")</f>
        <v/>
      </c>
      <c r="AA1091">
        <f>IF(SUMIFS(T_PlannedOrders[EffectiveQty],T_PlannedOrders[Part Name],$A1085,T_PlannedOrders[WeekIndex],24)=0,"",SUMIFS(T_PlannedOrders[EffectiveQty],T_PlannedOrders[Part Name],$A1085,T_PlannedOrders[WeekIndex],24)&amp;" ("&amp;TEXT(SUMPRODUCT(MAX((T_PlannedOrders[Part Name]=$A1085)*(T_PlannedOrders[WeekIndex]=24)*(T_PlannedOrders[EffectiveQty]&gt;0)*T_PlannedOrders[Order_Month])),"m月")&amp;"発注)")</f>
        <v/>
      </c>
      <c r="AB1091">
        <f>IF(SUMIFS(T_PlannedOrders[EffectiveQty],T_PlannedOrders[Part Name],$A1085,T_PlannedOrders[WeekIndex],25)=0,"",SUMIFS(T_PlannedOrders[EffectiveQty],T_PlannedOrders[Part Name],$A1085,T_PlannedOrders[WeekIndex],25)&amp;" ("&amp;TEXT(SUMPRODUCT(MAX((T_PlannedOrders[Part Name]=$A1085)*(T_PlannedOrders[WeekIndex]=25)*(T_PlannedOrders[EffectiveQty]&gt;0)*T_PlannedOrders[Order_Month])),"m月")&amp;"発注)")</f>
        <v/>
      </c>
      <c r="AC1091">
        <f>IF(SUMIFS(T_PlannedOrders[EffectiveQty],T_PlannedOrders[Part Name],$A1085,T_PlannedOrders[WeekIndex],26)=0,"",SUMIFS(T_PlannedOrders[EffectiveQty],T_PlannedOrders[Part Name],$A1085,T_PlannedOrders[WeekIndex],26)&amp;" ("&amp;TEXT(SUMPRODUCT(MAX((T_PlannedOrders[Part Name]=$A1085)*(T_PlannedOrders[WeekIndex]=26)*(T_PlannedOrders[EffectiveQty]&gt;0)*T_PlannedOrders[Order_Month])),"m月")&amp;"発注)")</f>
        <v/>
      </c>
      <c r="AD1091">
        <f>IF(SUMIFS(T_PlannedOrders[EffectiveQty],T_PlannedOrders[Part Name],$A1085,T_PlannedOrders[WeekIndex],27)=0,"",SUMIFS(T_PlannedOrders[EffectiveQty],T_PlannedOrders[Part Name],$A1085,T_PlannedOrders[WeekIndex],27)&amp;" ("&amp;TEXT(SUMPRODUCT(MAX((T_PlannedOrders[Part Name]=$A1085)*(T_PlannedOrders[WeekIndex]=27)*(T_PlannedOrders[EffectiveQty]&gt;0)*T_PlannedOrders[Order_Month])),"m月")&amp;"発注)")</f>
        <v/>
      </c>
      <c r="AE1091">
        <f>IF(SUMIFS(T_PlannedOrders[EffectiveQty],T_PlannedOrders[Part Name],$A1085,T_PlannedOrders[WeekIndex],28)=0,"",SUMIFS(T_PlannedOrders[EffectiveQty],T_PlannedOrders[Part Name],$A1085,T_PlannedOrders[WeekIndex],28)&amp;" ("&amp;TEXT(SUMPRODUCT(MAX((T_PlannedOrders[Part Name]=$A1085)*(T_PlannedOrders[WeekIndex]=28)*(T_PlannedOrders[EffectiveQty]&gt;0)*T_PlannedOrders[Order_Month])),"m月")&amp;"発注)")</f>
        <v/>
      </c>
      <c r="AF1091">
        <f>IF(SUMIFS(T_PlannedOrders[EffectiveQty],T_PlannedOrders[Part Name],$A1085,T_PlannedOrders[WeekIndex],29)=0,"",SUMIFS(T_PlannedOrders[EffectiveQty],T_PlannedOrders[Part Name],$A1085,T_PlannedOrders[WeekIndex],29)&amp;" ("&amp;TEXT(SUMPRODUCT(MAX((T_PlannedOrders[Part Name]=$A1085)*(T_PlannedOrders[WeekIndex]=29)*(T_PlannedOrders[EffectiveQty]&gt;0)*T_PlannedOrders[Order_Month])),"m月")&amp;"発注)")</f>
        <v/>
      </c>
      <c r="AG1091">
        <f>IF(SUMIFS(T_PlannedOrders[EffectiveQty],T_PlannedOrders[Part Name],$A1085,T_PlannedOrders[WeekIndex],30)=0,"",SUMIFS(T_PlannedOrders[EffectiveQty],T_PlannedOrders[Part Name],$A1085,T_PlannedOrders[WeekIndex],30)&amp;" ("&amp;TEXT(SUMPRODUCT(MAX((T_PlannedOrders[Part Name]=$A1085)*(T_PlannedOrders[WeekIndex]=30)*(T_PlannedOrders[EffectiveQty]&gt;0)*T_PlannedOrders[Order_Month])),"m月")&amp;"発注)")</f>
        <v/>
      </c>
      <c r="AH1091">
        <f>IF(SUMIFS(T_PlannedOrders[EffectiveQty],T_PlannedOrders[Part Name],$A1085,T_PlannedOrders[WeekIndex],31)=0,"",SUMIFS(T_PlannedOrders[EffectiveQty],T_PlannedOrders[Part Name],$A1085,T_PlannedOrders[WeekIndex],31)&amp;" ("&amp;TEXT(SUMPRODUCT(MAX((T_PlannedOrders[Part Name]=$A1085)*(T_PlannedOrders[WeekIndex]=31)*(T_PlannedOrders[EffectiveQty]&gt;0)*T_PlannedOrders[Order_Month])),"m月")&amp;"発注)")</f>
        <v/>
      </c>
      <c r="AI1091">
        <f>IF(SUMIFS(T_PlannedOrders[EffectiveQty],T_PlannedOrders[Part Name],$A1085,T_PlannedOrders[WeekIndex],32)=0,"",SUMIFS(T_PlannedOrders[EffectiveQty],T_PlannedOrders[Part Name],$A1085,T_PlannedOrders[WeekIndex],32)&amp;" ("&amp;TEXT(SUMPRODUCT(MAX((T_PlannedOrders[Part Name]=$A1085)*(T_PlannedOrders[WeekIndex]=32)*(T_PlannedOrders[EffectiveQty]&gt;0)*T_PlannedOrders[Order_Month])),"m月")&amp;"発注)")</f>
        <v/>
      </c>
      <c r="AJ1091">
        <f>IF(SUMIFS(T_PlannedOrders[EffectiveQty],T_PlannedOrders[Part Name],$A1085,T_PlannedOrders[WeekIndex],33)=0,"",SUMIFS(T_PlannedOrders[EffectiveQty],T_PlannedOrders[Part Name],$A1085,T_PlannedOrders[WeekIndex],33)&amp;" ("&amp;TEXT(SUMPRODUCT(MAX((T_PlannedOrders[Part Name]=$A1085)*(T_PlannedOrders[WeekIndex]=33)*(T_PlannedOrders[EffectiveQty]&gt;0)*T_PlannedOrders[Order_Month])),"m月")&amp;"発注)")</f>
        <v/>
      </c>
      <c r="AK1091">
        <f>IF(SUMIFS(T_PlannedOrders[EffectiveQty],T_PlannedOrders[Part Name],$A1085,T_PlannedOrders[WeekIndex],34)=0,"",SUMIFS(T_PlannedOrders[EffectiveQty],T_PlannedOrders[Part Name],$A1085,T_PlannedOrders[WeekIndex],34)&amp;" ("&amp;TEXT(SUMPRODUCT(MAX((T_PlannedOrders[Part Name]=$A1085)*(T_PlannedOrders[WeekIndex]=34)*(T_PlannedOrders[EffectiveQty]&gt;0)*T_PlannedOrders[Order_Month])),"m月")&amp;"発注)")</f>
        <v/>
      </c>
      <c r="AL1091">
        <f>IF(SUMIFS(T_PlannedOrders[EffectiveQty],T_PlannedOrders[Part Name],$A1085,T_PlannedOrders[WeekIndex],35)=0,"",SUMIFS(T_PlannedOrders[EffectiveQty],T_PlannedOrders[Part Name],$A1085,T_PlannedOrders[WeekIndex],35)&amp;" ("&amp;TEXT(SUMPRODUCT(MAX((T_PlannedOrders[Part Name]=$A1085)*(T_PlannedOrders[WeekIndex]=35)*(T_PlannedOrders[EffectiveQty]&gt;0)*T_PlannedOrders[Order_Month])),"m月")&amp;"発注)")</f>
        <v/>
      </c>
      <c r="AM1091">
        <f>IF(SUMIFS(T_PlannedOrders[EffectiveQty],T_PlannedOrders[Part Name],$A1085,T_PlannedOrders[WeekIndex],36)=0,"",SUMIFS(T_PlannedOrders[EffectiveQty],T_PlannedOrders[Part Name],$A1085,T_PlannedOrders[WeekIndex],36)&amp;" ("&amp;TEXT(SUMPRODUCT(MAX((T_PlannedOrders[Part Name]=$A1085)*(T_PlannedOrders[WeekIndex]=36)*(T_PlannedOrders[EffectiveQty]&gt;0)*T_PlannedOrders[Order_Month])),"m月")&amp;"発注)")</f>
        <v/>
      </c>
      <c r="AN1091">
        <f>IF(SUMIFS(T_PlannedOrders[EffectiveQty],T_PlannedOrders[Part Name],$A1085,T_PlannedOrders[WeekIndex],37)=0,"",SUMIFS(T_PlannedOrders[EffectiveQty],T_PlannedOrders[Part Name],$A1085,T_PlannedOrders[WeekIndex],37)&amp;" ("&amp;TEXT(SUMPRODUCT(MAX((T_PlannedOrders[Part Name]=$A1085)*(T_PlannedOrders[WeekIndex]=37)*(T_PlannedOrders[EffectiveQty]&gt;0)*T_PlannedOrders[Order_Month])),"m月")&amp;"発注)")</f>
        <v/>
      </c>
      <c r="AO1091">
        <f>IF(SUMIFS(T_PlannedOrders[EffectiveQty],T_PlannedOrders[Part Name],$A1085,T_PlannedOrders[WeekIndex],38)=0,"",SUMIFS(T_PlannedOrders[EffectiveQty],T_PlannedOrders[Part Name],$A1085,T_PlannedOrders[WeekIndex],38)&amp;" ("&amp;TEXT(SUMPRODUCT(MAX((T_PlannedOrders[Part Name]=$A1085)*(T_PlannedOrders[WeekIndex]=38)*(T_PlannedOrders[EffectiveQty]&gt;0)*T_PlannedOrders[Order_Month])),"m月")&amp;"発注)")</f>
        <v/>
      </c>
      <c r="AP1091">
        <f>IF(SUMIFS(T_PlannedOrders[EffectiveQty],T_PlannedOrders[Part Name],$A1085,T_PlannedOrders[WeekIndex],39)=0,"",SUMIFS(T_PlannedOrders[EffectiveQty],T_PlannedOrders[Part Name],$A1085,T_PlannedOrders[WeekIndex],39)&amp;" ("&amp;TEXT(SUMPRODUCT(MAX((T_PlannedOrders[Part Name]=$A1085)*(T_PlannedOrders[WeekIndex]=39)*(T_PlannedOrders[EffectiveQty]&gt;0)*T_PlannedOrders[Order_Month])),"m月")&amp;"発注)")</f>
        <v/>
      </c>
      <c r="AQ1091">
        <f>IF(SUMIFS(T_PlannedOrders[EffectiveQty],T_PlannedOrders[Part Name],$A1085,T_PlannedOrders[WeekIndex],40)=0,"",SUMIFS(T_PlannedOrders[EffectiveQty],T_PlannedOrders[Part Name],$A1085,T_PlannedOrders[WeekIndex],40)&amp;" ("&amp;TEXT(SUMPRODUCT(MAX((T_PlannedOrders[Part Name]=$A1085)*(T_PlannedOrders[WeekIndex]=40)*(T_PlannedOrders[EffectiveQty]&gt;0)*T_PlannedOrders[Order_Month])),"m月")&amp;"発注)")</f>
        <v/>
      </c>
      <c r="AR1091">
        <f>IF(SUMIFS(T_PlannedOrders[EffectiveQty],T_PlannedOrders[Part Name],$A1085,T_PlannedOrders[WeekIndex],41)=0,"",SUMIFS(T_PlannedOrders[EffectiveQty],T_PlannedOrders[Part Name],$A1085,T_PlannedOrders[WeekIndex],41)&amp;" ("&amp;TEXT(SUMPRODUCT(MAX((T_PlannedOrders[Part Name]=$A1085)*(T_PlannedOrders[WeekIndex]=41)*(T_PlannedOrders[EffectiveQty]&gt;0)*T_PlannedOrders[Order_Month])),"m月")&amp;"発注)")</f>
        <v/>
      </c>
      <c r="AS1091">
        <f>IF(SUMIFS(T_PlannedOrders[EffectiveQty],T_PlannedOrders[Part Name],$A1085,T_PlannedOrders[WeekIndex],42)=0,"",SUMIFS(T_PlannedOrders[EffectiveQty],T_PlannedOrders[Part Name],$A1085,T_PlannedOrders[WeekIndex],42)&amp;" ("&amp;TEXT(SUMPRODUCT(MAX((T_PlannedOrders[Part Name]=$A1085)*(T_PlannedOrders[WeekIndex]=42)*(T_PlannedOrders[EffectiveQty]&gt;0)*T_PlannedOrders[Order_Month])),"m月")&amp;"発注)")</f>
        <v/>
      </c>
      <c r="AT1091">
        <f>IF(SUMIFS(T_PlannedOrders[EffectiveQty],T_PlannedOrders[Part Name],$A1085,T_PlannedOrders[WeekIndex],43)=0,"",SUMIFS(T_PlannedOrders[EffectiveQty],T_PlannedOrders[Part Name],$A1085,T_PlannedOrders[WeekIndex],43)&amp;" ("&amp;TEXT(SUMPRODUCT(MAX((T_PlannedOrders[Part Name]=$A1085)*(T_PlannedOrders[WeekIndex]=43)*(T_PlannedOrders[EffectiveQty]&gt;0)*T_PlannedOrders[Order_Month])),"m月")&amp;"発注)")</f>
        <v/>
      </c>
      <c r="AU1091">
        <f>IF(SUMIFS(T_PlannedOrders[EffectiveQty],T_PlannedOrders[Part Name],$A1085,T_PlannedOrders[WeekIndex],44)=0,"",SUMIFS(T_PlannedOrders[EffectiveQty],T_PlannedOrders[Part Name],$A1085,T_PlannedOrders[WeekIndex],44)&amp;" ("&amp;TEXT(SUMPRODUCT(MAX((T_PlannedOrders[Part Name]=$A1085)*(T_PlannedOrders[WeekIndex]=44)*(T_PlannedOrders[EffectiveQty]&gt;0)*T_PlannedOrders[Order_Month])),"m月")&amp;"発注)")</f>
        <v/>
      </c>
      <c r="AV1091">
        <f>IF(SUMIFS(T_PlannedOrders[EffectiveQty],T_PlannedOrders[Part Name],$A1085,T_PlannedOrders[WeekIndex],45)=0,"",SUMIFS(T_PlannedOrders[EffectiveQty],T_PlannedOrders[Part Name],$A1085,T_PlannedOrders[WeekIndex],45)&amp;" ("&amp;TEXT(SUMPRODUCT(MAX((T_PlannedOrders[Part Name]=$A1085)*(T_PlannedOrders[WeekIndex]=45)*(T_PlannedOrders[EffectiveQty]&gt;0)*T_PlannedOrders[Order_Month])),"m月")&amp;"発注)")</f>
        <v/>
      </c>
      <c r="AW1091">
        <f>IF(SUMIFS(T_PlannedOrders[EffectiveQty],T_PlannedOrders[Part Name],$A1085,T_PlannedOrders[WeekIndex],46)=0,"",SUMIFS(T_PlannedOrders[EffectiveQty],T_PlannedOrders[Part Name],$A1085,T_PlannedOrders[WeekIndex],46)&amp;" ("&amp;TEXT(SUMPRODUCT(MAX((T_PlannedOrders[Part Name]=$A1085)*(T_PlannedOrders[WeekIndex]=46)*(T_PlannedOrders[EffectiveQty]&gt;0)*T_PlannedOrders[Order_Month])),"m月")&amp;"発注)")</f>
        <v/>
      </c>
      <c r="AX1091">
        <f>IF(SUMIFS(T_PlannedOrders[EffectiveQty],T_PlannedOrders[Part Name],$A1085,T_PlannedOrders[WeekIndex],47)=0,"",SUMIFS(T_PlannedOrders[EffectiveQty],T_PlannedOrders[Part Name],$A1085,T_PlannedOrders[WeekIndex],47)&amp;" ("&amp;TEXT(SUMPRODUCT(MAX((T_PlannedOrders[Part Name]=$A1085)*(T_PlannedOrders[WeekIndex]=47)*(T_PlannedOrders[EffectiveQty]&gt;0)*T_PlannedOrders[Order_Month])),"m月")&amp;"発注)")</f>
        <v/>
      </c>
      <c r="AY1091">
        <f>IF(SUMIFS(T_PlannedOrders[EffectiveQty],T_PlannedOrders[Part Name],$A1085,T_PlannedOrders[WeekIndex],48)=0,"",SUMIFS(T_PlannedOrders[EffectiveQty],T_PlannedOrders[Part Name],$A1085,T_PlannedOrders[WeekIndex],48)&amp;" ("&amp;TEXT(SUMPRODUCT(MAX((T_PlannedOrders[Part Name]=$A1085)*(T_PlannedOrders[WeekIndex]=48)*(T_PlannedOrders[EffectiveQty]&gt;0)*T_PlannedOrders[Order_Month])),"m月")&amp;"発注)")</f>
        <v/>
      </c>
      <c r="AZ1091">
        <f>IF(SUMIFS(T_PlannedOrders[EffectiveQty],T_PlannedOrders[Part Name],$A1085,T_PlannedOrders[WeekIndex],49)=0,"",SUMIFS(T_PlannedOrders[EffectiveQty],T_PlannedOrders[Part Name],$A1085,T_PlannedOrders[WeekIndex],49)&amp;" ("&amp;TEXT(SUMPRODUCT(MAX((T_PlannedOrders[Part Name]=$A1085)*(T_PlannedOrders[WeekIndex]=49)*(T_PlannedOrders[EffectiveQty]&gt;0)*T_PlannedOrders[Order_Month])),"m月")&amp;"発注)")</f>
        <v/>
      </c>
      <c r="BA1091">
        <f>IF(SUMIFS(T_PlannedOrders[EffectiveQty],T_PlannedOrders[Part Name],$A1085,T_PlannedOrders[WeekIndex],50)=0,"",SUMIFS(T_PlannedOrders[EffectiveQty],T_PlannedOrders[Part Name],$A1085,T_PlannedOrders[WeekIndex],50)&amp;" ("&amp;TEXT(SUMPRODUCT(MAX((T_PlannedOrders[Part Name]=$A1085)*(T_PlannedOrders[WeekIndex]=50)*(T_PlannedOrders[EffectiveQty]&gt;0)*T_PlannedOrders[Order_Month])),"m月")&amp;"発注)")</f>
        <v/>
      </c>
      <c r="BB1091">
        <f>IF(SUMIFS(T_PlannedOrders[EffectiveQty],T_PlannedOrders[Part Name],$A1085,T_PlannedOrders[WeekIndex],51)=0,"",SUMIFS(T_PlannedOrders[EffectiveQty],T_PlannedOrders[Part Name],$A1085,T_PlannedOrders[WeekIndex],51)&amp;" ("&amp;TEXT(SUMPRODUCT(MAX((T_PlannedOrders[Part Name]=$A1085)*(T_PlannedOrders[WeekIndex]=51)*(T_PlannedOrders[EffectiveQty]&gt;0)*T_PlannedOrders[Order_Month])),"m月")&amp;"発注)")</f>
        <v/>
      </c>
      <c r="BC1091">
        <f>IF(SUMIFS(T_PlannedOrders[EffectiveQty],T_PlannedOrders[Part Name],$A1085,T_PlannedOrders[WeekIndex],52)=0,"",SUMIFS(T_PlannedOrders[EffectiveQty],T_PlannedOrders[Part Name],$A1085,T_PlannedOrders[WeekIndex],52)&amp;" ("&amp;TEXT(SUMPRODUCT(MAX((T_PlannedOrders[Part Name]=$A1085)*(T_PlannedOrders[WeekIndex]=52)*(T_PlannedOrders[EffectiveQty]&gt;0)*T_PlannedOrders[Order_Month])),"m月")&amp;"発注)")</f>
        <v/>
      </c>
      <c r="BD1091">
        <f>IF(SUMIFS(T_PlannedOrders[EffectiveQty],T_PlannedOrders[Part Name],$A1085,T_PlannedOrders[WeekIndex],53)=0,"",SUMIFS(T_PlannedOrders[EffectiveQty],T_PlannedOrders[Part Name],$A1085,T_PlannedOrders[WeekIndex],53)&amp;" ("&amp;TEXT(SUMPRODUCT(MAX((T_PlannedOrders[Part Name]=$A1085)*(T_PlannedOrders[WeekIndex]=53)*(T_PlannedOrders[EffectiveQty]&gt;0)*T_PlannedOrders[Order_Month])),"m月")&amp;"発注)")</f>
        <v/>
      </c>
      <c r="BE1091">
        <f>IF(SUMIFS(T_PlannedOrders[EffectiveQty],T_PlannedOrders[Part Name],$A1085,T_PlannedOrders[WeekIndex],54)=0,"",SUMIFS(T_PlannedOrders[EffectiveQty],T_PlannedOrders[Part Name],$A1085,T_PlannedOrders[WeekIndex],54)&amp;" ("&amp;TEXT(SUMPRODUCT(MAX((T_PlannedOrders[Part Name]=$A1085)*(T_PlannedOrders[WeekIndex]=54)*(T_PlannedOrders[EffectiveQty]&gt;0)*T_PlannedOrders[Order_Month])),"m月")&amp;"発注)")</f>
        <v/>
      </c>
      <c r="BF1091">
        <f>IF(SUMIFS(T_PlannedOrders[EffectiveQty],T_PlannedOrders[Part Name],$A1085,T_PlannedOrders[WeekIndex],55)=0,"",SUMIFS(T_PlannedOrders[EffectiveQty],T_PlannedOrders[Part Name],$A1085,T_PlannedOrders[WeekIndex],55)&amp;" ("&amp;TEXT(SUMPRODUCT(MAX((T_PlannedOrders[Part Name]=$A1085)*(T_PlannedOrders[WeekIndex]=55)*(T_PlannedOrders[EffectiveQty]&gt;0)*T_PlannedOrders[Order_Month])),"m月")&amp;"発注)")</f>
        <v/>
      </c>
      <c r="BG1091">
        <f>IF(SUMIFS(T_PlannedOrders[EffectiveQty],T_PlannedOrders[Part Name],$A1085,T_PlannedOrders[WeekIndex],56)=0,"",SUMIFS(T_PlannedOrders[EffectiveQty],T_PlannedOrders[Part Name],$A1085,T_PlannedOrders[WeekIndex],56)&amp;" ("&amp;TEXT(SUMPRODUCT(MAX((T_PlannedOrders[Part Name]=$A1085)*(T_PlannedOrders[WeekIndex]=56)*(T_PlannedOrders[EffectiveQty]&gt;0)*T_PlannedOrders[Order_Month])),"m月")&amp;"発注)")</f>
        <v/>
      </c>
      <c r="BH1091">
        <f>IF(SUMIFS(T_PlannedOrders[EffectiveQty],T_PlannedOrders[Part Name],$A1085,T_PlannedOrders[WeekIndex],57)=0,"",SUMIFS(T_PlannedOrders[EffectiveQty],T_PlannedOrders[Part Name],$A1085,T_PlannedOrders[WeekIndex],57)&amp;" ("&amp;TEXT(SUMPRODUCT(MAX((T_PlannedOrders[Part Name]=$A1085)*(T_PlannedOrders[WeekIndex]=57)*(T_PlannedOrders[EffectiveQty]&gt;0)*T_PlannedOrders[Order_Month])),"m月")&amp;"発注)")</f>
        <v/>
      </c>
      <c r="BI1091">
        <f>IF(SUMIFS(T_PlannedOrders[EffectiveQty],T_PlannedOrders[Part Name],$A1085,T_PlannedOrders[WeekIndex],58)=0,"",SUMIFS(T_PlannedOrders[EffectiveQty],T_PlannedOrders[Part Name],$A1085,T_PlannedOrders[WeekIndex],58)&amp;" ("&amp;TEXT(SUMPRODUCT(MAX((T_PlannedOrders[Part Name]=$A1085)*(T_PlannedOrders[WeekIndex]=58)*(T_PlannedOrders[EffectiveQty]&gt;0)*T_PlannedOrders[Order_Month])),"m月")&amp;"発注)")</f>
        <v/>
      </c>
      <c r="BJ1091">
        <f>IF(SUMIFS(T_PlannedOrders[EffectiveQty],T_PlannedOrders[Part Name],$A1085,T_PlannedOrders[WeekIndex],59)=0,"",SUMIFS(T_PlannedOrders[EffectiveQty],T_PlannedOrders[Part Name],$A1085,T_PlannedOrders[WeekIndex],59)&amp;" ("&amp;TEXT(SUMPRODUCT(MAX((T_PlannedOrders[Part Name]=$A1085)*(T_PlannedOrders[WeekIndex]=59)*(T_PlannedOrders[EffectiveQty]&gt;0)*T_PlannedOrders[Order_Month])),"m月")&amp;"発注)")</f>
        <v/>
      </c>
      <c r="BK1091">
        <f>IF(SUMIFS(T_PlannedOrders[EffectiveQty],T_PlannedOrders[Part Name],$A1085,T_PlannedOrders[WeekIndex],60)=0,"",SUMIFS(T_PlannedOrders[EffectiveQty],T_PlannedOrders[Part Name],$A1085,T_PlannedOrders[WeekIndex],60)&amp;" ("&amp;TEXT(SUMPRODUCT(MAX((T_PlannedOrders[Part Name]=$A1085)*(T_PlannedOrders[WeekIndex]=60)*(T_PlannedOrders[EffectiveQty]&gt;0)*T_PlannedOrders[Order_Month])),"m月")&amp;"発注)")</f>
        <v/>
      </c>
      <c r="BL1091">
        <f>IF(SUMIFS(T_PlannedOrders[EffectiveQty],T_PlannedOrders[Part Name],$A1085,T_PlannedOrders[WeekIndex],61)=0,"",SUMIFS(T_PlannedOrders[EffectiveQty],T_PlannedOrders[Part Name],$A1085,T_PlannedOrders[WeekIndex],61)&amp;" ("&amp;TEXT(SUMPRODUCT(MAX((T_PlannedOrders[Part Name]=$A1085)*(T_PlannedOrders[WeekIndex]=61)*(T_PlannedOrders[EffectiveQty]&gt;0)*T_PlannedOrders[Order_Month])),"m月")&amp;"発注)")</f>
        <v/>
      </c>
      <c r="BM1091">
        <f>IF(SUMIFS(T_PlannedOrders[EffectiveQty],T_PlannedOrders[Part Name],$A1085,T_PlannedOrders[WeekIndex],62)=0,"",SUMIFS(T_PlannedOrders[EffectiveQty],T_PlannedOrders[Part Name],$A1085,T_PlannedOrders[WeekIndex],62)&amp;" ("&amp;TEXT(SUMPRODUCT(MAX((T_PlannedOrders[Part Name]=$A1085)*(T_PlannedOrders[WeekIndex]=62)*(T_PlannedOrders[EffectiveQty]&gt;0)*T_PlannedOrders[Order_Month])),"m月")&amp;"発注)")</f>
        <v/>
      </c>
      <c r="BN1091">
        <f>IF(SUMIFS(T_PlannedOrders[EffectiveQty],T_PlannedOrders[Part Name],$A1085,T_PlannedOrders[WeekIndex],63)=0,"",SUMIFS(T_PlannedOrders[EffectiveQty],T_PlannedOrders[Part Name],$A1085,T_PlannedOrders[WeekIndex],63)&amp;" ("&amp;TEXT(SUMPRODUCT(MAX((T_PlannedOrders[Part Name]=$A1085)*(T_PlannedOrders[WeekIndex]=63)*(T_PlannedOrders[EffectiveQty]&gt;0)*T_PlannedOrders[Order_Month])),"m月")&amp;"発注)")</f>
        <v/>
      </c>
      <c r="BO1091">
        <f>IF(SUMIFS(T_PlannedOrders[EffectiveQty],T_PlannedOrders[Part Name],$A1085,T_PlannedOrders[WeekIndex],64)=0,"",SUMIFS(T_PlannedOrders[EffectiveQty],T_PlannedOrders[Part Name],$A1085,T_PlannedOrders[WeekIndex],64)&amp;" ("&amp;TEXT(SUMPRODUCT(MAX((T_PlannedOrders[Part Name]=$A1085)*(T_PlannedOrders[WeekIndex]=64)*(T_PlannedOrders[EffectiveQty]&gt;0)*T_PlannedOrders[Order_Month])),"m月")&amp;"発注)")</f>
        <v/>
      </c>
      <c r="BP1091">
        <f>IF(SUMIFS(T_PlannedOrders[EffectiveQty],T_PlannedOrders[Part Name],$A1085,T_PlannedOrders[WeekIndex],65)=0,"",SUMIFS(T_PlannedOrders[EffectiveQty],T_PlannedOrders[Part Name],$A1085,T_PlannedOrders[WeekIndex],65)&amp;" ("&amp;TEXT(SUMPRODUCT(MAX((T_PlannedOrders[Part Name]=$A1085)*(T_PlannedOrders[WeekIndex]=65)*(T_PlannedOrders[EffectiveQty]&gt;0)*T_PlannedOrders[Order_Month])),"m月")&amp;"発注)")</f>
        <v/>
      </c>
      <c r="BQ1091">
        <f>IF(SUMIFS(T_PlannedOrders[EffectiveQty],T_PlannedOrders[Part Name],$A1085,T_PlannedOrders[WeekIndex],66)=0,"",SUMIFS(T_PlannedOrders[EffectiveQty],T_PlannedOrders[Part Name],$A1085,T_PlannedOrders[WeekIndex],66)&amp;" ("&amp;TEXT(SUMPRODUCT(MAX((T_PlannedOrders[Part Name]=$A1085)*(T_PlannedOrders[WeekIndex]=66)*(T_PlannedOrders[EffectiveQty]&gt;0)*T_PlannedOrders[Order_Month])),"m月")&amp;"発注)")</f>
        <v/>
      </c>
      <c r="BR1091">
        <f>IF(SUMIFS(T_PlannedOrders[EffectiveQty],T_PlannedOrders[Part Name],$A1085,T_PlannedOrders[WeekIndex],67)=0,"",SUMIFS(T_PlannedOrders[EffectiveQty],T_PlannedOrders[Part Name],$A1085,T_PlannedOrders[WeekIndex],67)&amp;" ("&amp;TEXT(SUMPRODUCT(MAX((T_PlannedOrders[Part Name]=$A1085)*(T_PlannedOrders[WeekIndex]=67)*(T_PlannedOrders[EffectiveQty]&gt;0)*T_PlannedOrders[Order_Month])),"m月")&amp;"発注)")</f>
        <v/>
      </c>
      <c r="BS1091">
        <f>IF(SUMIFS(T_PlannedOrders[EffectiveQty],T_PlannedOrders[Part Name],$A1085,T_PlannedOrders[WeekIndex],68)=0,"",SUMIFS(T_PlannedOrders[EffectiveQty],T_PlannedOrders[Part Name],$A1085,T_PlannedOrders[WeekIndex],68)&amp;" ("&amp;TEXT(SUMPRODUCT(MAX((T_PlannedOrders[Part Name]=$A1085)*(T_PlannedOrders[WeekIndex]=68)*(T_PlannedOrders[EffectiveQty]&gt;0)*T_PlannedOrders[Order_Month])),"m月")&amp;"発注)")</f>
        <v/>
      </c>
      <c r="BT1091">
        <f>IF(SUMIFS(T_PlannedOrders[EffectiveQty],T_PlannedOrders[Part Name],$A1085,T_PlannedOrders[WeekIndex],69)=0,"",SUMIFS(T_PlannedOrders[EffectiveQty],T_PlannedOrders[Part Name],$A1085,T_PlannedOrders[WeekIndex],69)&amp;" ("&amp;TEXT(SUMPRODUCT(MAX((T_PlannedOrders[Part Name]=$A1085)*(T_PlannedOrders[WeekIndex]=69)*(T_PlannedOrders[EffectiveQty]&gt;0)*T_PlannedOrders[Order_Month])),"m月")&amp;"発注)")</f>
        <v/>
      </c>
      <c r="BU1091">
        <f>IF(SUMIFS(T_PlannedOrders[EffectiveQty],T_PlannedOrders[Part Name],$A1085,T_PlannedOrders[WeekIndex],70)=0,"",SUMIFS(T_PlannedOrders[EffectiveQty],T_PlannedOrders[Part Name],$A1085,T_PlannedOrders[WeekIndex],70)&amp;" ("&amp;TEXT(SUMPRODUCT(MAX((T_PlannedOrders[Part Name]=$A1085)*(T_PlannedOrders[WeekIndex]=70)*(T_PlannedOrders[EffectiveQty]&gt;0)*T_PlannedOrders[Order_Month])),"m月")&amp;"発注)")</f>
        <v/>
      </c>
      <c r="BV1091">
        <f>IF(SUMIFS(T_PlannedOrders[EffectiveQty],T_PlannedOrders[Part Name],$A1085,T_PlannedOrders[WeekIndex],71)=0,"",SUMIFS(T_PlannedOrders[EffectiveQty],T_PlannedOrders[Part Name],$A1085,T_PlannedOrders[WeekIndex],71)&amp;" ("&amp;TEXT(SUMPRODUCT(MAX((T_PlannedOrders[Part Name]=$A1085)*(T_PlannedOrders[WeekIndex]=71)*(T_PlannedOrders[EffectiveQty]&gt;0)*T_PlannedOrders[Order_Month])),"m月")&amp;"発注)")</f>
        <v/>
      </c>
      <c r="BW1091">
        <f>IF(SUMIFS(T_PlannedOrders[EffectiveQty],T_PlannedOrders[Part Name],$A1085,T_PlannedOrders[WeekIndex],72)=0,"",SUMIFS(T_PlannedOrders[EffectiveQty],T_PlannedOrders[Part Name],$A1085,T_PlannedOrders[WeekIndex],72)&amp;" ("&amp;TEXT(SUMPRODUCT(MAX((T_PlannedOrders[Part Name]=$A1085)*(T_PlannedOrders[WeekIndex]=72)*(T_PlannedOrders[EffectiveQty]&gt;0)*T_PlannedOrders[Order_Month])),"m月")&amp;"発注)")</f>
        <v/>
      </c>
      <c r="BX1091">
        <f>IF(SUMIFS(T_PlannedOrders[EffectiveQty],T_PlannedOrders[Part Name],$A1085,T_PlannedOrders[WeekIndex],73)=0,"",SUMIFS(T_PlannedOrders[EffectiveQty],T_PlannedOrders[Part Name],$A1085,T_PlannedOrders[WeekIndex],73)&amp;" ("&amp;TEXT(SUMPRODUCT(MAX((T_PlannedOrders[Part Name]=$A1085)*(T_PlannedOrders[WeekIndex]=73)*(T_PlannedOrders[EffectiveQty]&gt;0)*T_PlannedOrders[Order_Month])),"m月")&amp;"発注)")</f>
        <v/>
      </c>
      <c r="BY1091">
        <f>IF(SUMIFS(T_PlannedOrders[EffectiveQty],T_PlannedOrders[Part Name],$A1085,T_PlannedOrders[WeekIndex],74)=0,"",SUMIFS(T_PlannedOrders[EffectiveQty],T_PlannedOrders[Part Name],$A1085,T_PlannedOrders[WeekIndex],74)&amp;" ("&amp;TEXT(SUMPRODUCT(MAX((T_PlannedOrders[Part Name]=$A1085)*(T_PlannedOrders[WeekIndex]=74)*(T_PlannedOrders[EffectiveQty]&gt;0)*T_PlannedOrders[Order_Month])),"m月")&amp;"発注)")</f>
        <v/>
      </c>
      <c r="BZ1091">
        <f>IF(SUMIFS(T_PlannedOrders[EffectiveQty],T_PlannedOrders[Part Name],$A1085,T_PlannedOrders[WeekIndex],75)=0,"",SUMIFS(T_PlannedOrders[EffectiveQty],T_PlannedOrders[Part Name],$A1085,T_PlannedOrders[WeekIndex],75)&amp;" ("&amp;TEXT(SUMPRODUCT(MAX((T_PlannedOrders[Part Name]=$A1085)*(T_PlannedOrders[WeekIndex]=75)*(T_PlannedOrders[EffectiveQty]&gt;0)*T_PlannedOrders[Order_Month])),"m月")&amp;"発注)")</f>
        <v/>
      </c>
      <c r="CA1091">
        <f>IF(SUMIFS(T_PlannedOrders[EffectiveQty],T_PlannedOrders[Part Name],$A1085,T_PlannedOrders[WeekIndex],76)=0,"",SUMIFS(T_PlannedOrders[EffectiveQty],T_PlannedOrders[Part Name],$A1085,T_PlannedOrders[WeekIndex],76)&amp;" ("&amp;TEXT(SUMPRODUCT(MAX((T_PlannedOrders[Part Name]=$A1085)*(T_PlannedOrders[WeekIndex]=76)*(T_PlannedOrders[EffectiveQty]&gt;0)*T_PlannedOrders[Order_Month])),"m月")&amp;"発注)")</f>
        <v/>
      </c>
      <c r="CB1091">
        <f>IF(SUMIFS(T_PlannedOrders[EffectiveQty],T_PlannedOrders[Part Name],$A1085,T_PlannedOrders[WeekIndex],77)=0,"",SUMIFS(T_PlannedOrders[EffectiveQty],T_PlannedOrders[Part Name],$A1085,T_PlannedOrders[WeekIndex],77)&amp;" ("&amp;TEXT(SUMPRODUCT(MAX((T_PlannedOrders[Part Name]=$A1085)*(T_PlannedOrders[WeekIndex]=77)*(T_PlannedOrders[EffectiveQty]&gt;0)*T_PlannedOrders[Order_Month])),"m月")&amp;"発注)")</f>
        <v/>
      </c>
      <c r="CC1091">
        <f>IF(SUMIFS(T_PlannedOrders[EffectiveQty],T_PlannedOrders[Part Name],$A1085,T_PlannedOrders[WeekIndex],78)=0,"",SUMIFS(T_PlannedOrders[EffectiveQty],T_PlannedOrders[Part Name],$A1085,T_PlannedOrders[WeekIndex],78)&amp;" ("&amp;TEXT(SUMPRODUCT(MAX((T_PlannedOrders[Part Name]=$A1085)*(T_PlannedOrders[WeekIndex]=78)*(T_PlannedOrders[EffectiveQty]&gt;0)*T_PlannedOrders[Order_Month])),"m月")&amp;"発注)")</f>
        <v/>
      </c>
      <c r="CD1091">
        <f>IF(SUMIFS(T_PlannedOrders[EffectiveQty],T_PlannedOrders[Part Name],$A1085,T_PlannedOrders[WeekIndex],79)=0,"",SUMIFS(T_PlannedOrders[EffectiveQty],T_PlannedOrders[Part Name],$A1085,T_PlannedOrders[WeekIndex],79)&amp;" ("&amp;TEXT(SUMPRODUCT(MAX((T_PlannedOrders[Part Name]=$A1085)*(T_PlannedOrders[WeekIndex]=79)*(T_PlannedOrders[EffectiveQty]&gt;0)*T_PlannedOrders[Order_Month])),"m月")&amp;"発注)")</f>
        <v/>
      </c>
      <c r="CE1091">
        <f>IF(SUMIFS(T_PlannedOrders[EffectiveQty],T_PlannedOrders[Part Name],$A1085,T_PlannedOrders[WeekIndex],80)=0,"",SUMIFS(T_PlannedOrders[EffectiveQty],T_PlannedOrders[Part Name],$A1085,T_PlannedOrders[WeekIndex],80)&amp;" ("&amp;TEXT(SUMPRODUCT(MAX((T_PlannedOrders[Part Name]=$A1085)*(T_PlannedOrders[WeekIndex]=80)*(T_PlannedOrders[EffectiveQty]&gt;0)*T_PlannedOrders[Order_Month])),"m月")&amp;"発注)")</f>
        <v/>
      </c>
      <c r="CF1091">
        <f>IF(SUMIFS(T_PlannedOrders[EffectiveQty],T_PlannedOrders[Part Name],$A1085,T_PlannedOrders[WeekIndex],81)=0,"",SUMIFS(T_PlannedOrders[EffectiveQty],T_PlannedOrders[Part Name],$A1085,T_PlannedOrders[WeekIndex],81)&amp;" ("&amp;TEXT(SUMPRODUCT(MAX((T_PlannedOrders[Part Name]=$A1085)*(T_PlannedOrders[WeekIndex]=81)*(T_PlannedOrders[EffectiveQty]&gt;0)*T_PlannedOrders[Order_Month])),"m月")&amp;"発注)")</f>
        <v/>
      </c>
      <c r="CG1091">
        <f>IF(SUMIFS(T_PlannedOrders[EffectiveQty],T_PlannedOrders[Part Name],$A1085,T_PlannedOrders[WeekIndex],82)=0,"",SUMIFS(T_PlannedOrders[EffectiveQty],T_PlannedOrders[Part Name],$A1085,T_PlannedOrders[WeekIndex],82)&amp;" ("&amp;TEXT(SUMPRODUCT(MAX((T_PlannedOrders[Part Name]=$A1085)*(T_PlannedOrders[WeekIndex]=82)*(T_PlannedOrders[EffectiveQty]&gt;0)*T_PlannedOrders[Order_Month])),"m月")&amp;"発注)")</f>
        <v/>
      </c>
      <c r="CH1091">
        <f>IF(SUMIFS(T_PlannedOrders[EffectiveQty],T_PlannedOrders[Part Name],$A1085,T_PlannedOrders[WeekIndex],83)=0,"",SUMIFS(T_PlannedOrders[EffectiveQty],T_PlannedOrders[Part Name],$A1085,T_PlannedOrders[WeekIndex],83)&amp;" ("&amp;TEXT(SUMPRODUCT(MAX((T_PlannedOrders[Part Name]=$A1085)*(T_PlannedOrders[WeekIndex]=83)*(T_PlannedOrders[EffectiveQty]&gt;0)*T_PlannedOrders[Order_Month])),"m月")&amp;"発注)")</f>
        <v/>
      </c>
      <c r="CI1091">
        <f>IF(SUMIFS(T_PlannedOrders[EffectiveQty],T_PlannedOrders[Part Name],$A1085,T_PlannedOrders[WeekIndex],84)=0,"",SUMIFS(T_PlannedOrders[EffectiveQty],T_PlannedOrders[Part Name],$A1085,T_PlannedOrders[WeekIndex],84)&amp;" ("&amp;TEXT(SUMPRODUCT(MAX((T_PlannedOrders[Part Name]=$A1085)*(T_PlannedOrders[WeekIndex]=84)*(T_PlannedOrders[EffectiveQty]&gt;0)*T_PlannedOrders[Order_Month])),"m月")&amp;"発注)")</f>
        <v/>
      </c>
      <c r="CJ1091">
        <f>IF(SUMIFS(T_PlannedOrders[EffectiveQty],T_PlannedOrders[Part Name],$A1085,T_PlannedOrders[WeekIndex],85)=0,"",SUMIFS(T_PlannedOrders[EffectiveQty],T_PlannedOrders[Part Name],$A1085,T_PlannedOrders[WeekIndex],85)&amp;" ("&amp;TEXT(SUMPRODUCT(MAX((T_PlannedOrders[Part Name]=$A1085)*(T_PlannedOrders[WeekIndex]=85)*(T_PlannedOrders[EffectiveQty]&gt;0)*T_PlannedOrders[Order_Month])),"m月")&amp;"発注)")</f>
        <v/>
      </c>
      <c r="CK1091">
        <f>IF(SUMIFS(T_PlannedOrders[EffectiveQty],T_PlannedOrders[Part Name],$A1085,T_PlannedOrders[WeekIndex],86)=0,"",SUMIFS(T_PlannedOrders[EffectiveQty],T_PlannedOrders[Part Name],$A1085,T_PlannedOrders[WeekIndex],86)&amp;" ("&amp;TEXT(SUMPRODUCT(MAX((T_PlannedOrders[Part Name]=$A1085)*(T_PlannedOrders[WeekIndex]=86)*(T_PlannedOrders[EffectiveQty]&gt;0)*T_PlannedOrders[Order_Month])),"m月")&amp;"発注)")</f>
        <v/>
      </c>
      <c r="CL1091">
        <f>IF(SUMIFS(T_PlannedOrders[EffectiveQty],T_PlannedOrders[Part Name],$A1085,T_PlannedOrders[WeekIndex],87)=0,"",SUMIFS(T_PlannedOrders[EffectiveQty],T_PlannedOrders[Part Name],$A1085,T_PlannedOrders[WeekIndex],87)&amp;" ("&amp;TEXT(SUMPRODUCT(MAX((T_PlannedOrders[Part Name]=$A1085)*(T_PlannedOrders[WeekIndex]=87)*(T_PlannedOrders[EffectiveQty]&gt;0)*T_PlannedOrders[Order_Month])),"m月")&amp;"発注)")</f>
        <v/>
      </c>
      <c r="CM1091">
        <f>IF(SUMIFS(T_PlannedOrders[EffectiveQty],T_PlannedOrders[Part Name],$A1085,T_PlannedOrders[WeekIndex],88)=0,"",SUMIFS(T_PlannedOrders[EffectiveQty],T_PlannedOrders[Part Name],$A1085,T_PlannedOrders[WeekIndex],88)&amp;" ("&amp;TEXT(SUMPRODUCT(MAX((T_PlannedOrders[Part Name]=$A1085)*(T_PlannedOrders[WeekIndex]=88)*(T_PlannedOrders[EffectiveQty]&gt;0)*T_PlannedOrders[Order_Month])),"m月")&amp;"発注)")</f>
        <v/>
      </c>
      <c r="CN1091">
        <f>IF(SUMIFS(T_PlannedOrders[EffectiveQty],T_PlannedOrders[Part Name],$A1085,T_PlannedOrders[WeekIndex],89)=0,"",SUMIFS(T_PlannedOrders[EffectiveQty],T_PlannedOrders[Part Name],$A1085,T_PlannedOrders[WeekIndex],89)&amp;" ("&amp;TEXT(SUMPRODUCT(MAX((T_PlannedOrders[Part Name]=$A1085)*(T_PlannedOrders[WeekIndex]=89)*(T_PlannedOrders[EffectiveQty]&gt;0)*T_PlannedOrders[Order_Month])),"m月")&amp;"発注)")</f>
        <v/>
      </c>
      <c r="CO1091">
        <f>IF(SUMIFS(T_PlannedOrders[EffectiveQty],T_PlannedOrders[Part Name],$A1085,T_PlannedOrders[WeekIndex],90)=0,"",SUMIFS(T_PlannedOrders[EffectiveQty],T_PlannedOrders[Part Name],$A1085,T_PlannedOrders[WeekIndex],90)&amp;" ("&amp;TEXT(SUMPRODUCT(MAX((T_PlannedOrders[Part Name]=$A1085)*(T_PlannedOrders[WeekIndex]=90)*(T_PlannedOrders[EffectiveQty]&gt;0)*T_PlannedOrders[Order_Month])),"m月")&amp;"発注)")</f>
        <v/>
      </c>
      <c r="CP1091">
        <f>IF(SUMIFS(T_PlannedOrders[EffectiveQty],T_PlannedOrders[Part Name],$A1085,T_PlannedOrders[WeekIndex],91)=0,"",SUMIFS(T_PlannedOrders[EffectiveQty],T_PlannedOrders[Part Name],$A1085,T_PlannedOrders[WeekIndex],91)&amp;" ("&amp;TEXT(SUMPRODUCT(MAX((T_PlannedOrders[Part Name]=$A1085)*(T_PlannedOrders[WeekIndex]=91)*(T_PlannedOrders[EffectiveQty]&gt;0)*T_PlannedOrders[Order_Month])),"m月")&amp;"発注)")</f>
        <v/>
      </c>
      <c r="CQ1091">
        <f>IF(SUMIFS(T_PlannedOrders[EffectiveQty],T_PlannedOrders[Part Name],$A1085,T_PlannedOrders[WeekIndex],92)=0,"",SUMIFS(T_PlannedOrders[EffectiveQty],T_PlannedOrders[Part Name],$A1085,T_PlannedOrders[WeekIndex],92)&amp;" ("&amp;TEXT(SUMPRODUCT(MAX((T_PlannedOrders[Part Name]=$A1085)*(T_PlannedOrders[WeekIndex]=92)*(T_PlannedOrders[EffectiveQty]&gt;0)*T_PlannedOrders[Order_Month])),"m月")&amp;"発注)")</f>
        <v/>
      </c>
      <c r="CR1091">
        <f>IF(SUMIFS(T_PlannedOrders[EffectiveQty],T_PlannedOrders[Part Name],$A1085,T_PlannedOrders[WeekIndex],93)=0,"",SUMIFS(T_PlannedOrders[EffectiveQty],T_PlannedOrders[Part Name],$A1085,T_PlannedOrders[WeekIndex],93)&amp;" ("&amp;TEXT(SUMPRODUCT(MAX((T_PlannedOrders[Part Name]=$A1085)*(T_PlannedOrders[WeekIndex]=93)*(T_PlannedOrders[EffectiveQty]&gt;0)*T_PlannedOrders[Order_Month])),"m月")&amp;"発注)")</f>
        <v/>
      </c>
      <c r="CS1091">
        <f>IF(SUMIFS(T_PlannedOrders[EffectiveQty],T_PlannedOrders[Part Name],$A1085,T_PlannedOrders[WeekIndex],94)=0,"",SUMIFS(T_PlannedOrders[EffectiveQty],T_PlannedOrders[Part Name],$A1085,T_PlannedOrders[WeekIndex],94)&amp;" ("&amp;TEXT(SUMPRODUCT(MAX((T_PlannedOrders[Part Name]=$A1085)*(T_PlannedOrders[WeekIndex]=94)*(T_PlannedOrders[EffectiveQty]&gt;0)*T_PlannedOrders[Order_Month])),"m月")&amp;"発注)")</f>
        <v/>
      </c>
      <c r="CT1091">
        <f>IF(SUMIFS(T_PlannedOrders[EffectiveQty],T_PlannedOrders[Part Name],$A1085,T_PlannedOrders[WeekIndex],95)=0,"",SUMIFS(T_PlannedOrders[EffectiveQty],T_PlannedOrders[Part Name],$A1085,T_PlannedOrders[WeekIndex],95)&amp;" ("&amp;TEXT(SUMPRODUCT(MAX((T_PlannedOrders[Part Name]=$A1085)*(T_PlannedOrders[WeekIndex]=95)*(T_PlannedOrders[EffectiveQty]&gt;0)*T_PlannedOrders[Order_Month])),"m月")&amp;"発注)")</f>
        <v/>
      </c>
      <c r="CU1091">
        <f>IF(SUMIFS(T_PlannedOrders[EffectiveQty],T_PlannedOrders[Part Name],$A1085,T_PlannedOrders[WeekIndex],96)=0,"",SUMIFS(T_PlannedOrders[EffectiveQty],T_PlannedOrders[Part Name],$A1085,T_PlannedOrders[WeekIndex],96)&amp;" ("&amp;TEXT(SUMPRODUCT(MAX((T_PlannedOrders[Part Name]=$A1085)*(T_PlannedOrders[WeekIndex]=96)*(T_PlannedOrders[EffectiveQty]&gt;0)*T_PlannedOrders[Order_Month])),"m月")&amp;"発注)")</f>
        <v/>
      </c>
      <c r="CV1091">
        <f>IF(SUMIFS(T_PlannedOrders[EffectiveQty],T_PlannedOrders[Part Name],$A1085,T_PlannedOrders[WeekIndex],97)=0,"",SUMIFS(T_PlannedOrders[EffectiveQty],T_PlannedOrders[Part Name],$A1085,T_PlannedOrders[WeekIndex],97)&amp;" ("&amp;TEXT(SUMPRODUCT(MAX((T_PlannedOrders[Part Name]=$A1085)*(T_PlannedOrders[WeekIndex]=97)*(T_PlannedOrders[EffectiveQty]&gt;0)*T_PlannedOrders[Order_Month])),"m月")&amp;"発注)")</f>
        <v/>
      </c>
      <c r="CW1091">
        <f>IF(SUMIFS(T_PlannedOrders[EffectiveQty],T_PlannedOrders[Part Name],$A1085,T_PlannedOrders[WeekIndex],98)=0,"",SUMIFS(T_PlannedOrders[EffectiveQty],T_PlannedOrders[Part Name],$A1085,T_PlannedOrders[WeekIndex],98)&amp;" ("&amp;TEXT(SUMPRODUCT(MAX((T_PlannedOrders[Part Name]=$A1085)*(T_PlannedOrders[WeekIndex]=98)*(T_PlannedOrders[EffectiveQty]&gt;0)*T_PlannedOrders[Order_Month])),"m月")&amp;"発注)")</f>
        <v/>
      </c>
      <c r="CX1091">
        <f>IF(SUMIFS(T_PlannedOrders[EffectiveQty],T_PlannedOrders[Part Name],$A1085,T_PlannedOrders[WeekIndex],99)=0,"",SUMIFS(T_PlannedOrders[EffectiveQty],T_PlannedOrders[Part Name],$A1085,T_PlannedOrders[WeekIndex],99)&amp;" ("&amp;TEXT(SUMPRODUCT(MAX((T_PlannedOrders[Part Name]=$A1085)*(T_PlannedOrders[WeekIndex]=99)*(T_PlannedOrders[EffectiveQty]&gt;0)*T_PlannedOrders[Order_Month])),"m月")&amp;"発注)")</f>
        <v/>
      </c>
      <c r="CY1091">
        <f>IF(SUMIFS(T_PlannedOrders[EffectiveQty],T_PlannedOrders[Part Name],$A1085,T_PlannedOrders[WeekIndex],100)=0,"",SUMIFS(T_PlannedOrders[EffectiveQty],T_PlannedOrders[Part Name],$A1085,T_PlannedOrders[WeekIndex],100)&amp;" ("&amp;TEXT(SUMPRODUCT(MAX((T_PlannedOrders[Part Name]=$A1085)*(T_PlannedOrders[WeekIndex]=100)*(T_PlannedOrders[EffectiveQty]&gt;0)*T_PlannedOrders[Order_Month])),"m月")&amp;"発注)")</f>
        <v/>
      </c>
      <c r="CZ1091">
        <f>IF(SUMIFS(T_PlannedOrders[EffectiveQty],T_PlannedOrders[Part Name],$A1085,T_PlannedOrders[WeekIndex],101)=0,"",SUMIFS(T_PlannedOrders[EffectiveQty],T_PlannedOrders[Part Name],$A1085,T_PlannedOrders[WeekIndex],101)&amp;" ("&amp;TEXT(SUMPRODUCT(MAX((T_PlannedOrders[Part Name]=$A1085)*(T_PlannedOrders[WeekIndex]=101)*(T_PlannedOrders[EffectiveQty]&gt;0)*T_PlannedOrders[Order_Month])),"m月")&amp;"発注)")</f>
        <v/>
      </c>
      <c r="DA1091">
        <f>IF(SUMIFS(T_PlannedOrders[EffectiveQty],T_PlannedOrders[Part Name],$A1085,T_PlannedOrders[WeekIndex],102)=0,"",SUMIFS(T_PlannedOrders[EffectiveQty],T_PlannedOrders[Part Name],$A1085,T_PlannedOrders[WeekIndex],102)&amp;" ("&amp;TEXT(SUMPRODUCT(MAX((T_PlannedOrders[Part Name]=$A1085)*(T_PlannedOrders[WeekIndex]=102)*(T_PlannedOrders[EffectiveQty]&gt;0)*T_PlannedOrders[Order_Month])),"m月")&amp;"発注)")</f>
        <v/>
      </c>
      <c r="DB1091">
        <f>IF(SUMIFS(T_PlannedOrders[EffectiveQty],T_PlannedOrders[Part Name],$A1085,T_PlannedOrders[WeekIndex],103)=0,"",SUMIFS(T_PlannedOrders[EffectiveQty],T_PlannedOrders[Part Name],$A1085,T_PlannedOrders[WeekIndex],103)&amp;" ("&amp;TEXT(SUMPRODUCT(MAX((T_PlannedOrders[Part Name]=$A1085)*(T_PlannedOrders[WeekIndex]=103)*(T_PlannedOrders[EffectiveQty]&gt;0)*T_PlannedOrders[Order_Month])),"m月")&amp;"発注)")</f>
        <v/>
      </c>
      <c r="DC1091">
        <f>IF(SUMIFS(T_PlannedOrders[EffectiveQty],T_PlannedOrders[Part Name],$A1085,T_PlannedOrders[WeekIndex],104)=0,"",SUMIFS(T_PlannedOrders[EffectiveQty],T_PlannedOrders[Part Name],$A1085,T_PlannedOrders[WeekIndex],104)&amp;" ("&amp;TEXT(SUMPRODUCT(MAX((T_PlannedOrders[Part Name]=$A1085)*(T_PlannedOrders[WeekIndex]=104)*(T_PlannedOrders[EffectiveQty]&gt;0)*T_PlannedOrders[Order_Month])),"m月")&amp;"発注)")</f>
        <v/>
      </c>
    </row>
    <row r="1092">
      <c r="B1092" s="5" t="inlineStr">
        <is>
          <t>合計在庫(週末時点,kg)</t>
        </is>
      </c>
      <c r="D1092">
        <f>'Grid_Stock'!B38</f>
        <v/>
      </c>
      <c r="E1092">
        <f>'Grid_Stock'!C38</f>
        <v/>
      </c>
      <c r="F1092">
        <f>'Grid_Stock'!D38</f>
        <v/>
      </c>
      <c r="G1092">
        <f>'Grid_Stock'!E38</f>
        <v/>
      </c>
      <c r="H1092">
        <f>'Grid_Stock'!F38</f>
        <v/>
      </c>
      <c r="I1092">
        <f>'Grid_Stock'!G38</f>
        <v/>
      </c>
      <c r="J1092">
        <f>'Grid_Stock'!H38</f>
        <v/>
      </c>
      <c r="K1092">
        <f>'Grid_Stock'!I38</f>
        <v/>
      </c>
      <c r="L1092">
        <f>'Grid_Stock'!J38</f>
        <v/>
      </c>
      <c r="M1092">
        <f>'Grid_Stock'!K38</f>
        <v/>
      </c>
      <c r="N1092">
        <f>'Grid_Stock'!L38</f>
        <v/>
      </c>
      <c r="O1092">
        <f>'Grid_Stock'!M38</f>
        <v/>
      </c>
      <c r="P1092">
        <f>'Grid_Stock'!N38</f>
        <v/>
      </c>
      <c r="Q1092">
        <f>'Grid_Stock'!O38</f>
        <v/>
      </c>
      <c r="R1092">
        <f>'Grid_Stock'!P38</f>
        <v/>
      </c>
      <c r="S1092">
        <f>'Grid_Stock'!Q38</f>
        <v/>
      </c>
      <c r="T1092">
        <f>'Grid_Stock'!R38</f>
        <v/>
      </c>
      <c r="U1092">
        <f>'Grid_Stock'!S38</f>
        <v/>
      </c>
      <c r="V1092">
        <f>'Grid_Stock'!T38</f>
        <v/>
      </c>
      <c r="W1092">
        <f>'Grid_Stock'!U38</f>
        <v/>
      </c>
      <c r="X1092">
        <f>'Grid_Stock'!V38</f>
        <v/>
      </c>
      <c r="Y1092">
        <f>'Grid_Stock'!W38</f>
        <v/>
      </c>
      <c r="Z1092">
        <f>'Grid_Stock'!X38</f>
        <v/>
      </c>
      <c r="AA1092">
        <f>'Grid_Stock'!Y38</f>
        <v/>
      </c>
      <c r="AB1092">
        <f>'Grid_Stock'!Z38</f>
        <v/>
      </c>
      <c r="AC1092">
        <f>'Grid_Stock'!AA38</f>
        <v/>
      </c>
      <c r="AD1092">
        <f>'Grid_Stock'!AB38</f>
        <v/>
      </c>
      <c r="AE1092">
        <f>'Grid_Stock'!AC38</f>
        <v/>
      </c>
      <c r="AF1092">
        <f>'Grid_Stock'!AD38</f>
        <v/>
      </c>
      <c r="AG1092">
        <f>'Grid_Stock'!AE38</f>
        <v/>
      </c>
      <c r="AH1092">
        <f>'Grid_Stock'!AF38</f>
        <v/>
      </c>
      <c r="AI1092">
        <f>'Grid_Stock'!AG38</f>
        <v/>
      </c>
      <c r="AJ1092">
        <f>'Grid_Stock'!AH38</f>
        <v/>
      </c>
      <c r="AK1092">
        <f>'Grid_Stock'!AI38</f>
        <v/>
      </c>
      <c r="AL1092">
        <f>'Grid_Stock'!AJ38</f>
        <v/>
      </c>
      <c r="AM1092">
        <f>'Grid_Stock'!AK38</f>
        <v/>
      </c>
      <c r="AN1092">
        <f>'Grid_Stock'!AL38</f>
        <v/>
      </c>
      <c r="AO1092">
        <f>'Grid_Stock'!AM38</f>
        <v/>
      </c>
      <c r="AP1092">
        <f>'Grid_Stock'!AN38</f>
        <v/>
      </c>
      <c r="AQ1092">
        <f>'Grid_Stock'!AO38</f>
        <v/>
      </c>
      <c r="AR1092">
        <f>'Grid_Stock'!AP38</f>
        <v/>
      </c>
      <c r="AS1092">
        <f>'Grid_Stock'!AQ38</f>
        <v/>
      </c>
      <c r="AT1092">
        <f>'Grid_Stock'!AR38</f>
        <v/>
      </c>
      <c r="AU1092">
        <f>'Grid_Stock'!AS38</f>
        <v/>
      </c>
      <c r="AV1092">
        <f>'Grid_Stock'!AT38</f>
        <v/>
      </c>
      <c r="AW1092">
        <f>'Grid_Stock'!AU38</f>
        <v/>
      </c>
      <c r="AX1092">
        <f>'Grid_Stock'!AV38</f>
        <v/>
      </c>
      <c r="AY1092">
        <f>'Grid_Stock'!AW38</f>
        <v/>
      </c>
      <c r="AZ1092">
        <f>'Grid_Stock'!AX38</f>
        <v/>
      </c>
      <c r="BA1092">
        <f>'Grid_Stock'!AY38</f>
        <v/>
      </c>
      <c r="BB1092">
        <f>'Grid_Stock'!AZ38</f>
        <v/>
      </c>
      <c r="BC1092">
        <f>'Grid_Stock'!BA38</f>
        <v/>
      </c>
      <c r="BD1092">
        <f>'Grid_Stock'!BB38</f>
        <v/>
      </c>
      <c r="BE1092">
        <f>'Grid_Stock'!BC38</f>
        <v/>
      </c>
      <c r="BF1092">
        <f>'Grid_Stock'!BD38</f>
        <v/>
      </c>
      <c r="BG1092">
        <f>'Grid_Stock'!BE38</f>
        <v/>
      </c>
      <c r="BH1092">
        <f>'Grid_Stock'!BF38</f>
        <v/>
      </c>
      <c r="BI1092">
        <f>'Grid_Stock'!BG38</f>
        <v/>
      </c>
      <c r="BJ1092">
        <f>'Grid_Stock'!BH38</f>
        <v/>
      </c>
      <c r="BK1092">
        <f>'Grid_Stock'!BI38</f>
        <v/>
      </c>
      <c r="BL1092">
        <f>'Grid_Stock'!BJ38</f>
        <v/>
      </c>
      <c r="BM1092">
        <f>'Grid_Stock'!BK38</f>
        <v/>
      </c>
      <c r="BN1092">
        <f>'Grid_Stock'!BL38</f>
        <v/>
      </c>
      <c r="BO1092">
        <f>'Grid_Stock'!BM38</f>
        <v/>
      </c>
      <c r="BP1092">
        <f>'Grid_Stock'!BN38</f>
        <v/>
      </c>
      <c r="BQ1092">
        <f>'Grid_Stock'!BO38</f>
        <v/>
      </c>
      <c r="BR1092">
        <f>'Grid_Stock'!BP38</f>
        <v/>
      </c>
      <c r="BS1092">
        <f>'Grid_Stock'!BQ38</f>
        <v/>
      </c>
      <c r="BT1092">
        <f>'Grid_Stock'!BR38</f>
        <v/>
      </c>
      <c r="BU1092">
        <f>'Grid_Stock'!BS38</f>
        <v/>
      </c>
      <c r="BV1092">
        <f>'Grid_Stock'!BT38</f>
        <v/>
      </c>
      <c r="BW1092">
        <f>'Grid_Stock'!BU38</f>
        <v/>
      </c>
      <c r="BX1092">
        <f>'Grid_Stock'!BV38</f>
        <v/>
      </c>
      <c r="BY1092">
        <f>'Grid_Stock'!BW38</f>
        <v/>
      </c>
      <c r="BZ1092">
        <f>'Grid_Stock'!BX38</f>
        <v/>
      </c>
      <c r="CA1092">
        <f>'Grid_Stock'!BY38</f>
        <v/>
      </c>
      <c r="CB1092">
        <f>'Grid_Stock'!BZ38</f>
        <v/>
      </c>
      <c r="CC1092">
        <f>'Grid_Stock'!CA38</f>
        <v/>
      </c>
      <c r="CD1092">
        <f>'Grid_Stock'!CB38</f>
        <v/>
      </c>
      <c r="CE1092">
        <f>'Grid_Stock'!CC38</f>
        <v/>
      </c>
      <c r="CF1092">
        <f>'Grid_Stock'!CD38</f>
        <v/>
      </c>
      <c r="CG1092">
        <f>'Grid_Stock'!CE38</f>
        <v/>
      </c>
      <c r="CH1092">
        <f>'Grid_Stock'!CF38</f>
        <v/>
      </c>
      <c r="CI1092">
        <f>'Grid_Stock'!CG38</f>
        <v/>
      </c>
      <c r="CJ1092">
        <f>'Grid_Stock'!CH38</f>
        <v/>
      </c>
      <c r="CK1092">
        <f>'Grid_Stock'!CI38</f>
        <v/>
      </c>
      <c r="CL1092">
        <f>'Grid_Stock'!CJ38</f>
        <v/>
      </c>
      <c r="CM1092">
        <f>'Grid_Stock'!CK38</f>
        <v/>
      </c>
      <c r="CN1092">
        <f>'Grid_Stock'!CL38</f>
        <v/>
      </c>
      <c r="CO1092">
        <f>'Grid_Stock'!CM38</f>
        <v/>
      </c>
      <c r="CP1092">
        <f>'Grid_Stock'!CN38</f>
        <v/>
      </c>
      <c r="CQ1092">
        <f>'Grid_Stock'!CO38</f>
        <v/>
      </c>
      <c r="CR1092">
        <f>'Grid_Stock'!CP38</f>
        <v/>
      </c>
      <c r="CS1092">
        <f>'Grid_Stock'!CQ38</f>
        <v/>
      </c>
      <c r="CT1092">
        <f>'Grid_Stock'!CR38</f>
        <v/>
      </c>
      <c r="CU1092">
        <f>'Grid_Stock'!CS38</f>
        <v/>
      </c>
      <c r="CV1092">
        <f>'Grid_Stock'!CT38</f>
        <v/>
      </c>
      <c r="CW1092">
        <f>'Grid_Stock'!CU38</f>
        <v/>
      </c>
      <c r="CX1092">
        <f>'Grid_Stock'!CV38</f>
        <v/>
      </c>
      <c r="CY1092">
        <f>'Grid_Stock'!CW38</f>
        <v/>
      </c>
      <c r="CZ1092">
        <f>'Grid_Stock'!CX38</f>
        <v/>
      </c>
      <c r="DA1092">
        <f>'Grid_Stock'!CY38</f>
        <v/>
      </c>
      <c r="DB1092">
        <f>'Grid_Stock'!CZ38</f>
        <v/>
      </c>
      <c r="DC1092">
        <f>'Grid_Stock'!DA38</f>
        <v/>
      </c>
    </row>
    <row r="1093">
      <c r="B1093" s="23" t="inlineStr">
        <is>
          <t>（発注の目安はDashboardの基準在庫[下限/上限]と色分けを参照）</t>
        </is>
      </c>
    </row>
    <row r="1095">
      <c r="A1095" s="21" t="inlineStr">
        <is>
          <t>CHEM-1470</t>
        </is>
      </c>
      <c r="B1095" s="21" t="inlineStr">
        <is>
          <t>Aluminium Oxide [SCFA-100] - NO LANTHANUM</t>
        </is>
      </c>
      <c r="C1095" s="22" t="n"/>
      <c r="D1095" s="21" t="n"/>
      <c r="E1095" s="21" t="n"/>
      <c r="F1095" s="21" t="n"/>
      <c r="G1095" s="21" t="n"/>
      <c r="H1095" s="21" t="n"/>
      <c r="I1095" s="21" t="n"/>
      <c r="J1095" s="21" t="n"/>
      <c r="K1095" s="21" t="n"/>
      <c r="L1095" s="21" t="n"/>
      <c r="M1095" s="21" t="n"/>
      <c r="N1095" s="21" t="n"/>
      <c r="O1095" s="21" t="n"/>
      <c r="P1095" s="21" t="n"/>
      <c r="Q1095" s="21" t="n"/>
      <c r="R1095" s="21" t="n"/>
      <c r="S1095" s="21" t="n"/>
      <c r="T1095" s="21" t="n"/>
      <c r="U1095" s="21" t="n"/>
      <c r="V1095" s="21" t="n"/>
      <c r="W1095" s="21" t="n"/>
      <c r="X1095" s="21" t="n"/>
      <c r="Y1095" s="21" t="n"/>
      <c r="Z1095" s="21" t="n"/>
      <c r="AA1095" s="21" t="n"/>
      <c r="AB1095" s="21" t="n"/>
      <c r="AC1095" s="21" t="n"/>
      <c r="AD1095" s="21" t="n"/>
      <c r="AE1095" s="21" t="n"/>
      <c r="AF1095" s="21" t="n"/>
      <c r="AG1095" s="21" t="n"/>
      <c r="AH1095" s="21" t="n"/>
      <c r="AI1095" s="21" t="n"/>
      <c r="AJ1095" s="21" t="n"/>
      <c r="AK1095" s="21" t="n"/>
      <c r="AL1095" s="21" t="n"/>
      <c r="AM1095" s="21" t="n"/>
      <c r="AN1095" s="21" t="n"/>
      <c r="AO1095" s="21" t="n"/>
      <c r="AP1095" s="21" t="n"/>
      <c r="AQ1095" s="21" t="n"/>
      <c r="AR1095" s="21" t="n"/>
      <c r="AS1095" s="21" t="n"/>
      <c r="AT1095" s="21" t="n"/>
      <c r="AU1095" s="21" t="n"/>
      <c r="AV1095" s="21" t="n"/>
      <c r="AW1095" s="21" t="n"/>
      <c r="AX1095" s="21" t="n"/>
      <c r="AY1095" s="21" t="n"/>
      <c r="AZ1095" s="21" t="n"/>
      <c r="BA1095" s="21" t="n"/>
      <c r="BB1095" s="21" t="n"/>
      <c r="BC1095" s="21" t="n"/>
      <c r="BD1095" s="21" t="n"/>
      <c r="BE1095" s="21" t="n"/>
      <c r="BF1095" s="21" t="n"/>
      <c r="BG1095" s="21" t="n"/>
      <c r="BH1095" s="21" t="n"/>
      <c r="BI1095" s="21" t="n"/>
      <c r="BJ1095" s="21" t="n"/>
      <c r="BK1095" s="21" t="n"/>
      <c r="BL1095" s="21" t="n"/>
      <c r="BM1095" s="21" t="n"/>
      <c r="BN1095" s="21" t="n"/>
      <c r="BO1095" s="21" t="n"/>
      <c r="BP1095" s="21" t="n"/>
      <c r="BQ1095" s="21" t="n"/>
      <c r="BR1095" s="21" t="n"/>
      <c r="BS1095" s="21" t="n"/>
      <c r="BT1095" s="21" t="n"/>
      <c r="BU1095" s="21" t="n"/>
      <c r="BV1095" s="21" t="n"/>
      <c r="BW1095" s="21" t="n"/>
      <c r="BX1095" s="21" t="n"/>
      <c r="BY1095" s="21" t="n"/>
      <c r="BZ1095" s="21" t="n"/>
      <c r="CA1095" s="21" t="n"/>
      <c r="CB1095" s="21" t="n"/>
      <c r="CC1095" s="21" t="n"/>
      <c r="CD1095" s="21" t="n"/>
      <c r="CE1095" s="21" t="n"/>
      <c r="CF1095" s="21" t="n"/>
      <c r="CG1095" s="21" t="n"/>
      <c r="CH1095" s="21" t="n"/>
      <c r="CI1095" s="21" t="n"/>
      <c r="CJ1095" s="21" t="n"/>
      <c r="CK1095" s="21" t="n"/>
      <c r="CL1095" s="21" t="n"/>
      <c r="CM1095" s="21" t="n"/>
      <c r="CN1095" s="21" t="n"/>
      <c r="CO1095" s="21" t="n"/>
      <c r="CP1095" s="21" t="n"/>
      <c r="CQ1095" s="21" t="n"/>
      <c r="CR1095" s="21" t="n"/>
      <c r="CS1095" s="21" t="n"/>
      <c r="CT1095" s="21" t="n"/>
      <c r="CU1095" s="21" t="n"/>
      <c r="CV1095" s="21" t="n"/>
      <c r="CW1095" s="21" t="n"/>
      <c r="CX1095" s="21" t="n"/>
      <c r="CY1095" s="21" t="n"/>
      <c r="CZ1095" s="21" t="n"/>
      <c r="DA1095" s="21" t="n"/>
      <c r="DB1095" s="21" t="n"/>
      <c r="DC1095" s="21" t="n"/>
    </row>
    <row r="1096">
      <c r="B1096" t="inlineStr">
        <is>
          <t>TSP-224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Name],$A1095)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TSP-225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Name],$A1095)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s="5" t="inlineStr">
        <is>
          <t>合計使用量(kg)/週</t>
        </is>
      </c>
      <c r="D1100">
        <f>'Grid_Requirement'!B47</f>
        <v/>
      </c>
      <c r="E1100">
        <f>'Grid_Requirement'!C47</f>
        <v/>
      </c>
      <c r="F1100">
        <f>'Grid_Requirement'!D47</f>
        <v/>
      </c>
      <c r="G1100">
        <f>'Grid_Requirement'!E47</f>
        <v/>
      </c>
      <c r="H1100">
        <f>'Grid_Requirement'!F47</f>
        <v/>
      </c>
      <c r="I1100">
        <f>'Grid_Requirement'!G47</f>
        <v/>
      </c>
      <c r="J1100">
        <f>'Grid_Requirement'!H47</f>
        <v/>
      </c>
      <c r="K1100">
        <f>'Grid_Requirement'!I47</f>
        <v/>
      </c>
      <c r="L1100">
        <f>'Grid_Requirement'!J47</f>
        <v/>
      </c>
      <c r="M1100">
        <f>'Grid_Requirement'!K47</f>
        <v/>
      </c>
      <c r="N1100">
        <f>'Grid_Requirement'!L47</f>
        <v/>
      </c>
      <c r="O1100">
        <f>'Grid_Requirement'!M47</f>
        <v/>
      </c>
      <c r="P1100">
        <f>'Grid_Requirement'!N47</f>
        <v/>
      </c>
      <c r="Q1100">
        <f>'Grid_Requirement'!O47</f>
        <v/>
      </c>
      <c r="R1100">
        <f>'Grid_Requirement'!P47</f>
        <v/>
      </c>
      <c r="S1100">
        <f>'Grid_Requirement'!Q47</f>
        <v/>
      </c>
      <c r="T1100">
        <f>'Grid_Requirement'!R47</f>
        <v/>
      </c>
      <c r="U1100">
        <f>'Grid_Requirement'!S47</f>
        <v/>
      </c>
      <c r="V1100">
        <f>'Grid_Requirement'!T47</f>
        <v/>
      </c>
      <c r="W1100">
        <f>'Grid_Requirement'!U47</f>
        <v/>
      </c>
      <c r="X1100">
        <f>'Grid_Requirement'!V47</f>
        <v/>
      </c>
      <c r="Y1100">
        <f>'Grid_Requirement'!W47</f>
        <v/>
      </c>
      <c r="Z1100">
        <f>'Grid_Requirement'!X47</f>
        <v/>
      </c>
      <c r="AA1100">
        <f>'Grid_Requirement'!Y47</f>
        <v/>
      </c>
      <c r="AB1100">
        <f>'Grid_Requirement'!Z47</f>
        <v/>
      </c>
      <c r="AC1100">
        <f>'Grid_Requirement'!AA47</f>
        <v/>
      </c>
      <c r="AD1100">
        <f>'Grid_Requirement'!AB47</f>
        <v/>
      </c>
      <c r="AE1100">
        <f>'Grid_Requirement'!AC47</f>
        <v/>
      </c>
      <c r="AF1100">
        <f>'Grid_Requirement'!AD47</f>
        <v/>
      </c>
      <c r="AG1100">
        <f>'Grid_Requirement'!AE47</f>
        <v/>
      </c>
      <c r="AH1100">
        <f>'Grid_Requirement'!AF47</f>
        <v/>
      </c>
      <c r="AI1100">
        <f>'Grid_Requirement'!AG47</f>
        <v/>
      </c>
      <c r="AJ1100">
        <f>'Grid_Requirement'!AH47</f>
        <v/>
      </c>
      <c r="AK1100">
        <f>'Grid_Requirement'!AI47</f>
        <v/>
      </c>
      <c r="AL1100">
        <f>'Grid_Requirement'!AJ47</f>
        <v/>
      </c>
      <c r="AM1100">
        <f>'Grid_Requirement'!AK47</f>
        <v/>
      </c>
      <c r="AN1100">
        <f>'Grid_Requirement'!AL47</f>
        <v/>
      </c>
      <c r="AO1100">
        <f>'Grid_Requirement'!AM47</f>
        <v/>
      </c>
      <c r="AP1100">
        <f>'Grid_Requirement'!AN47</f>
        <v/>
      </c>
      <c r="AQ1100">
        <f>'Grid_Requirement'!AO47</f>
        <v/>
      </c>
      <c r="AR1100">
        <f>'Grid_Requirement'!AP47</f>
        <v/>
      </c>
      <c r="AS1100">
        <f>'Grid_Requirement'!AQ47</f>
        <v/>
      </c>
      <c r="AT1100">
        <f>'Grid_Requirement'!AR47</f>
        <v/>
      </c>
      <c r="AU1100">
        <f>'Grid_Requirement'!AS47</f>
        <v/>
      </c>
      <c r="AV1100">
        <f>'Grid_Requirement'!AT47</f>
        <v/>
      </c>
      <c r="AW1100">
        <f>'Grid_Requirement'!AU47</f>
        <v/>
      </c>
      <c r="AX1100">
        <f>'Grid_Requirement'!AV47</f>
        <v/>
      </c>
      <c r="AY1100">
        <f>'Grid_Requirement'!AW47</f>
        <v/>
      </c>
      <c r="AZ1100">
        <f>'Grid_Requirement'!AX47</f>
        <v/>
      </c>
      <c r="BA1100">
        <f>'Grid_Requirement'!AY47</f>
        <v/>
      </c>
      <c r="BB1100">
        <f>'Grid_Requirement'!AZ47</f>
        <v/>
      </c>
      <c r="BC1100">
        <f>'Grid_Requirement'!BA47</f>
        <v/>
      </c>
      <c r="BD1100">
        <f>'Grid_Requirement'!BB47</f>
        <v/>
      </c>
      <c r="BE1100">
        <f>'Grid_Requirement'!BC47</f>
        <v/>
      </c>
      <c r="BF1100">
        <f>'Grid_Requirement'!BD47</f>
        <v/>
      </c>
      <c r="BG1100">
        <f>'Grid_Requirement'!BE47</f>
        <v/>
      </c>
      <c r="BH1100">
        <f>'Grid_Requirement'!BF47</f>
        <v/>
      </c>
      <c r="BI1100">
        <f>'Grid_Requirement'!BG47</f>
        <v/>
      </c>
      <c r="BJ1100">
        <f>'Grid_Requirement'!BH47</f>
        <v/>
      </c>
      <c r="BK1100">
        <f>'Grid_Requirement'!BI47</f>
        <v/>
      </c>
      <c r="BL1100">
        <f>'Grid_Requirement'!BJ47</f>
        <v/>
      </c>
      <c r="BM1100">
        <f>'Grid_Requirement'!BK47</f>
        <v/>
      </c>
      <c r="BN1100">
        <f>'Grid_Requirement'!BL47</f>
        <v/>
      </c>
      <c r="BO1100">
        <f>'Grid_Requirement'!BM47</f>
        <v/>
      </c>
      <c r="BP1100">
        <f>'Grid_Requirement'!BN47</f>
        <v/>
      </c>
      <c r="BQ1100">
        <f>'Grid_Requirement'!BO47</f>
        <v/>
      </c>
      <c r="BR1100">
        <f>'Grid_Requirement'!BP47</f>
        <v/>
      </c>
      <c r="BS1100">
        <f>'Grid_Requirement'!BQ47</f>
        <v/>
      </c>
      <c r="BT1100">
        <f>'Grid_Requirement'!BR47</f>
        <v/>
      </c>
      <c r="BU1100">
        <f>'Grid_Requirement'!BS47</f>
        <v/>
      </c>
      <c r="BV1100">
        <f>'Grid_Requirement'!BT47</f>
        <v/>
      </c>
      <c r="BW1100">
        <f>'Grid_Requirement'!BU47</f>
        <v/>
      </c>
      <c r="BX1100">
        <f>'Grid_Requirement'!BV47</f>
        <v/>
      </c>
      <c r="BY1100">
        <f>'Grid_Requirement'!BW47</f>
        <v/>
      </c>
      <c r="BZ1100">
        <f>'Grid_Requirement'!BX47</f>
        <v/>
      </c>
      <c r="CA1100">
        <f>'Grid_Requirement'!BY47</f>
        <v/>
      </c>
      <c r="CB1100">
        <f>'Grid_Requirement'!BZ47</f>
        <v/>
      </c>
      <c r="CC1100">
        <f>'Grid_Requirement'!CA47</f>
        <v/>
      </c>
      <c r="CD1100">
        <f>'Grid_Requirement'!CB47</f>
        <v/>
      </c>
      <c r="CE1100">
        <f>'Grid_Requirement'!CC47</f>
        <v/>
      </c>
      <c r="CF1100">
        <f>'Grid_Requirement'!CD47</f>
        <v/>
      </c>
      <c r="CG1100">
        <f>'Grid_Requirement'!CE47</f>
        <v/>
      </c>
      <c r="CH1100">
        <f>'Grid_Requirement'!CF47</f>
        <v/>
      </c>
      <c r="CI1100">
        <f>'Grid_Requirement'!CG47</f>
        <v/>
      </c>
      <c r="CJ1100">
        <f>'Grid_Requirement'!CH47</f>
        <v/>
      </c>
      <c r="CK1100">
        <f>'Grid_Requirement'!CI47</f>
        <v/>
      </c>
      <c r="CL1100">
        <f>'Grid_Requirement'!CJ47</f>
        <v/>
      </c>
      <c r="CM1100">
        <f>'Grid_Requirement'!CK47</f>
        <v/>
      </c>
      <c r="CN1100">
        <f>'Grid_Requirement'!CL47</f>
        <v/>
      </c>
      <c r="CO1100">
        <f>'Grid_Requirement'!CM47</f>
        <v/>
      </c>
      <c r="CP1100">
        <f>'Grid_Requirement'!CN47</f>
        <v/>
      </c>
      <c r="CQ1100">
        <f>'Grid_Requirement'!CO47</f>
        <v/>
      </c>
      <c r="CR1100">
        <f>'Grid_Requirement'!CP47</f>
        <v/>
      </c>
      <c r="CS1100">
        <f>'Grid_Requirement'!CQ47</f>
        <v/>
      </c>
      <c r="CT1100">
        <f>'Grid_Requirement'!CR47</f>
        <v/>
      </c>
      <c r="CU1100">
        <f>'Grid_Requirement'!CS47</f>
        <v/>
      </c>
      <c r="CV1100">
        <f>'Grid_Requirement'!CT47</f>
        <v/>
      </c>
      <c r="CW1100">
        <f>'Grid_Requirement'!CU47</f>
        <v/>
      </c>
      <c r="CX1100">
        <f>'Grid_Requirement'!CV47</f>
        <v/>
      </c>
      <c r="CY1100">
        <f>'Grid_Requirement'!CW47</f>
        <v/>
      </c>
      <c r="CZ1100">
        <f>'Grid_Requirement'!CX47</f>
        <v/>
      </c>
      <c r="DA1100">
        <f>'Grid_Requirement'!CY47</f>
        <v/>
      </c>
      <c r="DB1100">
        <f>'Grid_Requirement'!CZ47</f>
        <v/>
      </c>
      <c r="DC1100">
        <f>'Grid_Requirement'!DA47</f>
        <v/>
      </c>
    </row>
    <row r="1101">
      <c r="B1101" t="inlineStr">
        <is>
          <t>TTAF在庫(実績,kg)</t>
        </is>
      </c>
      <c r="D1101">
        <f>'T_TTAFStock'!B51</f>
        <v/>
      </c>
      <c r="E1101">
        <f>'T_TTAFStock'!C51</f>
        <v/>
      </c>
      <c r="F1101">
        <f>'T_TTAFStock'!D51</f>
        <v/>
      </c>
      <c r="G1101">
        <f>'T_TTAFStock'!E51</f>
        <v/>
      </c>
      <c r="H1101">
        <f>'T_TTAFStock'!F51</f>
        <v/>
      </c>
      <c r="I1101">
        <f>'T_TTAFStock'!G51</f>
        <v/>
      </c>
      <c r="J1101">
        <f>'T_TTAFStock'!H51</f>
        <v/>
      </c>
      <c r="K1101">
        <f>'T_TTAFStock'!I51</f>
        <v/>
      </c>
      <c r="L1101">
        <f>'T_TTAFStock'!J51</f>
        <v/>
      </c>
      <c r="M1101">
        <f>'T_TTAFStock'!K51</f>
        <v/>
      </c>
      <c r="N1101">
        <f>'T_TTAFStock'!L51</f>
        <v/>
      </c>
      <c r="O1101">
        <f>'T_TTAFStock'!M51</f>
        <v/>
      </c>
      <c r="P1101">
        <f>'T_TTAFStock'!N51</f>
        <v/>
      </c>
      <c r="Q1101">
        <f>'T_TTAFStock'!O51</f>
        <v/>
      </c>
      <c r="R1101">
        <f>'T_TTAFStock'!P51</f>
        <v/>
      </c>
      <c r="S1101">
        <f>'T_TTAFStock'!Q51</f>
        <v/>
      </c>
      <c r="T1101">
        <f>'T_TTAFStock'!R51</f>
        <v/>
      </c>
      <c r="U1101">
        <f>'T_TTAFStock'!S51</f>
        <v/>
      </c>
      <c r="V1101">
        <f>'T_TTAFStock'!T51</f>
        <v/>
      </c>
      <c r="W1101">
        <f>'T_TTAFStock'!U51</f>
        <v/>
      </c>
      <c r="X1101">
        <f>'T_TTAFStock'!V51</f>
        <v/>
      </c>
      <c r="Y1101">
        <f>'T_TTAFStock'!W51</f>
        <v/>
      </c>
      <c r="Z1101">
        <f>'T_TTAFStock'!X51</f>
        <v/>
      </c>
      <c r="AA1101">
        <f>'T_TTAFStock'!Y51</f>
        <v/>
      </c>
      <c r="AB1101">
        <f>'T_TTAFStock'!Z51</f>
        <v/>
      </c>
      <c r="AC1101">
        <f>'T_TTAFStock'!AA51</f>
        <v/>
      </c>
      <c r="AD1101">
        <f>'T_TTAFStock'!AB51</f>
        <v/>
      </c>
      <c r="AE1101">
        <f>'T_TTAFStock'!AC51</f>
        <v/>
      </c>
      <c r="AF1101">
        <f>'T_TTAFStock'!AD51</f>
        <v/>
      </c>
      <c r="AG1101">
        <f>'T_TTAFStock'!AE51</f>
        <v/>
      </c>
      <c r="AH1101">
        <f>'T_TTAFStock'!AF51</f>
        <v/>
      </c>
      <c r="AI1101">
        <f>'T_TTAFStock'!AG51</f>
        <v/>
      </c>
      <c r="AJ1101">
        <f>'T_TTAFStock'!AH51</f>
        <v/>
      </c>
      <c r="AK1101">
        <f>'T_TTAFStock'!AI51</f>
        <v/>
      </c>
      <c r="AL1101">
        <f>'T_TTAFStock'!AJ51</f>
        <v/>
      </c>
      <c r="AM1101">
        <f>'T_TTAFStock'!AK51</f>
        <v/>
      </c>
      <c r="AN1101">
        <f>'T_TTAFStock'!AL51</f>
        <v/>
      </c>
      <c r="AO1101">
        <f>'T_TTAFStock'!AM51</f>
        <v/>
      </c>
      <c r="AP1101">
        <f>'T_TTAFStock'!AN51</f>
        <v/>
      </c>
      <c r="AQ1101">
        <f>'T_TTAFStock'!AO51</f>
        <v/>
      </c>
      <c r="AR1101">
        <f>'T_TTAFStock'!AP51</f>
        <v/>
      </c>
      <c r="AS1101">
        <f>'T_TTAFStock'!AQ51</f>
        <v/>
      </c>
      <c r="AT1101">
        <f>'T_TTAFStock'!AR51</f>
        <v/>
      </c>
      <c r="AU1101">
        <f>'T_TTAFStock'!AS51</f>
        <v/>
      </c>
      <c r="AV1101">
        <f>'T_TTAFStock'!AT51</f>
        <v/>
      </c>
      <c r="AW1101">
        <f>'T_TTAFStock'!AU51</f>
        <v/>
      </c>
      <c r="AX1101">
        <f>'T_TTAFStock'!AV51</f>
        <v/>
      </c>
      <c r="AY1101">
        <f>'T_TTAFStock'!AW51</f>
        <v/>
      </c>
      <c r="AZ1101">
        <f>'T_TTAFStock'!AX51</f>
        <v/>
      </c>
      <c r="BA1101">
        <f>'T_TTAFStock'!AY51</f>
        <v/>
      </c>
      <c r="BB1101">
        <f>'T_TTAFStock'!AZ51</f>
        <v/>
      </c>
      <c r="BC1101">
        <f>'T_TTAFStock'!BA51</f>
        <v/>
      </c>
      <c r="BD1101">
        <f>'T_TTAFStock'!BB51</f>
        <v/>
      </c>
      <c r="BE1101">
        <f>'T_TTAFStock'!BC51</f>
        <v/>
      </c>
      <c r="BF1101">
        <f>'T_TTAFStock'!BD51</f>
        <v/>
      </c>
      <c r="BG1101">
        <f>'T_TTAFStock'!BE51</f>
        <v/>
      </c>
      <c r="BH1101">
        <f>'T_TTAFStock'!BF51</f>
        <v/>
      </c>
      <c r="BI1101">
        <f>'T_TTAFStock'!BG51</f>
        <v/>
      </c>
      <c r="BJ1101">
        <f>'T_TTAFStock'!BH51</f>
        <v/>
      </c>
      <c r="BK1101">
        <f>'T_TTAFStock'!BI51</f>
        <v/>
      </c>
      <c r="BL1101">
        <f>'T_TTAFStock'!BJ51</f>
        <v/>
      </c>
      <c r="BM1101">
        <f>'T_TTAFStock'!BK51</f>
        <v/>
      </c>
      <c r="BN1101">
        <f>'T_TTAFStock'!BL51</f>
        <v/>
      </c>
      <c r="BO1101">
        <f>'T_TTAFStock'!BM51</f>
        <v/>
      </c>
      <c r="BP1101">
        <f>'T_TTAFStock'!BN51</f>
        <v/>
      </c>
      <c r="BQ1101">
        <f>'T_TTAFStock'!BO51</f>
        <v/>
      </c>
      <c r="BR1101">
        <f>'T_TTAFStock'!BP51</f>
        <v/>
      </c>
      <c r="BS1101">
        <f>'T_TTAFStock'!BQ51</f>
        <v/>
      </c>
      <c r="BT1101">
        <f>'T_TTAFStock'!BR51</f>
        <v/>
      </c>
      <c r="BU1101">
        <f>'T_TTAFStock'!BS51</f>
        <v/>
      </c>
      <c r="BV1101">
        <f>'T_TTAFStock'!BT51</f>
        <v/>
      </c>
      <c r="BW1101">
        <f>'T_TTAFStock'!BU51</f>
        <v/>
      </c>
      <c r="BX1101">
        <f>'T_TTAFStock'!BV51</f>
        <v/>
      </c>
      <c r="BY1101">
        <f>'T_TTAFStock'!BW51</f>
        <v/>
      </c>
      <c r="BZ1101">
        <f>'T_TTAFStock'!BX51</f>
        <v/>
      </c>
      <c r="CA1101">
        <f>'T_TTAFStock'!BY51</f>
        <v/>
      </c>
      <c r="CB1101">
        <f>'T_TTAFStock'!BZ51</f>
        <v/>
      </c>
      <c r="CC1101">
        <f>'T_TTAFStock'!CA51</f>
        <v/>
      </c>
      <c r="CD1101">
        <f>'T_TTAFStock'!CB51</f>
        <v/>
      </c>
      <c r="CE1101">
        <f>'T_TTAFStock'!CC51</f>
        <v/>
      </c>
      <c r="CF1101">
        <f>'T_TTAFStock'!CD51</f>
        <v/>
      </c>
      <c r="CG1101">
        <f>'T_TTAFStock'!CE51</f>
        <v/>
      </c>
      <c r="CH1101">
        <f>'T_TTAFStock'!CF51</f>
        <v/>
      </c>
      <c r="CI1101">
        <f>'T_TTAFStock'!CG51</f>
        <v/>
      </c>
      <c r="CJ1101">
        <f>'T_TTAFStock'!CH51</f>
        <v/>
      </c>
      <c r="CK1101">
        <f>'T_TTAFStock'!CI51</f>
        <v/>
      </c>
      <c r="CL1101">
        <f>'T_TTAFStock'!CJ51</f>
        <v/>
      </c>
      <c r="CM1101">
        <f>'T_TTAFStock'!CK51</f>
        <v/>
      </c>
      <c r="CN1101">
        <f>'T_TTAFStock'!CL51</f>
        <v/>
      </c>
      <c r="CO1101">
        <f>'T_TTAFStock'!CM51</f>
        <v/>
      </c>
      <c r="CP1101">
        <f>'T_TTAFStock'!CN51</f>
        <v/>
      </c>
      <c r="CQ1101">
        <f>'T_TTAFStock'!CO51</f>
        <v/>
      </c>
      <c r="CR1101">
        <f>'T_TTAFStock'!CP51</f>
        <v/>
      </c>
      <c r="CS1101">
        <f>'T_TTAFStock'!CQ51</f>
        <v/>
      </c>
      <c r="CT1101">
        <f>'T_TTAFStock'!CR51</f>
        <v/>
      </c>
      <c r="CU1101">
        <f>'T_TTAFStock'!CS51</f>
        <v/>
      </c>
      <c r="CV1101">
        <f>'T_TTAFStock'!CT51</f>
        <v/>
      </c>
      <c r="CW1101">
        <f>'T_TTAFStock'!CU51</f>
        <v/>
      </c>
      <c r="CX1101">
        <f>'T_TTAFStock'!CV51</f>
        <v/>
      </c>
      <c r="CY1101">
        <f>'T_TTAFStock'!CW51</f>
        <v/>
      </c>
      <c r="CZ1101">
        <f>'T_TTAFStock'!CX51</f>
        <v/>
      </c>
      <c r="DA1101">
        <f>'T_TTAFStock'!CY51</f>
        <v/>
      </c>
      <c r="DB1101">
        <f>'T_TTAFStock'!CZ51</f>
        <v/>
      </c>
      <c r="DC1101">
        <f>'T_TTAFStock'!DA51</f>
        <v/>
      </c>
    </row>
    <row r="1102">
      <c r="B1102" t="inlineStr">
        <is>
          <t>自社在庫(実績,kg)</t>
        </is>
      </c>
      <c r="D1102">
        <f>'T_SelfStock'!B51</f>
        <v/>
      </c>
      <c r="E1102">
        <f>'T_SelfStock'!C51</f>
        <v/>
      </c>
      <c r="F1102">
        <f>'T_SelfStock'!D51</f>
        <v/>
      </c>
      <c r="G1102">
        <f>'T_SelfStock'!E51</f>
        <v/>
      </c>
      <c r="H1102">
        <f>'T_SelfStock'!F51</f>
        <v/>
      </c>
      <c r="I1102">
        <f>'T_SelfStock'!G51</f>
        <v/>
      </c>
      <c r="J1102">
        <f>'T_SelfStock'!H51</f>
        <v/>
      </c>
      <c r="K1102">
        <f>'T_SelfStock'!I51</f>
        <v/>
      </c>
      <c r="L1102">
        <f>'T_SelfStock'!J51</f>
        <v/>
      </c>
      <c r="M1102">
        <f>'T_SelfStock'!K51</f>
        <v/>
      </c>
      <c r="N1102">
        <f>'T_SelfStock'!L51</f>
        <v/>
      </c>
      <c r="O1102">
        <f>'T_SelfStock'!M51</f>
        <v/>
      </c>
      <c r="P1102">
        <f>'T_SelfStock'!N51</f>
        <v/>
      </c>
      <c r="Q1102">
        <f>'T_SelfStock'!O51</f>
        <v/>
      </c>
      <c r="R1102">
        <f>'T_SelfStock'!P51</f>
        <v/>
      </c>
      <c r="S1102">
        <f>'T_SelfStock'!Q51</f>
        <v/>
      </c>
      <c r="T1102">
        <f>'T_SelfStock'!R51</f>
        <v/>
      </c>
      <c r="U1102">
        <f>'T_SelfStock'!S51</f>
        <v/>
      </c>
      <c r="V1102">
        <f>'T_SelfStock'!T51</f>
        <v/>
      </c>
      <c r="W1102">
        <f>'T_SelfStock'!U51</f>
        <v/>
      </c>
      <c r="X1102">
        <f>'T_SelfStock'!V51</f>
        <v/>
      </c>
      <c r="Y1102">
        <f>'T_SelfStock'!W51</f>
        <v/>
      </c>
      <c r="Z1102">
        <f>'T_SelfStock'!X51</f>
        <v/>
      </c>
      <c r="AA1102">
        <f>'T_SelfStock'!Y51</f>
        <v/>
      </c>
      <c r="AB1102">
        <f>'T_SelfStock'!Z51</f>
        <v/>
      </c>
      <c r="AC1102">
        <f>'T_SelfStock'!AA51</f>
        <v/>
      </c>
      <c r="AD1102">
        <f>'T_SelfStock'!AB51</f>
        <v/>
      </c>
      <c r="AE1102">
        <f>'T_SelfStock'!AC51</f>
        <v/>
      </c>
      <c r="AF1102">
        <f>'T_SelfStock'!AD51</f>
        <v/>
      </c>
      <c r="AG1102">
        <f>'T_SelfStock'!AE51</f>
        <v/>
      </c>
      <c r="AH1102">
        <f>'T_SelfStock'!AF51</f>
        <v/>
      </c>
      <c r="AI1102">
        <f>'T_SelfStock'!AG51</f>
        <v/>
      </c>
      <c r="AJ1102">
        <f>'T_SelfStock'!AH51</f>
        <v/>
      </c>
      <c r="AK1102">
        <f>'T_SelfStock'!AI51</f>
        <v/>
      </c>
      <c r="AL1102">
        <f>'T_SelfStock'!AJ51</f>
        <v/>
      </c>
      <c r="AM1102">
        <f>'T_SelfStock'!AK51</f>
        <v/>
      </c>
      <c r="AN1102">
        <f>'T_SelfStock'!AL51</f>
        <v/>
      </c>
      <c r="AO1102">
        <f>'T_SelfStock'!AM51</f>
        <v/>
      </c>
      <c r="AP1102">
        <f>'T_SelfStock'!AN51</f>
        <v/>
      </c>
      <c r="AQ1102">
        <f>'T_SelfStock'!AO51</f>
        <v/>
      </c>
      <c r="AR1102">
        <f>'T_SelfStock'!AP51</f>
        <v/>
      </c>
      <c r="AS1102">
        <f>'T_SelfStock'!AQ51</f>
        <v/>
      </c>
      <c r="AT1102">
        <f>'T_SelfStock'!AR51</f>
        <v/>
      </c>
      <c r="AU1102">
        <f>'T_SelfStock'!AS51</f>
        <v/>
      </c>
      <c r="AV1102">
        <f>'T_SelfStock'!AT51</f>
        <v/>
      </c>
      <c r="AW1102">
        <f>'T_SelfStock'!AU51</f>
        <v/>
      </c>
      <c r="AX1102">
        <f>'T_SelfStock'!AV51</f>
        <v/>
      </c>
      <c r="AY1102">
        <f>'T_SelfStock'!AW51</f>
        <v/>
      </c>
      <c r="AZ1102">
        <f>'T_SelfStock'!AX51</f>
        <v/>
      </c>
      <c r="BA1102">
        <f>'T_SelfStock'!AY51</f>
        <v/>
      </c>
      <c r="BB1102">
        <f>'T_SelfStock'!AZ51</f>
        <v/>
      </c>
      <c r="BC1102">
        <f>'T_SelfStock'!BA51</f>
        <v/>
      </c>
      <c r="BD1102">
        <f>'T_SelfStock'!BB51</f>
        <v/>
      </c>
      <c r="BE1102">
        <f>'T_SelfStock'!BC51</f>
        <v/>
      </c>
      <c r="BF1102">
        <f>'T_SelfStock'!BD51</f>
        <v/>
      </c>
      <c r="BG1102">
        <f>'T_SelfStock'!BE51</f>
        <v/>
      </c>
      <c r="BH1102">
        <f>'T_SelfStock'!BF51</f>
        <v/>
      </c>
      <c r="BI1102">
        <f>'T_SelfStock'!BG51</f>
        <v/>
      </c>
      <c r="BJ1102">
        <f>'T_SelfStock'!BH51</f>
        <v/>
      </c>
      <c r="BK1102">
        <f>'T_SelfStock'!BI51</f>
        <v/>
      </c>
      <c r="BL1102">
        <f>'T_SelfStock'!BJ51</f>
        <v/>
      </c>
      <c r="BM1102">
        <f>'T_SelfStock'!BK51</f>
        <v/>
      </c>
      <c r="BN1102">
        <f>'T_SelfStock'!BL51</f>
        <v/>
      </c>
      <c r="BO1102">
        <f>'T_SelfStock'!BM51</f>
        <v/>
      </c>
      <c r="BP1102">
        <f>'T_SelfStock'!BN51</f>
        <v/>
      </c>
      <c r="BQ1102">
        <f>'T_SelfStock'!BO51</f>
        <v/>
      </c>
      <c r="BR1102">
        <f>'T_SelfStock'!BP51</f>
        <v/>
      </c>
      <c r="BS1102">
        <f>'T_SelfStock'!BQ51</f>
        <v/>
      </c>
      <c r="BT1102">
        <f>'T_SelfStock'!BR51</f>
        <v/>
      </c>
      <c r="BU1102">
        <f>'T_SelfStock'!BS51</f>
        <v/>
      </c>
      <c r="BV1102">
        <f>'T_SelfStock'!BT51</f>
        <v/>
      </c>
      <c r="BW1102">
        <f>'T_SelfStock'!BU51</f>
        <v/>
      </c>
      <c r="BX1102">
        <f>'T_SelfStock'!BV51</f>
        <v/>
      </c>
      <c r="BY1102">
        <f>'T_SelfStock'!BW51</f>
        <v/>
      </c>
      <c r="BZ1102">
        <f>'T_SelfStock'!BX51</f>
        <v/>
      </c>
      <c r="CA1102">
        <f>'T_SelfStock'!BY51</f>
        <v/>
      </c>
      <c r="CB1102">
        <f>'T_SelfStock'!BZ51</f>
        <v/>
      </c>
      <c r="CC1102">
        <f>'T_SelfStock'!CA51</f>
        <v/>
      </c>
      <c r="CD1102">
        <f>'T_SelfStock'!CB51</f>
        <v/>
      </c>
      <c r="CE1102">
        <f>'T_SelfStock'!CC51</f>
        <v/>
      </c>
      <c r="CF1102">
        <f>'T_SelfStock'!CD51</f>
        <v/>
      </c>
      <c r="CG1102">
        <f>'T_SelfStock'!CE51</f>
        <v/>
      </c>
      <c r="CH1102">
        <f>'T_SelfStock'!CF51</f>
        <v/>
      </c>
      <c r="CI1102">
        <f>'T_SelfStock'!CG51</f>
        <v/>
      </c>
      <c r="CJ1102">
        <f>'T_SelfStock'!CH51</f>
        <v/>
      </c>
      <c r="CK1102">
        <f>'T_SelfStock'!CI51</f>
        <v/>
      </c>
      <c r="CL1102">
        <f>'T_SelfStock'!CJ51</f>
        <v/>
      </c>
      <c r="CM1102">
        <f>'T_SelfStock'!CK51</f>
        <v/>
      </c>
      <c r="CN1102">
        <f>'T_SelfStock'!CL51</f>
        <v/>
      </c>
      <c r="CO1102">
        <f>'T_SelfStock'!CM51</f>
        <v/>
      </c>
      <c r="CP1102">
        <f>'T_SelfStock'!CN51</f>
        <v/>
      </c>
      <c r="CQ1102">
        <f>'T_SelfStock'!CO51</f>
        <v/>
      </c>
      <c r="CR1102">
        <f>'T_SelfStock'!CP51</f>
        <v/>
      </c>
      <c r="CS1102">
        <f>'T_SelfStock'!CQ51</f>
        <v/>
      </c>
      <c r="CT1102">
        <f>'T_SelfStock'!CR51</f>
        <v/>
      </c>
      <c r="CU1102">
        <f>'T_SelfStock'!CS51</f>
        <v/>
      </c>
      <c r="CV1102">
        <f>'T_SelfStock'!CT51</f>
        <v/>
      </c>
      <c r="CW1102">
        <f>'T_SelfStock'!CU51</f>
        <v/>
      </c>
      <c r="CX1102">
        <f>'T_SelfStock'!CV51</f>
        <v/>
      </c>
      <c r="CY1102">
        <f>'T_SelfStock'!CW51</f>
        <v/>
      </c>
      <c r="CZ1102">
        <f>'T_SelfStock'!CX51</f>
        <v/>
      </c>
      <c r="DA1102">
        <f>'T_SelfStock'!CY51</f>
        <v/>
      </c>
      <c r="DB1102">
        <f>'T_SelfStock'!CZ51</f>
        <v/>
      </c>
      <c r="DC1102">
        <f>'T_SelfStock'!DA51</f>
        <v/>
      </c>
    </row>
    <row r="1103">
      <c r="B1103" t="inlineStr">
        <is>
          <t>Order(発注予定,kg)</t>
        </is>
      </c>
      <c r="D1103">
        <f>IF(SUMIFS(T_PlannedOrders[EffectiveQty],T_PlannedOrders[Part Name],$A1095,T_PlannedOrders[WeekIndex],1)=0,"",SUMIFS(T_PlannedOrders[EffectiveQty],T_PlannedOrders[Part Name],$A1095,T_PlannedOrders[WeekIndex],1)&amp;" ("&amp;TEXT(SUMPRODUCT(MAX((T_PlannedOrders[Part Name]=$A1095)*(T_PlannedOrders[WeekIndex]=1)*(T_PlannedOrders[EffectiveQty]&gt;0)*T_PlannedOrders[Order_Month])),"m月")&amp;"発注)")</f>
        <v/>
      </c>
      <c r="E1103">
        <f>IF(SUMIFS(T_PlannedOrders[EffectiveQty],T_PlannedOrders[Part Name],$A1095,T_PlannedOrders[WeekIndex],2)=0,"",SUMIFS(T_PlannedOrders[EffectiveQty],T_PlannedOrders[Part Name],$A1095,T_PlannedOrders[WeekIndex],2)&amp;" ("&amp;TEXT(SUMPRODUCT(MAX((T_PlannedOrders[Part Name]=$A1095)*(T_PlannedOrders[WeekIndex]=2)*(T_PlannedOrders[EffectiveQty]&gt;0)*T_PlannedOrders[Order_Month])),"m月")&amp;"発注)")</f>
        <v/>
      </c>
      <c r="F1103">
        <f>IF(SUMIFS(T_PlannedOrders[EffectiveQty],T_PlannedOrders[Part Name],$A1095,T_PlannedOrders[WeekIndex],3)=0,"",SUMIFS(T_PlannedOrders[EffectiveQty],T_PlannedOrders[Part Name],$A1095,T_PlannedOrders[WeekIndex],3)&amp;" ("&amp;TEXT(SUMPRODUCT(MAX((T_PlannedOrders[Part Name]=$A1095)*(T_PlannedOrders[WeekIndex]=3)*(T_PlannedOrders[EffectiveQty]&gt;0)*T_PlannedOrders[Order_Month])),"m月")&amp;"発注)")</f>
        <v/>
      </c>
      <c r="G1103">
        <f>IF(SUMIFS(T_PlannedOrders[EffectiveQty],T_PlannedOrders[Part Name],$A1095,T_PlannedOrders[WeekIndex],4)=0,"",SUMIFS(T_PlannedOrders[EffectiveQty],T_PlannedOrders[Part Name],$A1095,T_PlannedOrders[WeekIndex],4)&amp;" ("&amp;TEXT(SUMPRODUCT(MAX((T_PlannedOrders[Part Name]=$A1095)*(T_PlannedOrders[WeekIndex]=4)*(T_PlannedOrders[EffectiveQty]&gt;0)*T_PlannedOrders[Order_Month])),"m月")&amp;"発注)")</f>
        <v/>
      </c>
      <c r="H1103">
        <f>IF(SUMIFS(T_PlannedOrders[EffectiveQty],T_PlannedOrders[Part Name],$A1095,T_PlannedOrders[WeekIndex],5)=0,"",SUMIFS(T_PlannedOrders[EffectiveQty],T_PlannedOrders[Part Name],$A1095,T_PlannedOrders[WeekIndex],5)&amp;" ("&amp;TEXT(SUMPRODUCT(MAX((T_PlannedOrders[Part Name]=$A1095)*(T_PlannedOrders[WeekIndex]=5)*(T_PlannedOrders[EffectiveQty]&gt;0)*T_PlannedOrders[Order_Month])),"m月")&amp;"発注)")</f>
        <v/>
      </c>
      <c r="I1103">
        <f>IF(SUMIFS(T_PlannedOrders[EffectiveQty],T_PlannedOrders[Part Name],$A1095,T_PlannedOrders[WeekIndex],6)=0,"",SUMIFS(T_PlannedOrders[EffectiveQty],T_PlannedOrders[Part Name],$A1095,T_PlannedOrders[WeekIndex],6)&amp;" ("&amp;TEXT(SUMPRODUCT(MAX((T_PlannedOrders[Part Name]=$A1095)*(T_PlannedOrders[WeekIndex]=6)*(T_PlannedOrders[EffectiveQty]&gt;0)*T_PlannedOrders[Order_Month])),"m月")&amp;"発注)")</f>
        <v/>
      </c>
      <c r="J1103">
        <f>IF(SUMIFS(T_PlannedOrders[EffectiveQty],T_PlannedOrders[Part Name],$A1095,T_PlannedOrders[WeekIndex],7)=0,"",SUMIFS(T_PlannedOrders[EffectiveQty],T_PlannedOrders[Part Name],$A1095,T_PlannedOrders[WeekIndex],7)&amp;" ("&amp;TEXT(SUMPRODUCT(MAX((T_PlannedOrders[Part Name]=$A1095)*(T_PlannedOrders[WeekIndex]=7)*(T_PlannedOrders[EffectiveQty]&gt;0)*T_PlannedOrders[Order_Month])),"m月")&amp;"発注)")</f>
        <v/>
      </c>
      <c r="K1103">
        <f>IF(SUMIFS(T_PlannedOrders[EffectiveQty],T_PlannedOrders[Part Name],$A1095,T_PlannedOrders[WeekIndex],8)=0,"",SUMIFS(T_PlannedOrders[EffectiveQty],T_PlannedOrders[Part Name],$A1095,T_PlannedOrders[WeekIndex],8)&amp;" ("&amp;TEXT(SUMPRODUCT(MAX((T_PlannedOrders[Part Name]=$A1095)*(T_PlannedOrders[WeekIndex]=8)*(T_PlannedOrders[EffectiveQty]&gt;0)*T_PlannedOrders[Order_Month])),"m月")&amp;"発注)")</f>
        <v/>
      </c>
      <c r="L1103">
        <f>IF(SUMIFS(T_PlannedOrders[EffectiveQty],T_PlannedOrders[Part Name],$A1095,T_PlannedOrders[WeekIndex],9)=0,"",SUMIFS(T_PlannedOrders[EffectiveQty],T_PlannedOrders[Part Name],$A1095,T_PlannedOrders[WeekIndex],9)&amp;" ("&amp;TEXT(SUMPRODUCT(MAX((T_PlannedOrders[Part Name]=$A1095)*(T_PlannedOrders[WeekIndex]=9)*(T_PlannedOrders[EffectiveQty]&gt;0)*T_PlannedOrders[Order_Month])),"m月")&amp;"発注)")</f>
        <v/>
      </c>
      <c r="M1103">
        <f>IF(SUMIFS(T_PlannedOrders[EffectiveQty],T_PlannedOrders[Part Name],$A1095,T_PlannedOrders[WeekIndex],10)=0,"",SUMIFS(T_PlannedOrders[EffectiveQty],T_PlannedOrders[Part Name],$A1095,T_PlannedOrders[WeekIndex],10)&amp;" ("&amp;TEXT(SUMPRODUCT(MAX((T_PlannedOrders[Part Name]=$A1095)*(T_PlannedOrders[WeekIndex]=10)*(T_PlannedOrders[EffectiveQty]&gt;0)*T_PlannedOrders[Order_Month])),"m月")&amp;"発注)")</f>
        <v/>
      </c>
      <c r="N1103">
        <f>IF(SUMIFS(T_PlannedOrders[EffectiveQty],T_PlannedOrders[Part Name],$A1095,T_PlannedOrders[WeekIndex],11)=0,"",SUMIFS(T_PlannedOrders[EffectiveQty],T_PlannedOrders[Part Name],$A1095,T_PlannedOrders[WeekIndex],11)&amp;" ("&amp;TEXT(SUMPRODUCT(MAX((T_PlannedOrders[Part Name]=$A1095)*(T_PlannedOrders[WeekIndex]=11)*(T_PlannedOrders[EffectiveQty]&gt;0)*T_PlannedOrders[Order_Month])),"m月")&amp;"発注)")</f>
        <v/>
      </c>
      <c r="O1103">
        <f>IF(SUMIFS(T_PlannedOrders[EffectiveQty],T_PlannedOrders[Part Name],$A1095,T_PlannedOrders[WeekIndex],12)=0,"",SUMIFS(T_PlannedOrders[EffectiveQty],T_PlannedOrders[Part Name],$A1095,T_PlannedOrders[WeekIndex],12)&amp;" ("&amp;TEXT(SUMPRODUCT(MAX((T_PlannedOrders[Part Name]=$A1095)*(T_PlannedOrders[WeekIndex]=12)*(T_PlannedOrders[EffectiveQty]&gt;0)*T_PlannedOrders[Order_Month])),"m月")&amp;"発注)")</f>
        <v/>
      </c>
      <c r="P1103">
        <f>IF(SUMIFS(T_PlannedOrders[EffectiveQty],T_PlannedOrders[Part Name],$A1095,T_PlannedOrders[WeekIndex],13)=0,"",SUMIFS(T_PlannedOrders[EffectiveQty],T_PlannedOrders[Part Name],$A1095,T_PlannedOrders[WeekIndex],13)&amp;" ("&amp;TEXT(SUMPRODUCT(MAX((T_PlannedOrders[Part Name]=$A1095)*(T_PlannedOrders[WeekIndex]=13)*(T_PlannedOrders[EffectiveQty]&gt;0)*T_PlannedOrders[Order_Month])),"m月")&amp;"発注)")</f>
        <v/>
      </c>
      <c r="Q1103">
        <f>IF(SUMIFS(T_PlannedOrders[EffectiveQty],T_PlannedOrders[Part Name],$A1095,T_PlannedOrders[WeekIndex],14)=0,"",SUMIFS(T_PlannedOrders[EffectiveQty],T_PlannedOrders[Part Name],$A1095,T_PlannedOrders[WeekIndex],14)&amp;" ("&amp;TEXT(SUMPRODUCT(MAX((T_PlannedOrders[Part Name]=$A1095)*(T_PlannedOrders[WeekIndex]=14)*(T_PlannedOrders[EffectiveQty]&gt;0)*T_PlannedOrders[Order_Month])),"m月")&amp;"発注)")</f>
        <v/>
      </c>
      <c r="R1103">
        <f>IF(SUMIFS(T_PlannedOrders[EffectiveQty],T_PlannedOrders[Part Name],$A1095,T_PlannedOrders[WeekIndex],15)=0,"",SUMIFS(T_PlannedOrders[EffectiveQty],T_PlannedOrders[Part Name],$A1095,T_PlannedOrders[WeekIndex],15)&amp;" ("&amp;TEXT(SUMPRODUCT(MAX((T_PlannedOrders[Part Name]=$A1095)*(T_PlannedOrders[WeekIndex]=15)*(T_PlannedOrders[EffectiveQty]&gt;0)*T_PlannedOrders[Order_Month])),"m月")&amp;"発注)")</f>
        <v/>
      </c>
      <c r="S1103">
        <f>IF(SUMIFS(T_PlannedOrders[EffectiveQty],T_PlannedOrders[Part Name],$A1095,T_PlannedOrders[WeekIndex],16)=0,"",SUMIFS(T_PlannedOrders[EffectiveQty],T_PlannedOrders[Part Name],$A1095,T_PlannedOrders[WeekIndex],16)&amp;" ("&amp;TEXT(SUMPRODUCT(MAX((T_PlannedOrders[Part Name]=$A1095)*(T_PlannedOrders[WeekIndex]=16)*(T_PlannedOrders[EffectiveQty]&gt;0)*T_PlannedOrders[Order_Month])),"m月")&amp;"発注)")</f>
        <v/>
      </c>
      <c r="T1103">
        <f>IF(SUMIFS(T_PlannedOrders[EffectiveQty],T_PlannedOrders[Part Name],$A1095,T_PlannedOrders[WeekIndex],17)=0,"",SUMIFS(T_PlannedOrders[EffectiveQty],T_PlannedOrders[Part Name],$A1095,T_PlannedOrders[WeekIndex],17)&amp;" ("&amp;TEXT(SUMPRODUCT(MAX((T_PlannedOrders[Part Name]=$A1095)*(T_PlannedOrders[WeekIndex]=17)*(T_PlannedOrders[EffectiveQty]&gt;0)*T_PlannedOrders[Order_Month])),"m月")&amp;"発注)")</f>
        <v/>
      </c>
      <c r="U1103">
        <f>IF(SUMIFS(T_PlannedOrders[EffectiveQty],T_PlannedOrders[Part Name],$A1095,T_PlannedOrders[WeekIndex],18)=0,"",SUMIFS(T_PlannedOrders[EffectiveQty],T_PlannedOrders[Part Name],$A1095,T_PlannedOrders[WeekIndex],18)&amp;" ("&amp;TEXT(SUMPRODUCT(MAX((T_PlannedOrders[Part Name]=$A1095)*(T_PlannedOrders[WeekIndex]=18)*(T_PlannedOrders[EffectiveQty]&gt;0)*T_PlannedOrders[Order_Month])),"m月")&amp;"発注)")</f>
        <v/>
      </c>
      <c r="V1103">
        <f>IF(SUMIFS(T_PlannedOrders[EffectiveQty],T_PlannedOrders[Part Name],$A1095,T_PlannedOrders[WeekIndex],19)=0,"",SUMIFS(T_PlannedOrders[EffectiveQty],T_PlannedOrders[Part Name],$A1095,T_PlannedOrders[WeekIndex],19)&amp;" ("&amp;TEXT(SUMPRODUCT(MAX((T_PlannedOrders[Part Name]=$A1095)*(T_PlannedOrders[WeekIndex]=19)*(T_PlannedOrders[EffectiveQty]&gt;0)*T_PlannedOrders[Order_Month])),"m月")&amp;"発注)")</f>
        <v/>
      </c>
      <c r="W1103">
        <f>IF(SUMIFS(T_PlannedOrders[EffectiveQty],T_PlannedOrders[Part Name],$A1095,T_PlannedOrders[WeekIndex],20)=0,"",SUMIFS(T_PlannedOrders[EffectiveQty],T_PlannedOrders[Part Name],$A1095,T_PlannedOrders[WeekIndex],20)&amp;" ("&amp;TEXT(SUMPRODUCT(MAX((T_PlannedOrders[Part Name]=$A1095)*(T_PlannedOrders[WeekIndex]=20)*(T_PlannedOrders[EffectiveQty]&gt;0)*T_PlannedOrders[Order_Month])),"m月")&amp;"発注)")</f>
        <v/>
      </c>
      <c r="X1103">
        <f>IF(SUMIFS(T_PlannedOrders[EffectiveQty],T_PlannedOrders[Part Name],$A1095,T_PlannedOrders[WeekIndex],21)=0,"",SUMIFS(T_PlannedOrders[EffectiveQty],T_PlannedOrders[Part Name],$A1095,T_PlannedOrders[WeekIndex],21)&amp;" ("&amp;TEXT(SUMPRODUCT(MAX((T_PlannedOrders[Part Name]=$A1095)*(T_PlannedOrders[WeekIndex]=21)*(T_PlannedOrders[EffectiveQty]&gt;0)*T_PlannedOrders[Order_Month])),"m月")&amp;"発注)")</f>
        <v/>
      </c>
      <c r="Y1103">
        <f>IF(SUMIFS(T_PlannedOrders[EffectiveQty],T_PlannedOrders[Part Name],$A1095,T_PlannedOrders[WeekIndex],22)=0,"",SUMIFS(T_PlannedOrders[EffectiveQty],T_PlannedOrders[Part Name],$A1095,T_PlannedOrders[WeekIndex],22)&amp;" ("&amp;TEXT(SUMPRODUCT(MAX((T_PlannedOrders[Part Name]=$A1095)*(T_PlannedOrders[WeekIndex]=22)*(T_PlannedOrders[EffectiveQty]&gt;0)*T_PlannedOrders[Order_Month])),"m月")&amp;"発注)")</f>
        <v/>
      </c>
      <c r="Z1103">
        <f>IF(SUMIFS(T_PlannedOrders[EffectiveQty],T_PlannedOrders[Part Name],$A1095,T_PlannedOrders[WeekIndex],23)=0,"",SUMIFS(T_PlannedOrders[EffectiveQty],T_PlannedOrders[Part Name],$A1095,T_PlannedOrders[WeekIndex],23)&amp;" ("&amp;TEXT(SUMPRODUCT(MAX((T_PlannedOrders[Part Name]=$A1095)*(T_PlannedOrders[WeekIndex]=23)*(T_PlannedOrders[EffectiveQty]&gt;0)*T_PlannedOrders[Order_Month])),"m月")&amp;"発注)")</f>
        <v/>
      </c>
      <c r="AA1103">
        <f>IF(SUMIFS(T_PlannedOrders[EffectiveQty],T_PlannedOrders[Part Name],$A1095,T_PlannedOrders[WeekIndex],24)=0,"",SUMIFS(T_PlannedOrders[EffectiveQty],T_PlannedOrders[Part Name],$A1095,T_PlannedOrders[WeekIndex],24)&amp;" ("&amp;TEXT(SUMPRODUCT(MAX((T_PlannedOrders[Part Name]=$A1095)*(T_PlannedOrders[WeekIndex]=24)*(T_PlannedOrders[EffectiveQty]&gt;0)*T_PlannedOrders[Order_Month])),"m月")&amp;"発注)")</f>
        <v/>
      </c>
      <c r="AB1103">
        <f>IF(SUMIFS(T_PlannedOrders[EffectiveQty],T_PlannedOrders[Part Name],$A1095,T_PlannedOrders[WeekIndex],25)=0,"",SUMIFS(T_PlannedOrders[EffectiveQty],T_PlannedOrders[Part Name],$A1095,T_PlannedOrders[WeekIndex],25)&amp;" ("&amp;TEXT(SUMPRODUCT(MAX((T_PlannedOrders[Part Name]=$A1095)*(T_PlannedOrders[WeekIndex]=25)*(T_PlannedOrders[EffectiveQty]&gt;0)*T_PlannedOrders[Order_Month])),"m月")&amp;"発注)")</f>
        <v/>
      </c>
      <c r="AC1103">
        <f>IF(SUMIFS(T_PlannedOrders[EffectiveQty],T_PlannedOrders[Part Name],$A1095,T_PlannedOrders[WeekIndex],26)=0,"",SUMIFS(T_PlannedOrders[EffectiveQty],T_PlannedOrders[Part Name],$A1095,T_PlannedOrders[WeekIndex],26)&amp;" ("&amp;TEXT(SUMPRODUCT(MAX((T_PlannedOrders[Part Name]=$A1095)*(T_PlannedOrders[WeekIndex]=26)*(T_PlannedOrders[EffectiveQty]&gt;0)*T_PlannedOrders[Order_Month])),"m月")&amp;"発注)")</f>
        <v/>
      </c>
      <c r="AD1103">
        <f>IF(SUMIFS(T_PlannedOrders[EffectiveQty],T_PlannedOrders[Part Name],$A1095,T_PlannedOrders[WeekIndex],27)=0,"",SUMIFS(T_PlannedOrders[EffectiveQty],T_PlannedOrders[Part Name],$A1095,T_PlannedOrders[WeekIndex],27)&amp;" ("&amp;TEXT(SUMPRODUCT(MAX((T_PlannedOrders[Part Name]=$A1095)*(T_PlannedOrders[WeekIndex]=27)*(T_PlannedOrders[EffectiveQty]&gt;0)*T_PlannedOrders[Order_Month])),"m月")&amp;"発注)")</f>
        <v/>
      </c>
      <c r="AE1103">
        <f>IF(SUMIFS(T_PlannedOrders[EffectiveQty],T_PlannedOrders[Part Name],$A1095,T_PlannedOrders[WeekIndex],28)=0,"",SUMIFS(T_PlannedOrders[EffectiveQty],T_PlannedOrders[Part Name],$A1095,T_PlannedOrders[WeekIndex],28)&amp;" ("&amp;TEXT(SUMPRODUCT(MAX((T_PlannedOrders[Part Name]=$A1095)*(T_PlannedOrders[WeekIndex]=28)*(T_PlannedOrders[EffectiveQty]&gt;0)*T_PlannedOrders[Order_Month])),"m月")&amp;"発注)")</f>
        <v/>
      </c>
      <c r="AF1103">
        <f>IF(SUMIFS(T_PlannedOrders[EffectiveQty],T_PlannedOrders[Part Name],$A1095,T_PlannedOrders[WeekIndex],29)=0,"",SUMIFS(T_PlannedOrders[EffectiveQty],T_PlannedOrders[Part Name],$A1095,T_PlannedOrders[WeekIndex],29)&amp;" ("&amp;TEXT(SUMPRODUCT(MAX((T_PlannedOrders[Part Name]=$A1095)*(T_PlannedOrders[WeekIndex]=29)*(T_PlannedOrders[EffectiveQty]&gt;0)*T_PlannedOrders[Order_Month])),"m月")&amp;"発注)")</f>
        <v/>
      </c>
      <c r="AG1103">
        <f>IF(SUMIFS(T_PlannedOrders[EffectiveQty],T_PlannedOrders[Part Name],$A1095,T_PlannedOrders[WeekIndex],30)=0,"",SUMIFS(T_PlannedOrders[EffectiveQty],T_PlannedOrders[Part Name],$A1095,T_PlannedOrders[WeekIndex],30)&amp;" ("&amp;TEXT(SUMPRODUCT(MAX((T_PlannedOrders[Part Name]=$A1095)*(T_PlannedOrders[WeekIndex]=30)*(T_PlannedOrders[EffectiveQty]&gt;0)*T_PlannedOrders[Order_Month])),"m月")&amp;"発注)")</f>
        <v/>
      </c>
      <c r="AH1103">
        <f>IF(SUMIFS(T_PlannedOrders[EffectiveQty],T_PlannedOrders[Part Name],$A1095,T_PlannedOrders[WeekIndex],31)=0,"",SUMIFS(T_PlannedOrders[EffectiveQty],T_PlannedOrders[Part Name],$A1095,T_PlannedOrders[WeekIndex],31)&amp;" ("&amp;TEXT(SUMPRODUCT(MAX((T_PlannedOrders[Part Name]=$A1095)*(T_PlannedOrders[WeekIndex]=31)*(T_PlannedOrders[EffectiveQty]&gt;0)*T_PlannedOrders[Order_Month])),"m月")&amp;"発注)")</f>
        <v/>
      </c>
      <c r="AI1103">
        <f>IF(SUMIFS(T_PlannedOrders[EffectiveQty],T_PlannedOrders[Part Name],$A1095,T_PlannedOrders[WeekIndex],32)=0,"",SUMIFS(T_PlannedOrders[EffectiveQty],T_PlannedOrders[Part Name],$A1095,T_PlannedOrders[WeekIndex],32)&amp;" ("&amp;TEXT(SUMPRODUCT(MAX((T_PlannedOrders[Part Name]=$A1095)*(T_PlannedOrders[WeekIndex]=32)*(T_PlannedOrders[EffectiveQty]&gt;0)*T_PlannedOrders[Order_Month])),"m月")&amp;"発注)")</f>
        <v/>
      </c>
      <c r="AJ1103">
        <f>IF(SUMIFS(T_PlannedOrders[EffectiveQty],T_PlannedOrders[Part Name],$A1095,T_PlannedOrders[WeekIndex],33)=0,"",SUMIFS(T_PlannedOrders[EffectiveQty],T_PlannedOrders[Part Name],$A1095,T_PlannedOrders[WeekIndex],33)&amp;" ("&amp;TEXT(SUMPRODUCT(MAX((T_PlannedOrders[Part Name]=$A1095)*(T_PlannedOrders[WeekIndex]=33)*(T_PlannedOrders[EffectiveQty]&gt;0)*T_PlannedOrders[Order_Month])),"m月")&amp;"発注)")</f>
        <v/>
      </c>
      <c r="AK1103">
        <f>IF(SUMIFS(T_PlannedOrders[EffectiveQty],T_PlannedOrders[Part Name],$A1095,T_PlannedOrders[WeekIndex],34)=0,"",SUMIFS(T_PlannedOrders[EffectiveQty],T_PlannedOrders[Part Name],$A1095,T_PlannedOrders[WeekIndex],34)&amp;" ("&amp;TEXT(SUMPRODUCT(MAX((T_PlannedOrders[Part Name]=$A1095)*(T_PlannedOrders[WeekIndex]=34)*(T_PlannedOrders[EffectiveQty]&gt;0)*T_PlannedOrders[Order_Month])),"m月")&amp;"発注)")</f>
        <v/>
      </c>
      <c r="AL1103">
        <f>IF(SUMIFS(T_PlannedOrders[EffectiveQty],T_PlannedOrders[Part Name],$A1095,T_PlannedOrders[WeekIndex],35)=0,"",SUMIFS(T_PlannedOrders[EffectiveQty],T_PlannedOrders[Part Name],$A1095,T_PlannedOrders[WeekIndex],35)&amp;" ("&amp;TEXT(SUMPRODUCT(MAX((T_PlannedOrders[Part Name]=$A1095)*(T_PlannedOrders[WeekIndex]=35)*(T_PlannedOrders[EffectiveQty]&gt;0)*T_PlannedOrders[Order_Month])),"m月")&amp;"発注)")</f>
        <v/>
      </c>
      <c r="AM1103">
        <f>IF(SUMIFS(T_PlannedOrders[EffectiveQty],T_PlannedOrders[Part Name],$A1095,T_PlannedOrders[WeekIndex],36)=0,"",SUMIFS(T_PlannedOrders[EffectiveQty],T_PlannedOrders[Part Name],$A1095,T_PlannedOrders[WeekIndex],36)&amp;" ("&amp;TEXT(SUMPRODUCT(MAX((T_PlannedOrders[Part Name]=$A1095)*(T_PlannedOrders[WeekIndex]=36)*(T_PlannedOrders[EffectiveQty]&gt;0)*T_PlannedOrders[Order_Month])),"m月")&amp;"発注)")</f>
        <v/>
      </c>
      <c r="AN1103">
        <f>IF(SUMIFS(T_PlannedOrders[EffectiveQty],T_PlannedOrders[Part Name],$A1095,T_PlannedOrders[WeekIndex],37)=0,"",SUMIFS(T_PlannedOrders[EffectiveQty],T_PlannedOrders[Part Name],$A1095,T_PlannedOrders[WeekIndex],37)&amp;" ("&amp;TEXT(SUMPRODUCT(MAX((T_PlannedOrders[Part Name]=$A1095)*(T_PlannedOrders[WeekIndex]=37)*(T_PlannedOrders[EffectiveQty]&gt;0)*T_PlannedOrders[Order_Month])),"m月")&amp;"発注)")</f>
        <v/>
      </c>
      <c r="AO1103">
        <f>IF(SUMIFS(T_PlannedOrders[EffectiveQty],T_PlannedOrders[Part Name],$A1095,T_PlannedOrders[WeekIndex],38)=0,"",SUMIFS(T_PlannedOrders[EffectiveQty],T_PlannedOrders[Part Name],$A1095,T_PlannedOrders[WeekIndex],38)&amp;" ("&amp;TEXT(SUMPRODUCT(MAX((T_PlannedOrders[Part Name]=$A1095)*(T_PlannedOrders[WeekIndex]=38)*(T_PlannedOrders[EffectiveQty]&gt;0)*T_PlannedOrders[Order_Month])),"m月")&amp;"発注)")</f>
        <v/>
      </c>
      <c r="AP1103">
        <f>IF(SUMIFS(T_PlannedOrders[EffectiveQty],T_PlannedOrders[Part Name],$A1095,T_PlannedOrders[WeekIndex],39)=0,"",SUMIFS(T_PlannedOrders[EffectiveQty],T_PlannedOrders[Part Name],$A1095,T_PlannedOrders[WeekIndex],39)&amp;" ("&amp;TEXT(SUMPRODUCT(MAX((T_PlannedOrders[Part Name]=$A1095)*(T_PlannedOrders[WeekIndex]=39)*(T_PlannedOrders[EffectiveQty]&gt;0)*T_PlannedOrders[Order_Month])),"m月")&amp;"発注)")</f>
        <v/>
      </c>
      <c r="AQ1103">
        <f>IF(SUMIFS(T_PlannedOrders[EffectiveQty],T_PlannedOrders[Part Name],$A1095,T_PlannedOrders[WeekIndex],40)=0,"",SUMIFS(T_PlannedOrders[EffectiveQty],T_PlannedOrders[Part Name],$A1095,T_PlannedOrders[WeekIndex],40)&amp;" ("&amp;TEXT(SUMPRODUCT(MAX((T_PlannedOrders[Part Name]=$A1095)*(T_PlannedOrders[WeekIndex]=40)*(T_PlannedOrders[EffectiveQty]&gt;0)*T_PlannedOrders[Order_Month])),"m月")&amp;"発注)")</f>
        <v/>
      </c>
      <c r="AR1103">
        <f>IF(SUMIFS(T_PlannedOrders[EffectiveQty],T_PlannedOrders[Part Name],$A1095,T_PlannedOrders[WeekIndex],41)=0,"",SUMIFS(T_PlannedOrders[EffectiveQty],T_PlannedOrders[Part Name],$A1095,T_PlannedOrders[WeekIndex],41)&amp;" ("&amp;TEXT(SUMPRODUCT(MAX((T_PlannedOrders[Part Name]=$A1095)*(T_PlannedOrders[WeekIndex]=41)*(T_PlannedOrders[EffectiveQty]&gt;0)*T_PlannedOrders[Order_Month])),"m月")&amp;"発注)")</f>
        <v/>
      </c>
      <c r="AS1103">
        <f>IF(SUMIFS(T_PlannedOrders[EffectiveQty],T_PlannedOrders[Part Name],$A1095,T_PlannedOrders[WeekIndex],42)=0,"",SUMIFS(T_PlannedOrders[EffectiveQty],T_PlannedOrders[Part Name],$A1095,T_PlannedOrders[WeekIndex],42)&amp;" ("&amp;TEXT(SUMPRODUCT(MAX((T_PlannedOrders[Part Name]=$A1095)*(T_PlannedOrders[WeekIndex]=42)*(T_PlannedOrders[EffectiveQty]&gt;0)*T_PlannedOrders[Order_Month])),"m月")&amp;"発注)")</f>
        <v/>
      </c>
      <c r="AT1103">
        <f>IF(SUMIFS(T_PlannedOrders[EffectiveQty],T_PlannedOrders[Part Name],$A1095,T_PlannedOrders[WeekIndex],43)=0,"",SUMIFS(T_PlannedOrders[EffectiveQty],T_PlannedOrders[Part Name],$A1095,T_PlannedOrders[WeekIndex],43)&amp;" ("&amp;TEXT(SUMPRODUCT(MAX((T_PlannedOrders[Part Name]=$A1095)*(T_PlannedOrders[WeekIndex]=43)*(T_PlannedOrders[EffectiveQty]&gt;0)*T_PlannedOrders[Order_Month])),"m月")&amp;"発注)")</f>
        <v/>
      </c>
      <c r="AU1103">
        <f>IF(SUMIFS(T_PlannedOrders[EffectiveQty],T_PlannedOrders[Part Name],$A1095,T_PlannedOrders[WeekIndex],44)=0,"",SUMIFS(T_PlannedOrders[EffectiveQty],T_PlannedOrders[Part Name],$A1095,T_PlannedOrders[WeekIndex],44)&amp;" ("&amp;TEXT(SUMPRODUCT(MAX((T_PlannedOrders[Part Name]=$A1095)*(T_PlannedOrders[WeekIndex]=44)*(T_PlannedOrders[EffectiveQty]&gt;0)*T_PlannedOrders[Order_Month])),"m月")&amp;"発注)")</f>
        <v/>
      </c>
      <c r="AV1103">
        <f>IF(SUMIFS(T_PlannedOrders[EffectiveQty],T_PlannedOrders[Part Name],$A1095,T_PlannedOrders[WeekIndex],45)=0,"",SUMIFS(T_PlannedOrders[EffectiveQty],T_PlannedOrders[Part Name],$A1095,T_PlannedOrders[WeekIndex],45)&amp;" ("&amp;TEXT(SUMPRODUCT(MAX((T_PlannedOrders[Part Name]=$A1095)*(T_PlannedOrders[WeekIndex]=45)*(T_PlannedOrders[EffectiveQty]&gt;0)*T_PlannedOrders[Order_Month])),"m月")&amp;"発注)")</f>
        <v/>
      </c>
      <c r="AW1103">
        <f>IF(SUMIFS(T_PlannedOrders[EffectiveQty],T_PlannedOrders[Part Name],$A1095,T_PlannedOrders[WeekIndex],46)=0,"",SUMIFS(T_PlannedOrders[EffectiveQty],T_PlannedOrders[Part Name],$A1095,T_PlannedOrders[WeekIndex],46)&amp;" ("&amp;TEXT(SUMPRODUCT(MAX((T_PlannedOrders[Part Name]=$A1095)*(T_PlannedOrders[WeekIndex]=46)*(T_PlannedOrders[EffectiveQty]&gt;0)*T_PlannedOrders[Order_Month])),"m月")&amp;"発注)")</f>
        <v/>
      </c>
      <c r="AX1103">
        <f>IF(SUMIFS(T_PlannedOrders[EffectiveQty],T_PlannedOrders[Part Name],$A1095,T_PlannedOrders[WeekIndex],47)=0,"",SUMIFS(T_PlannedOrders[EffectiveQty],T_PlannedOrders[Part Name],$A1095,T_PlannedOrders[WeekIndex],47)&amp;" ("&amp;TEXT(SUMPRODUCT(MAX((T_PlannedOrders[Part Name]=$A1095)*(T_PlannedOrders[WeekIndex]=47)*(T_PlannedOrders[EffectiveQty]&gt;0)*T_PlannedOrders[Order_Month])),"m月")&amp;"発注)")</f>
        <v/>
      </c>
      <c r="AY1103">
        <f>IF(SUMIFS(T_PlannedOrders[EffectiveQty],T_PlannedOrders[Part Name],$A1095,T_PlannedOrders[WeekIndex],48)=0,"",SUMIFS(T_PlannedOrders[EffectiveQty],T_PlannedOrders[Part Name],$A1095,T_PlannedOrders[WeekIndex],48)&amp;" ("&amp;TEXT(SUMPRODUCT(MAX((T_PlannedOrders[Part Name]=$A1095)*(T_PlannedOrders[WeekIndex]=48)*(T_PlannedOrders[EffectiveQty]&gt;0)*T_PlannedOrders[Order_Month])),"m月")&amp;"発注)")</f>
        <v/>
      </c>
      <c r="AZ1103">
        <f>IF(SUMIFS(T_PlannedOrders[EffectiveQty],T_PlannedOrders[Part Name],$A1095,T_PlannedOrders[WeekIndex],49)=0,"",SUMIFS(T_PlannedOrders[EffectiveQty],T_PlannedOrders[Part Name],$A1095,T_PlannedOrders[WeekIndex],49)&amp;" ("&amp;TEXT(SUMPRODUCT(MAX((T_PlannedOrders[Part Name]=$A1095)*(T_PlannedOrders[WeekIndex]=49)*(T_PlannedOrders[EffectiveQty]&gt;0)*T_PlannedOrders[Order_Month])),"m月")&amp;"発注)")</f>
        <v/>
      </c>
      <c r="BA1103">
        <f>IF(SUMIFS(T_PlannedOrders[EffectiveQty],T_PlannedOrders[Part Name],$A1095,T_PlannedOrders[WeekIndex],50)=0,"",SUMIFS(T_PlannedOrders[EffectiveQty],T_PlannedOrders[Part Name],$A1095,T_PlannedOrders[WeekIndex],50)&amp;" ("&amp;TEXT(SUMPRODUCT(MAX((T_PlannedOrders[Part Name]=$A1095)*(T_PlannedOrders[WeekIndex]=50)*(T_PlannedOrders[EffectiveQty]&gt;0)*T_PlannedOrders[Order_Month])),"m月")&amp;"発注)")</f>
        <v/>
      </c>
      <c r="BB1103">
        <f>IF(SUMIFS(T_PlannedOrders[EffectiveQty],T_PlannedOrders[Part Name],$A1095,T_PlannedOrders[WeekIndex],51)=0,"",SUMIFS(T_PlannedOrders[EffectiveQty],T_PlannedOrders[Part Name],$A1095,T_PlannedOrders[WeekIndex],51)&amp;" ("&amp;TEXT(SUMPRODUCT(MAX((T_PlannedOrders[Part Name]=$A1095)*(T_PlannedOrders[WeekIndex]=51)*(T_PlannedOrders[EffectiveQty]&gt;0)*T_PlannedOrders[Order_Month])),"m月")&amp;"発注)")</f>
        <v/>
      </c>
      <c r="BC1103">
        <f>IF(SUMIFS(T_PlannedOrders[EffectiveQty],T_PlannedOrders[Part Name],$A1095,T_PlannedOrders[WeekIndex],52)=0,"",SUMIFS(T_PlannedOrders[EffectiveQty],T_PlannedOrders[Part Name],$A1095,T_PlannedOrders[WeekIndex],52)&amp;" ("&amp;TEXT(SUMPRODUCT(MAX((T_PlannedOrders[Part Name]=$A1095)*(T_PlannedOrders[WeekIndex]=52)*(T_PlannedOrders[EffectiveQty]&gt;0)*T_PlannedOrders[Order_Month])),"m月")&amp;"発注)")</f>
        <v/>
      </c>
      <c r="BD1103">
        <f>IF(SUMIFS(T_PlannedOrders[EffectiveQty],T_PlannedOrders[Part Name],$A1095,T_PlannedOrders[WeekIndex],53)=0,"",SUMIFS(T_PlannedOrders[EffectiveQty],T_PlannedOrders[Part Name],$A1095,T_PlannedOrders[WeekIndex],53)&amp;" ("&amp;TEXT(SUMPRODUCT(MAX((T_PlannedOrders[Part Name]=$A1095)*(T_PlannedOrders[WeekIndex]=53)*(T_PlannedOrders[EffectiveQty]&gt;0)*T_PlannedOrders[Order_Month])),"m月")&amp;"発注)")</f>
        <v/>
      </c>
      <c r="BE1103">
        <f>IF(SUMIFS(T_PlannedOrders[EffectiveQty],T_PlannedOrders[Part Name],$A1095,T_PlannedOrders[WeekIndex],54)=0,"",SUMIFS(T_PlannedOrders[EffectiveQty],T_PlannedOrders[Part Name],$A1095,T_PlannedOrders[WeekIndex],54)&amp;" ("&amp;TEXT(SUMPRODUCT(MAX((T_PlannedOrders[Part Name]=$A1095)*(T_PlannedOrders[WeekIndex]=54)*(T_PlannedOrders[EffectiveQty]&gt;0)*T_PlannedOrders[Order_Month])),"m月")&amp;"発注)")</f>
        <v/>
      </c>
      <c r="BF1103">
        <f>IF(SUMIFS(T_PlannedOrders[EffectiveQty],T_PlannedOrders[Part Name],$A1095,T_PlannedOrders[WeekIndex],55)=0,"",SUMIFS(T_PlannedOrders[EffectiveQty],T_PlannedOrders[Part Name],$A1095,T_PlannedOrders[WeekIndex],55)&amp;" ("&amp;TEXT(SUMPRODUCT(MAX((T_PlannedOrders[Part Name]=$A1095)*(T_PlannedOrders[WeekIndex]=55)*(T_PlannedOrders[EffectiveQty]&gt;0)*T_PlannedOrders[Order_Month])),"m月")&amp;"発注)")</f>
        <v/>
      </c>
      <c r="BG1103">
        <f>IF(SUMIFS(T_PlannedOrders[EffectiveQty],T_PlannedOrders[Part Name],$A1095,T_PlannedOrders[WeekIndex],56)=0,"",SUMIFS(T_PlannedOrders[EffectiveQty],T_PlannedOrders[Part Name],$A1095,T_PlannedOrders[WeekIndex],56)&amp;" ("&amp;TEXT(SUMPRODUCT(MAX((T_PlannedOrders[Part Name]=$A1095)*(T_PlannedOrders[WeekIndex]=56)*(T_PlannedOrders[EffectiveQty]&gt;0)*T_PlannedOrders[Order_Month])),"m月")&amp;"発注)")</f>
        <v/>
      </c>
      <c r="BH1103">
        <f>IF(SUMIFS(T_PlannedOrders[EffectiveQty],T_PlannedOrders[Part Name],$A1095,T_PlannedOrders[WeekIndex],57)=0,"",SUMIFS(T_PlannedOrders[EffectiveQty],T_PlannedOrders[Part Name],$A1095,T_PlannedOrders[WeekIndex],57)&amp;" ("&amp;TEXT(SUMPRODUCT(MAX((T_PlannedOrders[Part Name]=$A1095)*(T_PlannedOrders[WeekIndex]=57)*(T_PlannedOrders[EffectiveQty]&gt;0)*T_PlannedOrders[Order_Month])),"m月")&amp;"発注)")</f>
        <v/>
      </c>
      <c r="BI1103">
        <f>IF(SUMIFS(T_PlannedOrders[EffectiveQty],T_PlannedOrders[Part Name],$A1095,T_PlannedOrders[WeekIndex],58)=0,"",SUMIFS(T_PlannedOrders[EffectiveQty],T_PlannedOrders[Part Name],$A1095,T_PlannedOrders[WeekIndex],58)&amp;" ("&amp;TEXT(SUMPRODUCT(MAX((T_PlannedOrders[Part Name]=$A1095)*(T_PlannedOrders[WeekIndex]=58)*(T_PlannedOrders[EffectiveQty]&gt;0)*T_PlannedOrders[Order_Month])),"m月")&amp;"発注)")</f>
        <v/>
      </c>
      <c r="BJ1103">
        <f>IF(SUMIFS(T_PlannedOrders[EffectiveQty],T_PlannedOrders[Part Name],$A1095,T_PlannedOrders[WeekIndex],59)=0,"",SUMIFS(T_PlannedOrders[EffectiveQty],T_PlannedOrders[Part Name],$A1095,T_PlannedOrders[WeekIndex],59)&amp;" ("&amp;TEXT(SUMPRODUCT(MAX((T_PlannedOrders[Part Name]=$A1095)*(T_PlannedOrders[WeekIndex]=59)*(T_PlannedOrders[EffectiveQty]&gt;0)*T_PlannedOrders[Order_Month])),"m月")&amp;"発注)")</f>
        <v/>
      </c>
      <c r="BK1103">
        <f>IF(SUMIFS(T_PlannedOrders[EffectiveQty],T_PlannedOrders[Part Name],$A1095,T_PlannedOrders[WeekIndex],60)=0,"",SUMIFS(T_PlannedOrders[EffectiveQty],T_PlannedOrders[Part Name],$A1095,T_PlannedOrders[WeekIndex],60)&amp;" ("&amp;TEXT(SUMPRODUCT(MAX((T_PlannedOrders[Part Name]=$A1095)*(T_PlannedOrders[WeekIndex]=60)*(T_PlannedOrders[EffectiveQty]&gt;0)*T_PlannedOrders[Order_Month])),"m月")&amp;"発注)")</f>
        <v/>
      </c>
      <c r="BL1103">
        <f>IF(SUMIFS(T_PlannedOrders[EffectiveQty],T_PlannedOrders[Part Name],$A1095,T_PlannedOrders[WeekIndex],61)=0,"",SUMIFS(T_PlannedOrders[EffectiveQty],T_PlannedOrders[Part Name],$A1095,T_PlannedOrders[WeekIndex],61)&amp;" ("&amp;TEXT(SUMPRODUCT(MAX((T_PlannedOrders[Part Name]=$A1095)*(T_PlannedOrders[WeekIndex]=61)*(T_PlannedOrders[EffectiveQty]&gt;0)*T_PlannedOrders[Order_Month])),"m月")&amp;"発注)")</f>
        <v/>
      </c>
      <c r="BM1103">
        <f>IF(SUMIFS(T_PlannedOrders[EffectiveQty],T_PlannedOrders[Part Name],$A1095,T_PlannedOrders[WeekIndex],62)=0,"",SUMIFS(T_PlannedOrders[EffectiveQty],T_PlannedOrders[Part Name],$A1095,T_PlannedOrders[WeekIndex],62)&amp;" ("&amp;TEXT(SUMPRODUCT(MAX((T_PlannedOrders[Part Name]=$A1095)*(T_PlannedOrders[WeekIndex]=62)*(T_PlannedOrders[EffectiveQty]&gt;0)*T_PlannedOrders[Order_Month])),"m月")&amp;"発注)")</f>
        <v/>
      </c>
      <c r="BN1103">
        <f>IF(SUMIFS(T_PlannedOrders[EffectiveQty],T_PlannedOrders[Part Name],$A1095,T_PlannedOrders[WeekIndex],63)=0,"",SUMIFS(T_PlannedOrders[EffectiveQty],T_PlannedOrders[Part Name],$A1095,T_PlannedOrders[WeekIndex],63)&amp;" ("&amp;TEXT(SUMPRODUCT(MAX((T_PlannedOrders[Part Name]=$A1095)*(T_PlannedOrders[WeekIndex]=63)*(T_PlannedOrders[EffectiveQty]&gt;0)*T_PlannedOrders[Order_Month])),"m月")&amp;"発注)")</f>
        <v/>
      </c>
      <c r="BO1103">
        <f>IF(SUMIFS(T_PlannedOrders[EffectiveQty],T_PlannedOrders[Part Name],$A1095,T_PlannedOrders[WeekIndex],64)=0,"",SUMIFS(T_PlannedOrders[EffectiveQty],T_PlannedOrders[Part Name],$A1095,T_PlannedOrders[WeekIndex],64)&amp;" ("&amp;TEXT(SUMPRODUCT(MAX((T_PlannedOrders[Part Name]=$A1095)*(T_PlannedOrders[WeekIndex]=64)*(T_PlannedOrders[EffectiveQty]&gt;0)*T_PlannedOrders[Order_Month])),"m月")&amp;"発注)")</f>
        <v/>
      </c>
      <c r="BP1103">
        <f>IF(SUMIFS(T_PlannedOrders[EffectiveQty],T_PlannedOrders[Part Name],$A1095,T_PlannedOrders[WeekIndex],65)=0,"",SUMIFS(T_PlannedOrders[EffectiveQty],T_PlannedOrders[Part Name],$A1095,T_PlannedOrders[WeekIndex],65)&amp;" ("&amp;TEXT(SUMPRODUCT(MAX((T_PlannedOrders[Part Name]=$A1095)*(T_PlannedOrders[WeekIndex]=65)*(T_PlannedOrders[EffectiveQty]&gt;0)*T_PlannedOrders[Order_Month])),"m月")&amp;"発注)")</f>
        <v/>
      </c>
      <c r="BQ1103">
        <f>IF(SUMIFS(T_PlannedOrders[EffectiveQty],T_PlannedOrders[Part Name],$A1095,T_PlannedOrders[WeekIndex],66)=0,"",SUMIFS(T_PlannedOrders[EffectiveQty],T_PlannedOrders[Part Name],$A1095,T_PlannedOrders[WeekIndex],66)&amp;" ("&amp;TEXT(SUMPRODUCT(MAX((T_PlannedOrders[Part Name]=$A1095)*(T_PlannedOrders[WeekIndex]=66)*(T_PlannedOrders[EffectiveQty]&gt;0)*T_PlannedOrders[Order_Month])),"m月")&amp;"発注)")</f>
        <v/>
      </c>
      <c r="BR1103">
        <f>IF(SUMIFS(T_PlannedOrders[EffectiveQty],T_PlannedOrders[Part Name],$A1095,T_PlannedOrders[WeekIndex],67)=0,"",SUMIFS(T_PlannedOrders[EffectiveQty],T_PlannedOrders[Part Name],$A1095,T_PlannedOrders[WeekIndex],67)&amp;" ("&amp;TEXT(SUMPRODUCT(MAX((T_PlannedOrders[Part Name]=$A1095)*(T_PlannedOrders[WeekIndex]=67)*(T_PlannedOrders[EffectiveQty]&gt;0)*T_PlannedOrders[Order_Month])),"m月")&amp;"発注)")</f>
        <v/>
      </c>
      <c r="BS1103">
        <f>IF(SUMIFS(T_PlannedOrders[EffectiveQty],T_PlannedOrders[Part Name],$A1095,T_PlannedOrders[WeekIndex],68)=0,"",SUMIFS(T_PlannedOrders[EffectiveQty],T_PlannedOrders[Part Name],$A1095,T_PlannedOrders[WeekIndex],68)&amp;" ("&amp;TEXT(SUMPRODUCT(MAX((T_PlannedOrders[Part Name]=$A1095)*(T_PlannedOrders[WeekIndex]=68)*(T_PlannedOrders[EffectiveQty]&gt;0)*T_PlannedOrders[Order_Month])),"m月")&amp;"発注)")</f>
        <v/>
      </c>
      <c r="BT1103">
        <f>IF(SUMIFS(T_PlannedOrders[EffectiveQty],T_PlannedOrders[Part Name],$A1095,T_PlannedOrders[WeekIndex],69)=0,"",SUMIFS(T_PlannedOrders[EffectiveQty],T_PlannedOrders[Part Name],$A1095,T_PlannedOrders[WeekIndex],69)&amp;" ("&amp;TEXT(SUMPRODUCT(MAX((T_PlannedOrders[Part Name]=$A1095)*(T_PlannedOrders[WeekIndex]=69)*(T_PlannedOrders[EffectiveQty]&gt;0)*T_PlannedOrders[Order_Month])),"m月")&amp;"発注)")</f>
        <v/>
      </c>
      <c r="BU1103">
        <f>IF(SUMIFS(T_PlannedOrders[EffectiveQty],T_PlannedOrders[Part Name],$A1095,T_PlannedOrders[WeekIndex],70)=0,"",SUMIFS(T_PlannedOrders[EffectiveQty],T_PlannedOrders[Part Name],$A1095,T_PlannedOrders[WeekIndex],70)&amp;" ("&amp;TEXT(SUMPRODUCT(MAX((T_PlannedOrders[Part Name]=$A1095)*(T_PlannedOrders[WeekIndex]=70)*(T_PlannedOrders[EffectiveQty]&gt;0)*T_PlannedOrders[Order_Month])),"m月")&amp;"発注)")</f>
        <v/>
      </c>
      <c r="BV1103">
        <f>IF(SUMIFS(T_PlannedOrders[EffectiveQty],T_PlannedOrders[Part Name],$A1095,T_PlannedOrders[WeekIndex],71)=0,"",SUMIFS(T_PlannedOrders[EffectiveQty],T_PlannedOrders[Part Name],$A1095,T_PlannedOrders[WeekIndex],71)&amp;" ("&amp;TEXT(SUMPRODUCT(MAX((T_PlannedOrders[Part Name]=$A1095)*(T_PlannedOrders[WeekIndex]=71)*(T_PlannedOrders[EffectiveQty]&gt;0)*T_PlannedOrders[Order_Month])),"m月")&amp;"発注)")</f>
        <v/>
      </c>
      <c r="BW1103">
        <f>IF(SUMIFS(T_PlannedOrders[EffectiveQty],T_PlannedOrders[Part Name],$A1095,T_PlannedOrders[WeekIndex],72)=0,"",SUMIFS(T_PlannedOrders[EffectiveQty],T_PlannedOrders[Part Name],$A1095,T_PlannedOrders[WeekIndex],72)&amp;" ("&amp;TEXT(SUMPRODUCT(MAX((T_PlannedOrders[Part Name]=$A1095)*(T_PlannedOrders[WeekIndex]=72)*(T_PlannedOrders[EffectiveQty]&gt;0)*T_PlannedOrders[Order_Month])),"m月")&amp;"発注)")</f>
        <v/>
      </c>
      <c r="BX1103">
        <f>IF(SUMIFS(T_PlannedOrders[EffectiveQty],T_PlannedOrders[Part Name],$A1095,T_PlannedOrders[WeekIndex],73)=0,"",SUMIFS(T_PlannedOrders[EffectiveQty],T_PlannedOrders[Part Name],$A1095,T_PlannedOrders[WeekIndex],73)&amp;" ("&amp;TEXT(SUMPRODUCT(MAX((T_PlannedOrders[Part Name]=$A1095)*(T_PlannedOrders[WeekIndex]=73)*(T_PlannedOrders[EffectiveQty]&gt;0)*T_PlannedOrders[Order_Month])),"m月")&amp;"発注)")</f>
        <v/>
      </c>
      <c r="BY1103">
        <f>IF(SUMIFS(T_PlannedOrders[EffectiveQty],T_PlannedOrders[Part Name],$A1095,T_PlannedOrders[WeekIndex],74)=0,"",SUMIFS(T_PlannedOrders[EffectiveQty],T_PlannedOrders[Part Name],$A1095,T_PlannedOrders[WeekIndex],74)&amp;" ("&amp;TEXT(SUMPRODUCT(MAX((T_PlannedOrders[Part Name]=$A1095)*(T_PlannedOrders[WeekIndex]=74)*(T_PlannedOrders[EffectiveQty]&gt;0)*T_PlannedOrders[Order_Month])),"m月")&amp;"発注)")</f>
        <v/>
      </c>
      <c r="BZ1103">
        <f>IF(SUMIFS(T_PlannedOrders[EffectiveQty],T_PlannedOrders[Part Name],$A1095,T_PlannedOrders[WeekIndex],75)=0,"",SUMIFS(T_PlannedOrders[EffectiveQty],T_PlannedOrders[Part Name],$A1095,T_PlannedOrders[WeekIndex],75)&amp;" ("&amp;TEXT(SUMPRODUCT(MAX((T_PlannedOrders[Part Name]=$A1095)*(T_PlannedOrders[WeekIndex]=75)*(T_PlannedOrders[EffectiveQty]&gt;0)*T_PlannedOrders[Order_Month])),"m月")&amp;"発注)")</f>
        <v/>
      </c>
      <c r="CA1103">
        <f>IF(SUMIFS(T_PlannedOrders[EffectiveQty],T_PlannedOrders[Part Name],$A1095,T_PlannedOrders[WeekIndex],76)=0,"",SUMIFS(T_PlannedOrders[EffectiveQty],T_PlannedOrders[Part Name],$A1095,T_PlannedOrders[WeekIndex],76)&amp;" ("&amp;TEXT(SUMPRODUCT(MAX((T_PlannedOrders[Part Name]=$A1095)*(T_PlannedOrders[WeekIndex]=76)*(T_PlannedOrders[EffectiveQty]&gt;0)*T_PlannedOrders[Order_Month])),"m月")&amp;"発注)")</f>
        <v/>
      </c>
      <c r="CB1103">
        <f>IF(SUMIFS(T_PlannedOrders[EffectiveQty],T_PlannedOrders[Part Name],$A1095,T_PlannedOrders[WeekIndex],77)=0,"",SUMIFS(T_PlannedOrders[EffectiveQty],T_PlannedOrders[Part Name],$A1095,T_PlannedOrders[WeekIndex],77)&amp;" ("&amp;TEXT(SUMPRODUCT(MAX((T_PlannedOrders[Part Name]=$A1095)*(T_PlannedOrders[WeekIndex]=77)*(T_PlannedOrders[EffectiveQty]&gt;0)*T_PlannedOrders[Order_Month])),"m月")&amp;"発注)")</f>
        <v/>
      </c>
      <c r="CC1103">
        <f>IF(SUMIFS(T_PlannedOrders[EffectiveQty],T_PlannedOrders[Part Name],$A1095,T_PlannedOrders[WeekIndex],78)=0,"",SUMIFS(T_PlannedOrders[EffectiveQty],T_PlannedOrders[Part Name],$A1095,T_PlannedOrders[WeekIndex],78)&amp;" ("&amp;TEXT(SUMPRODUCT(MAX((T_PlannedOrders[Part Name]=$A1095)*(T_PlannedOrders[WeekIndex]=78)*(T_PlannedOrders[EffectiveQty]&gt;0)*T_PlannedOrders[Order_Month])),"m月")&amp;"発注)")</f>
        <v/>
      </c>
      <c r="CD1103">
        <f>IF(SUMIFS(T_PlannedOrders[EffectiveQty],T_PlannedOrders[Part Name],$A1095,T_PlannedOrders[WeekIndex],79)=0,"",SUMIFS(T_PlannedOrders[EffectiveQty],T_PlannedOrders[Part Name],$A1095,T_PlannedOrders[WeekIndex],79)&amp;" ("&amp;TEXT(SUMPRODUCT(MAX((T_PlannedOrders[Part Name]=$A1095)*(T_PlannedOrders[WeekIndex]=79)*(T_PlannedOrders[EffectiveQty]&gt;0)*T_PlannedOrders[Order_Month])),"m月")&amp;"発注)")</f>
        <v/>
      </c>
      <c r="CE1103">
        <f>IF(SUMIFS(T_PlannedOrders[EffectiveQty],T_PlannedOrders[Part Name],$A1095,T_PlannedOrders[WeekIndex],80)=0,"",SUMIFS(T_PlannedOrders[EffectiveQty],T_PlannedOrders[Part Name],$A1095,T_PlannedOrders[WeekIndex],80)&amp;" ("&amp;TEXT(SUMPRODUCT(MAX((T_PlannedOrders[Part Name]=$A1095)*(T_PlannedOrders[WeekIndex]=80)*(T_PlannedOrders[EffectiveQty]&gt;0)*T_PlannedOrders[Order_Month])),"m月")&amp;"発注)")</f>
        <v/>
      </c>
      <c r="CF1103">
        <f>IF(SUMIFS(T_PlannedOrders[EffectiveQty],T_PlannedOrders[Part Name],$A1095,T_PlannedOrders[WeekIndex],81)=0,"",SUMIFS(T_PlannedOrders[EffectiveQty],T_PlannedOrders[Part Name],$A1095,T_PlannedOrders[WeekIndex],81)&amp;" ("&amp;TEXT(SUMPRODUCT(MAX((T_PlannedOrders[Part Name]=$A1095)*(T_PlannedOrders[WeekIndex]=81)*(T_PlannedOrders[EffectiveQty]&gt;0)*T_PlannedOrders[Order_Month])),"m月")&amp;"発注)")</f>
        <v/>
      </c>
      <c r="CG1103">
        <f>IF(SUMIFS(T_PlannedOrders[EffectiveQty],T_PlannedOrders[Part Name],$A1095,T_PlannedOrders[WeekIndex],82)=0,"",SUMIFS(T_PlannedOrders[EffectiveQty],T_PlannedOrders[Part Name],$A1095,T_PlannedOrders[WeekIndex],82)&amp;" ("&amp;TEXT(SUMPRODUCT(MAX((T_PlannedOrders[Part Name]=$A1095)*(T_PlannedOrders[WeekIndex]=82)*(T_PlannedOrders[EffectiveQty]&gt;0)*T_PlannedOrders[Order_Month])),"m月")&amp;"発注)")</f>
        <v/>
      </c>
      <c r="CH1103">
        <f>IF(SUMIFS(T_PlannedOrders[EffectiveQty],T_PlannedOrders[Part Name],$A1095,T_PlannedOrders[WeekIndex],83)=0,"",SUMIFS(T_PlannedOrders[EffectiveQty],T_PlannedOrders[Part Name],$A1095,T_PlannedOrders[WeekIndex],83)&amp;" ("&amp;TEXT(SUMPRODUCT(MAX((T_PlannedOrders[Part Name]=$A1095)*(T_PlannedOrders[WeekIndex]=83)*(T_PlannedOrders[EffectiveQty]&gt;0)*T_PlannedOrders[Order_Month])),"m月")&amp;"発注)")</f>
        <v/>
      </c>
      <c r="CI1103">
        <f>IF(SUMIFS(T_PlannedOrders[EffectiveQty],T_PlannedOrders[Part Name],$A1095,T_PlannedOrders[WeekIndex],84)=0,"",SUMIFS(T_PlannedOrders[EffectiveQty],T_PlannedOrders[Part Name],$A1095,T_PlannedOrders[WeekIndex],84)&amp;" ("&amp;TEXT(SUMPRODUCT(MAX((T_PlannedOrders[Part Name]=$A1095)*(T_PlannedOrders[WeekIndex]=84)*(T_PlannedOrders[EffectiveQty]&gt;0)*T_PlannedOrders[Order_Month])),"m月")&amp;"発注)")</f>
        <v/>
      </c>
      <c r="CJ1103">
        <f>IF(SUMIFS(T_PlannedOrders[EffectiveQty],T_PlannedOrders[Part Name],$A1095,T_PlannedOrders[WeekIndex],85)=0,"",SUMIFS(T_PlannedOrders[EffectiveQty],T_PlannedOrders[Part Name],$A1095,T_PlannedOrders[WeekIndex],85)&amp;" ("&amp;TEXT(SUMPRODUCT(MAX((T_PlannedOrders[Part Name]=$A1095)*(T_PlannedOrders[WeekIndex]=85)*(T_PlannedOrders[EffectiveQty]&gt;0)*T_PlannedOrders[Order_Month])),"m月")&amp;"発注)")</f>
        <v/>
      </c>
      <c r="CK1103">
        <f>IF(SUMIFS(T_PlannedOrders[EffectiveQty],T_PlannedOrders[Part Name],$A1095,T_PlannedOrders[WeekIndex],86)=0,"",SUMIFS(T_PlannedOrders[EffectiveQty],T_PlannedOrders[Part Name],$A1095,T_PlannedOrders[WeekIndex],86)&amp;" ("&amp;TEXT(SUMPRODUCT(MAX((T_PlannedOrders[Part Name]=$A1095)*(T_PlannedOrders[WeekIndex]=86)*(T_PlannedOrders[EffectiveQty]&gt;0)*T_PlannedOrders[Order_Month])),"m月")&amp;"発注)")</f>
        <v/>
      </c>
      <c r="CL1103">
        <f>IF(SUMIFS(T_PlannedOrders[EffectiveQty],T_PlannedOrders[Part Name],$A1095,T_PlannedOrders[WeekIndex],87)=0,"",SUMIFS(T_PlannedOrders[EffectiveQty],T_PlannedOrders[Part Name],$A1095,T_PlannedOrders[WeekIndex],87)&amp;" ("&amp;TEXT(SUMPRODUCT(MAX((T_PlannedOrders[Part Name]=$A1095)*(T_PlannedOrders[WeekIndex]=87)*(T_PlannedOrders[EffectiveQty]&gt;0)*T_PlannedOrders[Order_Month])),"m月")&amp;"発注)")</f>
        <v/>
      </c>
      <c r="CM1103">
        <f>IF(SUMIFS(T_PlannedOrders[EffectiveQty],T_PlannedOrders[Part Name],$A1095,T_PlannedOrders[WeekIndex],88)=0,"",SUMIFS(T_PlannedOrders[EffectiveQty],T_PlannedOrders[Part Name],$A1095,T_PlannedOrders[WeekIndex],88)&amp;" ("&amp;TEXT(SUMPRODUCT(MAX((T_PlannedOrders[Part Name]=$A1095)*(T_PlannedOrders[WeekIndex]=88)*(T_PlannedOrders[EffectiveQty]&gt;0)*T_PlannedOrders[Order_Month])),"m月")&amp;"発注)")</f>
        <v/>
      </c>
      <c r="CN1103">
        <f>IF(SUMIFS(T_PlannedOrders[EffectiveQty],T_PlannedOrders[Part Name],$A1095,T_PlannedOrders[WeekIndex],89)=0,"",SUMIFS(T_PlannedOrders[EffectiveQty],T_PlannedOrders[Part Name],$A1095,T_PlannedOrders[WeekIndex],89)&amp;" ("&amp;TEXT(SUMPRODUCT(MAX((T_PlannedOrders[Part Name]=$A1095)*(T_PlannedOrders[WeekIndex]=89)*(T_PlannedOrders[EffectiveQty]&gt;0)*T_PlannedOrders[Order_Month])),"m月")&amp;"発注)")</f>
        <v/>
      </c>
      <c r="CO1103">
        <f>IF(SUMIFS(T_PlannedOrders[EffectiveQty],T_PlannedOrders[Part Name],$A1095,T_PlannedOrders[WeekIndex],90)=0,"",SUMIFS(T_PlannedOrders[EffectiveQty],T_PlannedOrders[Part Name],$A1095,T_PlannedOrders[WeekIndex],90)&amp;" ("&amp;TEXT(SUMPRODUCT(MAX((T_PlannedOrders[Part Name]=$A1095)*(T_PlannedOrders[WeekIndex]=90)*(T_PlannedOrders[EffectiveQty]&gt;0)*T_PlannedOrders[Order_Month])),"m月")&amp;"発注)")</f>
        <v/>
      </c>
      <c r="CP1103">
        <f>IF(SUMIFS(T_PlannedOrders[EffectiveQty],T_PlannedOrders[Part Name],$A1095,T_PlannedOrders[WeekIndex],91)=0,"",SUMIFS(T_PlannedOrders[EffectiveQty],T_PlannedOrders[Part Name],$A1095,T_PlannedOrders[WeekIndex],91)&amp;" ("&amp;TEXT(SUMPRODUCT(MAX((T_PlannedOrders[Part Name]=$A1095)*(T_PlannedOrders[WeekIndex]=91)*(T_PlannedOrders[EffectiveQty]&gt;0)*T_PlannedOrders[Order_Month])),"m月")&amp;"発注)")</f>
        <v/>
      </c>
      <c r="CQ1103">
        <f>IF(SUMIFS(T_PlannedOrders[EffectiveQty],T_PlannedOrders[Part Name],$A1095,T_PlannedOrders[WeekIndex],92)=0,"",SUMIFS(T_PlannedOrders[EffectiveQty],T_PlannedOrders[Part Name],$A1095,T_PlannedOrders[WeekIndex],92)&amp;" ("&amp;TEXT(SUMPRODUCT(MAX((T_PlannedOrders[Part Name]=$A1095)*(T_PlannedOrders[WeekIndex]=92)*(T_PlannedOrders[EffectiveQty]&gt;0)*T_PlannedOrders[Order_Month])),"m月")&amp;"発注)")</f>
        <v/>
      </c>
      <c r="CR1103">
        <f>IF(SUMIFS(T_PlannedOrders[EffectiveQty],T_PlannedOrders[Part Name],$A1095,T_PlannedOrders[WeekIndex],93)=0,"",SUMIFS(T_PlannedOrders[EffectiveQty],T_PlannedOrders[Part Name],$A1095,T_PlannedOrders[WeekIndex],93)&amp;" ("&amp;TEXT(SUMPRODUCT(MAX((T_PlannedOrders[Part Name]=$A1095)*(T_PlannedOrders[WeekIndex]=93)*(T_PlannedOrders[EffectiveQty]&gt;0)*T_PlannedOrders[Order_Month])),"m月")&amp;"発注)")</f>
        <v/>
      </c>
      <c r="CS1103">
        <f>IF(SUMIFS(T_PlannedOrders[EffectiveQty],T_PlannedOrders[Part Name],$A1095,T_PlannedOrders[WeekIndex],94)=0,"",SUMIFS(T_PlannedOrders[EffectiveQty],T_PlannedOrders[Part Name],$A1095,T_PlannedOrders[WeekIndex],94)&amp;" ("&amp;TEXT(SUMPRODUCT(MAX((T_PlannedOrders[Part Name]=$A1095)*(T_PlannedOrders[WeekIndex]=94)*(T_PlannedOrders[EffectiveQty]&gt;0)*T_PlannedOrders[Order_Month])),"m月")&amp;"発注)")</f>
        <v/>
      </c>
      <c r="CT1103">
        <f>IF(SUMIFS(T_PlannedOrders[EffectiveQty],T_PlannedOrders[Part Name],$A1095,T_PlannedOrders[WeekIndex],95)=0,"",SUMIFS(T_PlannedOrders[EffectiveQty],T_PlannedOrders[Part Name],$A1095,T_PlannedOrders[WeekIndex],95)&amp;" ("&amp;TEXT(SUMPRODUCT(MAX((T_PlannedOrders[Part Name]=$A1095)*(T_PlannedOrders[WeekIndex]=95)*(T_PlannedOrders[EffectiveQty]&gt;0)*T_PlannedOrders[Order_Month])),"m月")&amp;"発注)")</f>
        <v/>
      </c>
      <c r="CU1103">
        <f>IF(SUMIFS(T_PlannedOrders[EffectiveQty],T_PlannedOrders[Part Name],$A1095,T_PlannedOrders[WeekIndex],96)=0,"",SUMIFS(T_PlannedOrders[EffectiveQty],T_PlannedOrders[Part Name],$A1095,T_PlannedOrders[WeekIndex],96)&amp;" ("&amp;TEXT(SUMPRODUCT(MAX((T_PlannedOrders[Part Name]=$A1095)*(T_PlannedOrders[WeekIndex]=96)*(T_PlannedOrders[EffectiveQty]&gt;0)*T_PlannedOrders[Order_Month])),"m月")&amp;"発注)")</f>
        <v/>
      </c>
      <c r="CV1103">
        <f>IF(SUMIFS(T_PlannedOrders[EffectiveQty],T_PlannedOrders[Part Name],$A1095,T_PlannedOrders[WeekIndex],97)=0,"",SUMIFS(T_PlannedOrders[EffectiveQty],T_PlannedOrders[Part Name],$A1095,T_PlannedOrders[WeekIndex],97)&amp;" ("&amp;TEXT(SUMPRODUCT(MAX((T_PlannedOrders[Part Name]=$A1095)*(T_PlannedOrders[WeekIndex]=97)*(T_PlannedOrders[EffectiveQty]&gt;0)*T_PlannedOrders[Order_Month])),"m月")&amp;"発注)")</f>
        <v/>
      </c>
      <c r="CW1103">
        <f>IF(SUMIFS(T_PlannedOrders[EffectiveQty],T_PlannedOrders[Part Name],$A1095,T_PlannedOrders[WeekIndex],98)=0,"",SUMIFS(T_PlannedOrders[EffectiveQty],T_PlannedOrders[Part Name],$A1095,T_PlannedOrders[WeekIndex],98)&amp;" ("&amp;TEXT(SUMPRODUCT(MAX((T_PlannedOrders[Part Name]=$A1095)*(T_PlannedOrders[WeekIndex]=98)*(T_PlannedOrders[EffectiveQty]&gt;0)*T_PlannedOrders[Order_Month])),"m月")&amp;"発注)")</f>
        <v/>
      </c>
      <c r="CX1103">
        <f>IF(SUMIFS(T_PlannedOrders[EffectiveQty],T_PlannedOrders[Part Name],$A1095,T_PlannedOrders[WeekIndex],99)=0,"",SUMIFS(T_PlannedOrders[EffectiveQty],T_PlannedOrders[Part Name],$A1095,T_PlannedOrders[WeekIndex],99)&amp;" ("&amp;TEXT(SUMPRODUCT(MAX((T_PlannedOrders[Part Name]=$A1095)*(T_PlannedOrders[WeekIndex]=99)*(T_PlannedOrders[EffectiveQty]&gt;0)*T_PlannedOrders[Order_Month])),"m月")&amp;"発注)")</f>
        <v/>
      </c>
      <c r="CY1103">
        <f>IF(SUMIFS(T_PlannedOrders[EffectiveQty],T_PlannedOrders[Part Name],$A1095,T_PlannedOrders[WeekIndex],100)=0,"",SUMIFS(T_PlannedOrders[EffectiveQty],T_PlannedOrders[Part Name],$A1095,T_PlannedOrders[WeekIndex],100)&amp;" ("&amp;TEXT(SUMPRODUCT(MAX((T_PlannedOrders[Part Name]=$A1095)*(T_PlannedOrders[WeekIndex]=100)*(T_PlannedOrders[EffectiveQty]&gt;0)*T_PlannedOrders[Order_Month])),"m月")&amp;"発注)")</f>
        <v/>
      </c>
      <c r="CZ1103">
        <f>IF(SUMIFS(T_PlannedOrders[EffectiveQty],T_PlannedOrders[Part Name],$A1095,T_PlannedOrders[WeekIndex],101)=0,"",SUMIFS(T_PlannedOrders[EffectiveQty],T_PlannedOrders[Part Name],$A1095,T_PlannedOrders[WeekIndex],101)&amp;" ("&amp;TEXT(SUMPRODUCT(MAX((T_PlannedOrders[Part Name]=$A1095)*(T_PlannedOrders[WeekIndex]=101)*(T_PlannedOrders[EffectiveQty]&gt;0)*T_PlannedOrders[Order_Month])),"m月")&amp;"発注)")</f>
        <v/>
      </c>
      <c r="DA1103">
        <f>IF(SUMIFS(T_PlannedOrders[EffectiveQty],T_PlannedOrders[Part Name],$A1095,T_PlannedOrders[WeekIndex],102)=0,"",SUMIFS(T_PlannedOrders[EffectiveQty],T_PlannedOrders[Part Name],$A1095,T_PlannedOrders[WeekIndex],102)&amp;" ("&amp;TEXT(SUMPRODUCT(MAX((T_PlannedOrders[Part Name]=$A1095)*(T_PlannedOrders[WeekIndex]=102)*(T_PlannedOrders[EffectiveQty]&gt;0)*T_PlannedOrders[Order_Month])),"m月")&amp;"発注)")</f>
        <v/>
      </c>
      <c r="DB1103">
        <f>IF(SUMIFS(T_PlannedOrders[EffectiveQty],T_PlannedOrders[Part Name],$A1095,T_PlannedOrders[WeekIndex],103)=0,"",SUMIFS(T_PlannedOrders[EffectiveQty],T_PlannedOrders[Part Name],$A1095,T_PlannedOrders[WeekIndex],103)&amp;" ("&amp;TEXT(SUMPRODUCT(MAX((T_PlannedOrders[Part Name]=$A1095)*(T_PlannedOrders[WeekIndex]=103)*(T_PlannedOrders[EffectiveQty]&gt;0)*T_PlannedOrders[Order_Month])),"m月")&amp;"発注)")</f>
        <v/>
      </c>
      <c r="DC1103">
        <f>IF(SUMIFS(T_PlannedOrders[EffectiveQty],T_PlannedOrders[Part Name],$A1095,T_PlannedOrders[WeekIndex],104)=0,"",SUMIFS(T_PlannedOrders[EffectiveQty],T_PlannedOrders[Part Name],$A1095,T_PlannedOrders[WeekIndex],104)&amp;" ("&amp;TEXT(SUMPRODUCT(MAX((T_PlannedOrders[Part Name]=$A1095)*(T_PlannedOrders[WeekIndex]=104)*(T_PlannedOrders[EffectiveQty]&gt;0)*T_PlannedOrders[Order_Month])),"m月")&amp;"発注)")</f>
        <v/>
      </c>
    </row>
    <row r="1104">
      <c r="B1104" s="5" t="inlineStr">
        <is>
          <t>合計在庫(週末時点,kg)</t>
        </is>
      </c>
      <c r="D1104">
        <f>'Grid_Stock'!B47</f>
        <v/>
      </c>
      <c r="E1104">
        <f>'Grid_Stock'!C47</f>
        <v/>
      </c>
      <c r="F1104">
        <f>'Grid_Stock'!D47</f>
        <v/>
      </c>
      <c r="G1104">
        <f>'Grid_Stock'!E47</f>
        <v/>
      </c>
      <c r="H1104">
        <f>'Grid_Stock'!F47</f>
        <v/>
      </c>
      <c r="I1104">
        <f>'Grid_Stock'!G47</f>
        <v/>
      </c>
      <c r="J1104">
        <f>'Grid_Stock'!H47</f>
        <v/>
      </c>
      <c r="K1104">
        <f>'Grid_Stock'!I47</f>
        <v/>
      </c>
      <c r="L1104">
        <f>'Grid_Stock'!J47</f>
        <v/>
      </c>
      <c r="M1104">
        <f>'Grid_Stock'!K47</f>
        <v/>
      </c>
      <c r="N1104">
        <f>'Grid_Stock'!L47</f>
        <v/>
      </c>
      <c r="O1104">
        <f>'Grid_Stock'!M47</f>
        <v/>
      </c>
      <c r="P1104">
        <f>'Grid_Stock'!N47</f>
        <v/>
      </c>
      <c r="Q1104">
        <f>'Grid_Stock'!O47</f>
        <v/>
      </c>
      <c r="R1104">
        <f>'Grid_Stock'!P47</f>
        <v/>
      </c>
      <c r="S1104">
        <f>'Grid_Stock'!Q47</f>
        <v/>
      </c>
      <c r="T1104">
        <f>'Grid_Stock'!R47</f>
        <v/>
      </c>
      <c r="U1104">
        <f>'Grid_Stock'!S47</f>
        <v/>
      </c>
      <c r="V1104">
        <f>'Grid_Stock'!T47</f>
        <v/>
      </c>
      <c r="W1104">
        <f>'Grid_Stock'!U47</f>
        <v/>
      </c>
      <c r="X1104">
        <f>'Grid_Stock'!V47</f>
        <v/>
      </c>
      <c r="Y1104">
        <f>'Grid_Stock'!W47</f>
        <v/>
      </c>
      <c r="Z1104">
        <f>'Grid_Stock'!X47</f>
        <v/>
      </c>
      <c r="AA1104">
        <f>'Grid_Stock'!Y47</f>
        <v/>
      </c>
      <c r="AB1104">
        <f>'Grid_Stock'!Z47</f>
        <v/>
      </c>
      <c r="AC1104">
        <f>'Grid_Stock'!AA47</f>
        <v/>
      </c>
      <c r="AD1104">
        <f>'Grid_Stock'!AB47</f>
        <v/>
      </c>
      <c r="AE1104">
        <f>'Grid_Stock'!AC47</f>
        <v/>
      </c>
      <c r="AF1104">
        <f>'Grid_Stock'!AD47</f>
        <v/>
      </c>
      <c r="AG1104">
        <f>'Grid_Stock'!AE47</f>
        <v/>
      </c>
      <c r="AH1104">
        <f>'Grid_Stock'!AF47</f>
        <v/>
      </c>
      <c r="AI1104">
        <f>'Grid_Stock'!AG47</f>
        <v/>
      </c>
      <c r="AJ1104">
        <f>'Grid_Stock'!AH47</f>
        <v/>
      </c>
      <c r="AK1104">
        <f>'Grid_Stock'!AI47</f>
        <v/>
      </c>
      <c r="AL1104">
        <f>'Grid_Stock'!AJ47</f>
        <v/>
      </c>
      <c r="AM1104">
        <f>'Grid_Stock'!AK47</f>
        <v/>
      </c>
      <c r="AN1104">
        <f>'Grid_Stock'!AL47</f>
        <v/>
      </c>
      <c r="AO1104">
        <f>'Grid_Stock'!AM47</f>
        <v/>
      </c>
      <c r="AP1104">
        <f>'Grid_Stock'!AN47</f>
        <v/>
      </c>
      <c r="AQ1104">
        <f>'Grid_Stock'!AO47</f>
        <v/>
      </c>
      <c r="AR1104">
        <f>'Grid_Stock'!AP47</f>
        <v/>
      </c>
      <c r="AS1104">
        <f>'Grid_Stock'!AQ47</f>
        <v/>
      </c>
      <c r="AT1104">
        <f>'Grid_Stock'!AR47</f>
        <v/>
      </c>
      <c r="AU1104">
        <f>'Grid_Stock'!AS47</f>
        <v/>
      </c>
      <c r="AV1104">
        <f>'Grid_Stock'!AT47</f>
        <v/>
      </c>
      <c r="AW1104">
        <f>'Grid_Stock'!AU47</f>
        <v/>
      </c>
      <c r="AX1104">
        <f>'Grid_Stock'!AV47</f>
        <v/>
      </c>
      <c r="AY1104">
        <f>'Grid_Stock'!AW47</f>
        <v/>
      </c>
      <c r="AZ1104">
        <f>'Grid_Stock'!AX47</f>
        <v/>
      </c>
      <c r="BA1104">
        <f>'Grid_Stock'!AY47</f>
        <v/>
      </c>
      <c r="BB1104">
        <f>'Grid_Stock'!AZ47</f>
        <v/>
      </c>
      <c r="BC1104">
        <f>'Grid_Stock'!BA47</f>
        <v/>
      </c>
      <c r="BD1104">
        <f>'Grid_Stock'!BB47</f>
        <v/>
      </c>
      <c r="BE1104">
        <f>'Grid_Stock'!BC47</f>
        <v/>
      </c>
      <c r="BF1104">
        <f>'Grid_Stock'!BD47</f>
        <v/>
      </c>
      <c r="BG1104">
        <f>'Grid_Stock'!BE47</f>
        <v/>
      </c>
      <c r="BH1104">
        <f>'Grid_Stock'!BF47</f>
        <v/>
      </c>
      <c r="BI1104">
        <f>'Grid_Stock'!BG47</f>
        <v/>
      </c>
      <c r="BJ1104">
        <f>'Grid_Stock'!BH47</f>
        <v/>
      </c>
      <c r="BK1104">
        <f>'Grid_Stock'!BI47</f>
        <v/>
      </c>
      <c r="BL1104">
        <f>'Grid_Stock'!BJ47</f>
        <v/>
      </c>
      <c r="BM1104">
        <f>'Grid_Stock'!BK47</f>
        <v/>
      </c>
      <c r="BN1104">
        <f>'Grid_Stock'!BL47</f>
        <v/>
      </c>
      <c r="BO1104">
        <f>'Grid_Stock'!BM47</f>
        <v/>
      </c>
      <c r="BP1104">
        <f>'Grid_Stock'!BN47</f>
        <v/>
      </c>
      <c r="BQ1104">
        <f>'Grid_Stock'!BO47</f>
        <v/>
      </c>
      <c r="BR1104">
        <f>'Grid_Stock'!BP47</f>
        <v/>
      </c>
      <c r="BS1104">
        <f>'Grid_Stock'!BQ47</f>
        <v/>
      </c>
      <c r="BT1104">
        <f>'Grid_Stock'!BR47</f>
        <v/>
      </c>
      <c r="BU1104">
        <f>'Grid_Stock'!BS47</f>
        <v/>
      </c>
      <c r="BV1104">
        <f>'Grid_Stock'!BT47</f>
        <v/>
      </c>
      <c r="BW1104">
        <f>'Grid_Stock'!BU47</f>
        <v/>
      </c>
      <c r="BX1104">
        <f>'Grid_Stock'!BV47</f>
        <v/>
      </c>
      <c r="BY1104">
        <f>'Grid_Stock'!BW47</f>
        <v/>
      </c>
      <c r="BZ1104">
        <f>'Grid_Stock'!BX47</f>
        <v/>
      </c>
      <c r="CA1104">
        <f>'Grid_Stock'!BY47</f>
        <v/>
      </c>
      <c r="CB1104">
        <f>'Grid_Stock'!BZ47</f>
        <v/>
      </c>
      <c r="CC1104">
        <f>'Grid_Stock'!CA47</f>
        <v/>
      </c>
      <c r="CD1104">
        <f>'Grid_Stock'!CB47</f>
        <v/>
      </c>
      <c r="CE1104">
        <f>'Grid_Stock'!CC47</f>
        <v/>
      </c>
      <c r="CF1104">
        <f>'Grid_Stock'!CD47</f>
        <v/>
      </c>
      <c r="CG1104">
        <f>'Grid_Stock'!CE47</f>
        <v/>
      </c>
      <c r="CH1104">
        <f>'Grid_Stock'!CF47</f>
        <v/>
      </c>
      <c r="CI1104">
        <f>'Grid_Stock'!CG47</f>
        <v/>
      </c>
      <c r="CJ1104">
        <f>'Grid_Stock'!CH47</f>
        <v/>
      </c>
      <c r="CK1104">
        <f>'Grid_Stock'!CI47</f>
        <v/>
      </c>
      <c r="CL1104">
        <f>'Grid_Stock'!CJ47</f>
        <v/>
      </c>
      <c r="CM1104">
        <f>'Grid_Stock'!CK47</f>
        <v/>
      </c>
      <c r="CN1104">
        <f>'Grid_Stock'!CL47</f>
        <v/>
      </c>
      <c r="CO1104">
        <f>'Grid_Stock'!CM47</f>
        <v/>
      </c>
      <c r="CP1104">
        <f>'Grid_Stock'!CN47</f>
        <v/>
      </c>
      <c r="CQ1104">
        <f>'Grid_Stock'!CO47</f>
        <v/>
      </c>
      <c r="CR1104">
        <f>'Grid_Stock'!CP47</f>
        <v/>
      </c>
      <c r="CS1104">
        <f>'Grid_Stock'!CQ47</f>
        <v/>
      </c>
      <c r="CT1104">
        <f>'Grid_Stock'!CR47</f>
        <v/>
      </c>
      <c r="CU1104">
        <f>'Grid_Stock'!CS47</f>
        <v/>
      </c>
      <c r="CV1104">
        <f>'Grid_Stock'!CT47</f>
        <v/>
      </c>
      <c r="CW1104">
        <f>'Grid_Stock'!CU47</f>
        <v/>
      </c>
      <c r="CX1104">
        <f>'Grid_Stock'!CV47</f>
        <v/>
      </c>
      <c r="CY1104">
        <f>'Grid_Stock'!CW47</f>
        <v/>
      </c>
      <c r="CZ1104">
        <f>'Grid_Stock'!CX47</f>
        <v/>
      </c>
      <c r="DA1104">
        <f>'Grid_Stock'!CY47</f>
        <v/>
      </c>
      <c r="DB1104">
        <f>'Grid_Stock'!CZ47</f>
        <v/>
      </c>
      <c r="DC1104">
        <f>'Grid_Stock'!DA47</f>
        <v/>
      </c>
    </row>
    <row r="1105">
      <c r="B1105" s="23" t="inlineStr">
        <is>
          <t>（発注の目安はDashboardの基準在庫[下限/上限]と色分けを参照）</t>
        </is>
      </c>
    </row>
    <row r="1107">
      <c r="A1107" s="21" t="inlineStr">
        <is>
          <t>CHEM-1450</t>
        </is>
      </c>
      <c r="B1107" s="21" t="inlineStr">
        <is>
          <t>Noptechs</t>
        </is>
      </c>
      <c r="C1107" s="22" t="n"/>
      <c r="D1107" s="21" t="n"/>
      <c r="E1107" s="21" t="n"/>
      <c r="F1107" s="21" t="n"/>
      <c r="G1107" s="21" t="n"/>
      <c r="H1107" s="21" t="n"/>
      <c r="I1107" s="21" t="n"/>
      <c r="J1107" s="21" t="n"/>
      <c r="K1107" s="21" t="n"/>
      <c r="L1107" s="21" t="n"/>
      <c r="M1107" s="21" t="n"/>
      <c r="N1107" s="21" t="n"/>
      <c r="O1107" s="21" t="n"/>
      <c r="P1107" s="21" t="n"/>
      <c r="Q1107" s="21" t="n"/>
      <c r="R1107" s="21" t="n"/>
      <c r="S1107" s="21" t="n"/>
      <c r="T1107" s="21" t="n"/>
      <c r="U1107" s="21" t="n"/>
      <c r="V1107" s="21" t="n"/>
      <c r="W1107" s="21" t="n"/>
      <c r="X1107" s="21" t="n"/>
      <c r="Y1107" s="21" t="n"/>
      <c r="Z1107" s="21" t="n"/>
      <c r="AA1107" s="21" t="n"/>
      <c r="AB1107" s="21" t="n"/>
      <c r="AC1107" s="21" t="n"/>
      <c r="AD1107" s="21" t="n"/>
      <c r="AE1107" s="21" t="n"/>
      <c r="AF1107" s="21" t="n"/>
      <c r="AG1107" s="21" t="n"/>
      <c r="AH1107" s="21" t="n"/>
      <c r="AI1107" s="21" t="n"/>
      <c r="AJ1107" s="21" t="n"/>
      <c r="AK1107" s="21" t="n"/>
      <c r="AL1107" s="21" t="n"/>
      <c r="AM1107" s="21" t="n"/>
      <c r="AN1107" s="21" t="n"/>
      <c r="AO1107" s="21" t="n"/>
      <c r="AP1107" s="21" t="n"/>
      <c r="AQ1107" s="21" t="n"/>
      <c r="AR1107" s="21" t="n"/>
      <c r="AS1107" s="21" t="n"/>
      <c r="AT1107" s="21" t="n"/>
      <c r="AU1107" s="21" t="n"/>
      <c r="AV1107" s="21" t="n"/>
      <c r="AW1107" s="21" t="n"/>
      <c r="AX1107" s="21" t="n"/>
      <c r="AY1107" s="21" t="n"/>
      <c r="AZ1107" s="21" t="n"/>
      <c r="BA1107" s="21" t="n"/>
      <c r="BB1107" s="21" t="n"/>
      <c r="BC1107" s="21" t="n"/>
      <c r="BD1107" s="21" t="n"/>
      <c r="BE1107" s="21" t="n"/>
      <c r="BF1107" s="21" t="n"/>
      <c r="BG1107" s="21" t="n"/>
      <c r="BH1107" s="21" t="n"/>
      <c r="BI1107" s="21" t="n"/>
      <c r="BJ1107" s="21" t="n"/>
      <c r="BK1107" s="21" t="n"/>
      <c r="BL1107" s="21" t="n"/>
      <c r="BM1107" s="21" t="n"/>
      <c r="BN1107" s="21" t="n"/>
      <c r="BO1107" s="21" t="n"/>
      <c r="BP1107" s="21" t="n"/>
      <c r="BQ1107" s="21" t="n"/>
      <c r="BR1107" s="21" t="n"/>
      <c r="BS1107" s="21" t="n"/>
      <c r="BT1107" s="21" t="n"/>
      <c r="BU1107" s="21" t="n"/>
      <c r="BV1107" s="21" t="n"/>
      <c r="BW1107" s="21" t="n"/>
      <c r="BX1107" s="21" t="n"/>
      <c r="BY1107" s="21" t="n"/>
      <c r="BZ1107" s="21" t="n"/>
      <c r="CA1107" s="21" t="n"/>
      <c r="CB1107" s="21" t="n"/>
      <c r="CC1107" s="21" t="n"/>
      <c r="CD1107" s="21" t="n"/>
      <c r="CE1107" s="21" t="n"/>
      <c r="CF1107" s="21" t="n"/>
      <c r="CG1107" s="21" t="n"/>
      <c r="CH1107" s="21" t="n"/>
      <c r="CI1107" s="21" t="n"/>
      <c r="CJ1107" s="21" t="n"/>
      <c r="CK1107" s="21" t="n"/>
      <c r="CL1107" s="21" t="n"/>
      <c r="CM1107" s="21" t="n"/>
      <c r="CN1107" s="21" t="n"/>
      <c r="CO1107" s="21" t="n"/>
      <c r="CP1107" s="21" t="n"/>
      <c r="CQ1107" s="21" t="n"/>
      <c r="CR1107" s="21" t="n"/>
      <c r="CS1107" s="21" t="n"/>
      <c r="CT1107" s="21" t="n"/>
      <c r="CU1107" s="21" t="n"/>
      <c r="CV1107" s="21" t="n"/>
      <c r="CW1107" s="21" t="n"/>
      <c r="CX1107" s="21" t="n"/>
      <c r="CY1107" s="21" t="n"/>
      <c r="CZ1107" s="21" t="n"/>
      <c r="DA1107" s="21" t="n"/>
      <c r="DB1107" s="21" t="n"/>
      <c r="DC1107" s="21" t="n"/>
    </row>
    <row r="1108">
      <c r="B1108" t="inlineStr">
        <is>
          <t>TSP-225</t>
        </is>
      </c>
      <c r="C1108" t="inlineStr">
        <is>
          <t>No. of batches</t>
        </is>
      </c>
      <c r="D1108">
        <f>IFERROR(INDEX(PP_Grid[#Data],$DD1108,2),0)</f>
        <v/>
      </c>
      <c r="E1108">
        <f>IFERROR(INDEX(PP_Grid[#Data],$DD1108,3),0)</f>
        <v/>
      </c>
      <c r="F1108">
        <f>IFERROR(INDEX(PP_Grid[#Data],$DD1108,4),0)</f>
        <v/>
      </c>
      <c r="G1108">
        <f>IFERROR(INDEX(PP_Grid[#Data],$DD1108,5),0)</f>
        <v/>
      </c>
      <c r="H1108">
        <f>IFERROR(INDEX(PP_Grid[#Data],$DD1108,6),0)</f>
        <v/>
      </c>
      <c r="I1108">
        <f>IFERROR(INDEX(PP_Grid[#Data],$DD1108,7),0)</f>
        <v/>
      </c>
      <c r="J1108">
        <f>IFERROR(INDEX(PP_Grid[#Data],$DD1108,8),0)</f>
        <v/>
      </c>
      <c r="K1108">
        <f>IFERROR(INDEX(PP_Grid[#Data],$DD1108,9),0)</f>
        <v/>
      </c>
      <c r="L1108">
        <f>IFERROR(INDEX(PP_Grid[#Data],$DD1108,10),0)</f>
        <v/>
      </c>
      <c r="M1108">
        <f>IFERROR(INDEX(PP_Grid[#Data],$DD1108,11),0)</f>
        <v/>
      </c>
      <c r="N1108">
        <f>IFERROR(INDEX(PP_Grid[#Data],$DD1108,12),0)</f>
        <v/>
      </c>
      <c r="O1108">
        <f>IFERROR(INDEX(PP_Grid[#Data],$DD1108,13),0)</f>
        <v/>
      </c>
      <c r="P1108">
        <f>IFERROR(INDEX(PP_Grid[#Data],$DD1108,14),0)</f>
        <v/>
      </c>
      <c r="Q1108">
        <f>IFERROR(INDEX(PP_Grid[#Data],$DD1108,15),0)</f>
        <v/>
      </c>
      <c r="R1108">
        <f>IFERROR(INDEX(PP_Grid[#Data],$DD1108,16),0)</f>
        <v/>
      </c>
      <c r="S1108">
        <f>IFERROR(INDEX(PP_Grid[#Data],$DD1108,17),0)</f>
        <v/>
      </c>
      <c r="T1108">
        <f>IFERROR(INDEX(PP_Grid[#Data],$DD1108,18),0)</f>
        <v/>
      </c>
      <c r="U1108">
        <f>IFERROR(INDEX(PP_Grid[#Data],$DD1108,19),0)</f>
        <v/>
      </c>
      <c r="V1108">
        <f>IFERROR(INDEX(PP_Grid[#Data],$DD1108,20),0)</f>
        <v/>
      </c>
      <c r="W1108">
        <f>IFERROR(INDEX(PP_Grid[#Data],$DD1108,21),0)</f>
        <v/>
      </c>
      <c r="X1108">
        <f>IFERROR(INDEX(PP_Grid[#Data],$DD1108,22),0)</f>
        <v/>
      </c>
      <c r="Y1108">
        <f>IFERROR(INDEX(PP_Grid[#Data],$DD1108,23),0)</f>
        <v/>
      </c>
      <c r="Z1108">
        <f>IFERROR(INDEX(PP_Grid[#Data],$DD1108,24),0)</f>
        <v/>
      </c>
      <c r="AA1108">
        <f>IFERROR(INDEX(PP_Grid[#Data],$DD1108,25),0)</f>
        <v/>
      </c>
      <c r="AB1108">
        <f>IFERROR(INDEX(PP_Grid[#Data],$DD1108,26),0)</f>
        <v/>
      </c>
      <c r="AC1108">
        <f>IFERROR(INDEX(PP_Grid[#Data],$DD1108,27),0)</f>
        <v/>
      </c>
      <c r="AD1108">
        <f>IFERROR(INDEX(PP_Grid[#Data],$DD1108,28),0)</f>
        <v/>
      </c>
      <c r="AE1108">
        <f>IFERROR(INDEX(PP_Grid[#Data],$DD1108,29),0)</f>
        <v/>
      </c>
      <c r="AF1108">
        <f>IFERROR(INDEX(PP_Grid[#Data],$DD1108,30),0)</f>
        <v/>
      </c>
      <c r="AG1108">
        <f>IFERROR(INDEX(PP_Grid[#Data],$DD1108,31),0)</f>
        <v/>
      </c>
      <c r="AH1108">
        <f>IFERROR(INDEX(PP_Grid[#Data],$DD1108,32),0)</f>
        <v/>
      </c>
      <c r="AI1108">
        <f>IFERROR(INDEX(PP_Grid[#Data],$DD1108,33),0)</f>
        <v/>
      </c>
      <c r="AJ1108">
        <f>IFERROR(INDEX(PP_Grid[#Data],$DD1108,34),0)</f>
        <v/>
      </c>
      <c r="AK1108">
        <f>IFERROR(INDEX(PP_Grid[#Data],$DD1108,35),0)</f>
        <v/>
      </c>
      <c r="AL1108">
        <f>IFERROR(INDEX(PP_Grid[#Data],$DD1108,36),0)</f>
        <v/>
      </c>
      <c r="AM1108">
        <f>IFERROR(INDEX(PP_Grid[#Data],$DD1108,37),0)</f>
        <v/>
      </c>
      <c r="AN1108">
        <f>IFERROR(INDEX(PP_Grid[#Data],$DD1108,38),0)</f>
        <v/>
      </c>
      <c r="AO1108">
        <f>IFERROR(INDEX(PP_Grid[#Data],$DD1108,39),0)</f>
        <v/>
      </c>
      <c r="AP1108">
        <f>IFERROR(INDEX(PP_Grid[#Data],$DD1108,40),0)</f>
        <v/>
      </c>
      <c r="AQ1108">
        <f>IFERROR(INDEX(PP_Grid[#Data],$DD1108,41),0)</f>
        <v/>
      </c>
      <c r="AR1108">
        <f>IFERROR(INDEX(PP_Grid[#Data],$DD1108,42),0)</f>
        <v/>
      </c>
      <c r="AS1108">
        <f>IFERROR(INDEX(PP_Grid[#Data],$DD1108,43),0)</f>
        <v/>
      </c>
      <c r="AT1108">
        <f>IFERROR(INDEX(PP_Grid[#Data],$DD1108,44),0)</f>
        <v/>
      </c>
      <c r="AU1108">
        <f>IFERROR(INDEX(PP_Grid[#Data],$DD1108,45),0)</f>
        <v/>
      </c>
      <c r="AV1108">
        <f>IFERROR(INDEX(PP_Grid[#Data],$DD1108,46),0)</f>
        <v/>
      </c>
      <c r="AW1108">
        <f>IFERROR(INDEX(PP_Grid[#Data],$DD1108,47),0)</f>
        <v/>
      </c>
      <c r="AX1108">
        <f>IFERROR(INDEX(PP_Grid[#Data],$DD1108,48),0)</f>
        <v/>
      </c>
      <c r="AY1108">
        <f>IFERROR(INDEX(PP_Grid[#Data],$DD1108,49),0)</f>
        <v/>
      </c>
      <c r="AZ1108">
        <f>IFERROR(INDEX(PP_Grid[#Data],$DD1108,50),0)</f>
        <v/>
      </c>
      <c r="BA1108">
        <f>IFERROR(INDEX(PP_Grid[#Data],$DD1108,51),0)</f>
        <v/>
      </c>
      <c r="BB1108">
        <f>IFERROR(INDEX(PP_Grid[#Data],$DD1108,52),0)</f>
        <v/>
      </c>
      <c r="BC1108">
        <f>IFERROR(INDEX(PP_Grid[#Data],$DD1108,53),0)</f>
        <v/>
      </c>
      <c r="BD1108">
        <f>IFERROR(INDEX(PP_Grid[#Data],$DD1108,54),0)</f>
        <v/>
      </c>
      <c r="BE1108">
        <f>IFERROR(INDEX(PP_Grid[#Data],$DD1108,55),0)</f>
        <v/>
      </c>
      <c r="BF1108">
        <f>IFERROR(INDEX(PP_Grid[#Data],$DD1108,56),0)</f>
        <v/>
      </c>
      <c r="BG1108">
        <f>IFERROR(INDEX(PP_Grid[#Data],$DD1108,57),0)</f>
        <v/>
      </c>
      <c r="BH1108">
        <f>IFERROR(INDEX(PP_Grid[#Data],$DD1108,58),0)</f>
        <v/>
      </c>
      <c r="BI1108">
        <f>IFERROR(INDEX(PP_Grid[#Data],$DD1108,59),0)</f>
        <v/>
      </c>
      <c r="BJ1108">
        <f>IFERROR(INDEX(PP_Grid[#Data],$DD1108,60),0)</f>
        <v/>
      </c>
      <c r="BK1108">
        <f>IFERROR(INDEX(PP_Grid[#Data],$DD1108,61),0)</f>
        <v/>
      </c>
      <c r="BL1108">
        <f>IFERROR(INDEX(PP_Grid[#Data],$DD1108,62),0)</f>
        <v/>
      </c>
      <c r="BM1108">
        <f>IFERROR(INDEX(PP_Grid[#Data],$DD1108,63),0)</f>
        <v/>
      </c>
      <c r="BN1108">
        <f>IFERROR(INDEX(PP_Grid[#Data],$DD1108,64),0)</f>
        <v/>
      </c>
      <c r="BO1108">
        <f>IFERROR(INDEX(PP_Grid[#Data],$DD1108,65),0)</f>
        <v/>
      </c>
      <c r="BP1108">
        <f>IFERROR(INDEX(PP_Grid[#Data],$DD1108,66),0)</f>
        <v/>
      </c>
      <c r="BQ1108">
        <f>IFERROR(INDEX(PP_Grid[#Data],$DD1108,67),0)</f>
        <v/>
      </c>
      <c r="BR1108">
        <f>IFERROR(INDEX(PP_Grid[#Data],$DD1108,68),0)</f>
        <v/>
      </c>
      <c r="BS1108">
        <f>IFERROR(INDEX(PP_Grid[#Data],$DD1108,69),0)</f>
        <v/>
      </c>
      <c r="BT1108">
        <f>IFERROR(INDEX(PP_Grid[#Data],$DD1108,70),0)</f>
        <v/>
      </c>
      <c r="BU1108">
        <f>IFERROR(INDEX(PP_Grid[#Data],$DD1108,71),0)</f>
        <v/>
      </c>
      <c r="BV1108">
        <f>IFERROR(INDEX(PP_Grid[#Data],$DD1108,72),0)</f>
        <v/>
      </c>
      <c r="BW1108">
        <f>IFERROR(INDEX(PP_Grid[#Data],$DD1108,73),0)</f>
        <v/>
      </c>
      <c r="BX1108">
        <f>IFERROR(INDEX(PP_Grid[#Data],$DD1108,74),0)</f>
        <v/>
      </c>
      <c r="BY1108">
        <f>IFERROR(INDEX(PP_Grid[#Data],$DD1108,75),0)</f>
        <v/>
      </c>
      <c r="BZ1108">
        <f>IFERROR(INDEX(PP_Grid[#Data],$DD1108,76),0)</f>
        <v/>
      </c>
      <c r="CA1108">
        <f>IFERROR(INDEX(PP_Grid[#Data],$DD1108,77),0)</f>
        <v/>
      </c>
      <c r="CB1108">
        <f>IFERROR(INDEX(PP_Grid[#Data],$DD1108,78),0)</f>
        <v/>
      </c>
      <c r="CC1108">
        <f>IFERROR(INDEX(PP_Grid[#Data],$DD1108,79),0)</f>
        <v/>
      </c>
      <c r="CD1108">
        <f>IFERROR(INDEX(PP_Grid[#Data],$DD1108,80),0)</f>
        <v/>
      </c>
      <c r="CE1108">
        <f>IFERROR(INDEX(PP_Grid[#Data],$DD1108,81),0)</f>
        <v/>
      </c>
      <c r="CF1108">
        <f>IFERROR(INDEX(PP_Grid[#Data],$DD1108,82),0)</f>
        <v/>
      </c>
      <c r="CG1108">
        <f>IFERROR(INDEX(PP_Grid[#Data],$DD1108,83),0)</f>
        <v/>
      </c>
      <c r="CH1108">
        <f>IFERROR(INDEX(PP_Grid[#Data],$DD1108,84),0)</f>
        <v/>
      </c>
      <c r="CI1108">
        <f>IFERROR(INDEX(PP_Grid[#Data],$DD1108,85),0)</f>
        <v/>
      </c>
      <c r="CJ1108">
        <f>IFERROR(INDEX(PP_Grid[#Data],$DD1108,86),0)</f>
        <v/>
      </c>
      <c r="CK1108">
        <f>IFERROR(INDEX(PP_Grid[#Data],$DD1108,87),0)</f>
        <v/>
      </c>
      <c r="CL1108">
        <f>IFERROR(INDEX(PP_Grid[#Data],$DD1108,88),0)</f>
        <v/>
      </c>
      <c r="CM1108">
        <f>IFERROR(INDEX(PP_Grid[#Data],$DD1108,89),0)</f>
        <v/>
      </c>
      <c r="CN1108">
        <f>IFERROR(INDEX(PP_Grid[#Data],$DD1108,90),0)</f>
        <v/>
      </c>
      <c r="CO1108">
        <f>IFERROR(INDEX(PP_Grid[#Data],$DD1108,91),0)</f>
        <v/>
      </c>
      <c r="CP1108">
        <f>IFERROR(INDEX(PP_Grid[#Data],$DD1108,92),0)</f>
        <v/>
      </c>
      <c r="CQ1108">
        <f>IFERROR(INDEX(PP_Grid[#Data],$DD1108,93),0)</f>
        <v/>
      </c>
      <c r="CR1108">
        <f>IFERROR(INDEX(PP_Grid[#Data],$DD1108,94),0)</f>
        <v/>
      </c>
      <c r="CS1108">
        <f>IFERROR(INDEX(PP_Grid[#Data],$DD1108,95),0)</f>
        <v/>
      </c>
      <c r="CT1108">
        <f>IFERROR(INDEX(PP_Grid[#Data],$DD1108,96),0)</f>
        <v/>
      </c>
      <c r="CU1108">
        <f>IFERROR(INDEX(PP_Grid[#Data],$DD1108,97),0)</f>
        <v/>
      </c>
      <c r="CV1108">
        <f>IFERROR(INDEX(PP_Grid[#Data],$DD1108,98),0)</f>
        <v/>
      </c>
      <c r="CW1108">
        <f>IFERROR(INDEX(PP_Grid[#Data],$DD1108,99),0)</f>
        <v/>
      </c>
      <c r="CX1108">
        <f>IFERROR(INDEX(PP_Grid[#Data],$DD1108,100),0)</f>
        <v/>
      </c>
      <c r="CY1108">
        <f>IFERROR(INDEX(PP_Grid[#Data],$DD1108,101),0)</f>
        <v/>
      </c>
      <c r="CZ1108">
        <f>IFERROR(INDEX(PP_Grid[#Data],$DD1108,102),0)</f>
        <v/>
      </c>
      <c r="DA1108">
        <f>IFERROR(INDEX(PP_Grid[#Data],$DD1108,103),0)</f>
        <v/>
      </c>
      <c r="DB1108">
        <f>IFERROR(INDEX(PP_Grid[#Data],$DD1108,104),0)</f>
        <v/>
      </c>
      <c r="DC1108">
        <f>IFERROR(INDEX(PP_Grid[#Data],$DD1108,105),0)</f>
        <v/>
      </c>
      <c r="DD1108" s="12">
        <f>IFERROR(MATCH($B1108,PP_Grid[Intermediate],0),99999)</f>
        <v/>
      </c>
    </row>
    <row r="1109">
      <c r="B1109" t="inlineStr">
        <is>
          <t>使用量(kg)</t>
        </is>
      </c>
      <c r="C1109">
        <f>SUMIFS(M_BOM[RM_Qty_Per_Batch],M_BOM[Intermediate],$B1108,M_BOM[Part Name],$A1107)</f>
        <v/>
      </c>
      <c r="D1109">
        <f>$C1109*D1108</f>
        <v/>
      </c>
      <c r="E1109">
        <f>$C1109*E1108</f>
        <v/>
      </c>
      <c r="F1109">
        <f>$C1109*F1108</f>
        <v/>
      </c>
      <c r="G1109">
        <f>$C1109*G1108</f>
        <v/>
      </c>
      <c r="H1109">
        <f>$C1109*H1108</f>
        <v/>
      </c>
      <c r="I1109">
        <f>$C1109*I1108</f>
        <v/>
      </c>
      <c r="J1109">
        <f>$C1109*J1108</f>
        <v/>
      </c>
      <c r="K1109">
        <f>$C1109*K1108</f>
        <v/>
      </c>
      <c r="L1109">
        <f>$C1109*L1108</f>
        <v/>
      </c>
      <c r="M1109">
        <f>$C1109*M1108</f>
        <v/>
      </c>
      <c r="N1109">
        <f>$C1109*N1108</f>
        <v/>
      </c>
      <c r="O1109">
        <f>$C1109*O1108</f>
        <v/>
      </c>
      <c r="P1109">
        <f>$C1109*P1108</f>
        <v/>
      </c>
      <c r="Q1109">
        <f>$C1109*Q1108</f>
        <v/>
      </c>
      <c r="R1109">
        <f>$C1109*R1108</f>
        <v/>
      </c>
      <c r="S1109">
        <f>$C1109*S1108</f>
        <v/>
      </c>
      <c r="T1109">
        <f>$C1109*T1108</f>
        <v/>
      </c>
      <c r="U1109">
        <f>$C1109*U1108</f>
        <v/>
      </c>
      <c r="V1109">
        <f>$C1109*V1108</f>
        <v/>
      </c>
      <c r="W1109">
        <f>$C1109*W1108</f>
        <v/>
      </c>
      <c r="X1109">
        <f>$C1109*X1108</f>
        <v/>
      </c>
      <c r="Y1109">
        <f>$C1109*Y1108</f>
        <v/>
      </c>
      <c r="Z1109">
        <f>$C1109*Z1108</f>
        <v/>
      </c>
      <c r="AA1109">
        <f>$C1109*AA1108</f>
        <v/>
      </c>
      <c r="AB1109">
        <f>$C1109*AB1108</f>
        <v/>
      </c>
      <c r="AC1109">
        <f>$C1109*AC1108</f>
        <v/>
      </c>
      <c r="AD1109">
        <f>$C1109*AD1108</f>
        <v/>
      </c>
      <c r="AE1109">
        <f>$C1109*AE1108</f>
        <v/>
      </c>
      <c r="AF1109">
        <f>$C1109*AF1108</f>
        <v/>
      </c>
      <c r="AG1109">
        <f>$C1109*AG1108</f>
        <v/>
      </c>
      <c r="AH1109">
        <f>$C1109*AH1108</f>
        <v/>
      </c>
      <c r="AI1109">
        <f>$C1109*AI1108</f>
        <v/>
      </c>
      <c r="AJ1109">
        <f>$C1109*AJ1108</f>
        <v/>
      </c>
      <c r="AK1109">
        <f>$C1109*AK1108</f>
        <v/>
      </c>
      <c r="AL1109">
        <f>$C1109*AL1108</f>
        <v/>
      </c>
      <c r="AM1109">
        <f>$C1109*AM1108</f>
        <v/>
      </c>
      <c r="AN1109">
        <f>$C1109*AN1108</f>
        <v/>
      </c>
      <c r="AO1109">
        <f>$C1109*AO1108</f>
        <v/>
      </c>
      <c r="AP1109">
        <f>$C1109*AP1108</f>
        <v/>
      </c>
      <c r="AQ1109">
        <f>$C1109*AQ1108</f>
        <v/>
      </c>
      <c r="AR1109">
        <f>$C1109*AR1108</f>
        <v/>
      </c>
      <c r="AS1109">
        <f>$C1109*AS1108</f>
        <v/>
      </c>
      <c r="AT1109">
        <f>$C1109*AT1108</f>
        <v/>
      </c>
      <c r="AU1109">
        <f>$C1109*AU1108</f>
        <v/>
      </c>
      <c r="AV1109">
        <f>$C1109*AV1108</f>
        <v/>
      </c>
      <c r="AW1109">
        <f>$C1109*AW1108</f>
        <v/>
      </c>
      <c r="AX1109">
        <f>$C1109*AX1108</f>
        <v/>
      </c>
      <c r="AY1109">
        <f>$C1109*AY1108</f>
        <v/>
      </c>
      <c r="AZ1109">
        <f>$C1109*AZ1108</f>
        <v/>
      </c>
      <c r="BA1109">
        <f>$C1109*BA1108</f>
        <v/>
      </c>
      <c r="BB1109">
        <f>$C1109*BB1108</f>
        <v/>
      </c>
      <c r="BC1109">
        <f>$C1109*BC1108</f>
        <v/>
      </c>
      <c r="BD1109">
        <f>$C1109*BD1108</f>
        <v/>
      </c>
      <c r="BE1109">
        <f>$C1109*BE1108</f>
        <v/>
      </c>
      <c r="BF1109">
        <f>$C1109*BF1108</f>
        <v/>
      </c>
      <c r="BG1109">
        <f>$C1109*BG1108</f>
        <v/>
      </c>
      <c r="BH1109">
        <f>$C1109*BH1108</f>
        <v/>
      </c>
      <c r="BI1109">
        <f>$C1109*BI1108</f>
        <v/>
      </c>
      <c r="BJ1109">
        <f>$C1109*BJ1108</f>
        <v/>
      </c>
      <c r="BK1109">
        <f>$C1109*BK1108</f>
        <v/>
      </c>
      <c r="BL1109">
        <f>$C1109*BL1108</f>
        <v/>
      </c>
      <c r="BM1109">
        <f>$C1109*BM1108</f>
        <v/>
      </c>
      <c r="BN1109">
        <f>$C1109*BN1108</f>
        <v/>
      </c>
      <c r="BO1109">
        <f>$C1109*BO1108</f>
        <v/>
      </c>
      <c r="BP1109">
        <f>$C1109*BP1108</f>
        <v/>
      </c>
      <c r="BQ1109">
        <f>$C1109*BQ1108</f>
        <v/>
      </c>
      <c r="BR1109">
        <f>$C1109*BR1108</f>
        <v/>
      </c>
      <c r="BS1109">
        <f>$C1109*BS1108</f>
        <v/>
      </c>
      <c r="BT1109">
        <f>$C1109*BT1108</f>
        <v/>
      </c>
      <c r="BU1109">
        <f>$C1109*BU1108</f>
        <v/>
      </c>
      <c r="BV1109">
        <f>$C1109*BV1108</f>
        <v/>
      </c>
      <c r="BW1109">
        <f>$C1109*BW1108</f>
        <v/>
      </c>
      <c r="BX1109">
        <f>$C1109*BX1108</f>
        <v/>
      </c>
      <c r="BY1109">
        <f>$C1109*BY1108</f>
        <v/>
      </c>
      <c r="BZ1109">
        <f>$C1109*BZ1108</f>
        <v/>
      </c>
      <c r="CA1109">
        <f>$C1109*CA1108</f>
        <v/>
      </c>
      <c r="CB1109">
        <f>$C1109*CB1108</f>
        <v/>
      </c>
      <c r="CC1109">
        <f>$C1109*CC1108</f>
        <v/>
      </c>
      <c r="CD1109">
        <f>$C1109*CD1108</f>
        <v/>
      </c>
      <c r="CE1109">
        <f>$C1109*CE1108</f>
        <v/>
      </c>
      <c r="CF1109">
        <f>$C1109*CF1108</f>
        <v/>
      </c>
      <c r="CG1109">
        <f>$C1109*CG1108</f>
        <v/>
      </c>
      <c r="CH1109">
        <f>$C1109*CH1108</f>
        <v/>
      </c>
      <c r="CI1109">
        <f>$C1109*CI1108</f>
        <v/>
      </c>
      <c r="CJ1109">
        <f>$C1109*CJ1108</f>
        <v/>
      </c>
      <c r="CK1109">
        <f>$C1109*CK1108</f>
        <v/>
      </c>
      <c r="CL1109">
        <f>$C1109*CL1108</f>
        <v/>
      </c>
      <c r="CM1109">
        <f>$C1109*CM1108</f>
        <v/>
      </c>
      <c r="CN1109">
        <f>$C1109*CN1108</f>
        <v/>
      </c>
      <c r="CO1109">
        <f>$C1109*CO1108</f>
        <v/>
      </c>
      <c r="CP1109">
        <f>$C1109*CP1108</f>
        <v/>
      </c>
      <c r="CQ1109">
        <f>$C1109*CQ1108</f>
        <v/>
      </c>
      <c r="CR1109">
        <f>$C1109*CR1108</f>
        <v/>
      </c>
      <c r="CS1109">
        <f>$C1109*CS1108</f>
        <v/>
      </c>
      <c r="CT1109">
        <f>$C1109*CT1108</f>
        <v/>
      </c>
      <c r="CU1109">
        <f>$C1109*CU1108</f>
        <v/>
      </c>
      <c r="CV1109">
        <f>$C1109*CV1108</f>
        <v/>
      </c>
      <c r="CW1109">
        <f>$C1109*CW1108</f>
        <v/>
      </c>
      <c r="CX1109">
        <f>$C1109*CX1108</f>
        <v/>
      </c>
      <c r="CY1109">
        <f>$C1109*CY1108</f>
        <v/>
      </c>
      <c r="CZ1109">
        <f>$C1109*CZ1108</f>
        <v/>
      </c>
      <c r="DA1109">
        <f>$C1109*DA1108</f>
        <v/>
      </c>
      <c r="DB1109">
        <f>$C1109*DB1108</f>
        <v/>
      </c>
      <c r="DC1109">
        <f>$C1109*DC1108</f>
        <v/>
      </c>
    </row>
    <row r="1110">
      <c r="B1110" t="inlineStr">
        <is>
          <t>TSP-558</t>
        </is>
      </c>
      <c r="C1110" t="inlineStr">
        <is>
          <t>No. of batches</t>
        </is>
      </c>
      <c r="D1110">
        <f>IFERROR(INDEX(PP_Grid[#Data],$DD1110,2),0)</f>
        <v/>
      </c>
      <c r="E1110">
        <f>IFERROR(INDEX(PP_Grid[#Data],$DD1110,3),0)</f>
        <v/>
      </c>
      <c r="F1110">
        <f>IFERROR(INDEX(PP_Grid[#Data],$DD1110,4),0)</f>
        <v/>
      </c>
      <c r="G1110">
        <f>IFERROR(INDEX(PP_Grid[#Data],$DD1110,5),0)</f>
        <v/>
      </c>
      <c r="H1110">
        <f>IFERROR(INDEX(PP_Grid[#Data],$DD1110,6),0)</f>
        <v/>
      </c>
      <c r="I1110">
        <f>IFERROR(INDEX(PP_Grid[#Data],$DD1110,7),0)</f>
        <v/>
      </c>
      <c r="J1110">
        <f>IFERROR(INDEX(PP_Grid[#Data],$DD1110,8),0)</f>
        <v/>
      </c>
      <c r="K1110">
        <f>IFERROR(INDEX(PP_Grid[#Data],$DD1110,9),0)</f>
        <v/>
      </c>
      <c r="L1110">
        <f>IFERROR(INDEX(PP_Grid[#Data],$DD1110,10),0)</f>
        <v/>
      </c>
      <c r="M1110">
        <f>IFERROR(INDEX(PP_Grid[#Data],$DD1110,11),0)</f>
        <v/>
      </c>
      <c r="N1110">
        <f>IFERROR(INDEX(PP_Grid[#Data],$DD1110,12),0)</f>
        <v/>
      </c>
      <c r="O1110">
        <f>IFERROR(INDEX(PP_Grid[#Data],$DD1110,13),0)</f>
        <v/>
      </c>
      <c r="P1110">
        <f>IFERROR(INDEX(PP_Grid[#Data],$DD1110,14),0)</f>
        <v/>
      </c>
      <c r="Q1110">
        <f>IFERROR(INDEX(PP_Grid[#Data],$DD1110,15),0)</f>
        <v/>
      </c>
      <c r="R1110">
        <f>IFERROR(INDEX(PP_Grid[#Data],$DD1110,16),0)</f>
        <v/>
      </c>
      <c r="S1110">
        <f>IFERROR(INDEX(PP_Grid[#Data],$DD1110,17),0)</f>
        <v/>
      </c>
      <c r="T1110">
        <f>IFERROR(INDEX(PP_Grid[#Data],$DD1110,18),0)</f>
        <v/>
      </c>
      <c r="U1110">
        <f>IFERROR(INDEX(PP_Grid[#Data],$DD1110,19),0)</f>
        <v/>
      </c>
      <c r="V1110">
        <f>IFERROR(INDEX(PP_Grid[#Data],$DD1110,20),0)</f>
        <v/>
      </c>
      <c r="W1110">
        <f>IFERROR(INDEX(PP_Grid[#Data],$DD1110,21),0)</f>
        <v/>
      </c>
      <c r="X1110">
        <f>IFERROR(INDEX(PP_Grid[#Data],$DD1110,22),0)</f>
        <v/>
      </c>
      <c r="Y1110">
        <f>IFERROR(INDEX(PP_Grid[#Data],$DD1110,23),0)</f>
        <v/>
      </c>
      <c r="Z1110">
        <f>IFERROR(INDEX(PP_Grid[#Data],$DD1110,24),0)</f>
        <v/>
      </c>
      <c r="AA1110">
        <f>IFERROR(INDEX(PP_Grid[#Data],$DD1110,25),0)</f>
        <v/>
      </c>
      <c r="AB1110">
        <f>IFERROR(INDEX(PP_Grid[#Data],$DD1110,26),0)</f>
        <v/>
      </c>
      <c r="AC1110">
        <f>IFERROR(INDEX(PP_Grid[#Data],$DD1110,27),0)</f>
        <v/>
      </c>
      <c r="AD1110">
        <f>IFERROR(INDEX(PP_Grid[#Data],$DD1110,28),0)</f>
        <v/>
      </c>
      <c r="AE1110">
        <f>IFERROR(INDEX(PP_Grid[#Data],$DD1110,29),0)</f>
        <v/>
      </c>
      <c r="AF1110">
        <f>IFERROR(INDEX(PP_Grid[#Data],$DD1110,30),0)</f>
        <v/>
      </c>
      <c r="AG1110">
        <f>IFERROR(INDEX(PP_Grid[#Data],$DD1110,31),0)</f>
        <v/>
      </c>
      <c r="AH1110">
        <f>IFERROR(INDEX(PP_Grid[#Data],$DD1110,32),0)</f>
        <v/>
      </c>
      <c r="AI1110">
        <f>IFERROR(INDEX(PP_Grid[#Data],$DD1110,33),0)</f>
        <v/>
      </c>
      <c r="AJ1110">
        <f>IFERROR(INDEX(PP_Grid[#Data],$DD1110,34),0)</f>
        <v/>
      </c>
      <c r="AK1110">
        <f>IFERROR(INDEX(PP_Grid[#Data],$DD1110,35),0)</f>
        <v/>
      </c>
      <c r="AL1110">
        <f>IFERROR(INDEX(PP_Grid[#Data],$DD1110,36),0)</f>
        <v/>
      </c>
      <c r="AM1110">
        <f>IFERROR(INDEX(PP_Grid[#Data],$DD1110,37),0)</f>
        <v/>
      </c>
      <c r="AN1110">
        <f>IFERROR(INDEX(PP_Grid[#Data],$DD1110,38),0)</f>
        <v/>
      </c>
      <c r="AO1110">
        <f>IFERROR(INDEX(PP_Grid[#Data],$DD1110,39),0)</f>
        <v/>
      </c>
      <c r="AP1110">
        <f>IFERROR(INDEX(PP_Grid[#Data],$DD1110,40),0)</f>
        <v/>
      </c>
      <c r="AQ1110">
        <f>IFERROR(INDEX(PP_Grid[#Data],$DD1110,41),0)</f>
        <v/>
      </c>
      <c r="AR1110">
        <f>IFERROR(INDEX(PP_Grid[#Data],$DD1110,42),0)</f>
        <v/>
      </c>
      <c r="AS1110">
        <f>IFERROR(INDEX(PP_Grid[#Data],$DD1110,43),0)</f>
        <v/>
      </c>
      <c r="AT1110">
        <f>IFERROR(INDEX(PP_Grid[#Data],$DD1110,44),0)</f>
        <v/>
      </c>
      <c r="AU1110">
        <f>IFERROR(INDEX(PP_Grid[#Data],$DD1110,45),0)</f>
        <v/>
      </c>
      <c r="AV1110">
        <f>IFERROR(INDEX(PP_Grid[#Data],$DD1110,46),0)</f>
        <v/>
      </c>
      <c r="AW1110">
        <f>IFERROR(INDEX(PP_Grid[#Data],$DD1110,47),0)</f>
        <v/>
      </c>
      <c r="AX1110">
        <f>IFERROR(INDEX(PP_Grid[#Data],$DD1110,48),0)</f>
        <v/>
      </c>
      <c r="AY1110">
        <f>IFERROR(INDEX(PP_Grid[#Data],$DD1110,49),0)</f>
        <v/>
      </c>
      <c r="AZ1110">
        <f>IFERROR(INDEX(PP_Grid[#Data],$DD1110,50),0)</f>
        <v/>
      </c>
      <c r="BA1110">
        <f>IFERROR(INDEX(PP_Grid[#Data],$DD1110,51),0)</f>
        <v/>
      </c>
      <c r="BB1110">
        <f>IFERROR(INDEX(PP_Grid[#Data],$DD1110,52),0)</f>
        <v/>
      </c>
      <c r="BC1110">
        <f>IFERROR(INDEX(PP_Grid[#Data],$DD1110,53),0)</f>
        <v/>
      </c>
      <c r="BD1110">
        <f>IFERROR(INDEX(PP_Grid[#Data],$DD1110,54),0)</f>
        <v/>
      </c>
      <c r="BE1110">
        <f>IFERROR(INDEX(PP_Grid[#Data],$DD1110,55),0)</f>
        <v/>
      </c>
      <c r="BF1110">
        <f>IFERROR(INDEX(PP_Grid[#Data],$DD1110,56),0)</f>
        <v/>
      </c>
      <c r="BG1110">
        <f>IFERROR(INDEX(PP_Grid[#Data],$DD1110,57),0)</f>
        <v/>
      </c>
      <c r="BH1110">
        <f>IFERROR(INDEX(PP_Grid[#Data],$DD1110,58),0)</f>
        <v/>
      </c>
      <c r="BI1110">
        <f>IFERROR(INDEX(PP_Grid[#Data],$DD1110,59),0)</f>
        <v/>
      </c>
      <c r="BJ1110">
        <f>IFERROR(INDEX(PP_Grid[#Data],$DD1110,60),0)</f>
        <v/>
      </c>
      <c r="BK1110">
        <f>IFERROR(INDEX(PP_Grid[#Data],$DD1110,61),0)</f>
        <v/>
      </c>
      <c r="BL1110">
        <f>IFERROR(INDEX(PP_Grid[#Data],$DD1110,62),0)</f>
        <v/>
      </c>
      <c r="BM1110">
        <f>IFERROR(INDEX(PP_Grid[#Data],$DD1110,63),0)</f>
        <v/>
      </c>
      <c r="BN1110">
        <f>IFERROR(INDEX(PP_Grid[#Data],$DD1110,64),0)</f>
        <v/>
      </c>
      <c r="BO1110">
        <f>IFERROR(INDEX(PP_Grid[#Data],$DD1110,65),0)</f>
        <v/>
      </c>
      <c r="BP1110">
        <f>IFERROR(INDEX(PP_Grid[#Data],$DD1110,66),0)</f>
        <v/>
      </c>
      <c r="BQ1110">
        <f>IFERROR(INDEX(PP_Grid[#Data],$DD1110,67),0)</f>
        <v/>
      </c>
      <c r="BR1110">
        <f>IFERROR(INDEX(PP_Grid[#Data],$DD1110,68),0)</f>
        <v/>
      </c>
      <c r="BS1110">
        <f>IFERROR(INDEX(PP_Grid[#Data],$DD1110,69),0)</f>
        <v/>
      </c>
      <c r="BT1110">
        <f>IFERROR(INDEX(PP_Grid[#Data],$DD1110,70),0)</f>
        <v/>
      </c>
      <c r="BU1110">
        <f>IFERROR(INDEX(PP_Grid[#Data],$DD1110,71),0)</f>
        <v/>
      </c>
      <c r="BV1110">
        <f>IFERROR(INDEX(PP_Grid[#Data],$DD1110,72),0)</f>
        <v/>
      </c>
      <c r="BW1110">
        <f>IFERROR(INDEX(PP_Grid[#Data],$DD1110,73),0)</f>
        <v/>
      </c>
      <c r="BX1110">
        <f>IFERROR(INDEX(PP_Grid[#Data],$DD1110,74),0)</f>
        <v/>
      </c>
      <c r="BY1110">
        <f>IFERROR(INDEX(PP_Grid[#Data],$DD1110,75),0)</f>
        <v/>
      </c>
      <c r="BZ1110">
        <f>IFERROR(INDEX(PP_Grid[#Data],$DD1110,76),0)</f>
        <v/>
      </c>
      <c r="CA1110">
        <f>IFERROR(INDEX(PP_Grid[#Data],$DD1110,77),0)</f>
        <v/>
      </c>
      <c r="CB1110">
        <f>IFERROR(INDEX(PP_Grid[#Data],$DD1110,78),0)</f>
        <v/>
      </c>
      <c r="CC1110">
        <f>IFERROR(INDEX(PP_Grid[#Data],$DD1110,79),0)</f>
        <v/>
      </c>
      <c r="CD1110">
        <f>IFERROR(INDEX(PP_Grid[#Data],$DD1110,80),0)</f>
        <v/>
      </c>
      <c r="CE1110">
        <f>IFERROR(INDEX(PP_Grid[#Data],$DD1110,81),0)</f>
        <v/>
      </c>
      <c r="CF1110">
        <f>IFERROR(INDEX(PP_Grid[#Data],$DD1110,82),0)</f>
        <v/>
      </c>
      <c r="CG1110">
        <f>IFERROR(INDEX(PP_Grid[#Data],$DD1110,83),0)</f>
        <v/>
      </c>
      <c r="CH1110">
        <f>IFERROR(INDEX(PP_Grid[#Data],$DD1110,84),0)</f>
        <v/>
      </c>
      <c r="CI1110">
        <f>IFERROR(INDEX(PP_Grid[#Data],$DD1110,85),0)</f>
        <v/>
      </c>
      <c r="CJ1110">
        <f>IFERROR(INDEX(PP_Grid[#Data],$DD1110,86),0)</f>
        <v/>
      </c>
      <c r="CK1110">
        <f>IFERROR(INDEX(PP_Grid[#Data],$DD1110,87),0)</f>
        <v/>
      </c>
      <c r="CL1110">
        <f>IFERROR(INDEX(PP_Grid[#Data],$DD1110,88),0)</f>
        <v/>
      </c>
      <c r="CM1110">
        <f>IFERROR(INDEX(PP_Grid[#Data],$DD1110,89),0)</f>
        <v/>
      </c>
      <c r="CN1110">
        <f>IFERROR(INDEX(PP_Grid[#Data],$DD1110,90),0)</f>
        <v/>
      </c>
      <c r="CO1110">
        <f>IFERROR(INDEX(PP_Grid[#Data],$DD1110,91),0)</f>
        <v/>
      </c>
      <c r="CP1110">
        <f>IFERROR(INDEX(PP_Grid[#Data],$DD1110,92),0)</f>
        <v/>
      </c>
      <c r="CQ1110">
        <f>IFERROR(INDEX(PP_Grid[#Data],$DD1110,93),0)</f>
        <v/>
      </c>
      <c r="CR1110">
        <f>IFERROR(INDEX(PP_Grid[#Data],$DD1110,94),0)</f>
        <v/>
      </c>
      <c r="CS1110">
        <f>IFERROR(INDEX(PP_Grid[#Data],$DD1110,95),0)</f>
        <v/>
      </c>
      <c r="CT1110">
        <f>IFERROR(INDEX(PP_Grid[#Data],$DD1110,96),0)</f>
        <v/>
      </c>
      <c r="CU1110">
        <f>IFERROR(INDEX(PP_Grid[#Data],$DD1110,97),0)</f>
        <v/>
      </c>
      <c r="CV1110">
        <f>IFERROR(INDEX(PP_Grid[#Data],$DD1110,98),0)</f>
        <v/>
      </c>
      <c r="CW1110">
        <f>IFERROR(INDEX(PP_Grid[#Data],$DD1110,99),0)</f>
        <v/>
      </c>
      <c r="CX1110">
        <f>IFERROR(INDEX(PP_Grid[#Data],$DD1110,100),0)</f>
        <v/>
      </c>
      <c r="CY1110">
        <f>IFERROR(INDEX(PP_Grid[#Data],$DD1110,101),0)</f>
        <v/>
      </c>
      <c r="CZ1110">
        <f>IFERROR(INDEX(PP_Grid[#Data],$DD1110,102),0)</f>
        <v/>
      </c>
      <c r="DA1110">
        <f>IFERROR(INDEX(PP_Grid[#Data],$DD1110,103),0)</f>
        <v/>
      </c>
      <c r="DB1110">
        <f>IFERROR(INDEX(PP_Grid[#Data],$DD1110,104),0)</f>
        <v/>
      </c>
      <c r="DC1110">
        <f>IFERROR(INDEX(PP_Grid[#Data],$DD1110,105),0)</f>
        <v/>
      </c>
      <c r="DD1110" s="12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SUMIFS(M_BOM[RM_Qty_Per_Batch],M_BOM[Intermediate],$B1110,M_BOM[Part Name],$A1107)</f>
        <v/>
      </c>
      <c r="D1111">
        <f>$C1111*D1110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</row>
    <row r="1112">
      <c r="B1112" s="5" t="inlineStr">
        <is>
          <t>合計使用量(kg)/週</t>
        </is>
      </c>
      <c r="D1112">
        <f>'Grid_Requirement'!B44</f>
        <v/>
      </c>
      <c r="E1112">
        <f>'Grid_Requirement'!C44</f>
        <v/>
      </c>
      <c r="F1112">
        <f>'Grid_Requirement'!D44</f>
        <v/>
      </c>
      <c r="G1112">
        <f>'Grid_Requirement'!E44</f>
        <v/>
      </c>
      <c r="H1112">
        <f>'Grid_Requirement'!F44</f>
        <v/>
      </c>
      <c r="I1112">
        <f>'Grid_Requirement'!G44</f>
        <v/>
      </c>
      <c r="J1112">
        <f>'Grid_Requirement'!H44</f>
        <v/>
      </c>
      <c r="K1112">
        <f>'Grid_Requirement'!I44</f>
        <v/>
      </c>
      <c r="L1112">
        <f>'Grid_Requirement'!J44</f>
        <v/>
      </c>
      <c r="M1112">
        <f>'Grid_Requirement'!K44</f>
        <v/>
      </c>
      <c r="N1112">
        <f>'Grid_Requirement'!L44</f>
        <v/>
      </c>
      <c r="O1112">
        <f>'Grid_Requirement'!M44</f>
        <v/>
      </c>
      <c r="P1112">
        <f>'Grid_Requirement'!N44</f>
        <v/>
      </c>
      <c r="Q1112">
        <f>'Grid_Requirement'!O44</f>
        <v/>
      </c>
      <c r="R1112">
        <f>'Grid_Requirement'!P44</f>
        <v/>
      </c>
      <c r="S1112">
        <f>'Grid_Requirement'!Q44</f>
        <v/>
      </c>
      <c r="T1112">
        <f>'Grid_Requirement'!R44</f>
        <v/>
      </c>
      <c r="U1112">
        <f>'Grid_Requirement'!S44</f>
        <v/>
      </c>
      <c r="V1112">
        <f>'Grid_Requirement'!T44</f>
        <v/>
      </c>
      <c r="W1112">
        <f>'Grid_Requirement'!U44</f>
        <v/>
      </c>
      <c r="X1112">
        <f>'Grid_Requirement'!V44</f>
        <v/>
      </c>
      <c r="Y1112">
        <f>'Grid_Requirement'!W44</f>
        <v/>
      </c>
      <c r="Z1112">
        <f>'Grid_Requirement'!X44</f>
        <v/>
      </c>
      <c r="AA1112">
        <f>'Grid_Requirement'!Y44</f>
        <v/>
      </c>
      <c r="AB1112">
        <f>'Grid_Requirement'!Z44</f>
        <v/>
      </c>
      <c r="AC1112">
        <f>'Grid_Requirement'!AA44</f>
        <v/>
      </c>
      <c r="AD1112">
        <f>'Grid_Requirement'!AB44</f>
        <v/>
      </c>
      <c r="AE1112">
        <f>'Grid_Requirement'!AC44</f>
        <v/>
      </c>
      <c r="AF1112">
        <f>'Grid_Requirement'!AD44</f>
        <v/>
      </c>
      <c r="AG1112">
        <f>'Grid_Requirement'!AE44</f>
        <v/>
      </c>
      <c r="AH1112">
        <f>'Grid_Requirement'!AF44</f>
        <v/>
      </c>
      <c r="AI1112">
        <f>'Grid_Requirement'!AG44</f>
        <v/>
      </c>
      <c r="AJ1112">
        <f>'Grid_Requirement'!AH44</f>
        <v/>
      </c>
      <c r="AK1112">
        <f>'Grid_Requirement'!AI44</f>
        <v/>
      </c>
      <c r="AL1112">
        <f>'Grid_Requirement'!AJ44</f>
        <v/>
      </c>
      <c r="AM1112">
        <f>'Grid_Requirement'!AK44</f>
        <v/>
      </c>
      <c r="AN1112">
        <f>'Grid_Requirement'!AL44</f>
        <v/>
      </c>
      <c r="AO1112">
        <f>'Grid_Requirement'!AM44</f>
        <v/>
      </c>
      <c r="AP1112">
        <f>'Grid_Requirement'!AN44</f>
        <v/>
      </c>
      <c r="AQ1112">
        <f>'Grid_Requirement'!AO44</f>
        <v/>
      </c>
      <c r="AR1112">
        <f>'Grid_Requirement'!AP44</f>
        <v/>
      </c>
      <c r="AS1112">
        <f>'Grid_Requirement'!AQ44</f>
        <v/>
      </c>
      <c r="AT1112">
        <f>'Grid_Requirement'!AR44</f>
        <v/>
      </c>
      <c r="AU1112">
        <f>'Grid_Requirement'!AS44</f>
        <v/>
      </c>
      <c r="AV1112">
        <f>'Grid_Requirement'!AT44</f>
        <v/>
      </c>
      <c r="AW1112">
        <f>'Grid_Requirement'!AU44</f>
        <v/>
      </c>
      <c r="AX1112">
        <f>'Grid_Requirement'!AV44</f>
        <v/>
      </c>
      <c r="AY1112">
        <f>'Grid_Requirement'!AW44</f>
        <v/>
      </c>
      <c r="AZ1112">
        <f>'Grid_Requirement'!AX44</f>
        <v/>
      </c>
      <c r="BA1112">
        <f>'Grid_Requirement'!AY44</f>
        <v/>
      </c>
      <c r="BB1112">
        <f>'Grid_Requirement'!AZ44</f>
        <v/>
      </c>
      <c r="BC1112">
        <f>'Grid_Requirement'!BA44</f>
        <v/>
      </c>
      <c r="BD1112">
        <f>'Grid_Requirement'!BB44</f>
        <v/>
      </c>
      <c r="BE1112">
        <f>'Grid_Requirement'!BC44</f>
        <v/>
      </c>
      <c r="BF1112">
        <f>'Grid_Requirement'!BD44</f>
        <v/>
      </c>
      <c r="BG1112">
        <f>'Grid_Requirement'!BE44</f>
        <v/>
      </c>
      <c r="BH1112">
        <f>'Grid_Requirement'!BF44</f>
        <v/>
      </c>
      <c r="BI1112">
        <f>'Grid_Requirement'!BG44</f>
        <v/>
      </c>
      <c r="BJ1112">
        <f>'Grid_Requirement'!BH44</f>
        <v/>
      </c>
      <c r="BK1112">
        <f>'Grid_Requirement'!BI44</f>
        <v/>
      </c>
      <c r="BL1112">
        <f>'Grid_Requirement'!BJ44</f>
        <v/>
      </c>
      <c r="BM1112">
        <f>'Grid_Requirement'!BK44</f>
        <v/>
      </c>
      <c r="BN1112">
        <f>'Grid_Requirement'!BL44</f>
        <v/>
      </c>
      <c r="BO1112">
        <f>'Grid_Requirement'!BM44</f>
        <v/>
      </c>
      <c r="BP1112">
        <f>'Grid_Requirement'!BN44</f>
        <v/>
      </c>
      <c r="BQ1112">
        <f>'Grid_Requirement'!BO44</f>
        <v/>
      </c>
      <c r="BR1112">
        <f>'Grid_Requirement'!BP44</f>
        <v/>
      </c>
      <c r="BS1112">
        <f>'Grid_Requirement'!BQ44</f>
        <v/>
      </c>
      <c r="BT1112">
        <f>'Grid_Requirement'!BR44</f>
        <v/>
      </c>
      <c r="BU1112">
        <f>'Grid_Requirement'!BS44</f>
        <v/>
      </c>
      <c r="BV1112">
        <f>'Grid_Requirement'!BT44</f>
        <v/>
      </c>
      <c r="BW1112">
        <f>'Grid_Requirement'!BU44</f>
        <v/>
      </c>
      <c r="BX1112">
        <f>'Grid_Requirement'!BV44</f>
        <v/>
      </c>
      <c r="BY1112">
        <f>'Grid_Requirement'!BW44</f>
        <v/>
      </c>
      <c r="BZ1112">
        <f>'Grid_Requirement'!BX44</f>
        <v/>
      </c>
      <c r="CA1112">
        <f>'Grid_Requirement'!BY44</f>
        <v/>
      </c>
      <c r="CB1112">
        <f>'Grid_Requirement'!BZ44</f>
        <v/>
      </c>
      <c r="CC1112">
        <f>'Grid_Requirement'!CA44</f>
        <v/>
      </c>
      <c r="CD1112">
        <f>'Grid_Requirement'!CB44</f>
        <v/>
      </c>
      <c r="CE1112">
        <f>'Grid_Requirement'!CC44</f>
        <v/>
      </c>
      <c r="CF1112">
        <f>'Grid_Requirement'!CD44</f>
        <v/>
      </c>
      <c r="CG1112">
        <f>'Grid_Requirement'!CE44</f>
        <v/>
      </c>
      <c r="CH1112">
        <f>'Grid_Requirement'!CF44</f>
        <v/>
      </c>
      <c r="CI1112">
        <f>'Grid_Requirement'!CG44</f>
        <v/>
      </c>
      <c r="CJ1112">
        <f>'Grid_Requirement'!CH44</f>
        <v/>
      </c>
      <c r="CK1112">
        <f>'Grid_Requirement'!CI44</f>
        <v/>
      </c>
      <c r="CL1112">
        <f>'Grid_Requirement'!CJ44</f>
        <v/>
      </c>
      <c r="CM1112">
        <f>'Grid_Requirement'!CK44</f>
        <v/>
      </c>
      <c r="CN1112">
        <f>'Grid_Requirement'!CL44</f>
        <v/>
      </c>
      <c r="CO1112">
        <f>'Grid_Requirement'!CM44</f>
        <v/>
      </c>
      <c r="CP1112">
        <f>'Grid_Requirement'!CN44</f>
        <v/>
      </c>
      <c r="CQ1112">
        <f>'Grid_Requirement'!CO44</f>
        <v/>
      </c>
      <c r="CR1112">
        <f>'Grid_Requirement'!CP44</f>
        <v/>
      </c>
      <c r="CS1112">
        <f>'Grid_Requirement'!CQ44</f>
        <v/>
      </c>
      <c r="CT1112">
        <f>'Grid_Requirement'!CR44</f>
        <v/>
      </c>
      <c r="CU1112">
        <f>'Grid_Requirement'!CS44</f>
        <v/>
      </c>
      <c r="CV1112">
        <f>'Grid_Requirement'!CT44</f>
        <v/>
      </c>
      <c r="CW1112">
        <f>'Grid_Requirement'!CU44</f>
        <v/>
      </c>
      <c r="CX1112">
        <f>'Grid_Requirement'!CV44</f>
        <v/>
      </c>
      <c r="CY1112">
        <f>'Grid_Requirement'!CW44</f>
        <v/>
      </c>
      <c r="CZ1112">
        <f>'Grid_Requirement'!CX44</f>
        <v/>
      </c>
      <c r="DA1112">
        <f>'Grid_Requirement'!CY44</f>
        <v/>
      </c>
      <c r="DB1112">
        <f>'Grid_Requirement'!CZ44</f>
        <v/>
      </c>
      <c r="DC1112">
        <f>'Grid_Requirement'!DA44</f>
        <v/>
      </c>
    </row>
    <row r="1113">
      <c r="B1113" t="inlineStr">
        <is>
          <t>TTAF在庫(実績,kg)</t>
        </is>
      </c>
      <c r="D1113">
        <f>'T_TTAFStock'!B48</f>
        <v/>
      </c>
      <c r="E1113">
        <f>'T_TTAFStock'!C48</f>
        <v/>
      </c>
      <c r="F1113">
        <f>'T_TTAFStock'!D48</f>
        <v/>
      </c>
      <c r="G1113">
        <f>'T_TTAFStock'!E48</f>
        <v/>
      </c>
      <c r="H1113">
        <f>'T_TTAFStock'!F48</f>
        <v/>
      </c>
      <c r="I1113">
        <f>'T_TTAFStock'!G48</f>
        <v/>
      </c>
      <c r="J1113">
        <f>'T_TTAFStock'!H48</f>
        <v/>
      </c>
      <c r="K1113">
        <f>'T_TTAFStock'!I48</f>
        <v/>
      </c>
      <c r="L1113">
        <f>'T_TTAFStock'!J48</f>
        <v/>
      </c>
      <c r="M1113">
        <f>'T_TTAFStock'!K48</f>
        <v/>
      </c>
      <c r="N1113">
        <f>'T_TTAFStock'!L48</f>
        <v/>
      </c>
      <c r="O1113">
        <f>'T_TTAFStock'!M48</f>
        <v/>
      </c>
      <c r="P1113">
        <f>'T_TTAFStock'!N48</f>
        <v/>
      </c>
      <c r="Q1113">
        <f>'T_TTAFStock'!O48</f>
        <v/>
      </c>
      <c r="R1113">
        <f>'T_TTAFStock'!P48</f>
        <v/>
      </c>
      <c r="S1113">
        <f>'T_TTAFStock'!Q48</f>
        <v/>
      </c>
      <c r="T1113">
        <f>'T_TTAFStock'!R48</f>
        <v/>
      </c>
      <c r="U1113">
        <f>'T_TTAFStock'!S48</f>
        <v/>
      </c>
      <c r="V1113">
        <f>'T_TTAFStock'!T48</f>
        <v/>
      </c>
      <c r="W1113">
        <f>'T_TTAFStock'!U48</f>
        <v/>
      </c>
      <c r="X1113">
        <f>'T_TTAFStock'!V48</f>
        <v/>
      </c>
      <c r="Y1113">
        <f>'T_TTAFStock'!W48</f>
        <v/>
      </c>
      <c r="Z1113">
        <f>'T_TTAFStock'!X48</f>
        <v/>
      </c>
      <c r="AA1113">
        <f>'T_TTAFStock'!Y48</f>
        <v/>
      </c>
      <c r="AB1113">
        <f>'T_TTAFStock'!Z48</f>
        <v/>
      </c>
      <c r="AC1113">
        <f>'T_TTAFStock'!AA48</f>
        <v/>
      </c>
      <c r="AD1113">
        <f>'T_TTAFStock'!AB48</f>
        <v/>
      </c>
      <c r="AE1113">
        <f>'T_TTAFStock'!AC48</f>
        <v/>
      </c>
      <c r="AF1113">
        <f>'T_TTAFStock'!AD48</f>
        <v/>
      </c>
      <c r="AG1113">
        <f>'T_TTAFStock'!AE48</f>
        <v/>
      </c>
      <c r="AH1113">
        <f>'T_TTAFStock'!AF48</f>
        <v/>
      </c>
      <c r="AI1113">
        <f>'T_TTAFStock'!AG48</f>
        <v/>
      </c>
      <c r="AJ1113">
        <f>'T_TTAFStock'!AH48</f>
        <v/>
      </c>
      <c r="AK1113">
        <f>'T_TTAFStock'!AI48</f>
        <v/>
      </c>
      <c r="AL1113">
        <f>'T_TTAFStock'!AJ48</f>
        <v/>
      </c>
      <c r="AM1113">
        <f>'T_TTAFStock'!AK48</f>
        <v/>
      </c>
      <c r="AN1113">
        <f>'T_TTAFStock'!AL48</f>
        <v/>
      </c>
      <c r="AO1113">
        <f>'T_TTAFStock'!AM48</f>
        <v/>
      </c>
      <c r="AP1113">
        <f>'T_TTAFStock'!AN48</f>
        <v/>
      </c>
      <c r="AQ1113">
        <f>'T_TTAFStock'!AO48</f>
        <v/>
      </c>
      <c r="AR1113">
        <f>'T_TTAFStock'!AP48</f>
        <v/>
      </c>
      <c r="AS1113">
        <f>'T_TTAFStock'!AQ48</f>
        <v/>
      </c>
      <c r="AT1113">
        <f>'T_TTAFStock'!AR48</f>
        <v/>
      </c>
      <c r="AU1113">
        <f>'T_TTAFStock'!AS48</f>
        <v/>
      </c>
      <c r="AV1113">
        <f>'T_TTAFStock'!AT48</f>
        <v/>
      </c>
      <c r="AW1113">
        <f>'T_TTAFStock'!AU48</f>
        <v/>
      </c>
      <c r="AX1113">
        <f>'T_TTAFStock'!AV48</f>
        <v/>
      </c>
      <c r="AY1113">
        <f>'T_TTAFStock'!AW48</f>
        <v/>
      </c>
      <c r="AZ1113">
        <f>'T_TTAFStock'!AX48</f>
        <v/>
      </c>
      <c r="BA1113">
        <f>'T_TTAFStock'!AY48</f>
        <v/>
      </c>
      <c r="BB1113">
        <f>'T_TTAFStock'!AZ48</f>
        <v/>
      </c>
      <c r="BC1113">
        <f>'T_TTAFStock'!BA48</f>
        <v/>
      </c>
      <c r="BD1113">
        <f>'T_TTAFStock'!BB48</f>
        <v/>
      </c>
      <c r="BE1113">
        <f>'T_TTAFStock'!BC48</f>
        <v/>
      </c>
      <c r="BF1113">
        <f>'T_TTAFStock'!BD48</f>
        <v/>
      </c>
      <c r="BG1113">
        <f>'T_TTAFStock'!BE48</f>
        <v/>
      </c>
      <c r="BH1113">
        <f>'T_TTAFStock'!BF48</f>
        <v/>
      </c>
      <c r="BI1113">
        <f>'T_TTAFStock'!BG48</f>
        <v/>
      </c>
      <c r="BJ1113">
        <f>'T_TTAFStock'!BH48</f>
        <v/>
      </c>
      <c r="BK1113">
        <f>'T_TTAFStock'!BI48</f>
        <v/>
      </c>
      <c r="BL1113">
        <f>'T_TTAFStock'!BJ48</f>
        <v/>
      </c>
      <c r="BM1113">
        <f>'T_TTAFStock'!BK48</f>
        <v/>
      </c>
      <c r="BN1113">
        <f>'T_TTAFStock'!BL48</f>
        <v/>
      </c>
      <c r="BO1113">
        <f>'T_TTAFStock'!BM48</f>
        <v/>
      </c>
      <c r="BP1113">
        <f>'T_TTAFStock'!BN48</f>
        <v/>
      </c>
      <c r="BQ1113">
        <f>'T_TTAFStock'!BO48</f>
        <v/>
      </c>
      <c r="BR1113">
        <f>'T_TTAFStock'!BP48</f>
        <v/>
      </c>
      <c r="BS1113">
        <f>'T_TTAFStock'!BQ48</f>
        <v/>
      </c>
      <c r="BT1113">
        <f>'T_TTAFStock'!BR48</f>
        <v/>
      </c>
      <c r="BU1113">
        <f>'T_TTAFStock'!BS48</f>
        <v/>
      </c>
      <c r="BV1113">
        <f>'T_TTAFStock'!BT48</f>
        <v/>
      </c>
      <c r="BW1113">
        <f>'T_TTAFStock'!BU48</f>
        <v/>
      </c>
      <c r="BX1113">
        <f>'T_TTAFStock'!BV48</f>
        <v/>
      </c>
      <c r="BY1113">
        <f>'T_TTAFStock'!BW48</f>
        <v/>
      </c>
      <c r="BZ1113">
        <f>'T_TTAFStock'!BX48</f>
        <v/>
      </c>
      <c r="CA1113">
        <f>'T_TTAFStock'!BY48</f>
        <v/>
      </c>
      <c r="CB1113">
        <f>'T_TTAFStock'!BZ48</f>
        <v/>
      </c>
      <c r="CC1113">
        <f>'T_TTAFStock'!CA48</f>
        <v/>
      </c>
      <c r="CD1113">
        <f>'T_TTAFStock'!CB48</f>
        <v/>
      </c>
      <c r="CE1113">
        <f>'T_TTAFStock'!CC48</f>
        <v/>
      </c>
      <c r="CF1113">
        <f>'T_TTAFStock'!CD48</f>
        <v/>
      </c>
      <c r="CG1113">
        <f>'T_TTAFStock'!CE48</f>
        <v/>
      </c>
      <c r="CH1113">
        <f>'T_TTAFStock'!CF48</f>
        <v/>
      </c>
      <c r="CI1113">
        <f>'T_TTAFStock'!CG48</f>
        <v/>
      </c>
      <c r="CJ1113">
        <f>'T_TTAFStock'!CH48</f>
        <v/>
      </c>
      <c r="CK1113">
        <f>'T_TTAFStock'!CI48</f>
        <v/>
      </c>
      <c r="CL1113">
        <f>'T_TTAFStock'!CJ48</f>
        <v/>
      </c>
      <c r="CM1113">
        <f>'T_TTAFStock'!CK48</f>
        <v/>
      </c>
      <c r="CN1113">
        <f>'T_TTAFStock'!CL48</f>
        <v/>
      </c>
      <c r="CO1113">
        <f>'T_TTAFStock'!CM48</f>
        <v/>
      </c>
      <c r="CP1113">
        <f>'T_TTAFStock'!CN48</f>
        <v/>
      </c>
      <c r="CQ1113">
        <f>'T_TTAFStock'!CO48</f>
        <v/>
      </c>
      <c r="CR1113">
        <f>'T_TTAFStock'!CP48</f>
        <v/>
      </c>
      <c r="CS1113">
        <f>'T_TTAFStock'!CQ48</f>
        <v/>
      </c>
      <c r="CT1113">
        <f>'T_TTAFStock'!CR48</f>
        <v/>
      </c>
      <c r="CU1113">
        <f>'T_TTAFStock'!CS48</f>
        <v/>
      </c>
      <c r="CV1113">
        <f>'T_TTAFStock'!CT48</f>
        <v/>
      </c>
      <c r="CW1113">
        <f>'T_TTAFStock'!CU48</f>
        <v/>
      </c>
      <c r="CX1113">
        <f>'T_TTAFStock'!CV48</f>
        <v/>
      </c>
      <c r="CY1113">
        <f>'T_TTAFStock'!CW48</f>
        <v/>
      </c>
      <c r="CZ1113">
        <f>'T_TTAFStock'!CX48</f>
        <v/>
      </c>
      <c r="DA1113">
        <f>'T_TTAFStock'!CY48</f>
        <v/>
      </c>
      <c r="DB1113">
        <f>'T_TTAFStock'!CZ48</f>
        <v/>
      </c>
      <c r="DC1113">
        <f>'T_TTAFStock'!DA48</f>
        <v/>
      </c>
    </row>
    <row r="1114">
      <c r="B1114" t="inlineStr">
        <is>
          <t>自社在庫(実績,kg)</t>
        </is>
      </c>
      <c r="D1114">
        <f>'T_SelfStock'!B48</f>
        <v/>
      </c>
      <c r="E1114">
        <f>'T_SelfStock'!C48</f>
        <v/>
      </c>
      <c r="F1114">
        <f>'T_SelfStock'!D48</f>
        <v/>
      </c>
      <c r="G1114">
        <f>'T_SelfStock'!E48</f>
        <v/>
      </c>
      <c r="H1114">
        <f>'T_SelfStock'!F48</f>
        <v/>
      </c>
      <c r="I1114">
        <f>'T_SelfStock'!G48</f>
        <v/>
      </c>
      <c r="J1114">
        <f>'T_SelfStock'!H48</f>
        <v/>
      </c>
      <c r="K1114">
        <f>'T_SelfStock'!I48</f>
        <v/>
      </c>
      <c r="L1114">
        <f>'T_SelfStock'!J48</f>
        <v/>
      </c>
      <c r="M1114">
        <f>'T_SelfStock'!K48</f>
        <v/>
      </c>
      <c r="N1114">
        <f>'T_SelfStock'!L48</f>
        <v/>
      </c>
      <c r="O1114">
        <f>'T_SelfStock'!M48</f>
        <v/>
      </c>
      <c r="P1114">
        <f>'T_SelfStock'!N48</f>
        <v/>
      </c>
      <c r="Q1114">
        <f>'T_SelfStock'!O48</f>
        <v/>
      </c>
      <c r="R1114">
        <f>'T_SelfStock'!P48</f>
        <v/>
      </c>
      <c r="S1114">
        <f>'T_SelfStock'!Q48</f>
        <v/>
      </c>
      <c r="T1114">
        <f>'T_SelfStock'!R48</f>
        <v/>
      </c>
      <c r="U1114">
        <f>'T_SelfStock'!S48</f>
        <v/>
      </c>
      <c r="V1114">
        <f>'T_SelfStock'!T48</f>
        <v/>
      </c>
      <c r="W1114">
        <f>'T_SelfStock'!U48</f>
        <v/>
      </c>
      <c r="X1114">
        <f>'T_SelfStock'!V48</f>
        <v/>
      </c>
      <c r="Y1114">
        <f>'T_SelfStock'!W48</f>
        <v/>
      </c>
      <c r="Z1114">
        <f>'T_SelfStock'!X48</f>
        <v/>
      </c>
      <c r="AA1114">
        <f>'T_SelfStock'!Y48</f>
        <v/>
      </c>
      <c r="AB1114">
        <f>'T_SelfStock'!Z48</f>
        <v/>
      </c>
      <c r="AC1114">
        <f>'T_SelfStock'!AA48</f>
        <v/>
      </c>
      <c r="AD1114">
        <f>'T_SelfStock'!AB48</f>
        <v/>
      </c>
      <c r="AE1114">
        <f>'T_SelfStock'!AC48</f>
        <v/>
      </c>
      <c r="AF1114">
        <f>'T_SelfStock'!AD48</f>
        <v/>
      </c>
      <c r="AG1114">
        <f>'T_SelfStock'!AE48</f>
        <v/>
      </c>
      <c r="AH1114">
        <f>'T_SelfStock'!AF48</f>
        <v/>
      </c>
      <c r="AI1114">
        <f>'T_SelfStock'!AG48</f>
        <v/>
      </c>
      <c r="AJ1114">
        <f>'T_SelfStock'!AH48</f>
        <v/>
      </c>
      <c r="AK1114">
        <f>'T_SelfStock'!AI48</f>
        <v/>
      </c>
      <c r="AL1114">
        <f>'T_SelfStock'!AJ48</f>
        <v/>
      </c>
      <c r="AM1114">
        <f>'T_SelfStock'!AK48</f>
        <v/>
      </c>
      <c r="AN1114">
        <f>'T_SelfStock'!AL48</f>
        <v/>
      </c>
      <c r="AO1114">
        <f>'T_SelfStock'!AM48</f>
        <v/>
      </c>
      <c r="AP1114">
        <f>'T_SelfStock'!AN48</f>
        <v/>
      </c>
      <c r="AQ1114">
        <f>'T_SelfStock'!AO48</f>
        <v/>
      </c>
      <c r="AR1114">
        <f>'T_SelfStock'!AP48</f>
        <v/>
      </c>
      <c r="AS1114">
        <f>'T_SelfStock'!AQ48</f>
        <v/>
      </c>
      <c r="AT1114">
        <f>'T_SelfStock'!AR48</f>
        <v/>
      </c>
      <c r="AU1114">
        <f>'T_SelfStock'!AS48</f>
        <v/>
      </c>
      <c r="AV1114">
        <f>'T_SelfStock'!AT48</f>
        <v/>
      </c>
      <c r="AW1114">
        <f>'T_SelfStock'!AU48</f>
        <v/>
      </c>
      <c r="AX1114">
        <f>'T_SelfStock'!AV48</f>
        <v/>
      </c>
      <c r="AY1114">
        <f>'T_SelfStock'!AW48</f>
        <v/>
      </c>
      <c r="AZ1114">
        <f>'T_SelfStock'!AX48</f>
        <v/>
      </c>
      <c r="BA1114">
        <f>'T_SelfStock'!AY48</f>
        <v/>
      </c>
      <c r="BB1114">
        <f>'T_SelfStock'!AZ48</f>
        <v/>
      </c>
      <c r="BC1114">
        <f>'T_SelfStock'!BA48</f>
        <v/>
      </c>
      <c r="BD1114">
        <f>'T_SelfStock'!BB48</f>
        <v/>
      </c>
      <c r="BE1114">
        <f>'T_SelfStock'!BC48</f>
        <v/>
      </c>
      <c r="BF1114">
        <f>'T_SelfStock'!BD48</f>
        <v/>
      </c>
      <c r="BG1114">
        <f>'T_SelfStock'!BE48</f>
        <v/>
      </c>
      <c r="BH1114">
        <f>'T_SelfStock'!BF48</f>
        <v/>
      </c>
      <c r="BI1114">
        <f>'T_SelfStock'!BG48</f>
        <v/>
      </c>
      <c r="BJ1114">
        <f>'T_SelfStock'!BH48</f>
        <v/>
      </c>
      <c r="BK1114">
        <f>'T_SelfStock'!BI48</f>
        <v/>
      </c>
      <c r="BL1114">
        <f>'T_SelfStock'!BJ48</f>
        <v/>
      </c>
      <c r="BM1114">
        <f>'T_SelfStock'!BK48</f>
        <v/>
      </c>
      <c r="BN1114">
        <f>'T_SelfStock'!BL48</f>
        <v/>
      </c>
      <c r="BO1114">
        <f>'T_SelfStock'!BM48</f>
        <v/>
      </c>
      <c r="BP1114">
        <f>'T_SelfStock'!BN48</f>
        <v/>
      </c>
      <c r="BQ1114">
        <f>'T_SelfStock'!BO48</f>
        <v/>
      </c>
      <c r="BR1114">
        <f>'T_SelfStock'!BP48</f>
        <v/>
      </c>
      <c r="BS1114">
        <f>'T_SelfStock'!BQ48</f>
        <v/>
      </c>
      <c r="BT1114">
        <f>'T_SelfStock'!BR48</f>
        <v/>
      </c>
      <c r="BU1114">
        <f>'T_SelfStock'!BS48</f>
        <v/>
      </c>
      <c r="BV1114">
        <f>'T_SelfStock'!BT48</f>
        <v/>
      </c>
      <c r="BW1114">
        <f>'T_SelfStock'!BU48</f>
        <v/>
      </c>
      <c r="BX1114">
        <f>'T_SelfStock'!BV48</f>
        <v/>
      </c>
      <c r="BY1114">
        <f>'T_SelfStock'!BW48</f>
        <v/>
      </c>
      <c r="BZ1114">
        <f>'T_SelfStock'!BX48</f>
        <v/>
      </c>
      <c r="CA1114">
        <f>'T_SelfStock'!BY48</f>
        <v/>
      </c>
      <c r="CB1114">
        <f>'T_SelfStock'!BZ48</f>
        <v/>
      </c>
      <c r="CC1114">
        <f>'T_SelfStock'!CA48</f>
        <v/>
      </c>
      <c r="CD1114">
        <f>'T_SelfStock'!CB48</f>
        <v/>
      </c>
      <c r="CE1114">
        <f>'T_SelfStock'!CC48</f>
        <v/>
      </c>
      <c r="CF1114">
        <f>'T_SelfStock'!CD48</f>
        <v/>
      </c>
      <c r="CG1114">
        <f>'T_SelfStock'!CE48</f>
        <v/>
      </c>
      <c r="CH1114">
        <f>'T_SelfStock'!CF48</f>
        <v/>
      </c>
      <c r="CI1114">
        <f>'T_SelfStock'!CG48</f>
        <v/>
      </c>
      <c r="CJ1114">
        <f>'T_SelfStock'!CH48</f>
        <v/>
      </c>
      <c r="CK1114">
        <f>'T_SelfStock'!CI48</f>
        <v/>
      </c>
      <c r="CL1114">
        <f>'T_SelfStock'!CJ48</f>
        <v/>
      </c>
      <c r="CM1114">
        <f>'T_SelfStock'!CK48</f>
        <v/>
      </c>
      <c r="CN1114">
        <f>'T_SelfStock'!CL48</f>
        <v/>
      </c>
      <c r="CO1114">
        <f>'T_SelfStock'!CM48</f>
        <v/>
      </c>
      <c r="CP1114">
        <f>'T_SelfStock'!CN48</f>
        <v/>
      </c>
      <c r="CQ1114">
        <f>'T_SelfStock'!CO48</f>
        <v/>
      </c>
      <c r="CR1114">
        <f>'T_SelfStock'!CP48</f>
        <v/>
      </c>
      <c r="CS1114">
        <f>'T_SelfStock'!CQ48</f>
        <v/>
      </c>
      <c r="CT1114">
        <f>'T_SelfStock'!CR48</f>
        <v/>
      </c>
      <c r="CU1114">
        <f>'T_SelfStock'!CS48</f>
        <v/>
      </c>
      <c r="CV1114">
        <f>'T_SelfStock'!CT48</f>
        <v/>
      </c>
      <c r="CW1114">
        <f>'T_SelfStock'!CU48</f>
        <v/>
      </c>
      <c r="CX1114">
        <f>'T_SelfStock'!CV48</f>
        <v/>
      </c>
      <c r="CY1114">
        <f>'T_SelfStock'!CW48</f>
        <v/>
      </c>
      <c r="CZ1114">
        <f>'T_SelfStock'!CX48</f>
        <v/>
      </c>
      <c r="DA1114">
        <f>'T_SelfStock'!CY48</f>
        <v/>
      </c>
      <c r="DB1114">
        <f>'T_SelfStock'!CZ48</f>
        <v/>
      </c>
      <c r="DC1114">
        <f>'T_SelfStock'!DA48</f>
        <v/>
      </c>
    </row>
    <row r="1115">
      <c r="B1115" t="inlineStr">
        <is>
          <t>Order(発注予定,kg)</t>
        </is>
      </c>
      <c r="D1115">
        <f>IF(SUMIFS(T_PlannedOrders[EffectiveQty],T_PlannedOrders[Part Name],$A1107,T_PlannedOrders[WeekIndex],1)=0,"",SUMIFS(T_PlannedOrders[EffectiveQty],T_PlannedOrders[Part Name],$A1107,T_PlannedOrders[WeekIndex],1)&amp;" ("&amp;TEXT(SUMPRODUCT(MAX((T_PlannedOrders[Part Name]=$A1107)*(T_PlannedOrders[WeekIndex]=1)*(T_PlannedOrders[EffectiveQty]&gt;0)*T_PlannedOrders[Order_Month])),"m月")&amp;"発注)")</f>
        <v/>
      </c>
      <c r="E1115">
        <f>IF(SUMIFS(T_PlannedOrders[EffectiveQty],T_PlannedOrders[Part Name],$A1107,T_PlannedOrders[WeekIndex],2)=0,"",SUMIFS(T_PlannedOrders[EffectiveQty],T_PlannedOrders[Part Name],$A1107,T_PlannedOrders[WeekIndex],2)&amp;" ("&amp;TEXT(SUMPRODUCT(MAX((T_PlannedOrders[Part Name]=$A1107)*(T_PlannedOrders[WeekIndex]=2)*(T_PlannedOrders[EffectiveQty]&gt;0)*T_PlannedOrders[Order_Month])),"m月")&amp;"発注)")</f>
        <v/>
      </c>
      <c r="F1115">
        <f>IF(SUMIFS(T_PlannedOrders[EffectiveQty],T_PlannedOrders[Part Name],$A1107,T_PlannedOrders[WeekIndex],3)=0,"",SUMIFS(T_PlannedOrders[EffectiveQty],T_PlannedOrders[Part Name],$A1107,T_PlannedOrders[WeekIndex],3)&amp;" ("&amp;TEXT(SUMPRODUCT(MAX((T_PlannedOrders[Part Name]=$A1107)*(T_PlannedOrders[WeekIndex]=3)*(T_PlannedOrders[EffectiveQty]&gt;0)*T_PlannedOrders[Order_Month])),"m月")&amp;"発注)")</f>
        <v/>
      </c>
      <c r="G1115">
        <f>IF(SUMIFS(T_PlannedOrders[EffectiveQty],T_PlannedOrders[Part Name],$A1107,T_PlannedOrders[WeekIndex],4)=0,"",SUMIFS(T_PlannedOrders[EffectiveQty],T_PlannedOrders[Part Name],$A1107,T_PlannedOrders[WeekIndex],4)&amp;" ("&amp;TEXT(SUMPRODUCT(MAX((T_PlannedOrders[Part Name]=$A1107)*(T_PlannedOrders[WeekIndex]=4)*(T_PlannedOrders[EffectiveQty]&gt;0)*T_PlannedOrders[Order_Month])),"m月")&amp;"発注)")</f>
        <v/>
      </c>
      <c r="H1115">
        <f>IF(SUMIFS(T_PlannedOrders[EffectiveQty],T_PlannedOrders[Part Name],$A1107,T_PlannedOrders[WeekIndex],5)=0,"",SUMIFS(T_PlannedOrders[EffectiveQty],T_PlannedOrders[Part Name],$A1107,T_PlannedOrders[WeekIndex],5)&amp;" ("&amp;TEXT(SUMPRODUCT(MAX((T_PlannedOrders[Part Name]=$A1107)*(T_PlannedOrders[WeekIndex]=5)*(T_PlannedOrders[EffectiveQty]&gt;0)*T_PlannedOrders[Order_Month])),"m月")&amp;"発注)")</f>
        <v/>
      </c>
      <c r="I1115">
        <f>IF(SUMIFS(T_PlannedOrders[EffectiveQty],T_PlannedOrders[Part Name],$A1107,T_PlannedOrders[WeekIndex],6)=0,"",SUMIFS(T_PlannedOrders[EffectiveQty],T_PlannedOrders[Part Name],$A1107,T_PlannedOrders[WeekIndex],6)&amp;" ("&amp;TEXT(SUMPRODUCT(MAX((T_PlannedOrders[Part Name]=$A1107)*(T_PlannedOrders[WeekIndex]=6)*(T_PlannedOrders[EffectiveQty]&gt;0)*T_PlannedOrders[Order_Month])),"m月")&amp;"発注)")</f>
        <v/>
      </c>
      <c r="J1115">
        <f>IF(SUMIFS(T_PlannedOrders[EffectiveQty],T_PlannedOrders[Part Name],$A1107,T_PlannedOrders[WeekIndex],7)=0,"",SUMIFS(T_PlannedOrders[EffectiveQty],T_PlannedOrders[Part Name],$A1107,T_PlannedOrders[WeekIndex],7)&amp;" ("&amp;TEXT(SUMPRODUCT(MAX((T_PlannedOrders[Part Name]=$A1107)*(T_PlannedOrders[WeekIndex]=7)*(T_PlannedOrders[EffectiveQty]&gt;0)*T_PlannedOrders[Order_Month])),"m月")&amp;"発注)")</f>
        <v/>
      </c>
      <c r="K1115">
        <f>IF(SUMIFS(T_PlannedOrders[EffectiveQty],T_PlannedOrders[Part Name],$A1107,T_PlannedOrders[WeekIndex],8)=0,"",SUMIFS(T_PlannedOrders[EffectiveQty],T_PlannedOrders[Part Name],$A1107,T_PlannedOrders[WeekIndex],8)&amp;" ("&amp;TEXT(SUMPRODUCT(MAX((T_PlannedOrders[Part Name]=$A1107)*(T_PlannedOrders[WeekIndex]=8)*(T_PlannedOrders[EffectiveQty]&gt;0)*T_PlannedOrders[Order_Month])),"m月")&amp;"発注)")</f>
        <v/>
      </c>
      <c r="L1115">
        <f>IF(SUMIFS(T_PlannedOrders[EffectiveQty],T_PlannedOrders[Part Name],$A1107,T_PlannedOrders[WeekIndex],9)=0,"",SUMIFS(T_PlannedOrders[EffectiveQty],T_PlannedOrders[Part Name],$A1107,T_PlannedOrders[WeekIndex],9)&amp;" ("&amp;TEXT(SUMPRODUCT(MAX((T_PlannedOrders[Part Name]=$A1107)*(T_PlannedOrders[WeekIndex]=9)*(T_PlannedOrders[EffectiveQty]&gt;0)*T_PlannedOrders[Order_Month])),"m月")&amp;"発注)")</f>
        <v/>
      </c>
      <c r="M1115">
        <f>IF(SUMIFS(T_PlannedOrders[EffectiveQty],T_PlannedOrders[Part Name],$A1107,T_PlannedOrders[WeekIndex],10)=0,"",SUMIFS(T_PlannedOrders[EffectiveQty],T_PlannedOrders[Part Name],$A1107,T_PlannedOrders[WeekIndex],10)&amp;" ("&amp;TEXT(SUMPRODUCT(MAX((T_PlannedOrders[Part Name]=$A1107)*(T_PlannedOrders[WeekIndex]=10)*(T_PlannedOrders[EffectiveQty]&gt;0)*T_PlannedOrders[Order_Month])),"m月")&amp;"発注)")</f>
        <v/>
      </c>
      <c r="N1115">
        <f>IF(SUMIFS(T_PlannedOrders[EffectiveQty],T_PlannedOrders[Part Name],$A1107,T_PlannedOrders[WeekIndex],11)=0,"",SUMIFS(T_PlannedOrders[EffectiveQty],T_PlannedOrders[Part Name],$A1107,T_PlannedOrders[WeekIndex],11)&amp;" ("&amp;TEXT(SUMPRODUCT(MAX((T_PlannedOrders[Part Name]=$A1107)*(T_PlannedOrders[WeekIndex]=11)*(T_PlannedOrders[EffectiveQty]&gt;0)*T_PlannedOrders[Order_Month])),"m月")&amp;"発注)")</f>
        <v/>
      </c>
      <c r="O1115">
        <f>IF(SUMIFS(T_PlannedOrders[EffectiveQty],T_PlannedOrders[Part Name],$A1107,T_PlannedOrders[WeekIndex],12)=0,"",SUMIFS(T_PlannedOrders[EffectiveQty],T_PlannedOrders[Part Name],$A1107,T_PlannedOrders[WeekIndex],12)&amp;" ("&amp;TEXT(SUMPRODUCT(MAX((T_PlannedOrders[Part Name]=$A1107)*(T_PlannedOrders[WeekIndex]=12)*(T_PlannedOrders[EffectiveQty]&gt;0)*T_PlannedOrders[Order_Month])),"m月")&amp;"発注)")</f>
        <v/>
      </c>
      <c r="P1115">
        <f>IF(SUMIFS(T_PlannedOrders[EffectiveQty],T_PlannedOrders[Part Name],$A1107,T_PlannedOrders[WeekIndex],13)=0,"",SUMIFS(T_PlannedOrders[EffectiveQty],T_PlannedOrders[Part Name],$A1107,T_PlannedOrders[WeekIndex],13)&amp;" ("&amp;TEXT(SUMPRODUCT(MAX((T_PlannedOrders[Part Name]=$A1107)*(T_PlannedOrders[WeekIndex]=13)*(T_PlannedOrders[EffectiveQty]&gt;0)*T_PlannedOrders[Order_Month])),"m月")&amp;"発注)")</f>
        <v/>
      </c>
      <c r="Q1115">
        <f>IF(SUMIFS(T_PlannedOrders[EffectiveQty],T_PlannedOrders[Part Name],$A1107,T_PlannedOrders[WeekIndex],14)=0,"",SUMIFS(T_PlannedOrders[EffectiveQty],T_PlannedOrders[Part Name],$A1107,T_PlannedOrders[WeekIndex],14)&amp;" ("&amp;TEXT(SUMPRODUCT(MAX((T_PlannedOrders[Part Name]=$A1107)*(T_PlannedOrders[WeekIndex]=14)*(T_PlannedOrders[EffectiveQty]&gt;0)*T_PlannedOrders[Order_Month])),"m月")&amp;"発注)")</f>
        <v/>
      </c>
      <c r="R1115">
        <f>IF(SUMIFS(T_PlannedOrders[EffectiveQty],T_PlannedOrders[Part Name],$A1107,T_PlannedOrders[WeekIndex],15)=0,"",SUMIFS(T_PlannedOrders[EffectiveQty],T_PlannedOrders[Part Name],$A1107,T_PlannedOrders[WeekIndex],15)&amp;" ("&amp;TEXT(SUMPRODUCT(MAX((T_PlannedOrders[Part Name]=$A1107)*(T_PlannedOrders[WeekIndex]=15)*(T_PlannedOrders[EffectiveQty]&gt;0)*T_PlannedOrders[Order_Month])),"m月")&amp;"発注)")</f>
        <v/>
      </c>
      <c r="S1115">
        <f>IF(SUMIFS(T_PlannedOrders[EffectiveQty],T_PlannedOrders[Part Name],$A1107,T_PlannedOrders[WeekIndex],16)=0,"",SUMIFS(T_PlannedOrders[EffectiveQty],T_PlannedOrders[Part Name],$A1107,T_PlannedOrders[WeekIndex],16)&amp;" ("&amp;TEXT(SUMPRODUCT(MAX((T_PlannedOrders[Part Name]=$A1107)*(T_PlannedOrders[WeekIndex]=16)*(T_PlannedOrders[EffectiveQty]&gt;0)*T_PlannedOrders[Order_Month])),"m月")&amp;"発注)")</f>
        <v/>
      </c>
      <c r="T1115">
        <f>IF(SUMIFS(T_PlannedOrders[EffectiveQty],T_PlannedOrders[Part Name],$A1107,T_PlannedOrders[WeekIndex],17)=0,"",SUMIFS(T_PlannedOrders[EffectiveQty],T_PlannedOrders[Part Name],$A1107,T_PlannedOrders[WeekIndex],17)&amp;" ("&amp;TEXT(SUMPRODUCT(MAX((T_PlannedOrders[Part Name]=$A1107)*(T_PlannedOrders[WeekIndex]=17)*(T_PlannedOrders[EffectiveQty]&gt;0)*T_PlannedOrders[Order_Month])),"m月")&amp;"発注)")</f>
        <v/>
      </c>
      <c r="U1115">
        <f>IF(SUMIFS(T_PlannedOrders[EffectiveQty],T_PlannedOrders[Part Name],$A1107,T_PlannedOrders[WeekIndex],18)=0,"",SUMIFS(T_PlannedOrders[EffectiveQty],T_PlannedOrders[Part Name],$A1107,T_PlannedOrders[WeekIndex],18)&amp;" ("&amp;TEXT(SUMPRODUCT(MAX((T_PlannedOrders[Part Name]=$A1107)*(T_PlannedOrders[WeekIndex]=18)*(T_PlannedOrders[EffectiveQty]&gt;0)*T_PlannedOrders[Order_Month])),"m月")&amp;"発注)")</f>
        <v/>
      </c>
      <c r="V1115">
        <f>IF(SUMIFS(T_PlannedOrders[EffectiveQty],T_PlannedOrders[Part Name],$A1107,T_PlannedOrders[WeekIndex],19)=0,"",SUMIFS(T_PlannedOrders[EffectiveQty],T_PlannedOrders[Part Name],$A1107,T_PlannedOrders[WeekIndex],19)&amp;" ("&amp;TEXT(SUMPRODUCT(MAX((T_PlannedOrders[Part Name]=$A1107)*(T_PlannedOrders[WeekIndex]=19)*(T_PlannedOrders[EffectiveQty]&gt;0)*T_PlannedOrders[Order_Month])),"m月")&amp;"発注)")</f>
        <v/>
      </c>
      <c r="W1115">
        <f>IF(SUMIFS(T_PlannedOrders[EffectiveQty],T_PlannedOrders[Part Name],$A1107,T_PlannedOrders[WeekIndex],20)=0,"",SUMIFS(T_PlannedOrders[EffectiveQty],T_PlannedOrders[Part Name],$A1107,T_PlannedOrders[WeekIndex],20)&amp;" ("&amp;TEXT(SUMPRODUCT(MAX((T_PlannedOrders[Part Name]=$A1107)*(T_PlannedOrders[WeekIndex]=20)*(T_PlannedOrders[EffectiveQty]&gt;0)*T_PlannedOrders[Order_Month])),"m月")&amp;"発注)")</f>
        <v/>
      </c>
      <c r="X1115">
        <f>IF(SUMIFS(T_PlannedOrders[EffectiveQty],T_PlannedOrders[Part Name],$A1107,T_PlannedOrders[WeekIndex],21)=0,"",SUMIFS(T_PlannedOrders[EffectiveQty],T_PlannedOrders[Part Name],$A1107,T_PlannedOrders[WeekIndex],21)&amp;" ("&amp;TEXT(SUMPRODUCT(MAX((T_PlannedOrders[Part Name]=$A1107)*(T_PlannedOrders[WeekIndex]=21)*(T_PlannedOrders[EffectiveQty]&gt;0)*T_PlannedOrders[Order_Month])),"m月")&amp;"発注)")</f>
        <v/>
      </c>
      <c r="Y1115">
        <f>IF(SUMIFS(T_PlannedOrders[EffectiveQty],T_PlannedOrders[Part Name],$A1107,T_PlannedOrders[WeekIndex],22)=0,"",SUMIFS(T_PlannedOrders[EffectiveQty],T_PlannedOrders[Part Name],$A1107,T_PlannedOrders[WeekIndex],22)&amp;" ("&amp;TEXT(SUMPRODUCT(MAX((T_PlannedOrders[Part Name]=$A1107)*(T_PlannedOrders[WeekIndex]=22)*(T_PlannedOrders[EffectiveQty]&gt;0)*T_PlannedOrders[Order_Month])),"m月")&amp;"発注)")</f>
        <v/>
      </c>
      <c r="Z1115">
        <f>IF(SUMIFS(T_PlannedOrders[EffectiveQty],T_PlannedOrders[Part Name],$A1107,T_PlannedOrders[WeekIndex],23)=0,"",SUMIFS(T_PlannedOrders[EffectiveQty],T_PlannedOrders[Part Name],$A1107,T_PlannedOrders[WeekIndex],23)&amp;" ("&amp;TEXT(SUMPRODUCT(MAX((T_PlannedOrders[Part Name]=$A1107)*(T_PlannedOrders[WeekIndex]=23)*(T_PlannedOrders[EffectiveQty]&gt;0)*T_PlannedOrders[Order_Month])),"m月")&amp;"発注)")</f>
        <v/>
      </c>
      <c r="AA1115">
        <f>IF(SUMIFS(T_PlannedOrders[EffectiveQty],T_PlannedOrders[Part Name],$A1107,T_PlannedOrders[WeekIndex],24)=0,"",SUMIFS(T_PlannedOrders[EffectiveQty],T_PlannedOrders[Part Name],$A1107,T_PlannedOrders[WeekIndex],24)&amp;" ("&amp;TEXT(SUMPRODUCT(MAX((T_PlannedOrders[Part Name]=$A1107)*(T_PlannedOrders[WeekIndex]=24)*(T_PlannedOrders[EffectiveQty]&gt;0)*T_PlannedOrders[Order_Month])),"m月")&amp;"発注)")</f>
        <v/>
      </c>
      <c r="AB1115">
        <f>IF(SUMIFS(T_PlannedOrders[EffectiveQty],T_PlannedOrders[Part Name],$A1107,T_PlannedOrders[WeekIndex],25)=0,"",SUMIFS(T_PlannedOrders[EffectiveQty],T_PlannedOrders[Part Name],$A1107,T_PlannedOrders[WeekIndex],25)&amp;" ("&amp;TEXT(SUMPRODUCT(MAX((T_PlannedOrders[Part Name]=$A1107)*(T_PlannedOrders[WeekIndex]=25)*(T_PlannedOrders[EffectiveQty]&gt;0)*T_PlannedOrders[Order_Month])),"m月")&amp;"発注)")</f>
        <v/>
      </c>
      <c r="AC1115">
        <f>IF(SUMIFS(T_PlannedOrders[EffectiveQty],T_PlannedOrders[Part Name],$A1107,T_PlannedOrders[WeekIndex],26)=0,"",SUMIFS(T_PlannedOrders[EffectiveQty],T_PlannedOrders[Part Name],$A1107,T_PlannedOrders[WeekIndex],26)&amp;" ("&amp;TEXT(SUMPRODUCT(MAX((T_PlannedOrders[Part Name]=$A1107)*(T_PlannedOrders[WeekIndex]=26)*(T_PlannedOrders[EffectiveQty]&gt;0)*T_PlannedOrders[Order_Month])),"m月")&amp;"発注)")</f>
        <v/>
      </c>
      <c r="AD1115">
        <f>IF(SUMIFS(T_PlannedOrders[EffectiveQty],T_PlannedOrders[Part Name],$A1107,T_PlannedOrders[WeekIndex],27)=0,"",SUMIFS(T_PlannedOrders[EffectiveQty],T_PlannedOrders[Part Name],$A1107,T_PlannedOrders[WeekIndex],27)&amp;" ("&amp;TEXT(SUMPRODUCT(MAX((T_PlannedOrders[Part Name]=$A1107)*(T_PlannedOrders[WeekIndex]=27)*(T_PlannedOrders[EffectiveQty]&gt;0)*T_PlannedOrders[Order_Month])),"m月")&amp;"発注)")</f>
        <v/>
      </c>
      <c r="AE1115">
        <f>IF(SUMIFS(T_PlannedOrders[EffectiveQty],T_PlannedOrders[Part Name],$A1107,T_PlannedOrders[WeekIndex],28)=0,"",SUMIFS(T_PlannedOrders[EffectiveQty],T_PlannedOrders[Part Name],$A1107,T_PlannedOrders[WeekIndex],28)&amp;" ("&amp;TEXT(SUMPRODUCT(MAX((T_PlannedOrders[Part Name]=$A1107)*(T_PlannedOrders[WeekIndex]=28)*(T_PlannedOrders[EffectiveQty]&gt;0)*T_PlannedOrders[Order_Month])),"m月")&amp;"発注)")</f>
        <v/>
      </c>
      <c r="AF1115">
        <f>IF(SUMIFS(T_PlannedOrders[EffectiveQty],T_PlannedOrders[Part Name],$A1107,T_PlannedOrders[WeekIndex],29)=0,"",SUMIFS(T_PlannedOrders[EffectiveQty],T_PlannedOrders[Part Name],$A1107,T_PlannedOrders[WeekIndex],29)&amp;" ("&amp;TEXT(SUMPRODUCT(MAX((T_PlannedOrders[Part Name]=$A1107)*(T_PlannedOrders[WeekIndex]=29)*(T_PlannedOrders[EffectiveQty]&gt;0)*T_PlannedOrders[Order_Month])),"m月")&amp;"発注)")</f>
        <v/>
      </c>
      <c r="AG1115">
        <f>IF(SUMIFS(T_PlannedOrders[EffectiveQty],T_PlannedOrders[Part Name],$A1107,T_PlannedOrders[WeekIndex],30)=0,"",SUMIFS(T_PlannedOrders[EffectiveQty],T_PlannedOrders[Part Name],$A1107,T_PlannedOrders[WeekIndex],30)&amp;" ("&amp;TEXT(SUMPRODUCT(MAX((T_PlannedOrders[Part Name]=$A1107)*(T_PlannedOrders[WeekIndex]=30)*(T_PlannedOrders[EffectiveQty]&gt;0)*T_PlannedOrders[Order_Month])),"m月")&amp;"発注)")</f>
        <v/>
      </c>
      <c r="AH1115">
        <f>IF(SUMIFS(T_PlannedOrders[EffectiveQty],T_PlannedOrders[Part Name],$A1107,T_PlannedOrders[WeekIndex],31)=0,"",SUMIFS(T_PlannedOrders[EffectiveQty],T_PlannedOrders[Part Name],$A1107,T_PlannedOrders[WeekIndex],31)&amp;" ("&amp;TEXT(SUMPRODUCT(MAX((T_PlannedOrders[Part Name]=$A1107)*(T_PlannedOrders[WeekIndex]=31)*(T_PlannedOrders[EffectiveQty]&gt;0)*T_PlannedOrders[Order_Month])),"m月")&amp;"発注)")</f>
        <v/>
      </c>
      <c r="AI1115">
        <f>IF(SUMIFS(T_PlannedOrders[EffectiveQty],T_PlannedOrders[Part Name],$A1107,T_PlannedOrders[WeekIndex],32)=0,"",SUMIFS(T_PlannedOrders[EffectiveQty],T_PlannedOrders[Part Name],$A1107,T_PlannedOrders[WeekIndex],32)&amp;" ("&amp;TEXT(SUMPRODUCT(MAX((T_PlannedOrders[Part Name]=$A1107)*(T_PlannedOrders[WeekIndex]=32)*(T_PlannedOrders[EffectiveQty]&gt;0)*T_PlannedOrders[Order_Month])),"m月")&amp;"発注)")</f>
        <v/>
      </c>
      <c r="AJ1115">
        <f>IF(SUMIFS(T_PlannedOrders[EffectiveQty],T_PlannedOrders[Part Name],$A1107,T_PlannedOrders[WeekIndex],33)=0,"",SUMIFS(T_PlannedOrders[EffectiveQty],T_PlannedOrders[Part Name],$A1107,T_PlannedOrders[WeekIndex],33)&amp;" ("&amp;TEXT(SUMPRODUCT(MAX((T_PlannedOrders[Part Name]=$A1107)*(T_PlannedOrders[WeekIndex]=33)*(T_PlannedOrders[EffectiveQty]&gt;0)*T_PlannedOrders[Order_Month])),"m月")&amp;"発注)")</f>
        <v/>
      </c>
      <c r="AK1115">
        <f>IF(SUMIFS(T_PlannedOrders[EffectiveQty],T_PlannedOrders[Part Name],$A1107,T_PlannedOrders[WeekIndex],34)=0,"",SUMIFS(T_PlannedOrders[EffectiveQty],T_PlannedOrders[Part Name],$A1107,T_PlannedOrders[WeekIndex],34)&amp;" ("&amp;TEXT(SUMPRODUCT(MAX((T_PlannedOrders[Part Name]=$A1107)*(T_PlannedOrders[WeekIndex]=34)*(T_PlannedOrders[EffectiveQty]&gt;0)*T_PlannedOrders[Order_Month])),"m月")&amp;"発注)")</f>
        <v/>
      </c>
      <c r="AL1115">
        <f>IF(SUMIFS(T_PlannedOrders[EffectiveQty],T_PlannedOrders[Part Name],$A1107,T_PlannedOrders[WeekIndex],35)=0,"",SUMIFS(T_PlannedOrders[EffectiveQty],T_PlannedOrders[Part Name],$A1107,T_PlannedOrders[WeekIndex],35)&amp;" ("&amp;TEXT(SUMPRODUCT(MAX((T_PlannedOrders[Part Name]=$A1107)*(T_PlannedOrders[WeekIndex]=35)*(T_PlannedOrders[EffectiveQty]&gt;0)*T_PlannedOrders[Order_Month])),"m月")&amp;"発注)")</f>
        <v/>
      </c>
      <c r="AM1115">
        <f>IF(SUMIFS(T_PlannedOrders[EffectiveQty],T_PlannedOrders[Part Name],$A1107,T_PlannedOrders[WeekIndex],36)=0,"",SUMIFS(T_PlannedOrders[EffectiveQty],T_PlannedOrders[Part Name],$A1107,T_PlannedOrders[WeekIndex],36)&amp;" ("&amp;TEXT(SUMPRODUCT(MAX((T_PlannedOrders[Part Name]=$A1107)*(T_PlannedOrders[WeekIndex]=36)*(T_PlannedOrders[EffectiveQty]&gt;0)*T_PlannedOrders[Order_Month])),"m月")&amp;"発注)")</f>
        <v/>
      </c>
      <c r="AN1115">
        <f>IF(SUMIFS(T_PlannedOrders[EffectiveQty],T_PlannedOrders[Part Name],$A1107,T_PlannedOrders[WeekIndex],37)=0,"",SUMIFS(T_PlannedOrders[EffectiveQty],T_PlannedOrders[Part Name],$A1107,T_PlannedOrders[WeekIndex],37)&amp;" ("&amp;TEXT(SUMPRODUCT(MAX((T_PlannedOrders[Part Name]=$A1107)*(T_PlannedOrders[WeekIndex]=37)*(T_PlannedOrders[EffectiveQty]&gt;0)*T_PlannedOrders[Order_Month])),"m月")&amp;"発注)")</f>
        <v/>
      </c>
      <c r="AO1115">
        <f>IF(SUMIFS(T_PlannedOrders[EffectiveQty],T_PlannedOrders[Part Name],$A1107,T_PlannedOrders[WeekIndex],38)=0,"",SUMIFS(T_PlannedOrders[EffectiveQty],T_PlannedOrders[Part Name],$A1107,T_PlannedOrders[WeekIndex],38)&amp;" ("&amp;TEXT(SUMPRODUCT(MAX((T_PlannedOrders[Part Name]=$A1107)*(T_PlannedOrders[WeekIndex]=38)*(T_PlannedOrders[EffectiveQty]&gt;0)*T_PlannedOrders[Order_Month])),"m月")&amp;"発注)")</f>
        <v/>
      </c>
      <c r="AP1115">
        <f>IF(SUMIFS(T_PlannedOrders[EffectiveQty],T_PlannedOrders[Part Name],$A1107,T_PlannedOrders[WeekIndex],39)=0,"",SUMIFS(T_PlannedOrders[EffectiveQty],T_PlannedOrders[Part Name],$A1107,T_PlannedOrders[WeekIndex],39)&amp;" ("&amp;TEXT(SUMPRODUCT(MAX((T_PlannedOrders[Part Name]=$A1107)*(T_PlannedOrders[WeekIndex]=39)*(T_PlannedOrders[EffectiveQty]&gt;0)*T_PlannedOrders[Order_Month])),"m月")&amp;"発注)")</f>
        <v/>
      </c>
      <c r="AQ1115">
        <f>IF(SUMIFS(T_PlannedOrders[EffectiveQty],T_PlannedOrders[Part Name],$A1107,T_PlannedOrders[WeekIndex],40)=0,"",SUMIFS(T_PlannedOrders[EffectiveQty],T_PlannedOrders[Part Name],$A1107,T_PlannedOrders[WeekIndex],40)&amp;" ("&amp;TEXT(SUMPRODUCT(MAX((T_PlannedOrders[Part Name]=$A1107)*(T_PlannedOrders[WeekIndex]=40)*(T_PlannedOrders[EffectiveQty]&gt;0)*T_PlannedOrders[Order_Month])),"m月")&amp;"発注)")</f>
        <v/>
      </c>
      <c r="AR1115">
        <f>IF(SUMIFS(T_PlannedOrders[EffectiveQty],T_PlannedOrders[Part Name],$A1107,T_PlannedOrders[WeekIndex],41)=0,"",SUMIFS(T_PlannedOrders[EffectiveQty],T_PlannedOrders[Part Name],$A1107,T_PlannedOrders[WeekIndex],41)&amp;" ("&amp;TEXT(SUMPRODUCT(MAX((T_PlannedOrders[Part Name]=$A1107)*(T_PlannedOrders[WeekIndex]=41)*(T_PlannedOrders[EffectiveQty]&gt;0)*T_PlannedOrders[Order_Month])),"m月")&amp;"発注)")</f>
        <v/>
      </c>
      <c r="AS1115">
        <f>IF(SUMIFS(T_PlannedOrders[EffectiveQty],T_PlannedOrders[Part Name],$A1107,T_PlannedOrders[WeekIndex],42)=0,"",SUMIFS(T_PlannedOrders[EffectiveQty],T_PlannedOrders[Part Name],$A1107,T_PlannedOrders[WeekIndex],42)&amp;" ("&amp;TEXT(SUMPRODUCT(MAX((T_PlannedOrders[Part Name]=$A1107)*(T_PlannedOrders[WeekIndex]=42)*(T_PlannedOrders[EffectiveQty]&gt;0)*T_PlannedOrders[Order_Month])),"m月")&amp;"発注)")</f>
        <v/>
      </c>
      <c r="AT1115">
        <f>IF(SUMIFS(T_PlannedOrders[EffectiveQty],T_PlannedOrders[Part Name],$A1107,T_PlannedOrders[WeekIndex],43)=0,"",SUMIFS(T_PlannedOrders[EffectiveQty],T_PlannedOrders[Part Name],$A1107,T_PlannedOrders[WeekIndex],43)&amp;" ("&amp;TEXT(SUMPRODUCT(MAX((T_PlannedOrders[Part Name]=$A1107)*(T_PlannedOrders[WeekIndex]=43)*(T_PlannedOrders[EffectiveQty]&gt;0)*T_PlannedOrders[Order_Month])),"m月")&amp;"発注)")</f>
        <v/>
      </c>
      <c r="AU1115">
        <f>IF(SUMIFS(T_PlannedOrders[EffectiveQty],T_PlannedOrders[Part Name],$A1107,T_PlannedOrders[WeekIndex],44)=0,"",SUMIFS(T_PlannedOrders[EffectiveQty],T_PlannedOrders[Part Name],$A1107,T_PlannedOrders[WeekIndex],44)&amp;" ("&amp;TEXT(SUMPRODUCT(MAX((T_PlannedOrders[Part Name]=$A1107)*(T_PlannedOrders[WeekIndex]=44)*(T_PlannedOrders[EffectiveQty]&gt;0)*T_PlannedOrders[Order_Month])),"m月")&amp;"発注)")</f>
        <v/>
      </c>
      <c r="AV1115">
        <f>IF(SUMIFS(T_PlannedOrders[EffectiveQty],T_PlannedOrders[Part Name],$A1107,T_PlannedOrders[WeekIndex],45)=0,"",SUMIFS(T_PlannedOrders[EffectiveQty],T_PlannedOrders[Part Name],$A1107,T_PlannedOrders[WeekIndex],45)&amp;" ("&amp;TEXT(SUMPRODUCT(MAX((T_PlannedOrders[Part Name]=$A1107)*(T_PlannedOrders[WeekIndex]=45)*(T_PlannedOrders[EffectiveQty]&gt;0)*T_PlannedOrders[Order_Month])),"m月")&amp;"発注)")</f>
        <v/>
      </c>
      <c r="AW1115">
        <f>IF(SUMIFS(T_PlannedOrders[EffectiveQty],T_PlannedOrders[Part Name],$A1107,T_PlannedOrders[WeekIndex],46)=0,"",SUMIFS(T_PlannedOrders[EffectiveQty],T_PlannedOrders[Part Name],$A1107,T_PlannedOrders[WeekIndex],46)&amp;" ("&amp;TEXT(SUMPRODUCT(MAX((T_PlannedOrders[Part Name]=$A1107)*(T_PlannedOrders[WeekIndex]=46)*(T_PlannedOrders[EffectiveQty]&gt;0)*T_PlannedOrders[Order_Month])),"m月")&amp;"発注)")</f>
        <v/>
      </c>
      <c r="AX1115">
        <f>IF(SUMIFS(T_PlannedOrders[EffectiveQty],T_PlannedOrders[Part Name],$A1107,T_PlannedOrders[WeekIndex],47)=0,"",SUMIFS(T_PlannedOrders[EffectiveQty],T_PlannedOrders[Part Name],$A1107,T_PlannedOrders[WeekIndex],47)&amp;" ("&amp;TEXT(SUMPRODUCT(MAX((T_PlannedOrders[Part Name]=$A1107)*(T_PlannedOrders[WeekIndex]=47)*(T_PlannedOrders[EffectiveQty]&gt;0)*T_PlannedOrders[Order_Month])),"m月")&amp;"発注)")</f>
        <v/>
      </c>
      <c r="AY1115">
        <f>IF(SUMIFS(T_PlannedOrders[EffectiveQty],T_PlannedOrders[Part Name],$A1107,T_PlannedOrders[WeekIndex],48)=0,"",SUMIFS(T_PlannedOrders[EffectiveQty],T_PlannedOrders[Part Name],$A1107,T_PlannedOrders[WeekIndex],48)&amp;" ("&amp;TEXT(SUMPRODUCT(MAX((T_PlannedOrders[Part Name]=$A1107)*(T_PlannedOrders[WeekIndex]=48)*(T_PlannedOrders[EffectiveQty]&gt;0)*T_PlannedOrders[Order_Month])),"m月")&amp;"発注)")</f>
        <v/>
      </c>
      <c r="AZ1115">
        <f>IF(SUMIFS(T_PlannedOrders[EffectiveQty],T_PlannedOrders[Part Name],$A1107,T_PlannedOrders[WeekIndex],49)=0,"",SUMIFS(T_PlannedOrders[EffectiveQty],T_PlannedOrders[Part Name],$A1107,T_PlannedOrders[WeekIndex],49)&amp;" ("&amp;TEXT(SUMPRODUCT(MAX((T_PlannedOrders[Part Name]=$A1107)*(T_PlannedOrders[WeekIndex]=49)*(T_PlannedOrders[EffectiveQty]&gt;0)*T_PlannedOrders[Order_Month])),"m月")&amp;"発注)")</f>
        <v/>
      </c>
      <c r="BA1115">
        <f>IF(SUMIFS(T_PlannedOrders[EffectiveQty],T_PlannedOrders[Part Name],$A1107,T_PlannedOrders[WeekIndex],50)=0,"",SUMIFS(T_PlannedOrders[EffectiveQty],T_PlannedOrders[Part Name],$A1107,T_PlannedOrders[WeekIndex],50)&amp;" ("&amp;TEXT(SUMPRODUCT(MAX((T_PlannedOrders[Part Name]=$A1107)*(T_PlannedOrders[WeekIndex]=50)*(T_PlannedOrders[EffectiveQty]&gt;0)*T_PlannedOrders[Order_Month])),"m月")&amp;"発注)")</f>
        <v/>
      </c>
      <c r="BB1115">
        <f>IF(SUMIFS(T_PlannedOrders[EffectiveQty],T_PlannedOrders[Part Name],$A1107,T_PlannedOrders[WeekIndex],51)=0,"",SUMIFS(T_PlannedOrders[EffectiveQty],T_PlannedOrders[Part Name],$A1107,T_PlannedOrders[WeekIndex],51)&amp;" ("&amp;TEXT(SUMPRODUCT(MAX((T_PlannedOrders[Part Name]=$A1107)*(T_PlannedOrders[WeekIndex]=51)*(T_PlannedOrders[EffectiveQty]&gt;0)*T_PlannedOrders[Order_Month])),"m月")&amp;"発注)")</f>
        <v/>
      </c>
      <c r="BC1115">
        <f>IF(SUMIFS(T_PlannedOrders[EffectiveQty],T_PlannedOrders[Part Name],$A1107,T_PlannedOrders[WeekIndex],52)=0,"",SUMIFS(T_PlannedOrders[EffectiveQty],T_PlannedOrders[Part Name],$A1107,T_PlannedOrders[WeekIndex],52)&amp;" ("&amp;TEXT(SUMPRODUCT(MAX((T_PlannedOrders[Part Name]=$A1107)*(T_PlannedOrders[WeekIndex]=52)*(T_PlannedOrders[EffectiveQty]&gt;0)*T_PlannedOrders[Order_Month])),"m月")&amp;"発注)")</f>
        <v/>
      </c>
      <c r="BD1115">
        <f>IF(SUMIFS(T_PlannedOrders[EffectiveQty],T_PlannedOrders[Part Name],$A1107,T_PlannedOrders[WeekIndex],53)=0,"",SUMIFS(T_PlannedOrders[EffectiveQty],T_PlannedOrders[Part Name],$A1107,T_PlannedOrders[WeekIndex],53)&amp;" ("&amp;TEXT(SUMPRODUCT(MAX((T_PlannedOrders[Part Name]=$A1107)*(T_PlannedOrders[WeekIndex]=53)*(T_PlannedOrders[EffectiveQty]&gt;0)*T_PlannedOrders[Order_Month])),"m月")&amp;"発注)")</f>
        <v/>
      </c>
      <c r="BE1115">
        <f>IF(SUMIFS(T_PlannedOrders[EffectiveQty],T_PlannedOrders[Part Name],$A1107,T_PlannedOrders[WeekIndex],54)=0,"",SUMIFS(T_PlannedOrders[EffectiveQty],T_PlannedOrders[Part Name],$A1107,T_PlannedOrders[WeekIndex],54)&amp;" ("&amp;TEXT(SUMPRODUCT(MAX((T_PlannedOrders[Part Name]=$A1107)*(T_PlannedOrders[WeekIndex]=54)*(T_PlannedOrders[EffectiveQty]&gt;0)*T_PlannedOrders[Order_Month])),"m月")&amp;"発注)")</f>
        <v/>
      </c>
      <c r="BF1115">
        <f>IF(SUMIFS(T_PlannedOrders[EffectiveQty],T_PlannedOrders[Part Name],$A1107,T_PlannedOrders[WeekIndex],55)=0,"",SUMIFS(T_PlannedOrders[EffectiveQty],T_PlannedOrders[Part Name],$A1107,T_PlannedOrders[WeekIndex],55)&amp;" ("&amp;TEXT(SUMPRODUCT(MAX((T_PlannedOrders[Part Name]=$A1107)*(T_PlannedOrders[WeekIndex]=55)*(T_PlannedOrders[EffectiveQty]&gt;0)*T_PlannedOrders[Order_Month])),"m月")&amp;"発注)")</f>
        <v/>
      </c>
      <c r="BG1115">
        <f>IF(SUMIFS(T_PlannedOrders[EffectiveQty],T_PlannedOrders[Part Name],$A1107,T_PlannedOrders[WeekIndex],56)=0,"",SUMIFS(T_PlannedOrders[EffectiveQty],T_PlannedOrders[Part Name],$A1107,T_PlannedOrders[WeekIndex],56)&amp;" ("&amp;TEXT(SUMPRODUCT(MAX((T_PlannedOrders[Part Name]=$A1107)*(T_PlannedOrders[WeekIndex]=56)*(T_PlannedOrders[EffectiveQty]&gt;0)*T_PlannedOrders[Order_Month])),"m月")&amp;"発注)")</f>
        <v/>
      </c>
      <c r="BH1115">
        <f>IF(SUMIFS(T_PlannedOrders[EffectiveQty],T_PlannedOrders[Part Name],$A1107,T_PlannedOrders[WeekIndex],57)=0,"",SUMIFS(T_PlannedOrders[EffectiveQty],T_PlannedOrders[Part Name],$A1107,T_PlannedOrders[WeekIndex],57)&amp;" ("&amp;TEXT(SUMPRODUCT(MAX((T_PlannedOrders[Part Name]=$A1107)*(T_PlannedOrders[WeekIndex]=57)*(T_PlannedOrders[EffectiveQty]&gt;0)*T_PlannedOrders[Order_Month])),"m月")&amp;"発注)")</f>
        <v/>
      </c>
      <c r="BI1115">
        <f>IF(SUMIFS(T_PlannedOrders[EffectiveQty],T_PlannedOrders[Part Name],$A1107,T_PlannedOrders[WeekIndex],58)=0,"",SUMIFS(T_PlannedOrders[EffectiveQty],T_PlannedOrders[Part Name],$A1107,T_PlannedOrders[WeekIndex],58)&amp;" ("&amp;TEXT(SUMPRODUCT(MAX((T_PlannedOrders[Part Name]=$A1107)*(T_PlannedOrders[WeekIndex]=58)*(T_PlannedOrders[EffectiveQty]&gt;0)*T_PlannedOrders[Order_Month])),"m月")&amp;"発注)")</f>
        <v/>
      </c>
      <c r="BJ1115">
        <f>IF(SUMIFS(T_PlannedOrders[EffectiveQty],T_PlannedOrders[Part Name],$A1107,T_PlannedOrders[WeekIndex],59)=0,"",SUMIFS(T_PlannedOrders[EffectiveQty],T_PlannedOrders[Part Name],$A1107,T_PlannedOrders[WeekIndex],59)&amp;" ("&amp;TEXT(SUMPRODUCT(MAX((T_PlannedOrders[Part Name]=$A1107)*(T_PlannedOrders[WeekIndex]=59)*(T_PlannedOrders[EffectiveQty]&gt;0)*T_PlannedOrders[Order_Month])),"m月")&amp;"発注)")</f>
        <v/>
      </c>
      <c r="BK1115">
        <f>IF(SUMIFS(T_PlannedOrders[EffectiveQty],T_PlannedOrders[Part Name],$A1107,T_PlannedOrders[WeekIndex],60)=0,"",SUMIFS(T_PlannedOrders[EffectiveQty],T_PlannedOrders[Part Name],$A1107,T_PlannedOrders[WeekIndex],60)&amp;" ("&amp;TEXT(SUMPRODUCT(MAX((T_PlannedOrders[Part Name]=$A1107)*(T_PlannedOrders[WeekIndex]=60)*(T_PlannedOrders[EffectiveQty]&gt;0)*T_PlannedOrders[Order_Month])),"m月")&amp;"発注)")</f>
        <v/>
      </c>
      <c r="BL1115">
        <f>IF(SUMIFS(T_PlannedOrders[EffectiveQty],T_PlannedOrders[Part Name],$A1107,T_PlannedOrders[WeekIndex],61)=0,"",SUMIFS(T_PlannedOrders[EffectiveQty],T_PlannedOrders[Part Name],$A1107,T_PlannedOrders[WeekIndex],61)&amp;" ("&amp;TEXT(SUMPRODUCT(MAX((T_PlannedOrders[Part Name]=$A1107)*(T_PlannedOrders[WeekIndex]=61)*(T_PlannedOrders[EffectiveQty]&gt;0)*T_PlannedOrders[Order_Month])),"m月")&amp;"発注)")</f>
        <v/>
      </c>
      <c r="BM1115">
        <f>IF(SUMIFS(T_PlannedOrders[EffectiveQty],T_PlannedOrders[Part Name],$A1107,T_PlannedOrders[WeekIndex],62)=0,"",SUMIFS(T_PlannedOrders[EffectiveQty],T_PlannedOrders[Part Name],$A1107,T_PlannedOrders[WeekIndex],62)&amp;" ("&amp;TEXT(SUMPRODUCT(MAX((T_PlannedOrders[Part Name]=$A1107)*(T_PlannedOrders[WeekIndex]=62)*(T_PlannedOrders[EffectiveQty]&gt;0)*T_PlannedOrders[Order_Month])),"m月")&amp;"発注)")</f>
        <v/>
      </c>
      <c r="BN1115">
        <f>IF(SUMIFS(T_PlannedOrders[EffectiveQty],T_PlannedOrders[Part Name],$A1107,T_PlannedOrders[WeekIndex],63)=0,"",SUMIFS(T_PlannedOrders[EffectiveQty],T_PlannedOrders[Part Name],$A1107,T_PlannedOrders[WeekIndex],63)&amp;" ("&amp;TEXT(SUMPRODUCT(MAX((T_PlannedOrders[Part Name]=$A1107)*(T_PlannedOrders[WeekIndex]=63)*(T_PlannedOrders[EffectiveQty]&gt;0)*T_PlannedOrders[Order_Month])),"m月")&amp;"発注)")</f>
        <v/>
      </c>
      <c r="BO1115">
        <f>IF(SUMIFS(T_PlannedOrders[EffectiveQty],T_PlannedOrders[Part Name],$A1107,T_PlannedOrders[WeekIndex],64)=0,"",SUMIFS(T_PlannedOrders[EffectiveQty],T_PlannedOrders[Part Name],$A1107,T_PlannedOrders[WeekIndex],64)&amp;" ("&amp;TEXT(SUMPRODUCT(MAX((T_PlannedOrders[Part Name]=$A1107)*(T_PlannedOrders[WeekIndex]=64)*(T_PlannedOrders[EffectiveQty]&gt;0)*T_PlannedOrders[Order_Month])),"m月")&amp;"発注)")</f>
        <v/>
      </c>
      <c r="BP1115">
        <f>IF(SUMIFS(T_PlannedOrders[EffectiveQty],T_PlannedOrders[Part Name],$A1107,T_PlannedOrders[WeekIndex],65)=0,"",SUMIFS(T_PlannedOrders[EffectiveQty],T_PlannedOrders[Part Name],$A1107,T_PlannedOrders[WeekIndex],65)&amp;" ("&amp;TEXT(SUMPRODUCT(MAX((T_PlannedOrders[Part Name]=$A1107)*(T_PlannedOrders[WeekIndex]=65)*(T_PlannedOrders[EffectiveQty]&gt;0)*T_PlannedOrders[Order_Month])),"m月")&amp;"発注)")</f>
        <v/>
      </c>
      <c r="BQ1115">
        <f>IF(SUMIFS(T_PlannedOrders[EffectiveQty],T_PlannedOrders[Part Name],$A1107,T_PlannedOrders[WeekIndex],66)=0,"",SUMIFS(T_PlannedOrders[EffectiveQty],T_PlannedOrders[Part Name],$A1107,T_PlannedOrders[WeekIndex],66)&amp;" ("&amp;TEXT(SUMPRODUCT(MAX((T_PlannedOrders[Part Name]=$A1107)*(T_PlannedOrders[WeekIndex]=66)*(T_PlannedOrders[EffectiveQty]&gt;0)*T_PlannedOrders[Order_Month])),"m月")&amp;"発注)")</f>
        <v/>
      </c>
      <c r="BR1115">
        <f>IF(SUMIFS(T_PlannedOrders[EffectiveQty],T_PlannedOrders[Part Name],$A1107,T_PlannedOrders[WeekIndex],67)=0,"",SUMIFS(T_PlannedOrders[EffectiveQty],T_PlannedOrders[Part Name],$A1107,T_PlannedOrders[WeekIndex],67)&amp;" ("&amp;TEXT(SUMPRODUCT(MAX((T_PlannedOrders[Part Name]=$A1107)*(T_PlannedOrders[WeekIndex]=67)*(T_PlannedOrders[EffectiveQty]&gt;0)*T_PlannedOrders[Order_Month])),"m月")&amp;"発注)")</f>
        <v/>
      </c>
      <c r="BS1115">
        <f>IF(SUMIFS(T_PlannedOrders[EffectiveQty],T_PlannedOrders[Part Name],$A1107,T_PlannedOrders[WeekIndex],68)=0,"",SUMIFS(T_PlannedOrders[EffectiveQty],T_PlannedOrders[Part Name],$A1107,T_PlannedOrders[WeekIndex],68)&amp;" ("&amp;TEXT(SUMPRODUCT(MAX((T_PlannedOrders[Part Name]=$A1107)*(T_PlannedOrders[WeekIndex]=68)*(T_PlannedOrders[EffectiveQty]&gt;0)*T_PlannedOrders[Order_Month])),"m月")&amp;"発注)")</f>
        <v/>
      </c>
      <c r="BT1115">
        <f>IF(SUMIFS(T_PlannedOrders[EffectiveQty],T_PlannedOrders[Part Name],$A1107,T_PlannedOrders[WeekIndex],69)=0,"",SUMIFS(T_PlannedOrders[EffectiveQty],T_PlannedOrders[Part Name],$A1107,T_PlannedOrders[WeekIndex],69)&amp;" ("&amp;TEXT(SUMPRODUCT(MAX((T_PlannedOrders[Part Name]=$A1107)*(T_PlannedOrders[WeekIndex]=69)*(T_PlannedOrders[EffectiveQty]&gt;0)*T_PlannedOrders[Order_Month])),"m月")&amp;"発注)")</f>
        <v/>
      </c>
      <c r="BU1115">
        <f>IF(SUMIFS(T_PlannedOrders[EffectiveQty],T_PlannedOrders[Part Name],$A1107,T_PlannedOrders[WeekIndex],70)=0,"",SUMIFS(T_PlannedOrders[EffectiveQty],T_PlannedOrders[Part Name],$A1107,T_PlannedOrders[WeekIndex],70)&amp;" ("&amp;TEXT(SUMPRODUCT(MAX((T_PlannedOrders[Part Name]=$A1107)*(T_PlannedOrders[WeekIndex]=70)*(T_PlannedOrders[EffectiveQty]&gt;0)*T_PlannedOrders[Order_Month])),"m月")&amp;"発注)")</f>
        <v/>
      </c>
      <c r="BV1115">
        <f>IF(SUMIFS(T_PlannedOrders[EffectiveQty],T_PlannedOrders[Part Name],$A1107,T_PlannedOrders[WeekIndex],71)=0,"",SUMIFS(T_PlannedOrders[EffectiveQty],T_PlannedOrders[Part Name],$A1107,T_PlannedOrders[WeekIndex],71)&amp;" ("&amp;TEXT(SUMPRODUCT(MAX((T_PlannedOrders[Part Name]=$A1107)*(T_PlannedOrders[WeekIndex]=71)*(T_PlannedOrders[EffectiveQty]&gt;0)*T_PlannedOrders[Order_Month])),"m月")&amp;"発注)")</f>
        <v/>
      </c>
      <c r="BW1115">
        <f>IF(SUMIFS(T_PlannedOrders[EffectiveQty],T_PlannedOrders[Part Name],$A1107,T_PlannedOrders[WeekIndex],72)=0,"",SUMIFS(T_PlannedOrders[EffectiveQty],T_PlannedOrders[Part Name],$A1107,T_PlannedOrders[WeekIndex],72)&amp;" ("&amp;TEXT(SUMPRODUCT(MAX((T_PlannedOrders[Part Name]=$A1107)*(T_PlannedOrders[WeekIndex]=72)*(T_PlannedOrders[EffectiveQty]&gt;0)*T_PlannedOrders[Order_Month])),"m月")&amp;"発注)")</f>
        <v/>
      </c>
      <c r="BX1115">
        <f>IF(SUMIFS(T_PlannedOrders[EffectiveQty],T_PlannedOrders[Part Name],$A1107,T_PlannedOrders[WeekIndex],73)=0,"",SUMIFS(T_PlannedOrders[EffectiveQty],T_PlannedOrders[Part Name],$A1107,T_PlannedOrders[WeekIndex],73)&amp;" ("&amp;TEXT(SUMPRODUCT(MAX((T_PlannedOrders[Part Name]=$A1107)*(T_PlannedOrders[WeekIndex]=73)*(T_PlannedOrders[EffectiveQty]&gt;0)*T_PlannedOrders[Order_Month])),"m月")&amp;"発注)")</f>
        <v/>
      </c>
      <c r="BY1115">
        <f>IF(SUMIFS(T_PlannedOrders[EffectiveQty],T_PlannedOrders[Part Name],$A1107,T_PlannedOrders[WeekIndex],74)=0,"",SUMIFS(T_PlannedOrders[EffectiveQty],T_PlannedOrders[Part Name],$A1107,T_PlannedOrders[WeekIndex],74)&amp;" ("&amp;TEXT(SUMPRODUCT(MAX((T_PlannedOrders[Part Name]=$A1107)*(T_PlannedOrders[WeekIndex]=74)*(T_PlannedOrders[EffectiveQty]&gt;0)*T_PlannedOrders[Order_Month])),"m月")&amp;"発注)")</f>
        <v/>
      </c>
      <c r="BZ1115">
        <f>IF(SUMIFS(T_PlannedOrders[EffectiveQty],T_PlannedOrders[Part Name],$A1107,T_PlannedOrders[WeekIndex],75)=0,"",SUMIFS(T_PlannedOrders[EffectiveQty],T_PlannedOrders[Part Name],$A1107,T_PlannedOrders[WeekIndex],75)&amp;" ("&amp;TEXT(SUMPRODUCT(MAX((T_PlannedOrders[Part Name]=$A1107)*(T_PlannedOrders[WeekIndex]=75)*(T_PlannedOrders[EffectiveQty]&gt;0)*T_PlannedOrders[Order_Month])),"m月")&amp;"発注)")</f>
        <v/>
      </c>
      <c r="CA1115">
        <f>IF(SUMIFS(T_PlannedOrders[EffectiveQty],T_PlannedOrders[Part Name],$A1107,T_PlannedOrders[WeekIndex],76)=0,"",SUMIFS(T_PlannedOrders[EffectiveQty],T_PlannedOrders[Part Name],$A1107,T_PlannedOrders[WeekIndex],76)&amp;" ("&amp;TEXT(SUMPRODUCT(MAX((T_PlannedOrders[Part Name]=$A1107)*(T_PlannedOrders[WeekIndex]=76)*(T_PlannedOrders[EffectiveQty]&gt;0)*T_PlannedOrders[Order_Month])),"m月")&amp;"発注)")</f>
        <v/>
      </c>
      <c r="CB1115">
        <f>IF(SUMIFS(T_PlannedOrders[EffectiveQty],T_PlannedOrders[Part Name],$A1107,T_PlannedOrders[WeekIndex],77)=0,"",SUMIFS(T_PlannedOrders[EffectiveQty],T_PlannedOrders[Part Name],$A1107,T_PlannedOrders[WeekIndex],77)&amp;" ("&amp;TEXT(SUMPRODUCT(MAX((T_PlannedOrders[Part Name]=$A1107)*(T_PlannedOrders[WeekIndex]=77)*(T_PlannedOrders[EffectiveQty]&gt;0)*T_PlannedOrders[Order_Month])),"m月")&amp;"発注)")</f>
        <v/>
      </c>
      <c r="CC1115">
        <f>IF(SUMIFS(T_PlannedOrders[EffectiveQty],T_PlannedOrders[Part Name],$A1107,T_PlannedOrders[WeekIndex],78)=0,"",SUMIFS(T_PlannedOrders[EffectiveQty],T_PlannedOrders[Part Name],$A1107,T_PlannedOrders[WeekIndex],78)&amp;" ("&amp;TEXT(SUMPRODUCT(MAX((T_PlannedOrders[Part Name]=$A1107)*(T_PlannedOrders[WeekIndex]=78)*(T_PlannedOrders[EffectiveQty]&gt;0)*T_PlannedOrders[Order_Month])),"m月")&amp;"発注)")</f>
        <v/>
      </c>
      <c r="CD1115">
        <f>IF(SUMIFS(T_PlannedOrders[EffectiveQty],T_PlannedOrders[Part Name],$A1107,T_PlannedOrders[WeekIndex],79)=0,"",SUMIFS(T_PlannedOrders[EffectiveQty],T_PlannedOrders[Part Name],$A1107,T_PlannedOrders[WeekIndex],79)&amp;" ("&amp;TEXT(SUMPRODUCT(MAX((T_PlannedOrders[Part Name]=$A1107)*(T_PlannedOrders[WeekIndex]=79)*(T_PlannedOrders[EffectiveQty]&gt;0)*T_PlannedOrders[Order_Month])),"m月")&amp;"発注)")</f>
        <v/>
      </c>
      <c r="CE1115">
        <f>IF(SUMIFS(T_PlannedOrders[EffectiveQty],T_PlannedOrders[Part Name],$A1107,T_PlannedOrders[WeekIndex],80)=0,"",SUMIFS(T_PlannedOrders[EffectiveQty],T_PlannedOrders[Part Name],$A1107,T_PlannedOrders[WeekIndex],80)&amp;" ("&amp;TEXT(SUMPRODUCT(MAX((T_PlannedOrders[Part Name]=$A1107)*(T_PlannedOrders[WeekIndex]=80)*(T_PlannedOrders[EffectiveQty]&gt;0)*T_PlannedOrders[Order_Month])),"m月")&amp;"発注)")</f>
        <v/>
      </c>
      <c r="CF1115">
        <f>IF(SUMIFS(T_PlannedOrders[EffectiveQty],T_PlannedOrders[Part Name],$A1107,T_PlannedOrders[WeekIndex],81)=0,"",SUMIFS(T_PlannedOrders[EffectiveQty],T_PlannedOrders[Part Name],$A1107,T_PlannedOrders[WeekIndex],81)&amp;" ("&amp;TEXT(SUMPRODUCT(MAX((T_PlannedOrders[Part Name]=$A1107)*(T_PlannedOrders[WeekIndex]=81)*(T_PlannedOrders[EffectiveQty]&gt;0)*T_PlannedOrders[Order_Month])),"m月")&amp;"発注)")</f>
        <v/>
      </c>
      <c r="CG1115">
        <f>IF(SUMIFS(T_PlannedOrders[EffectiveQty],T_PlannedOrders[Part Name],$A1107,T_PlannedOrders[WeekIndex],82)=0,"",SUMIFS(T_PlannedOrders[EffectiveQty],T_PlannedOrders[Part Name],$A1107,T_PlannedOrders[WeekIndex],82)&amp;" ("&amp;TEXT(SUMPRODUCT(MAX((T_PlannedOrders[Part Name]=$A1107)*(T_PlannedOrders[WeekIndex]=82)*(T_PlannedOrders[EffectiveQty]&gt;0)*T_PlannedOrders[Order_Month])),"m月")&amp;"発注)")</f>
        <v/>
      </c>
      <c r="CH1115">
        <f>IF(SUMIFS(T_PlannedOrders[EffectiveQty],T_PlannedOrders[Part Name],$A1107,T_PlannedOrders[WeekIndex],83)=0,"",SUMIFS(T_PlannedOrders[EffectiveQty],T_PlannedOrders[Part Name],$A1107,T_PlannedOrders[WeekIndex],83)&amp;" ("&amp;TEXT(SUMPRODUCT(MAX((T_PlannedOrders[Part Name]=$A1107)*(T_PlannedOrders[WeekIndex]=83)*(T_PlannedOrders[EffectiveQty]&gt;0)*T_PlannedOrders[Order_Month])),"m月")&amp;"発注)")</f>
        <v/>
      </c>
      <c r="CI1115">
        <f>IF(SUMIFS(T_PlannedOrders[EffectiveQty],T_PlannedOrders[Part Name],$A1107,T_PlannedOrders[WeekIndex],84)=0,"",SUMIFS(T_PlannedOrders[EffectiveQty],T_PlannedOrders[Part Name],$A1107,T_PlannedOrders[WeekIndex],84)&amp;" ("&amp;TEXT(SUMPRODUCT(MAX((T_PlannedOrders[Part Name]=$A1107)*(T_PlannedOrders[WeekIndex]=84)*(T_PlannedOrders[EffectiveQty]&gt;0)*T_PlannedOrders[Order_Month])),"m月")&amp;"発注)")</f>
        <v/>
      </c>
      <c r="CJ1115">
        <f>IF(SUMIFS(T_PlannedOrders[EffectiveQty],T_PlannedOrders[Part Name],$A1107,T_PlannedOrders[WeekIndex],85)=0,"",SUMIFS(T_PlannedOrders[EffectiveQty],T_PlannedOrders[Part Name],$A1107,T_PlannedOrders[WeekIndex],85)&amp;" ("&amp;TEXT(SUMPRODUCT(MAX((T_PlannedOrders[Part Name]=$A1107)*(T_PlannedOrders[WeekIndex]=85)*(T_PlannedOrders[EffectiveQty]&gt;0)*T_PlannedOrders[Order_Month])),"m月")&amp;"発注)")</f>
        <v/>
      </c>
      <c r="CK1115">
        <f>IF(SUMIFS(T_PlannedOrders[EffectiveQty],T_PlannedOrders[Part Name],$A1107,T_PlannedOrders[WeekIndex],86)=0,"",SUMIFS(T_PlannedOrders[EffectiveQty],T_PlannedOrders[Part Name],$A1107,T_PlannedOrders[WeekIndex],86)&amp;" ("&amp;TEXT(SUMPRODUCT(MAX((T_PlannedOrders[Part Name]=$A1107)*(T_PlannedOrders[WeekIndex]=86)*(T_PlannedOrders[EffectiveQty]&gt;0)*T_PlannedOrders[Order_Month])),"m月")&amp;"発注)")</f>
        <v/>
      </c>
      <c r="CL1115">
        <f>IF(SUMIFS(T_PlannedOrders[EffectiveQty],T_PlannedOrders[Part Name],$A1107,T_PlannedOrders[WeekIndex],87)=0,"",SUMIFS(T_PlannedOrders[EffectiveQty],T_PlannedOrders[Part Name],$A1107,T_PlannedOrders[WeekIndex],87)&amp;" ("&amp;TEXT(SUMPRODUCT(MAX((T_PlannedOrders[Part Name]=$A1107)*(T_PlannedOrders[WeekIndex]=87)*(T_PlannedOrders[EffectiveQty]&gt;0)*T_PlannedOrders[Order_Month])),"m月")&amp;"発注)")</f>
        <v/>
      </c>
      <c r="CM1115">
        <f>IF(SUMIFS(T_PlannedOrders[EffectiveQty],T_PlannedOrders[Part Name],$A1107,T_PlannedOrders[WeekIndex],88)=0,"",SUMIFS(T_PlannedOrders[EffectiveQty],T_PlannedOrders[Part Name],$A1107,T_PlannedOrders[WeekIndex],88)&amp;" ("&amp;TEXT(SUMPRODUCT(MAX((T_PlannedOrders[Part Name]=$A1107)*(T_PlannedOrders[WeekIndex]=88)*(T_PlannedOrders[EffectiveQty]&gt;0)*T_PlannedOrders[Order_Month])),"m月")&amp;"発注)")</f>
        <v/>
      </c>
      <c r="CN1115">
        <f>IF(SUMIFS(T_PlannedOrders[EffectiveQty],T_PlannedOrders[Part Name],$A1107,T_PlannedOrders[WeekIndex],89)=0,"",SUMIFS(T_PlannedOrders[EffectiveQty],T_PlannedOrders[Part Name],$A1107,T_PlannedOrders[WeekIndex],89)&amp;" ("&amp;TEXT(SUMPRODUCT(MAX((T_PlannedOrders[Part Name]=$A1107)*(T_PlannedOrders[WeekIndex]=89)*(T_PlannedOrders[EffectiveQty]&gt;0)*T_PlannedOrders[Order_Month])),"m月")&amp;"発注)")</f>
        <v/>
      </c>
      <c r="CO1115">
        <f>IF(SUMIFS(T_PlannedOrders[EffectiveQty],T_PlannedOrders[Part Name],$A1107,T_PlannedOrders[WeekIndex],90)=0,"",SUMIFS(T_PlannedOrders[EffectiveQty],T_PlannedOrders[Part Name],$A1107,T_PlannedOrders[WeekIndex],90)&amp;" ("&amp;TEXT(SUMPRODUCT(MAX((T_PlannedOrders[Part Name]=$A1107)*(T_PlannedOrders[WeekIndex]=90)*(T_PlannedOrders[EffectiveQty]&gt;0)*T_PlannedOrders[Order_Month])),"m月")&amp;"発注)")</f>
        <v/>
      </c>
      <c r="CP1115">
        <f>IF(SUMIFS(T_PlannedOrders[EffectiveQty],T_PlannedOrders[Part Name],$A1107,T_PlannedOrders[WeekIndex],91)=0,"",SUMIFS(T_PlannedOrders[EffectiveQty],T_PlannedOrders[Part Name],$A1107,T_PlannedOrders[WeekIndex],91)&amp;" ("&amp;TEXT(SUMPRODUCT(MAX((T_PlannedOrders[Part Name]=$A1107)*(T_PlannedOrders[WeekIndex]=91)*(T_PlannedOrders[EffectiveQty]&gt;0)*T_PlannedOrders[Order_Month])),"m月")&amp;"発注)")</f>
        <v/>
      </c>
      <c r="CQ1115">
        <f>IF(SUMIFS(T_PlannedOrders[EffectiveQty],T_PlannedOrders[Part Name],$A1107,T_PlannedOrders[WeekIndex],92)=0,"",SUMIFS(T_PlannedOrders[EffectiveQty],T_PlannedOrders[Part Name],$A1107,T_PlannedOrders[WeekIndex],92)&amp;" ("&amp;TEXT(SUMPRODUCT(MAX((T_PlannedOrders[Part Name]=$A1107)*(T_PlannedOrders[WeekIndex]=92)*(T_PlannedOrders[EffectiveQty]&gt;0)*T_PlannedOrders[Order_Month])),"m月")&amp;"発注)")</f>
        <v/>
      </c>
      <c r="CR1115">
        <f>IF(SUMIFS(T_PlannedOrders[EffectiveQty],T_PlannedOrders[Part Name],$A1107,T_PlannedOrders[WeekIndex],93)=0,"",SUMIFS(T_PlannedOrders[EffectiveQty],T_PlannedOrders[Part Name],$A1107,T_PlannedOrders[WeekIndex],93)&amp;" ("&amp;TEXT(SUMPRODUCT(MAX((T_PlannedOrders[Part Name]=$A1107)*(T_PlannedOrders[WeekIndex]=93)*(T_PlannedOrders[EffectiveQty]&gt;0)*T_PlannedOrders[Order_Month])),"m月")&amp;"発注)")</f>
        <v/>
      </c>
      <c r="CS1115">
        <f>IF(SUMIFS(T_PlannedOrders[EffectiveQty],T_PlannedOrders[Part Name],$A1107,T_PlannedOrders[WeekIndex],94)=0,"",SUMIFS(T_PlannedOrders[EffectiveQty],T_PlannedOrders[Part Name],$A1107,T_PlannedOrders[WeekIndex],94)&amp;" ("&amp;TEXT(SUMPRODUCT(MAX((T_PlannedOrders[Part Name]=$A1107)*(T_PlannedOrders[WeekIndex]=94)*(T_PlannedOrders[EffectiveQty]&gt;0)*T_PlannedOrders[Order_Month])),"m月")&amp;"発注)")</f>
        <v/>
      </c>
      <c r="CT1115">
        <f>IF(SUMIFS(T_PlannedOrders[EffectiveQty],T_PlannedOrders[Part Name],$A1107,T_PlannedOrders[WeekIndex],95)=0,"",SUMIFS(T_PlannedOrders[EffectiveQty],T_PlannedOrders[Part Name],$A1107,T_PlannedOrders[WeekIndex],95)&amp;" ("&amp;TEXT(SUMPRODUCT(MAX((T_PlannedOrders[Part Name]=$A1107)*(T_PlannedOrders[WeekIndex]=95)*(T_PlannedOrders[EffectiveQty]&gt;0)*T_PlannedOrders[Order_Month])),"m月")&amp;"発注)")</f>
        <v/>
      </c>
      <c r="CU1115">
        <f>IF(SUMIFS(T_PlannedOrders[EffectiveQty],T_PlannedOrders[Part Name],$A1107,T_PlannedOrders[WeekIndex],96)=0,"",SUMIFS(T_PlannedOrders[EffectiveQty],T_PlannedOrders[Part Name],$A1107,T_PlannedOrders[WeekIndex],96)&amp;" ("&amp;TEXT(SUMPRODUCT(MAX((T_PlannedOrders[Part Name]=$A1107)*(T_PlannedOrders[WeekIndex]=96)*(T_PlannedOrders[EffectiveQty]&gt;0)*T_PlannedOrders[Order_Month])),"m月")&amp;"発注)")</f>
        <v/>
      </c>
      <c r="CV1115">
        <f>IF(SUMIFS(T_PlannedOrders[EffectiveQty],T_PlannedOrders[Part Name],$A1107,T_PlannedOrders[WeekIndex],97)=0,"",SUMIFS(T_PlannedOrders[EffectiveQty],T_PlannedOrders[Part Name],$A1107,T_PlannedOrders[WeekIndex],97)&amp;" ("&amp;TEXT(SUMPRODUCT(MAX((T_PlannedOrders[Part Name]=$A1107)*(T_PlannedOrders[WeekIndex]=97)*(T_PlannedOrders[EffectiveQty]&gt;0)*T_PlannedOrders[Order_Month])),"m月")&amp;"発注)")</f>
        <v/>
      </c>
      <c r="CW1115">
        <f>IF(SUMIFS(T_PlannedOrders[EffectiveQty],T_PlannedOrders[Part Name],$A1107,T_PlannedOrders[WeekIndex],98)=0,"",SUMIFS(T_PlannedOrders[EffectiveQty],T_PlannedOrders[Part Name],$A1107,T_PlannedOrders[WeekIndex],98)&amp;" ("&amp;TEXT(SUMPRODUCT(MAX((T_PlannedOrders[Part Name]=$A1107)*(T_PlannedOrders[WeekIndex]=98)*(T_PlannedOrders[EffectiveQty]&gt;0)*T_PlannedOrders[Order_Month])),"m月")&amp;"発注)")</f>
        <v/>
      </c>
      <c r="CX1115">
        <f>IF(SUMIFS(T_PlannedOrders[EffectiveQty],T_PlannedOrders[Part Name],$A1107,T_PlannedOrders[WeekIndex],99)=0,"",SUMIFS(T_PlannedOrders[EffectiveQty],T_PlannedOrders[Part Name],$A1107,T_PlannedOrders[WeekIndex],99)&amp;" ("&amp;TEXT(SUMPRODUCT(MAX((T_PlannedOrders[Part Name]=$A1107)*(T_PlannedOrders[WeekIndex]=99)*(T_PlannedOrders[EffectiveQty]&gt;0)*T_PlannedOrders[Order_Month])),"m月")&amp;"発注)")</f>
        <v/>
      </c>
      <c r="CY1115">
        <f>IF(SUMIFS(T_PlannedOrders[EffectiveQty],T_PlannedOrders[Part Name],$A1107,T_PlannedOrders[WeekIndex],100)=0,"",SUMIFS(T_PlannedOrders[EffectiveQty],T_PlannedOrders[Part Name],$A1107,T_PlannedOrders[WeekIndex],100)&amp;" ("&amp;TEXT(SUMPRODUCT(MAX((T_PlannedOrders[Part Name]=$A1107)*(T_PlannedOrders[WeekIndex]=100)*(T_PlannedOrders[EffectiveQty]&gt;0)*T_PlannedOrders[Order_Month])),"m月")&amp;"発注)")</f>
        <v/>
      </c>
      <c r="CZ1115">
        <f>IF(SUMIFS(T_PlannedOrders[EffectiveQty],T_PlannedOrders[Part Name],$A1107,T_PlannedOrders[WeekIndex],101)=0,"",SUMIFS(T_PlannedOrders[EffectiveQty],T_PlannedOrders[Part Name],$A1107,T_PlannedOrders[WeekIndex],101)&amp;" ("&amp;TEXT(SUMPRODUCT(MAX((T_PlannedOrders[Part Name]=$A1107)*(T_PlannedOrders[WeekIndex]=101)*(T_PlannedOrders[EffectiveQty]&gt;0)*T_PlannedOrders[Order_Month])),"m月")&amp;"発注)")</f>
        <v/>
      </c>
      <c r="DA1115">
        <f>IF(SUMIFS(T_PlannedOrders[EffectiveQty],T_PlannedOrders[Part Name],$A1107,T_PlannedOrders[WeekIndex],102)=0,"",SUMIFS(T_PlannedOrders[EffectiveQty],T_PlannedOrders[Part Name],$A1107,T_PlannedOrders[WeekIndex],102)&amp;" ("&amp;TEXT(SUMPRODUCT(MAX((T_PlannedOrders[Part Name]=$A1107)*(T_PlannedOrders[WeekIndex]=102)*(T_PlannedOrders[EffectiveQty]&gt;0)*T_PlannedOrders[Order_Month])),"m月")&amp;"発注)")</f>
        <v/>
      </c>
      <c r="DB1115">
        <f>IF(SUMIFS(T_PlannedOrders[EffectiveQty],T_PlannedOrders[Part Name],$A1107,T_PlannedOrders[WeekIndex],103)=0,"",SUMIFS(T_PlannedOrders[EffectiveQty],T_PlannedOrders[Part Name],$A1107,T_PlannedOrders[WeekIndex],103)&amp;" ("&amp;TEXT(SUMPRODUCT(MAX((T_PlannedOrders[Part Name]=$A1107)*(T_PlannedOrders[WeekIndex]=103)*(T_PlannedOrders[EffectiveQty]&gt;0)*T_PlannedOrders[Order_Month])),"m月")&amp;"発注)")</f>
        <v/>
      </c>
      <c r="DC1115">
        <f>IF(SUMIFS(T_PlannedOrders[EffectiveQty],T_PlannedOrders[Part Name],$A1107,T_PlannedOrders[WeekIndex],104)=0,"",SUMIFS(T_PlannedOrders[EffectiveQty],T_PlannedOrders[Part Name],$A1107,T_PlannedOrders[WeekIndex],104)&amp;" ("&amp;TEXT(SUMPRODUCT(MAX((T_PlannedOrders[Part Name]=$A1107)*(T_PlannedOrders[WeekIndex]=104)*(T_PlannedOrders[EffectiveQty]&gt;0)*T_PlannedOrders[Order_Month])),"m月")&amp;"発注)")</f>
        <v/>
      </c>
    </row>
    <row r="1116">
      <c r="B1116" s="5" t="inlineStr">
        <is>
          <t>合計在庫(週末時点,kg)</t>
        </is>
      </c>
      <c r="D1116">
        <f>'Grid_Stock'!B44</f>
        <v/>
      </c>
      <c r="E1116">
        <f>'Grid_Stock'!C44</f>
        <v/>
      </c>
      <c r="F1116">
        <f>'Grid_Stock'!D44</f>
        <v/>
      </c>
      <c r="G1116">
        <f>'Grid_Stock'!E44</f>
        <v/>
      </c>
      <c r="H1116">
        <f>'Grid_Stock'!F44</f>
        <v/>
      </c>
      <c r="I1116">
        <f>'Grid_Stock'!G44</f>
        <v/>
      </c>
      <c r="J1116">
        <f>'Grid_Stock'!H44</f>
        <v/>
      </c>
      <c r="K1116">
        <f>'Grid_Stock'!I44</f>
        <v/>
      </c>
      <c r="L1116">
        <f>'Grid_Stock'!J44</f>
        <v/>
      </c>
      <c r="M1116">
        <f>'Grid_Stock'!K44</f>
        <v/>
      </c>
      <c r="N1116">
        <f>'Grid_Stock'!L44</f>
        <v/>
      </c>
      <c r="O1116">
        <f>'Grid_Stock'!M44</f>
        <v/>
      </c>
      <c r="P1116">
        <f>'Grid_Stock'!N44</f>
        <v/>
      </c>
      <c r="Q1116">
        <f>'Grid_Stock'!O44</f>
        <v/>
      </c>
      <c r="R1116">
        <f>'Grid_Stock'!P44</f>
        <v/>
      </c>
      <c r="S1116">
        <f>'Grid_Stock'!Q44</f>
        <v/>
      </c>
      <c r="T1116">
        <f>'Grid_Stock'!R44</f>
        <v/>
      </c>
      <c r="U1116">
        <f>'Grid_Stock'!S44</f>
        <v/>
      </c>
      <c r="V1116">
        <f>'Grid_Stock'!T44</f>
        <v/>
      </c>
      <c r="W1116">
        <f>'Grid_Stock'!U44</f>
        <v/>
      </c>
      <c r="X1116">
        <f>'Grid_Stock'!V44</f>
        <v/>
      </c>
      <c r="Y1116">
        <f>'Grid_Stock'!W44</f>
        <v/>
      </c>
      <c r="Z1116">
        <f>'Grid_Stock'!X44</f>
        <v/>
      </c>
      <c r="AA1116">
        <f>'Grid_Stock'!Y44</f>
        <v/>
      </c>
      <c r="AB1116">
        <f>'Grid_Stock'!Z44</f>
        <v/>
      </c>
      <c r="AC1116">
        <f>'Grid_Stock'!AA44</f>
        <v/>
      </c>
      <c r="AD1116">
        <f>'Grid_Stock'!AB44</f>
        <v/>
      </c>
      <c r="AE1116">
        <f>'Grid_Stock'!AC44</f>
        <v/>
      </c>
      <c r="AF1116">
        <f>'Grid_Stock'!AD44</f>
        <v/>
      </c>
      <c r="AG1116">
        <f>'Grid_Stock'!AE44</f>
        <v/>
      </c>
      <c r="AH1116">
        <f>'Grid_Stock'!AF44</f>
        <v/>
      </c>
      <c r="AI1116">
        <f>'Grid_Stock'!AG44</f>
        <v/>
      </c>
      <c r="AJ1116">
        <f>'Grid_Stock'!AH44</f>
        <v/>
      </c>
      <c r="AK1116">
        <f>'Grid_Stock'!AI44</f>
        <v/>
      </c>
      <c r="AL1116">
        <f>'Grid_Stock'!AJ44</f>
        <v/>
      </c>
      <c r="AM1116">
        <f>'Grid_Stock'!AK44</f>
        <v/>
      </c>
      <c r="AN1116">
        <f>'Grid_Stock'!AL44</f>
        <v/>
      </c>
      <c r="AO1116">
        <f>'Grid_Stock'!AM44</f>
        <v/>
      </c>
      <c r="AP1116">
        <f>'Grid_Stock'!AN44</f>
        <v/>
      </c>
      <c r="AQ1116">
        <f>'Grid_Stock'!AO44</f>
        <v/>
      </c>
      <c r="AR1116">
        <f>'Grid_Stock'!AP44</f>
        <v/>
      </c>
      <c r="AS1116">
        <f>'Grid_Stock'!AQ44</f>
        <v/>
      </c>
      <c r="AT1116">
        <f>'Grid_Stock'!AR44</f>
        <v/>
      </c>
      <c r="AU1116">
        <f>'Grid_Stock'!AS44</f>
        <v/>
      </c>
      <c r="AV1116">
        <f>'Grid_Stock'!AT44</f>
        <v/>
      </c>
      <c r="AW1116">
        <f>'Grid_Stock'!AU44</f>
        <v/>
      </c>
      <c r="AX1116">
        <f>'Grid_Stock'!AV44</f>
        <v/>
      </c>
      <c r="AY1116">
        <f>'Grid_Stock'!AW44</f>
        <v/>
      </c>
      <c r="AZ1116">
        <f>'Grid_Stock'!AX44</f>
        <v/>
      </c>
      <c r="BA1116">
        <f>'Grid_Stock'!AY44</f>
        <v/>
      </c>
      <c r="BB1116">
        <f>'Grid_Stock'!AZ44</f>
        <v/>
      </c>
      <c r="BC1116">
        <f>'Grid_Stock'!BA44</f>
        <v/>
      </c>
      <c r="BD1116">
        <f>'Grid_Stock'!BB44</f>
        <v/>
      </c>
      <c r="BE1116">
        <f>'Grid_Stock'!BC44</f>
        <v/>
      </c>
      <c r="BF1116">
        <f>'Grid_Stock'!BD44</f>
        <v/>
      </c>
      <c r="BG1116">
        <f>'Grid_Stock'!BE44</f>
        <v/>
      </c>
      <c r="BH1116">
        <f>'Grid_Stock'!BF44</f>
        <v/>
      </c>
      <c r="BI1116">
        <f>'Grid_Stock'!BG44</f>
        <v/>
      </c>
      <c r="BJ1116">
        <f>'Grid_Stock'!BH44</f>
        <v/>
      </c>
      <c r="BK1116">
        <f>'Grid_Stock'!BI44</f>
        <v/>
      </c>
      <c r="BL1116">
        <f>'Grid_Stock'!BJ44</f>
        <v/>
      </c>
      <c r="BM1116">
        <f>'Grid_Stock'!BK44</f>
        <v/>
      </c>
      <c r="BN1116">
        <f>'Grid_Stock'!BL44</f>
        <v/>
      </c>
      <c r="BO1116">
        <f>'Grid_Stock'!BM44</f>
        <v/>
      </c>
      <c r="BP1116">
        <f>'Grid_Stock'!BN44</f>
        <v/>
      </c>
      <c r="BQ1116">
        <f>'Grid_Stock'!BO44</f>
        <v/>
      </c>
      <c r="BR1116">
        <f>'Grid_Stock'!BP44</f>
        <v/>
      </c>
      <c r="BS1116">
        <f>'Grid_Stock'!BQ44</f>
        <v/>
      </c>
      <c r="BT1116">
        <f>'Grid_Stock'!BR44</f>
        <v/>
      </c>
      <c r="BU1116">
        <f>'Grid_Stock'!BS44</f>
        <v/>
      </c>
      <c r="BV1116">
        <f>'Grid_Stock'!BT44</f>
        <v/>
      </c>
      <c r="BW1116">
        <f>'Grid_Stock'!BU44</f>
        <v/>
      </c>
      <c r="BX1116">
        <f>'Grid_Stock'!BV44</f>
        <v/>
      </c>
      <c r="BY1116">
        <f>'Grid_Stock'!BW44</f>
        <v/>
      </c>
      <c r="BZ1116">
        <f>'Grid_Stock'!BX44</f>
        <v/>
      </c>
      <c r="CA1116">
        <f>'Grid_Stock'!BY44</f>
        <v/>
      </c>
      <c r="CB1116">
        <f>'Grid_Stock'!BZ44</f>
        <v/>
      </c>
      <c r="CC1116">
        <f>'Grid_Stock'!CA44</f>
        <v/>
      </c>
      <c r="CD1116">
        <f>'Grid_Stock'!CB44</f>
        <v/>
      </c>
      <c r="CE1116">
        <f>'Grid_Stock'!CC44</f>
        <v/>
      </c>
      <c r="CF1116">
        <f>'Grid_Stock'!CD44</f>
        <v/>
      </c>
      <c r="CG1116">
        <f>'Grid_Stock'!CE44</f>
        <v/>
      </c>
      <c r="CH1116">
        <f>'Grid_Stock'!CF44</f>
        <v/>
      </c>
      <c r="CI1116">
        <f>'Grid_Stock'!CG44</f>
        <v/>
      </c>
      <c r="CJ1116">
        <f>'Grid_Stock'!CH44</f>
        <v/>
      </c>
      <c r="CK1116">
        <f>'Grid_Stock'!CI44</f>
        <v/>
      </c>
      <c r="CL1116">
        <f>'Grid_Stock'!CJ44</f>
        <v/>
      </c>
      <c r="CM1116">
        <f>'Grid_Stock'!CK44</f>
        <v/>
      </c>
      <c r="CN1116">
        <f>'Grid_Stock'!CL44</f>
        <v/>
      </c>
      <c r="CO1116">
        <f>'Grid_Stock'!CM44</f>
        <v/>
      </c>
      <c r="CP1116">
        <f>'Grid_Stock'!CN44</f>
        <v/>
      </c>
      <c r="CQ1116">
        <f>'Grid_Stock'!CO44</f>
        <v/>
      </c>
      <c r="CR1116">
        <f>'Grid_Stock'!CP44</f>
        <v/>
      </c>
      <c r="CS1116">
        <f>'Grid_Stock'!CQ44</f>
        <v/>
      </c>
      <c r="CT1116">
        <f>'Grid_Stock'!CR44</f>
        <v/>
      </c>
      <c r="CU1116">
        <f>'Grid_Stock'!CS44</f>
        <v/>
      </c>
      <c r="CV1116">
        <f>'Grid_Stock'!CT44</f>
        <v/>
      </c>
      <c r="CW1116">
        <f>'Grid_Stock'!CU44</f>
        <v/>
      </c>
      <c r="CX1116">
        <f>'Grid_Stock'!CV44</f>
        <v/>
      </c>
      <c r="CY1116">
        <f>'Grid_Stock'!CW44</f>
        <v/>
      </c>
      <c r="CZ1116">
        <f>'Grid_Stock'!CX44</f>
        <v/>
      </c>
      <c r="DA1116">
        <f>'Grid_Stock'!CY44</f>
        <v/>
      </c>
      <c r="DB1116">
        <f>'Grid_Stock'!CZ44</f>
        <v/>
      </c>
      <c r="DC1116">
        <f>'Grid_Stock'!DA44</f>
        <v/>
      </c>
    </row>
    <row r="1117">
      <c r="B1117" s="23" t="inlineStr">
        <is>
          <t>（発注の目安はDashboardの基準在庫[下限/上限]と色分けを参照）</t>
        </is>
      </c>
    </row>
    <row r="1119">
      <c r="A1119" s="21" t="inlineStr">
        <is>
          <t>CHEM-1560</t>
        </is>
      </c>
      <c r="B1119" s="21" t="inlineStr">
        <is>
          <t>TZP 511</t>
        </is>
      </c>
      <c r="C1119" s="22" t="n"/>
      <c r="D1119" s="21" t="n"/>
      <c r="E1119" s="21" t="n"/>
      <c r="F1119" s="21" t="n"/>
      <c r="G1119" s="21" t="n"/>
      <c r="H1119" s="21" t="n"/>
      <c r="I1119" s="21" t="n"/>
      <c r="J1119" s="21" t="n"/>
      <c r="K1119" s="21" t="n"/>
      <c r="L1119" s="21" t="n"/>
      <c r="M1119" s="21" t="n"/>
      <c r="N1119" s="21" t="n"/>
      <c r="O1119" s="21" t="n"/>
      <c r="P1119" s="21" t="n"/>
      <c r="Q1119" s="21" t="n"/>
      <c r="R1119" s="21" t="n"/>
      <c r="S1119" s="21" t="n"/>
      <c r="T1119" s="21" t="n"/>
      <c r="U1119" s="21" t="n"/>
      <c r="V1119" s="21" t="n"/>
      <c r="W1119" s="21" t="n"/>
      <c r="X1119" s="21" t="n"/>
      <c r="Y1119" s="21" t="n"/>
      <c r="Z1119" s="21" t="n"/>
      <c r="AA1119" s="21" t="n"/>
      <c r="AB1119" s="21" t="n"/>
      <c r="AC1119" s="21" t="n"/>
      <c r="AD1119" s="21" t="n"/>
      <c r="AE1119" s="21" t="n"/>
      <c r="AF1119" s="21" t="n"/>
      <c r="AG1119" s="21" t="n"/>
      <c r="AH1119" s="21" t="n"/>
      <c r="AI1119" s="21" t="n"/>
      <c r="AJ1119" s="21" t="n"/>
      <c r="AK1119" s="21" t="n"/>
      <c r="AL1119" s="21" t="n"/>
      <c r="AM1119" s="21" t="n"/>
      <c r="AN1119" s="21" t="n"/>
      <c r="AO1119" s="21" t="n"/>
      <c r="AP1119" s="21" t="n"/>
      <c r="AQ1119" s="21" t="n"/>
      <c r="AR1119" s="21" t="n"/>
      <c r="AS1119" s="21" t="n"/>
      <c r="AT1119" s="21" t="n"/>
      <c r="AU1119" s="21" t="n"/>
      <c r="AV1119" s="21" t="n"/>
      <c r="AW1119" s="21" t="n"/>
      <c r="AX1119" s="21" t="n"/>
      <c r="AY1119" s="21" t="n"/>
      <c r="AZ1119" s="21" t="n"/>
      <c r="BA1119" s="21" t="n"/>
      <c r="BB1119" s="21" t="n"/>
      <c r="BC1119" s="21" t="n"/>
      <c r="BD1119" s="21" t="n"/>
      <c r="BE1119" s="21" t="n"/>
      <c r="BF1119" s="21" t="n"/>
      <c r="BG1119" s="21" t="n"/>
      <c r="BH1119" s="21" t="n"/>
      <c r="BI1119" s="21" t="n"/>
      <c r="BJ1119" s="21" t="n"/>
      <c r="BK1119" s="21" t="n"/>
      <c r="BL1119" s="21" t="n"/>
      <c r="BM1119" s="21" t="n"/>
      <c r="BN1119" s="21" t="n"/>
      <c r="BO1119" s="21" t="n"/>
      <c r="BP1119" s="21" t="n"/>
      <c r="BQ1119" s="21" t="n"/>
      <c r="BR1119" s="21" t="n"/>
      <c r="BS1119" s="21" t="n"/>
      <c r="BT1119" s="21" t="n"/>
      <c r="BU1119" s="21" t="n"/>
      <c r="BV1119" s="21" t="n"/>
      <c r="BW1119" s="21" t="n"/>
      <c r="BX1119" s="21" t="n"/>
      <c r="BY1119" s="21" t="n"/>
      <c r="BZ1119" s="21" t="n"/>
      <c r="CA1119" s="21" t="n"/>
      <c r="CB1119" s="21" t="n"/>
      <c r="CC1119" s="21" t="n"/>
      <c r="CD1119" s="21" t="n"/>
      <c r="CE1119" s="21" t="n"/>
      <c r="CF1119" s="21" t="n"/>
      <c r="CG1119" s="21" t="n"/>
      <c r="CH1119" s="21" t="n"/>
      <c r="CI1119" s="21" t="n"/>
      <c r="CJ1119" s="21" t="n"/>
      <c r="CK1119" s="21" t="n"/>
      <c r="CL1119" s="21" t="n"/>
      <c r="CM1119" s="21" t="n"/>
      <c r="CN1119" s="21" t="n"/>
      <c r="CO1119" s="21" t="n"/>
      <c r="CP1119" s="21" t="n"/>
      <c r="CQ1119" s="21" t="n"/>
      <c r="CR1119" s="21" t="n"/>
      <c r="CS1119" s="21" t="n"/>
      <c r="CT1119" s="21" t="n"/>
      <c r="CU1119" s="21" t="n"/>
      <c r="CV1119" s="21" t="n"/>
      <c r="CW1119" s="21" t="n"/>
      <c r="CX1119" s="21" t="n"/>
      <c r="CY1119" s="21" t="n"/>
      <c r="CZ1119" s="21" t="n"/>
      <c r="DA1119" s="21" t="n"/>
      <c r="DB1119" s="21" t="n"/>
      <c r="DC1119" s="21" t="n"/>
    </row>
    <row r="1120">
      <c r="B1120" t="inlineStr">
        <is>
          <t>TSP-360</t>
        </is>
      </c>
      <c r="C1120" t="inlineStr">
        <is>
          <t>No. of batches</t>
        </is>
      </c>
      <c r="D1120">
        <f>IFERROR(INDEX(PP_Grid[#Data],$DD1120,2),0)</f>
        <v/>
      </c>
      <c r="E1120">
        <f>IFERROR(INDEX(PP_Grid[#Data],$DD1120,3),0)</f>
        <v/>
      </c>
      <c r="F1120">
        <f>IFERROR(INDEX(PP_Grid[#Data],$DD1120,4),0)</f>
        <v/>
      </c>
      <c r="G1120">
        <f>IFERROR(INDEX(PP_Grid[#Data],$DD1120,5),0)</f>
        <v/>
      </c>
      <c r="H1120">
        <f>IFERROR(INDEX(PP_Grid[#Data],$DD1120,6),0)</f>
        <v/>
      </c>
      <c r="I1120">
        <f>IFERROR(INDEX(PP_Grid[#Data],$DD1120,7),0)</f>
        <v/>
      </c>
      <c r="J1120">
        <f>IFERROR(INDEX(PP_Grid[#Data],$DD1120,8),0)</f>
        <v/>
      </c>
      <c r="K1120">
        <f>IFERROR(INDEX(PP_Grid[#Data],$DD1120,9),0)</f>
        <v/>
      </c>
      <c r="L1120">
        <f>IFERROR(INDEX(PP_Grid[#Data],$DD1120,10),0)</f>
        <v/>
      </c>
      <c r="M1120">
        <f>IFERROR(INDEX(PP_Grid[#Data],$DD1120,11),0)</f>
        <v/>
      </c>
      <c r="N1120">
        <f>IFERROR(INDEX(PP_Grid[#Data],$DD1120,12),0)</f>
        <v/>
      </c>
      <c r="O1120">
        <f>IFERROR(INDEX(PP_Grid[#Data],$DD1120,13),0)</f>
        <v/>
      </c>
      <c r="P1120">
        <f>IFERROR(INDEX(PP_Grid[#Data],$DD1120,14),0)</f>
        <v/>
      </c>
      <c r="Q1120">
        <f>IFERROR(INDEX(PP_Grid[#Data],$DD1120,15),0)</f>
        <v/>
      </c>
      <c r="R1120">
        <f>IFERROR(INDEX(PP_Grid[#Data],$DD1120,16),0)</f>
        <v/>
      </c>
      <c r="S1120">
        <f>IFERROR(INDEX(PP_Grid[#Data],$DD1120,17),0)</f>
        <v/>
      </c>
      <c r="T1120">
        <f>IFERROR(INDEX(PP_Grid[#Data],$DD1120,18),0)</f>
        <v/>
      </c>
      <c r="U1120">
        <f>IFERROR(INDEX(PP_Grid[#Data],$DD1120,19),0)</f>
        <v/>
      </c>
      <c r="V1120">
        <f>IFERROR(INDEX(PP_Grid[#Data],$DD1120,20),0)</f>
        <v/>
      </c>
      <c r="W1120">
        <f>IFERROR(INDEX(PP_Grid[#Data],$DD1120,21),0)</f>
        <v/>
      </c>
      <c r="X1120">
        <f>IFERROR(INDEX(PP_Grid[#Data],$DD1120,22),0)</f>
        <v/>
      </c>
      <c r="Y1120">
        <f>IFERROR(INDEX(PP_Grid[#Data],$DD1120,23),0)</f>
        <v/>
      </c>
      <c r="Z1120">
        <f>IFERROR(INDEX(PP_Grid[#Data],$DD1120,24),0)</f>
        <v/>
      </c>
      <c r="AA1120">
        <f>IFERROR(INDEX(PP_Grid[#Data],$DD1120,25),0)</f>
        <v/>
      </c>
      <c r="AB1120">
        <f>IFERROR(INDEX(PP_Grid[#Data],$DD1120,26),0)</f>
        <v/>
      </c>
      <c r="AC1120">
        <f>IFERROR(INDEX(PP_Grid[#Data],$DD1120,27),0)</f>
        <v/>
      </c>
      <c r="AD1120">
        <f>IFERROR(INDEX(PP_Grid[#Data],$DD1120,28),0)</f>
        <v/>
      </c>
      <c r="AE1120">
        <f>IFERROR(INDEX(PP_Grid[#Data],$DD1120,29),0)</f>
        <v/>
      </c>
      <c r="AF1120">
        <f>IFERROR(INDEX(PP_Grid[#Data],$DD1120,30),0)</f>
        <v/>
      </c>
      <c r="AG1120">
        <f>IFERROR(INDEX(PP_Grid[#Data],$DD1120,31),0)</f>
        <v/>
      </c>
      <c r="AH1120">
        <f>IFERROR(INDEX(PP_Grid[#Data],$DD1120,32),0)</f>
        <v/>
      </c>
      <c r="AI1120">
        <f>IFERROR(INDEX(PP_Grid[#Data],$DD1120,33),0)</f>
        <v/>
      </c>
      <c r="AJ1120">
        <f>IFERROR(INDEX(PP_Grid[#Data],$DD1120,34),0)</f>
        <v/>
      </c>
      <c r="AK1120">
        <f>IFERROR(INDEX(PP_Grid[#Data],$DD1120,35),0)</f>
        <v/>
      </c>
      <c r="AL1120">
        <f>IFERROR(INDEX(PP_Grid[#Data],$DD1120,36),0)</f>
        <v/>
      </c>
      <c r="AM1120">
        <f>IFERROR(INDEX(PP_Grid[#Data],$DD1120,37),0)</f>
        <v/>
      </c>
      <c r="AN1120">
        <f>IFERROR(INDEX(PP_Grid[#Data],$DD1120,38),0)</f>
        <v/>
      </c>
      <c r="AO1120">
        <f>IFERROR(INDEX(PP_Grid[#Data],$DD1120,39),0)</f>
        <v/>
      </c>
      <c r="AP1120">
        <f>IFERROR(INDEX(PP_Grid[#Data],$DD1120,40),0)</f>
        <v/>
      </c>
      <c r="AQ1120">
        <f>IFERROR(INDEX(PP_Grid[#Data],$DD1120,41),0)</f>
        <v/>
      </c>
      <c r="AR1120">
        <f>IFERROR(INDEX(PP_Grid[#Data],$DD1120,42),0)</f>
        <v/>
      </c>
      <c r="AS1120">
        <f>IFERROR(INDEX(PP_Grid[#Data],$DD1120,43),0)</f>
        <v/>
      </c>
      <c r="AT1120">
        <f>IFERROR(INDEX(PP_Grid[#Data],$DD1120,44),0)</f>
        <v/>
      </c>
      <c r="AU1120">
        <f>IFERROR(INDEX(PP_Grid[#Data],$DD1120,45),0)</f>
        <v/>
      </c>
      <c r="AV1120">
        <f>IFERROR(INDEX(PP_Grid[#Data],$DD1120,46),0)</f>
        <v/>
      </c>
      <c r="AW1120">
        <f>IFERROR(INDEX(PP_Grid[#Data],$DD1120,47),0)</f>
        <v/>
      </c>
      <c r="AX1120">
        <f>IFERROR(INDEX(PP_Grid[#Data],$DD1120,48),0)</f>
        <v/>
      </c>
      <c r="AY1120">
        <f>IFERROR(INDEX(PP_Grid[#Data],$DD1120,49),0)</f>
        <v/>
      </c>
      <c r="AZ1120">
        <f>IFERROR(INDEX(PP_Grid[#Data],$DD1120,50),0)</f>
        <v/>
      </c>
      <c r="BA1120">
        <f>IFERROR(INDEX(PP_Grid[#Data],$DD1120,51),0)</f>
        <v/>
      </c>
      <c r="BB1120">
        <f>IFERROR(INDEX(PP_Grid[#Data],$DD1120,52),0)</f>
        <v/>
      </c>
      <c r="BC1120">
        <f>IFERROR(INDEX(PP_Grid[#Data],$DD1120,53),0)</f>
        <v/>
      </c>
      <c r="BD1120">
        <f>IFERROR(INDEX(PP_Grid[#Data],$DD1120,54),0)</f>
        <v/>
      </c>
      <c r="BE1120">
        <f>IFERROR(INDEX(PP_Grid[#Data],$DD1120,55),0)</f>
        <v/>
      </c>
      <c r="BF1120">
        <f>IFERROR(INDEX(PP_Grid[#Data],$DD1120,56),0)</f>
        <v/>
      </c>
      <c r="BG1120">
        <f>IFERROR(INDEX(PP_Grid[#Data],$DD1120,57),0)</f>
        <v/>
      </c>
      <c r="BH1120">
        <f>IFERROR(INDEX(PP_Grid[#Data],$DD1120,58),0)</f>
        <v/>
      </c>
      <c r="BI1120">
        <f>IFERROR(INDEX(PP_Grid[#Data],$DD1120,59),0)</f>
        <v/>
      </c>
      <c r="BJ1120">
        <f>IFERROR(INDEX(PP_Grid[#Data],$DD1120,60),0)</f>
        <v/>
      </c>
      <c r="BK1120">
        <f>IFERROR(INDEX(PP_Grid[#Data],$DD1120,61),0)</f>
        <v/>
      </c>
      <c r="BL1120">
        <f>IFERROR(INDEX(PP_Grid[#Data],$DD1120,62),0)</f>
        <v/>
      </c>
      <c r="BM1120">
        <f>IFERROR(INDEX(PP_Grid[#Data],$DD1120,63),0)</f>
        <v/>
      </c>
      <c r="BN1120">
        <f>IFERROR(INDEX(PP_Grid[#Data],$DD1120,64),0)</f>
        <v/>
      </c>
      <c r="BO1120">
        <f>IFERROR(INDEX(PP_Grid[#Data],$DD1120,65),0)</f>
        <v/>
      </c>
      <c r="BP1120">
        <f>IFERROR(INDEX(PP_Grid[#Data],$DD1120,66),0)</f>
        <v/>
      </c>
      <c r="BQ1120">
        <f>IFERROR(INDEX(PP_Grid[#Data],$DD1120,67),0)</f>
        <v/>
      </c>
      <c r="BR1120">
        <f>IFERROR(INDEX(PP_Grid[#Data],$DD1120,68),0)</f>
        <v/>
      </c>
      <c r="BS1120">
        <f>IFERROR(INDEX(PP_Grid[#Data],$DD1120,69),0)</f>
        <v/>
      </c>
      <c r="BT1120">
        <f>IFERROR(INDEX(PP_Grid[#Data],$DD1120,70),0)</f>
        <v/>
      </c>
      <c r="BU1120">
        <f>IFERROR(INDEX(PP_Grid[#Data],$DD1120,71),0)</f>
        <v/>
      </c>
      <c r="BV1120">
        <f>IFERROR(INDEX(PP_Grid[#Data],$DD1120,72),0)</f>
        <v/>
      </c>
      <c r="BW1120">
        <f>IFERROR(INDEX(PP_Grid[#Data],$DD1120,73),0)</f>
        <v/>
      </c>
      <c r="BX1120">
        <f>IFERROR(INDEX(PP_Grid[#Data],$DD1120,74),0)</f>
        <v/>
      </c>
      <c r="BY1120">
        <f>IFERROR(INDEX(PP_Grid[#Data],$DD1120,75),0)</f>
        <v/>
      </c>
      <c r="BZ1120">
        <f>IFERROR(INDEX(PP_Grid[#Data],$DD1120,76),0)</f>
        <v/>
      </c>
      <c r="CA1120">
        <f>IFERROR(INDEX(PP_Grid[#Data],$DD1120,77),0)</f>
        <v/>
      </c>
      <c r="CB1120">
        <f>IFERROR(INDEX(PP_Grid[#Data],$DD1120,78),0)</f>
        <v/>
      </c>
      <c r="CC1120">
        <f>IFERROR(INDEX(PP_Grid[#Data],$DD1120,79),0)</f>
        <v/>
      </c>
      <c r="CD1120">
        <f>IFERROR(INDEX(PP_Grid[#Data],$DD1120,80),0)</f>
        <v/>
      </c>
      <c r="CE1120">
        <f>IFERROR(INDEX(PP_Grid[#Data],$DD1120,81),0)</f>
        <v/>
      </c>
      <c r="CF1120">
        <f>IFERROR(INDEX(PP_Grid[#Data],$DD1120,82),0)</f>
        <v/>
      </c>
      <c r="CG1120">
        <f>IFERROR(INDEX(PP_Grid[#Data],$DD1120,83),0)</f>
        <v/>
      </c>
      <c r="CH1120">
        <f>IFERROR(INDEX(PP_Grid[#Data],$DD1120,84),0)</f>
        <v/>
      </c>
      <c r="CI1120">
        <f>IFERROR(INDEX(PP_Grid[#Data],$DD1120,85),0)</f>
        <v/>
      </c>
      <c r="CJ1120">
        <f>IFERROR(INDEX(PP_Grid[#Data],$DD1120,86),0)</f>
        <v/>
      </c>
      <c r="CK1120">
        <f>IFERROR(INDEX(PP_Grid[#Data],$DD1120,87),0)</f>
        <v/>
      </c>
      <c r="CL1120">
        <f>IFERROR(INDEX(PP_Grid[#Data],$DD1120,88),0)</f>
        <v/>
      </c>
      <c r="CM1120">
        <f>IFERROR(INDEX(PP_Grid[#Data],$DD1120,89),0)</f>
        <v/>
      </c>
      <c r="CN1120">
        <f>IFERROR(INDEX(PP_Grid[#Data],$DD1120,90),0)</f>
        <v/>
      </c>
      <c r="CO1120">
        <f>IFERROR(INDEX(PP_Grid[#Data],$DD1120,91),0)</f>
        <v/>
      </c>
      <c r="CP1120">
        <f>IFERROR(INDEX(PP_Grid[#Data],$DD1120,92),0)</f>
        <v/>
      </c>
      <c r="CQ1120">
        <f>IFERROR(INDEX(PP_Grid[#Data],$DD1120,93),0)</f>
        <v/>
      </c>
      <c r="CR1120">
        <f>IFERROR(INDEX(PP_Grid[#Data],$DD1120,94),0)</f>
        <v/>
      </c>
      <c r="CS1120">
        <f>IFERROR(INDEX(PP_Grid[#Data],$DD1120,95),0)</f>
        <v/>
      </c>
      <c r="CT1120">
        <f>IFERROR(INDEX(PP_Grid[#Data],$DD1120,96),0)</f>
        <v/>
      </c>
      <c r="CU1120">
        <f>IFERROR(INDEX(PP_Grid[#Data],$DD1120,97),0)</f>
        <v/>
      </c>
      <c r="CV1120">
        <f>IFERROR(INDEX(PP_Grid[#Data],$DD1120,98),0)</f>
        <v/>
      </c>
      <c r="CW1120">
        <f>IFERROR(INDEX(PP_Grid[#Data],$DD1120,99),0)</f>
        <v/>
      </c>
      <c r="CX1120">
        <f>IFERROR(INDEX(PP_Grid[#Data],$DD1120,100),0)</f>
        <v/>
      </c>
      <c r="CY1120">
        <f>IFERROR(INDEX(PP_Grid[#Data],$DD1120,101),0)</f>
        <v/>
      </c>
      <c r="CZ1120">
        <f>IFERROR(INDEX(PP_Grid[#Data],$DD1120,102),0)</f>
        <v/>
      </c>
      <c r="DA1120">
        <f>IFERROR(INDEX(PP_Grid[#Data],$DD1120,103),0)</f>
        <v/>
      </c>
      <c r="DB1120">
        <f>IFERROR(INDEX(PP_Grid[#Data],$DD1120,104),0)</f>
        <v/>
      </c>
      <c r="DC1120">
        <f>IFERROR(INDEX(PP_Grid[#Data],$DD1120,105),0)</f>
        <v/>
      </c>
      <c r="DD1120" s="12">
        <f>IFERROR(MATCH($B1120,PP_Grid[Intermediate],0),99999)</f>
        <v/>
      </c>
    </row>
    <row r="1121">
      <c r="B1121" t="inlineStr">
        <is>
          <t>使用量(kg)</t>
        </is>
      </c>
      <c r="C1121">
        <f>SUMIFS(M_BOM[RM_Qty_Per_Batch],M_BOM[Intermediate],$B1120,M_BOM[Part Name],$A1119)</f>
        <v/>
      </c>
      <c r="D1121">
        <f>$C1121*D1120</f>
        <v/>
      </c>
      <c r="E1121">
        <f>$C1121*E1120</f>
        <v/>
      </c>
      <c r="F1121">
        <f>$C1121*F1120</f>
        <v/>
      </c>
      <c r="G1121">
        <f>$C1121*G1120</f>
        <v/>
      </c>
      <c r="H1121">
        <f>$C1121*H1120</f>
        <v/>
      </c>
      <c r="I1121">
        <f>$C1121*I1120</f>
        <v/>
      </c>
      <c r="J1121">
        <f>$C1121*J1120</f>
        <v/>
      </c>
      <c r="K1121">
        <f>$C1121*K1120</f>
        <v/>
      </c>
      <c r="L1121">
        <f>$C1121*L1120</f>
        <v/>
      </c>
      <c r="M1121">
        <f>$C1121*M1120</f>
        <v/>
      </c>
      <c r="N1121">
        <f>$C1121*N1120</f>
        <v/>
      </c>
      <c r="O1121">
        <f>$C1121*O1120</f>
        <v/>
      </c>
      <c r="P1121">
        <f>$C1121*P1120</f>
        <v/>
      </c>
      <c r="Q1121">
        <f>$C1121*Q1120</f>
        <v/>
      </c>
      <c r="R1121">
        <f>$C1121*R1120</f>
        <v/>
      </c>
      <c r="S1121">
        <f>$C1121*S1120</f>
        <v/>
      </c>
      <c r="T1121">
        <f>$C1121*T1120</f>
        <v/>
      </c>
      <c r="U1121">
        <f>$C1121*U1120</f>
        <v/>
      </c>
      <c r="V1121">
        <f>$C1121*V1120</f>
        <v/>
      </c>
      <c r="W1121">
        <f>$C1121*W1120</f>
        <v/>
      </c>
      <c r="X1121">
        <f>$C1121*X1120</f>
        <v/>
      </c>
      <c r="Y1121">
        <f>$C1121*Y1120</f>
        <v/>
      </c>
      <c r="Z1121">
        <f>$C1121*Z1120</f>
        <v/>
      </c>
      <c r="AA1121">
        <f>$C1121*AA1120</f>
        <v/>
      </c>
      <c r="AB1121">
        <f>$C1121*AB1120</f>
        <v/>
      </c>
      <c r="AC1121">
        <f>$C1121*AC1120</f>
        <v/>
      </c>
      <c r="AD1121">
        <f>$C1121*AD1120</f>
        <v/>
      </c>
      <c r="AE1121">
        <f>$C1121*AE1120</f>
        <v/>
      </c>
      <c r="AF1121">
        <f>$C1121*AF1120</f>
        <v/>
      </c>
      <c r="AG1121">
        <f>$C1121*AG1120</f>
        <v/>
      </c>
      <c r="AH1121">
        <f>$C1121*AH1120</f>
        <v/>
      </c>
      <c r="AI1121">
        <f>$C1121*AI1120</f>
        <v/>
      </c>
      <c r="AJ1121">
        <f>$C1121*AJ1120</f>
        <v/>
      </c>
      <c r="AK1121">
        <f>$C1121*AK1120</f>
        <v/>
      </c>
      <c r="AL1121">
        <f>$C1121*AL1120</f>
        <v/>
      </c>
      <c r="AM1121">
        <f>$C1121*AM1120</f>
        <v/>
      </c>
      <c r="AN1121">
        <f>$C1121*AN1120</f>
        <v/>
      </c>
      <c r="AO1121">
        <f>$C1121*AO1120</f>
        <v/>
      </c>
      <c r="AP1121">
        <f>$C1121*AP1120</f>
        <v/>
      </c>
      <c r="AQ1121">
        <f>$C1121*AQ1120</f>
        <v/>
      </c>
      <c r="AR1121">
        <f>$C1121*AR1120</f>
        <v/>
      </c>
      <c r="AS1121">
        <f>$C1121*AS1120</f>
        <v/>
      </c>
      <c r="AT1121">
        <f>$C1121*AT1120</f>
        <v/>
      </c>
      <c r="AU1121">
        <f>$C1121*AU1120</f>
        <v/>
      </c>
      <c r="AV1121">
        <f>$C1121*AV1120</f>
        <v/>
      </c>
      <c r="AW1121">
        <f>$C1121*AW1120</f>
        <v/>
      </c>
      <c r="AX1121">
        <f>$C1121*AX1120</f>
        <v/>
      </c>
      <c r="AY1121">
        <f>$C1121*AY1120</f>
        <v/>
      </c>
      <c r="AZ1121">
        <f>$C1121*AZ1120</f>
        <v/>
      </c>
      <c r="BA1121">
        <f>$C1121*BA1120</f>
        <v/>
      </c>
      <c r="BB1121">
        <f>$C1121*BB1120</f>
        <v/>
      </c>
      <c r="BC1121">
        <f>$C1121*BC1120</f>
        <v/>
      </c>
      <c r="BD1121">
        <f>$C1121*BD1120</f>
        <v/>
      </c>
      <c r="BE1121">
        <f>$C1121*BE1120</f>
        <v/>
      </c>
      <c r="BF1121">
        <f>$C1121*BF1120</f>
        <v/>
      </c>
      <c r="BG1121">
        <f>$C1121*BG1120</f>
        <v/>
      </c>
      <c r="BH1121">
        <f>$C1121*BH1120</f>
        <v/>
      </c>
      <c r="BI1121">
        <f>$C1121*BI1120</f>
        <v/>
      </c>
      <c r="BJ1121">
        <f>$C1121*BJ1120</f>
        <v/>
      </c>
      <c r="BK1121">
        <f>$C1121*BK1120</f>
        <v/>
      </c>
      <c r="BL1121">
        <f>$C1121*BL1120</f>
        <v/>
      </c>
      <c r="BM1121">
        <f>$C1121*BM1120</f>
        <v/>
      </c>
      <c r="BN1121">
        <f>$C1121*BN1120</f>
        <v/>
      </c>
      <c r="BO1121">
        <f>$C1121*BO1120</f>
        <v/>
      </c>
      <c r="BP1121">
        <f>$C1121*BP1120</f>
        <v/>
      </c>
      <c r="BQ1121">
        <f>$C1121*BQ1120</f>
        <v/>
      </c>
      <c r="BR1121">
        <f>$C1121*BR1120</f>
        <v/>
      </c>
      <c r="BS1121">
        <f>$C1121*BS1120</f>
        <v/>
      </c>
      <c r="BT1121">
        <f>$C1121*BT1120</f>
        <v/>
      </c>
      <c r="BU1121">
        <f>$C1121*BU1120</f>
        <v/>
      </c>
      <c r="BV1121">
        <f>$C1121*BV1120</f>
        <v/>
      </c>
      <c r="BW1121">
        <f>$C1121*BW1120</f>
        <v/>
      </c>
      <c r="BX1121">
        <f>$C1121*BX1120</f>
        <v/>
      </c>
      <c r="BY1121">
        <f>$C1121*BY1120</f>
        <v/>
      </c>
      <c r="BZ1121">
        <f>$C1121*BZ1120</f>
        <v/>
      </c>
      <c r="CA1121">
        <f>$C1121*CA1120</f>
        <v/>
      </c>
      <c r="CB1121">
        <f>$C1121*CB1120</f>
        <v/>
      </c>
      <c r="CC1121">
        <f>$C1121*CC1120</f>
        <v/>
      </c>
      <c r="CD1121">
        <f>$C1121*CD1120</f>
        <v/>
      </c>
      <c r="CE1121">
        <f>$C1121*CE1120</f>
        <v/>
      </c>
      <c r="CF1121">
        <f>$C1121*CF1120</f>
        <v/>
      </c>
      <c r="CG1121">
        <f>$C1121*CG1120</f>
        <v/>
      </c>
      <c r="CH1121">
        <f>$C1121*CH1120</f>
        <v/>
      </c>
      <c r="CI1121">
        <f>$C1121*CI1120</f>
        <v/>
      </c>
      <c r="CJ1121">
        <f>$C1121*CJ1120</f>
        <v/>
      </c>
      <c r="CK1121">
        <f>$C1121*CK1120</f>
        <v/>
      </c>
      <c r="CL1121">
        <f>$C1121*CL1120</f>
        <v/>
      </c>
      <c r="CM1121">
        <f>$C1121*CM1120</f>
        <v/>
      </c>
      <c r="CN1121">
        <f>$C1121*CN1120</f>
        <v/>
      </c>
      <c r="CO1121">
        <f>$C1121*CO1120</f>
        <v/>
      </c>
      <c r="CP1121">
        <f>$C1121*CP1120</f>
        <v/>
      </c>
      <c r="CQ1121">
        <f>$C1121*CQ1120</f>
        <v/>
      </c>
      <c r="CR1121">
        <f>$C1121*CR1120</f>
        <v/>
      </c>
      <c r="CS1121">
        <f>$C1121*CS1120</f>
        <v/>
      </c>
      <c r="CT1121">
        <f>$C1121*CT1120</f>
        <v/>
      </c>
      <c r="CU1121">
        <f>$C1121*CU1120</f>
        <v/>
      </c>
      <c r="CV1121">
        <f>$C1121*CV1120</f>
        <v/>
      </c>
      <c r="CW1121">
        <f>$C1121*CW1120</f>
        <v/>
      </c>
      <c r="CX1121">
        <f>$C1121*CX1120</f>
        <v/>
      </c>
      <c r="CY1121">
        <f>$C1121*CY1120</f>
        <v/>
      </c>
      <c r="CZ1121">
        <f>$C1121*CZ1120</f>
        <v/>
      </c>
      <c r="DA1121">
        <f>$C1121*DA1120</f>
        <v/>
      </c>
      <c r="DB1121">
        <f>$C1121*DB1120</f>
        <v/>
      </c>
      <c r="DC1121">
        <f>$C1121*DC1120</f>
        <v/>
      </c>
    </row>
    <row r="1122">
      <c r="B1122" t="inlineStr">
        <is>
          <t>TSP-544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12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Name],$A1119)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t="inlineStr">
        <is>
          <t>TSP-710</t>
        </is>
      </c>
      <c r="C1124" t="inlineStr">
        <is>
          <t>No. of batches</t>
        </is>
      </c>
      <c r="D1124">
        <f>IFERROR(INDEX(PP_Grid[#Data],$DD1124,2),0)</f>
        <v/>
      </c>
      <c r="E1124">
        <f>IFERROR(INDEX(PP_Grid[#Data],$DD1124,3),0)</f>
        <v/>
      </c>
      <c r="F1124">
        <f>IFERROR(INDEX(PP_Grid[#Data],$DD1124,4),0)</f>
        <v/>
      </c>
      <c r="G1124">
        <f>IFERROR(INDEX(PP_Grid[#Data],$DD1124,5),0)</f>
        <v/>
      </c>
      <c r="H1124">
        <f>IFERROR(INDEX(PP_Grid[#Data],$DD1124,6),0)</f>
        <v/>
      </c>
      <c r="I1124">
        <f>IFERROR(INDEX(PP_Grid[#Data],$DD1124,7),0)</f>
        <v/>
      </c>
      <c r="J1124">
        <f>IFERROR(INDEX(PP_Grid[#Data],$DD1124,8),0)</f>
        <v/>
      </c>
      <c r="K1124">
        <f>IFERROR(INDEX(PP_Grid[#Data],$DD1124,9),0)</f>
        <v/>
      </c>
      <c r="L1124">
        <f>IFERROR(INDEX(PP_Grid[#Data],$DD1124,10),0)</f>
        <v/>
      </c>
      <c r="M1124">
        <f>IFERROR(INDEX(PP_Grid[#Data],$DD1124,11),0)</f>
        <v/>
      </c>
      <c r="N1124">
        <f>IFERROR(INDEX(PP_Grid[#Data],$DD1124,12),0)</f>
        <v/>
      </c>
      <c r="O1124">
        <f>IFERROR(INDEX(PP_Grid[#Data],$DD1124,13),0)</f>
        <v/>
      </c>
      <c r="P1124">
        <f>IFERROR(INDEX(PP_Grid[#Data],$DD1124,14),0)</f>
        <v/>
      </c>
      <c r="Q1124">
        <f>IFERROR(INDEX(PP_Grid[#Data],$DD1124,15),0)</f>
        <v/>
      </c>
      <c r="R1124">
        <f>IFERROR(INDEX(PP_Grid[#Data],$DD1124,16),0)</f>
        <v/>
      </c>
      <c r="S1124">
        <f>IFERROR(INDEX(PP_Grid[#Data],$DD1124,17),0)</f>
        <v/>
      </c>
      <c r="T1124">
        <f>IFERROR(INDEX(PP_Grid[#Data],$DD1124,18),0)</f>
        <v/>
      </c>
      <c r="U1124">
        <f>IFERROR(INDEX(PP_Grid[#Data],$DD1124,19),0)</f>
        <v/>
      </c>
      <c r="V1124">
        <f>IFERROR(INDEX(PP_Grid[#Data],$DD1124,20),0)</f>
        <v/>
      </c>
      <c r="W1124">
        <f>IFERROR(INDEX(PP_Grid[#Data],$DD1124,21),0)</f>
        <v/>
      </c>
      <c r="X1124">
        <f>IFERROR(INDEX(PP_Grid[#Data],$DD1124,22),0)</f>
        <v/>
      </c>
      <c r="Y1124">
        <f>IFERROR(INDEX(PP_Grid[#Data],$DD1124,23),0)</f>
        <v/>
      </c>
      <c r="Z1124">
        <f>IFERROR(INDEX(PP_Grid[#Data],$DD1124,24),0)</f>
        <v/>
      </c>
      <c r="AA1124">
        <f>IFERROR(INDEX(PP_Grid[#Data],$DD1124,25),0)</f>
        <v/>
      </c>
      <c r="AB1124">
        <f>IFERROR(INDEX(PP_Grid[#Data],$DD1124,26),0)</f>
        <v/>
      </c>
      <c r="AC1124">
        <f>IFERROR(INDEX(PP_Grid[#Data],$DD1124,27),0)</f>
        <v/>
      </c>
      <c r="AD1124">
        <f>IFERROR(INDEX(PP_Grid[#Data],$DD1124,28),0)</f>
        <v/>
      </c>
      <c r="AE1124">
        <f>IFERROR(INDEX(PP_Grid[#Data],$DD1124,29),0)</f>
        <v/>
      </c>
      <c r="AF1124">
        <f>IFERROR(INDEX(PP_Grid[#Data],$DD1124,30),0)</f>
        <v/>
      </c>
      <c r="AG1124">
        <f>IFERROR(INDEX(PP_Grid[#Data],$DD1124,31),0)</f>
        <v/>
      </c>
      <c r="AH1124">
        <f>IFERROR(INDEX(PP_Grid[#Data],$DD1124,32),0)</f>
        <v/>
      </c>
      <c r="AI1124">
        <f>IFERROR(INDEX(PP_Grid[#Data],$DD1124,33),0)</f>
        <v/>
      </c>
      <c r="AJ1124">
        <f>IFERROR(INDEX(PP_Grid[#Data],$DD1124,34),0)</f>
        <v/>
      </c>
      <c r="AK1124">
        <f>IFERROR(INDEX(PP_Grid[#Data],$DD1124,35),0)</f>
        <v/>
      </c>
      <c r="AL1124">
        <f>IFERROR(INDEX(PP_Grid[#Data],$DD1124,36),0)</f>
        <v/>
      </c>
      <c r="AM1124">
        <f>IFERROR(INDEX(PP_Grid[#Data],$DD1124,37),0)</f>
        <v/>
      </c>
      <c r="AN1124">
        <f>IFERROR(INDEX(PP_Grid[#Data],$DD1124,38),0)</f>
        <v/>
      </c>
      <c r="AO1124">
        <f>IFERROR(INDEX(PP_Grid[#Data],$DD1124,39),0)</f>
        <v/>
      </c>
      <c r="AP1124">
        <f>IFERROR(INDEX(PP_Grid[#Data],$DD1124,40),0)</f>
        <v/>
      </c>
      <c r="AQ1124">
        <f>IFERROR(INDEX(PP_Grid[#Data],$DD1124,41),0)</f>
        <v/>
      </c>
      <c r="AR1124">
        <f>IFERROR(INDEX(PP_Grid[#Data],$DD1124,42),0)</f>
        <v/>
      </c>
      <c r="AS1124">
        <f>IFERROR(INDEX(PP_Grid[#Data],$DD1124,43),0)</f>
        <v/>
      </c>
      <c r="AT1124">
        <f>IFERROR(INDEX(PP_Grid[#Data],$DD1124,44),0)</f>
        <v/>
      </c>
      <c r="AU1124">
        <f>IFERROR(INDEX(PP_Grid[#Data],$DD1124,45),0)</f>
        <v/>
      </c>
      <c r="AV1124">
        <f>IFERROR(INDEX(PP_Grid[#Data],$DD1124,46),0)</f>
        <v/>
      </c>
      <c r="AW1124">
        <f>IFERROR(INDEX(PP_Grid[#Data],$DD1124,47),0)</f>
        <v/>
      </c>
      <c r="AX1124">
        <f>IFERROR(INDEX(PP_Grid[#Data],$DD1124,48),0)</f>
        <v/>
      </c>
      <c r="AY1124">
        <f>IFERROR(INDEX(PP_Grid[#Data],$DD1124,49),0)</f>
        <v/>
      </c>
      <c r="AZ1124">
        <f>IFERROR(INDEX(PP_Grid[#Data],$DD1124,50),0)</f>
        <v/>
      </c>
      <c r="BA1124">
        <f>IFERROR(INDEX(PP_Grid[#Data],$DD1124,51),0)</f>
        <v/>
      </c>
      <c r="BB1124">
        <f>IFERROR(INDEX(PP_Grid[#Data],$DD1124,52),0)</f>
        <v/>
      </c>
      <c r="BC1124">
        <f>IFERROR(INDEX(PP_Grid[#Data],$DD1124,53),0)</f>
        <v/>
      </c>
      <c r="BD1124">
        <f>IFERROR(INDEX(PP_Grid[#Data],$DD1124,54),0)</f>
        <v/>
      </c>
      <c r="BE1124">
        <f>IFERROR(INDEX(PP_Grid[#Data],$DD1124,55),0)</f>
        <v/>
      </c>
      <c r="BF1124">
        <f>IFERROR(INDEX(PP_Grid[#Data],$DD1124,56),0)</f>
        <v/>
      </c>
      <c r="BG1124">
        <f>IFERROR(INDEX(PP_Grid[#Data],$DD1124,57),0)</f>
        <v/>
      </c>
      <c r="BH1124">
        <f>IFERROR(INDEX(PP_Grid[#Data],$DD1124,58),0)</f>
        <v/>
      </c>
      <c r="BI1124">
        <f>IFERROR(INDEX(PP_Grid[#Data],$DD1124,59),0)</f>
        <v/>
      </c>
      <c r="BJ1124">
        <f>IFERROR(INDEX(PP_Grid[#Data],$DD1124,60),0)</f>
        <v/>
      </c>
      <c r="BK1124">
        <f>IFERROR(INDEX(PP_Grid[#Data],$DD1124,61),0)</f>
        <v/>
      </c>
      <c r="BL1124">
        <f>IFERROR(INDEX(PP_Grid[#Data],$DD1124,62),0)</f>
        <v/>
      </c>
      <c r="BM1124">
        <f>IFERROR(INDEX(PP_Grid[#Data],$DD1124,63),0)</f>
        <v/>
      </c>
      <c r="BN1124">
        <f>IFERROR(INDEX(PP_Grid[#Data],$DD1124,64),0)</f>
        <v/>
      </c>
      <c r="BO1124">
        <f>IFERROR(INDEX(PP_Grid[#Data],$DD1124,65),0)</f>
        <v/>
      </c>
      <c r="BP1124">
        <f>IFERROR(INDEX(PP_Grid[#Data],$DD1124,66),0)</f>
        <v/>
      </c>
      <c r="BQ1124">
        <f>IFERROR(INDEX(PP_Grid[#Data],$DD1124,67),0)</f>
        <v/>
      </c>
      <c r="BR1124">
        <f>IFERROR(INDEX(PP_Grid[#Data],$DD1124,68),0)</f>
        <v/>
      </c>
      <c r="BS1124">
        <f>IFERROR(INDEX(PP_Grid[#Data],$DD1124,69),0)</f>
        <v/>
      </c>
      <c r="BT1124">
        <f>IFERROR(INDEX(PP_Grid[#Data],$DD1124,70),0)</f>
        <v/>
      </c>
      <c r="BU1124">
        <f>IFERROR(INDEX(PP_Grid[#Data],$DD1124,71),0)</f>
        <v/>
      </c>
      <c r="BV1124">
        <f>IFERROR(INDEX(PP_Grid[#Data],$DD1124,72),0)</f>
        <v/>
      </c>
      <c r="BW1124">
        <f>IFERROR(INDEX(PP_Grid[#Data],$DD1124,73),0)</f>
        <v/>
      </c>
      <c r="BX1124">
        <f>IFERROR(INDEX(PP_Grid[#Data],$DD1124,74),0)</f>
        <v/>
      </c>
      <c r="BY1124">
        <f>IFERROR(INDEX(PP_Grid[#Data],$DD1124,75),0)</f>
        <v/>
      </c>
      <c r="BZ1124">
        <f>IFERROR(INDEX(PP_Grid[#Data],$DD1124,76),0)</f>
        <v/>
      </c>
      <c r="CA1124">
        <f>IFERROR(INDEX(PP_Grid[#Data],$DD1124,77),0)</f>
        <v/>
      </c>
      <c r="CB1124">
        <f>IFERROR(INDEX(PP_Grid[#Data],$DD1124,78),0)</f>
        <v/>
      </c>
      <c r="CC1124">
        <f>IFERROR(INDEX(PP_Grid[#Data],$DD1124,79),0)</f>
        <v/>
      </c>
      <c r="CD1124">
        <f>IFERROR(INDEX(PP_Grid[#Data],$DD1124,80),0)</f>
        <v/>
      </c>
      <c r="CE1124">
        <f>IFERROR(INDEX(PP_Grid[#Data],$DD1124,81),0)</f>
        <v/>
      </c>
      <c r="CF1124">
        <f>IFERROR(INDEX(PP_Grid[#Data],$DD1124,82),0)</f>
        <v/>
      </c>
      <c r="CG1124">
        <f>IFERROR(INDEX(PP_Grid[#Data],$DD1124,83),0)</f>
        <v/>
      </c>
      <c r="CH1124">
        <f>IFERROR(INDEX(PP_Grid[#Data],$DD1124,84),0)</f>
        <v/>
      </c>
      <c r="CI1124">
        <f>IFERROR(INDEX(PP_Grid[#Data],$DD1124,85),0)</f>
        <v/>
      </c>
      <c r="CJ1124">
        <f>IFERROR(INDEX(PP_Grid[#Data],$DD1124,86),0)</f>
        <v/>
      </c>
      <c r="CK1124">
        <f>IFERROR(INDEX(PP_Grid[#Data],$DD1124,87),0)</f>
        <v/>
      </c>
      <c r="CL1124">
        <f>IFERROR(INDEX(PP_Grid[#Data],$DD1124,88),0)</f>
        <v/>
      </c>
      <c r="CM1124">
        <f>IFERROR(INDEX(PP_Grid[#Data],$DD1124,89),0)</f>
        <v/>
      </c>
      <c r="CN1124">
        <f>IFERROR(INDEX(PP_Grid[#Data],$DD1124,90),0)</f>
        <v/>
      </c>
      <c r="CO1124">
        <f>IFERROR(INDEX(PP_Grid[#Data],$DD1124,91),0)</f>
        <v/>
      </c>
      <c r="CP1124">
        <f>IFERROR(INDEX(PP_Grid[#Data],$DD1124,92),0)</f>
        <v/>
      </c>
      <c r="CQ1124">
        <f>IFERROR(INDEX(PP_Grid[#Data],$DD1124,93),0)</f>
        <v/>
      </c>
      <c r="CR1124">
        <f>IFERROR(INDEX(PP_Grid[#Data],$DD1124,94),0)</f>
        <v/>
      </c>
      <c r="CS1124">
        <f>IFERROR(INDEX(PP_Grid[#Data],$DD1124,95),0)</f>
        <v/>
      </c>
      <c r="CT1124">
        <f>IFERROR(INDEX(PP_Grid[#Data],$DD1124,96),0)</f>
        <v/>
      </c>
      <c r="CU1124">
        <f>IFERROR(INDEX(PP_Grid[#Data],$DD1124,97),0)</f>
        <v/>
      </c>
      <c r="CV1124">
        <f>IFERROR(INDEX(PP_Grid[#Data],$DD1124,98),0)</f>
        <v/>
      </c>
      <c r="CW1124">
        <f>IFERROR(INDEX(PP_Grid[#Data],$DD1124,99),0)</f>
        <v/>
      </c>
      <c r="CX1124">
        <f>IFERROR(INDEX(PP_Grid[#Data],$DD1124,100),0)</f>
        <v/>
      </c>
      <c r="CY1124">
        <f>IFERROR(INDEX(PP_Grid[#Data],$DD1124,101),0)</f>
        <v/>
      </c>
      <c r="CZ1124">
        <f>IFERROR(INDEX(PP_Grid[#Data],$DD1124,102),0)</f>
        <v/>
      </c>
      <c r="DA1124">
        <f>IFERROR(INDEX(PP_Grid[#Data],$DD1124,103),0)</f>
        <v/>
      </c>
      <c r="DB1124">
        <f>IFERROR(INDEX(PP_Grid[#Data],$DD1124,104),0)</f>
        <v/>
      </c>
      <c r="DC1124">
        <f>IFERROR(INDEX(PP_Grid[#Data],$DD1124,105),0)</f>
        <v/>
      </c>
      <c r="DD1124" s="12">
        <f>IFERROR(MATCH($B1124,PP_Grid[Intermediate],0),99999)</f>
        <v/>
      </c>
    </row>
    <row r="1125">
      <c r="B1125" t="inlineStr">
        <is>
          <t>使用量(kg)</t>
        </is>
      </c>
      <c r="C1125">
        <f>SUMIFS(M_BOM[RM_Qty_Per_Batch],M_BOM[Intermediate],$B1124,M_BOM[Part Name],$A1119)</f>
        <v/>
      </c>
      <c r="D1125">
        <f>$C1125*D1124</f>
        <v/>
      </c>
      <c r="E1125">
        <f>$C1125*E1124</f>
        <v/>
      </c>
      <c r="F1125">
        <f>$C1125*F1124</f>
        <v/>
      </c>
      <c r="G1125">
        <f>$C1125*G1124</f>
        <v/>
      </c>
      <c r="H1125">
        <f>$C1125*H1124</f>
        <v/>
      </c>
      <c r="I1125">
        <f>$C1125*I1124</f>
        <v/>
      </c>
      <c r="J1125">
        <f>$C1125*J1124</f>
        <v/>
      </c>
      <c r="K1125">
        <f>$C1125*K1124</f>
        <v/>
      </c>
      <c r="L1125">
        <f>$C1125*L1124</f>
        <v/>
      </c>
      <c r="M1125">
        <f>$C1125*M1124</f>
        <v/>
      </c>
      <c r="N1125">
        <f>$C1125*N1124</f>
        <v/>
      </c>
      <c r="O1125">
        <f>$C1125*O1124</f>
        <v/>
      </c>
      <c r="P1125">
        <f>$C1125*P1124</f>
        <v/>
      </c>
      <c r="Q1125">
        <f>$C1125*Q1124</f>
        <v/>
      </c>
      <c r="R1125">
        <f>$C1125*R1124</f>
        <v/>
      </c>
      <c r="S1125">
        <f>$C1125*S1124</f>
        <v/>
      </c>
      <c r="T1125">
        <f>$C1125*T1124</f>
        <v/>
      </c>
      <c r="U1125">
        <f>$C1125*U1124</f>
        <v/>
      </c>
      <c r="V1125">
        <f>$C1125*V1124</f>
        <v/>
      </c>
      <c r="W1125">
        <f>$C1125*W1124</f>
        <v/>
      </c>
      <c r="X1125">
        <f>$C1125*X1124</f>
        <v/>
      </c>
      <c r="Y1125">
        <f>$C1125*Y1124</f>
        <v/>
      </c>
      <c r="Z1125">
        <f>$C1125*Z1124</f>
        <v/>
      </c>
      <c r="AA1125">
        <f>$C1125*AA1124</f>
        <v/>
      </c>
      <c r="AB1125">
        <f>$C1125*AB1124</f>
        <v/>
      </c>
      <c r="AC1125">
        <f>$C1125*AC1124</f>
        <v/>
      </c>
      <c r="AD1125">
        <f>$C1125*AD1124</f>
        <v/>
      </c>
      <c r="AE1125">
        <f>$C1125*AE1124</f>
        <v/>
      </c>
      <c r="AF1125">
        <f>$C1125*AF1124</f>
        <v/>
      </c>
      <c r="AG1125">
        <f>$C1125*AG1124</f>
        <v/>
      </c>
      <c r="AH1125">
        <f>$C1125*AH1124</f>
        <v/>
      </c>
      <c r="AI1125">
        <f>$C1125*AI1124</f>
        <v/>
      </c>
      <c r="AJ1125">
        <f>$C1125*AJ1124</f>
        <v/>
      </c>
      <c r="AK1125">
        <f>$C1125*AK1124</f>
        <v/>
      </c>
      <c r="AL1125">
        <f>$C1125*AL1124</f>
        <v/>
      </c>
      <c r="AM1125">
        <f>$C1125*AM1124</f>
        <v/>
      </c>
      <c r="AN1125">
        <f>$C1125*AN1124</f>
        <v/>
      </c>
      <c r="AO1125">
        <f>$C1125*AO1124</f>
        <v/>
      </c>
      <c r="AP1125">
        <f>$C1125*AP1124</f>
        <v/>
      </c>
      <c r="AQ1125">
        <f>$C1125*AQ1124</f>
        <v/>
      </c>
      <c r="AR1125">
        <f>$C1125*AR1124</f>
        <v/>
      </c>
      <c r="AS1125">
        <f>$C1125*AS1124</f>
        <v/>
      </c>
      <c r="AT1125">
        <f>$C1125*AT1124</f>
        <v/>
      </c>
      <c r="AU1125">
        <f>$C1125*AU1124</f>
        <v/>
      </c>
      <c r="AV1125">
        <f>$C1125*AV1124</f>
        <v/>
      </c>
      <c r="AW1125">
        <f>$C1125*AW1124</f>
        <v/>
      </c>
      <c r="AX1125">
        <f>$C1125*AX1124</f>
        <v/>
      </c>
      <c r="AY1125">
        <f>$C1125*AY1124</f>
        <v/>
      </c>
      <c r="AZ1125">
        <f>$C1125*AZ1124</f>
        <v/>
      </c>
      <c r="BA1125">
        <f>$C1125*BA1124</f>
        <v/>
      </c>
      <c r="BB1125">
        <f>$C1125*BB1124</f>
        <v/>
      </c>
      <c r="BC1125">
        <f>$C1125*BC1124</f>
        <v/>
      </c>
      <c r="BD1125">
        <f>$C1125*BD1124</f>
        <v/>
      </c>
      <c r="BE1125">
        <f>$C1125*BE1124</f>
        <v/>
      </c>
      <c r="BF1125">
        <f>$C1125*BF1124</f>
        <v/>
      </c>
      <c r="BG1125">
        <f>$C1125*BG1124</f>
        <v/>
      </c>
      <c r="BH1125">
        <f>$C1125*BH1124</f>
        <v/>
      </c>
      <c r="BI1125">
        <f>$C1125*BI1124</f>
        <v/>
      </c>
      <c r="BJ1125">
        <f>$C1125*BJ1124</f>
        <v/>
      </c>
      <c r="BK1125">
        <f>$C1125*BK1124</f>
        <v/>
      </c>
      <c r="BL1125">
        <f>$C1125*BL1124</f>
        <v/>
      </c>
      <c r="BM1125">
        <f>$C1125*BM1124</f>
        <v/>
      </c>
      <c r="BN1125">
        <f>$C1125*BN1124</f>
        <v/>
      </c>
      <c r="BO1125">
        <f>$C1125*BO1124</f>
        <v/>
      </c>
      <c r="BP1125">
        <f>$C1125*BP1124</f>
        <v/>
      </c>
      <c r="BQ1125">
        <f>$C1125*BQ1124</f>
        <v/>
      </c>
      <c r="BR1125">
        <f>$C1125*BR1124</f>
        <v/>
      </c>
      <c r="BS1125">
        <f>$C1125*BS1124</f>
        <v/>
      </c>
      <c r="BT1125">
        <f>$C1125*BT1124</f>
        <v/>
      </c>
      <c r="BU1125">
        <f>$C1125*BU1124</f>
        <v/>
      </c>
      <c r="BV1125">
        <f>$C1125*BV1124</f>
        <v/>
      </c>
      <c r="BW1125">
        <f>$C1125*BW1124</f>
        <v/>
      </c>
      <c r="BX1125">
        <f>$C1125*BX1124</f>
        <v/>
      </c>
      <c r="BY1125">
        <f>$C1125*BY1124</f>
        <v/>
      </c>
      <c r="BZ1125">
        <f>$C1125*BZ1124</f>
        <v/>
      </c>
      <c r="CA1125">
        <f>$C1125*CA1124</f>
        <v/>
      </c>
      <c r="CB1125">
        <f>$C1125*CB1124</f>
        <v/>
      </c>
      <c r="CC1125">
        <f>$C1125*CC1124</f>
        <v/>
      </c>
      <c r="CD1125">
        <f>$C1125*CD1124</f>
        <v/>
      </c>
      <c r="CE1125">
        <f>$C1125*CE1124</f>
        <v/>
      </c>
      <c r="CF1125">
        <f>$C1125*CF1124</f>
        <v/>
      </c>
      <c r="CG1125">
        <f>$C1125*CG1124</f>
        <v/>
      </c>
      <c r="CH1125">
        <f>$C1125*CH1124</f>
        <v/>
      </c>
      <c r="CI1125">
        <f>$C1125*CI1124</f>
        <v/>
      </c>
      <c r="CJ1125">
        <f>$C1125*CJ1124</f>
        <v/>
      </c>
      <c r="CK1125">
        <f>$C1125*CK1124</f>
        <v/>
      </c>
      <c r="CL1125">
        <f>$C1125*CL1124</f>
        <v/>
      </c>
      <c r="CM1125">
        <f>$C1125*CM1124</f>
        <v/>
      </c>
      <c r="CN1125">
        <f>$C1125*CN1124</f>
        <v/>
      </c>
      <c r="CO1125">
        <f>$C1125*CO1124</f>
        <v/>
      </c>
      <c r="CP1125">
        <f>$C1125*CP1124</f>
        <v/>
      </c>
      <c r="CQ1125">
        <f>$C1125*CQ1124</f>
        <v/>
      </c>
      <c r="CR1125">
        <f>$C1125*CR1124</f>
        <v/>
      </c>
      <c r="CS1125">
        <f>$C1125*CS1124</f>
        <v/>
      </c>
      <c r="CT1125">
        <f>$C1125*CT1124</f>
        <v/>
      </c>
      <c r="CU1125">
        <f>$C1125*CU1124</f>
        <v/>
      </c>
      <c r="CV1125">
        <f>$C1125*CV1124</f>
        <v/>
      </c>
      <c r="CW1125">
        <f>$C1125*CW1124</f>
        <v/>
      </c>
      <c r="CX1125">
        <f>$C1125*CX1124</f>
        <v/>
      </c>
      <c r="CY1125">
        <f>$C1125*CY1124</f>
        <v/>
      </c>
      <c r="CZ1125">
        <f>$C1125*CZ1124</f>
        <v/>
      </c>
      <c r="DA1125">
        <f>$C1125*DA1124</f>
        <v/>
      </c>
      <c r="DB1125">
        <f>$C1125*DB1124</f>
        <v/>
      </c>
      <c r="DC1125">
        <f>$C1125*DC1124</f>
        <v/>
      </c>
    </row>
    <row r="1126">
      <c r="B1126" s="5" t="inlineStr">
        <is>
          <t>合計使用量(kg)/週</t>
        </is>
      </c>
      <c r="D1126">
        <f>'Grid_Requirement'!B55</f>
        <v/>
      </c>
      <c r="E1126">
        <f>'Grid_Requirement'!C55</f>
        <v/>
      </c>
      <c r="F1126">
        <f>'Grid_Requirement'!D55</f>
        <v/>
      </c>
      <c r="G1126">
        <f>'Grid_Requirement'!E55</f>
        <v/>
      </c>
      <c r="H1126">
        <f>'Grid_Requirement'!F55</f>
        <v/>
      </c>
      <c r="I1126">
        <f>'Grid_Requirement'!G55</f>
        <v/>
      </c>
      <c r="J1126">
        <f>'Grid_Requirement'!H55</f>
        <v/>
      </c>
      <c r="K1126">
        <f>'Grid_Requirement'!I55</f>
        <v/>
      </c>
      <c r="L1126">
        <f>'Grid_Requirement'!J55</f>
        <v/>
      </c>
      <c r="M1126">
        <f>'Grid_Requirement'!K55</f>
        <v/>
      </c>
      <c r="N1126">
        <f>'Grid_Requirement'!L55</f>
        <v/>
      </c>
      <c r="O1126">
        <f>'Grid_Requirement'!M55</f>
        <v/>
      </c>
      <c r="P1126">
        <f>'Grid_Requirement'!N55</f>
        <v/>
      </c>
      <c r="Q1126">
        <f>'Grid_Requirement'!O55</f>
        <v/>
      </c>
      <c r="R1126">
        <f>'Grid_Requirement'!P55</f>
        <v/>
      </c>
      <c r="S1126">
        <f>'Grid_Requirement'!Q55</f>
        <v/>
      </c>
      <c r="T1126">
        <f>'Grid_Requirement'!R55</f>
        <v/>
      </c>
      <c r="U1126">
        <f>'Grid_Requirement'!S55</f>
        <v/>
      </c>
      <c r="V1126">
        <f>'Grid_Requirement'!T55</f>
        <v/>
      </c>
      <c r="W1126">
        <f>'Grid_Requirement'!U55</f>
        <v/>
      </c>
      <c r="X1126">
        <f>'Grid_Requirement'!V55</f>
        <v/>
      </c>
      <c r="Y1126">
        <f>'Grid_Requirement'!W55</f>
        <v/>
      </c>
      <c r="Z1126">
        <f>'Grid_Requirement'!X55</f>
        <v/>
      </c>
      <c r="AA1126">
        <f>'Grid_Requirement'!Y55</f>
        <v/>
      </c>
      <c r="AB1126">
        <f>'Grid_Requirement'!Z55</f>
        <v/>
      </c>
      <c r="AC1126">
        <f>'Grid_Requirement'!AA55</f>
        <v/>
      </c>
      <c r="AD1126">
        <f>'Grid_Requirement'!AB55</f>
        <v/>
      </c>
      <c r="AE1126">
        <f>'Grid_Requirement'!AC55</f>
        <v/>
      </c>
      <c r="AF1126">
        <f>'Grid_Requirement'!AD55</f>
        <v/>
      </c>
      <c r="AG1126">
        <f>'Grid_Requirement'!AE55</f>
        <v/>
      </c>
      <c r="AH1126">
        <f>'Grid_Requirement'!AF55</f>
        <v/>
      </c>
      <c r="AI1126">
        <f>'Grid_Requirement'!AG55</f>
        <v/>
      </c>
      <c r="AJ1126">
        <f>'Grid_Requirement'!AH55</f>
        <v/>
      </c>
      <c r="AK1126">
        <f>'Grid_Requirement'!AI55</f>
        <v/>
      </c>
      <c r="AL1126">
        <f>'Grid_Requirement'!AJ55</f>
        <v/>
      </c>
      <c r="AM1126">
        <f>'Grid_Requirement'!AK55</f>
        <v/>
      </c>
      <c r="AN1126">
        <f>'Grid_Requirement'!AL55</f>
        <v/>
      </c>
      <c r="AO1126">
        <f>'Grid_Requirement'!AM55</f>
        <v/>
      </c>
      <c r="AP1126">
        <f>'Grid_Requirement'!AN55</f>
        <v/>
      </c>
      <c r="AQ1126">
        <f>'Grid_Requirement'!AO55</f>
        <v/>
      </c>
      <c r="AR1126">
        <f>'Grid_Requirement'!AP55</f>
        <v/>
      </c>
      <c r="AS1126">
        <f>'Grid_Requirement'!AQ55</f>
        <v/>
      </c>
      <c r="AT1126">
        <f>'Grid_Requirement'!AR55</f>
        <v/>
      </c>
      <c r="AU1126">
        <f>'Grid_Requirement'!AS55</f>
        <v/>
      </c>
      <c r="AV1126">
        <f>'Grid_Requirement'!AT55</f>
        <v/>
      </c>
      <c r="AW1126">
        <f>'Grid_Requirement'!AU55</f>
        <v/>
      </c>
      <c r="AX1126">
        <f>'Grid_Requirement'!AV55</f>
        <v/>
      </c>
      <c r="AY1126">
        <f>'Grid_Requirement'!AW55</f>
        <v/>
      </c>
      <c r="AZ1126">
        <f>'Grid_Requirement'!AX55</f>
        <v/>
      </c>
      <c r="BA1126">
        <f>'Grid_Requirement'!AY55</f>
        <v/>
      </c>
      <c r="BB1126">
        <f>'Grid_Requirement'!AZ55</f>
        <v/>
      </c>
      <c r="BC1126">
        <f>'Grid_Requirement'!BA55</f>
        <v/>
      </c>
      <c r="BD1126">
        <f>'Grid_Requirement'!BB55</f>
        <v/>
      </c>
      <c r="BE1126">
        <f>'Grid_Requirement'!BC55</f>
        <v/>
      </c>
      <c r="BF1126">
        <f>'Grid_Requirement'!BD55</f>
        <v/>
      </c>
      <c r="BG1126">
        <f>'Grid_Requirement'!BE55</f>
        <v/>
      </c>
      <c r="BH1126">
        <f>'Grid_Requirement'!BF55</f>
        <v/>
      </c>
      <c r="BI1126">
        <f>'Grid_Requirement'!BG55</f>
        <v/>
      </c>
      <c r="BJ1126">
        <f>'Grid_Requirement'!BH55</f>
        <v/>
      </c>
      <c r="BK1126">
        <f>'Grid_Requirement'!BI55</f>
        <v/>
      </c>
      <c r="BL1126">
        <f>'Grid_Requirement'!BJ55</f>
        <v/>
      </c>
      <c r="BM1126">
        <f>'Grid_Requirement'!BK55</f>
        <v/>
      </c>
      <c r="BN1126">
        <f>'Grid_Requirement'!BL55</f>
        <v/>
      </c>
      <c r="BO1126">
        <f>'Grid_Requirement'!BM55</f>
        <v/>
      </c>
      <c r="BP1126">
        <f>'Grid_Requirement'!BN55</f>
        <v/>
      </c>
      <c r="BQ1126">
        <f>'Grid_Requirement'!BO55</f>
        <v/>
      </c>
      <c r="BR1126">
        <f>'Grid_Requirement'!BP55</f>
        <v/>
      </c>
      <c r="BS1126">
        <f>'Grid_Requirement'!BQ55</f>
        <v/>
      </c>
      <c r="BT1126">
        <f>'Grid_Requirement'!BR55</f>
        <v/>
      </c>
      <c r="BU1126">
        <f>'Grid_Requirement'!BS55</f>
        <v/>
      </c>
      <c r="BV1126">
        <f>'Grid_Requirement'!BT55</f>
        <v/>
      </c>
      <c r="BW1126">
        <f>'Grid_Requirement'!BU55</f>
        <v/>
      </c>
      <c r="BX1126">
        <f>'Grid_Requirement'!BV55</f>
        <v/>
      </c>
      <c r="BY1126">
        <f>'Grid_Requirement'!BW55</f>
        <v/>
      </c>
      <c r="BZ1126">
        <f>'Grid_Requirement'!BX55</f>
        <v/>
      </c>
      <c r="CA1126">
        <f>'Grid_Requirement'!BY55</f>
        <v/>
      </c>
      <c r="CB1126">
        <f>'Grid_Requirement'!BZ55</f>
        <v/>
      </c>
      <c r="CC1126">
        <f>'Grid_Requirement'!CA55</f>
        <v/>
      </c>
      <c r="CD1126">
        <f>'Grid_Requirement'!CB55</f>
        <v/>
      </c>
      <c r="CE1126">
        <f>'Grid_Requirement'!CC55</f>
        <v/>
      </c>
      <c r="CF1126">
        <f>'Grid_Requirement'!CD55</f>
        <v/>
      </c>
      <c r="CG1126">
        <f>'Grid_Requirement'!CE55</f>
        <v/>
      </c>
      <c r="CH1126">
        <f>'Grid_Requirement'!CF55</f>
        <v/>
      </c>
      <c r="CI1126">
        <f>'Grid_Requirement'!CG55</f>
        <v/>
      </c>
      <c r="CJ1126">
        <f>'Grid_Requirement'!CH55</f>
        <v/>
      </c>
      <c r="CK1126">
        <f>'Grid_Requirement'!CI55</f>
        <v/>
      </c>
      <c r="CL1126">
        <f>'Grid_Requirement'!CJ55</f>
        <v/>
      </c>
      <c r="CM1126">
        <f>'Grid_Requirement'!CK55</f>
        <v/>
      </c>
      <c r="CN1126">
        <f>'Grid_Requirement'!CL55</f>
        <v/>
      </c>
      <c r="CO1126">
        <f>'Grid_Requirement'!CM55</f>
        <v/>
      </c>
      <c r="CP1126">
        <f>'Grid_Requirement'!CN55</f>
        <v/>
      </c>
      <c r="CQ1126">
        <f>'Grid_Requirement'!CO55</f>
        <v/>
      </c>
      <c r="CR1126">
        <f>'Grid_Requirement'!CP55</f>
        <v/>
      </c>
      <c r="CS1126">
        <f>'Grid_Requirement'!CQ55</f>
        <v/>
      </c>
      <c r="CT1126">
        <f>'Grid_Requirement'!CR55</f>
        <v/>
      </c>
      <c r="CU1126">
        <f>'Grid_Requirement'!CS55</f>
        <v/>
      </c>
      <c r="CV1126">
        <f>'Grid_Requirement'!CT55</f>
        <v/>
      </c>
      <c r="CW1126">
        <f>'Grid_Requirement'!CU55</f>
        <v/>
      </c>
      <c r="CX1126">
        <f>'Grid_Requirement'!CV55</f>
        <v/>
      </c>
      <c r="CY1126">
        <f>'Grid_Requirement'!CW55</f>
        <v/>
      </c>
      <c r="CZ1126">
        <f>'Grid_Requirement'!CX55</f>
        <v/>
      </c>
      <c r="DA1126">
        <f>'Grid_Requirement'!CY55</f>
        <v/>
      </c>
      <c r="DB1126">
        <f>'Grid_Requirement'!CZ55</f>
        <v/>
      </c>
      <c r="DC1126">
        <f>'Grid_Requirement'!DA55</f>
        <v/>
      </c>
    </row>
    <row r="1127">
      <c r="B1127" t="inlineStr">
        <is>
          <t>TTAF在庫(実績,kg)</t>
        </is>
      </c>
      <c r="D1127">
        <f>'T_TTAFStock'!B59</f>
        <v/>
      </c>
      <c r="E1127">
        <f>'T_TTAFStock'!C59</f>
        <v/>
      </c>
      <c r="F1127">
        <f>'T_TTAFStock'!D59</f>
        <v/>
      </c>
      <c r="G1127">
        <f>'T_TTAFStock'!E59</f>
        <v/>
      </c>
      <c r="H1127">
        <f>'T_TTAFStock'!F59</f>
        <v/>
      </c>
      <c r="I1127">
        <f>'T_TTAFStock'!G59</f>
        <v/>
      </c>
      <c r="J1127">
        <f>'T_TTAFStock'!H59</f>
        <v/>
      </c>
      <c r="K1127">
        <f>'T_TTAFStock'!I59</f>
        <v/>
      </c>
      <c r="L1127">
        <f>'T_TTAFStock'!J59</f>
        <v/>
      </c>
      <c r="M1127">
        <f>'T_TTAFStock'!K59</f>
        <v/>
      </c>
      <c r="N1127">
        <f>'T_TTAFStock'!L59</f>
        <v/>
      </c>
      <c r="O1127">
        <f>'T_TTAFStock'!M59</f>
        <v/>
      </c>
      <c r="P1127">
        <f>'T_TTAFStock'!N59</f>
        <v/>
      </c>
      <c r="Q1127">
        <f>'T_TTAFStock'!O59</f>
        <v/>
      </c>
      <c r="R1127">
        <f>'T_TTAFStock'!P59</f>
        <v/>
      </c>
      <c r="S1127">
        <f>'T_TTAFStock'!Q59</f>
        <v/>
      </c>
      <c r="T1127">
        <f>'T_TTAFStock'!R59</f>
        <v/>
      </c>
      <c r="U1127">
        <f>'T_TTAFStock'!S59</f>
        <v/>
      </c>
      <c r="V1127">
        <f>'T_TTAFStock'!T59</f>
        <v/>
      </c>
      <c r="W1127">
        <f>'T_TTAFStock'!U59</f>
        <v/>
      </c>
      <c r="X1127">
        <f>'T_TTAFStock'!V59</f>
        <v/>
      </c>
      <c r="Y1127">
        <f>'T_TTAFStock'!W59</f>
        <v/>
      </c>
      <c r="Z1127">
        <f>'T_TTAFStock'!X59</f>
        <v/>
      </c>
      <c r="AA1127">
        <f>'T_TTAFStock'!Y59</f>
        <v/>
      </c>
      <c r="AB1127">
        <f>'T_TTAFStock'!Z59</f>
        <v/>
      </c>
      <c r="AC1127">
        <f>'T_TTAFStock'!AA59</f>
        <v/>
      </c>
      <c r="AD1127">
        <f>'T_TTAFStock'!AB59</f>
        <v/>
      </c>
      <c r="AE1127">
        <f>'T_TTAFStock'!AC59</f>
        <v/>
      </c>
      <c r="AF1127">
        <f>'T_TTAFStock'!AD59</f>
        <v/>
      </c>
      <c r="AG1127">
        <f>'T_TTAFStock'!AE59</f>
        <v/>
      </c>
      <c r="AH1127">
        <f>'T_TTAFStock'!AF59</f>
        <v/>
      </c>
      <c r="AI1127">
        <f>'T_TTAFStock'!AG59</f>
        <v/>
      </c>
      <c r="AJ1127">
        <f>'T_TTAFStock'!AH59</f>
        <v/>
      </c>
      <c r="AK1127">
        <f>'T_TTAFStock'!AI59</f>
        <v/>
      </c>
      <c r="AL1127">
        <f>'T_TTAFStock'!AJ59</f>
        <v/>
      </c>
      <c r="AM1127">
        <f>'T_TTAFStock'!AK59</f>
        <v/>
      </c>
      <c r="AN1127">
        <f>'T_TTAFStock'!AL59</f>
        <v/>
      </c>
      <c r="AO1127">
        <f>'T_TTAFStock'!AM59</f>
        <v/>
      </c>
      <c r="AP1127">
        <f>'T_TTAFStock'!AN59</f>
        <v/>
      </c>
      <c r="AQ1127">
        <f>'T_TTAFStock'!AO59</f>
        <v/>
      </c>
      <c r="AR1127">
        <f>'T_TTAFStock'!AP59</f>
        <v/>
      </c>
      <c r="AS1127">
        <f>'T_TTAFStock'!AQ59</f>
        <v/>
      </c>
      <c r="AT1127">
        <f>'T_TTAFStock'!AR59</f>
        <v/>
      </c>
      <c r="AU1127">
        <f>'T_TTAFStock'!AS59</f>
        <v/>
      </c>
      <c r="AV1127">
        <f>'T_TTAFStock'!AT59</f>
        <v/>
      </c>
      <c r="AW1127">
        <f>'T_TTAFStock'!AU59</f>
        <v/>
      </c>
      <c r="AX1127">
        <f>'T_TTAFStock'!AV59</f>
        <v/>
      </c>
      <c r="AY1127">
        <f>'T_TTAFStock'!AW59</f>
        <v/>
      </c>
      <c r="AZ1127">
        <f>'T_TTAFStock'!AX59</f>
        <v/>
      </c>
      <c r="BA1127">
        <f>'T_TTAFStock'!AY59</f>
        <v/>
      </c>
      <c r="BB1127">
        <f>'T_TTAFStock'!AZ59</f>
        <v/>
      </c>
      <c r="BC1127">
        <f>'T_TTAFStock'!BA59</f>
        <v/>
      </c>
      <c r="BD1127">
        <f>'T_TTAFStock'!BB59</f>
        <v/>
      </c>
      <c r="BE1127">
        <f>'T_TTAFStock'!BC59</f>
        <v/>
      </c>
      <c r="BF1127">
        <f>'T_TTAFStock'!BD59</f>
        <v/>
      </c>
      <c r="BG1127">
        <f>'T_TTAFStock'!BE59</f>
        <v/>
      </c>
      <c r="BH1127">
        <f>'T_TTAFStock'!BF59</f>
        <v/>
      </c>
      <c r="BI1127">
        <f>'T_TTAFStock'!BG59</f>
        <v/>
      </c>
      <c r="BJ1127">
        <f>'T_TTAFStock'!BH59</f>
        <v/>
      </c>
      <c r="BK1127">
        <f>'T_TTAFStock'!BI59</f>
        <v/>
      </c>
      <c r="BL1127">
        <f>'T_TTAFStock'!BJ59</f>
        <v/>
      </c>
      <c r="BM1127">
        <f>'T_TTAFStock'!BK59</f>
        <v/>
      </c>
      <c r="BN1127">
        <f>'T_TTAFStock'!BL59</f>
        <v/>
      </c>
      <c r="BO1127">
        <f>'T_TTAFStock'!BM59</f>
        <v/>
      </c>
      <c r="BP1127">
        <f>'T_TTAFStock'!BN59</f>
        <v/>
      </c>
      <c r="BQ1127">
        <f>'T_TTAFStock'!BO59</f>
        <v/>
      </c>
      <c r="BR1127">
        <f>'T_TTAFStock'!BP59</f>
        <v/>
      </c>
      <c r="BS1127">
        <f>'T_TTAFStock'!BQ59</f>
        <v/>
      </c>
      <c r="BT1127">
        <f>'T_TTAFStock'!BR59</f>
        <v/>
      </c>
      <c r="BU1127">
        <f>'T_TTAFStock'!BS59</f>
        <v/>
      </c>
      <c r="BV1127">
        <f>'T_TTAFStock'!BT59</f>
        <v/>
      </c>
      <c r="BW1127">
        <f>'T_TTAFStock'!BU59</f>
        <v/>
      </c>
      <c r="BX1127">
        <f>'T_TTAFStock'!BV59</f>
        <v/>
      </c>
      <c r="BY1127">
        <f>'T_TTAFStock'!BW59</f>
        <v/>
      </c>
      <c r="BZ1127">
        <f>'T_TTAFStock'!BX59</f>
        <v/>
      </c>
      <c r="CA1127">
        <f>'T_TTAFStock'!BY59</f>
        <v/>
      </c>
      <c r="CB1127">
        <f>'T_TTAFStock'!BZ59</f>
        <v/>
      </c>
      <c r="CC1127">
        <f>'T_TTAFStock'!CA59</f>
        <v/>
      </c>
      <c r="CD1127">
        <f>'T_TTAFStock'!CB59</f>
        <v/>
      </c>
      <c r="CE1127">
        <f>'T_TTAFStock'!CC59</f>
        <v/>
      </c>
      <c r="CF1127">
        <f>'T_TTAFStock'!CD59</f>
        <v/>
      </c>
      <c r="CG1127">
        <f>'T_TTAFStock'!CE59</f>
        <v/>
      </c>
      <c r="CH1127">
        <f>'T_TTAFStock'!CF59</f>
        <v/>
      </c>
      <c r="CI1127">
        <f>'T_TTAFStock'!CG59</f>
        <v/>
      </c>
      <c r="CJ1127">
        <f>'T_TTAFStock'!CH59</f>
        <v/>
      </c>
      <c r="CK1127">
        <f>'T_TTAFStock'!CI59</f>
        <v/>
      </c>
      <c r="CL1127">
        <f>'T_TTAFStock'!CJ59</f>
        <v/>
      </c>
      <c r="CM1127">
        <f>'T_TTAFStock'!CK59</f>
        <v/>
      </c>
      <c r="CN1127">
        <f>'T_TTAFStock'!CL59</f>
        <v/>
      </c>
      <c r="CO1127">
        <f>'T_TTAFStock'!CM59</f>
        <v/>
      </c>
      <c r="CP1127">
        <f>'T_TTAFStock'!CN59</f>
        <v/>
      </c>
      <c r="CQ1127">
        <f>'T_TTAFStock'!CO59</f>
        <v/>
      </c>
      <c r="CR1127">
        <f>'T_TTAFStock'!CP59</f>
        <v/>
      </c>
      <c r="CS1127">
        <f>'T_TTAFStock'!CQ59</f>
        <v/>
      </c>
      <c r="CT1127">
        <f>'T_TTAFStock'!CR59</f>
        <v/>
      </c>
      <c r="CU1127">
        <f>'T_TTAFStock'!CS59</f>
        <v/>
      </c>
      <c r="CV1127">
        <f>'T_TTAFStock'!CT59</f>
        <v/>
      </c>
      <c r="CW1127">
        <f>'T_TTAFStock'!CU59</f>
        <v/>
      </c>
      <c r="CX1127">
        <f>'T_TTAFStock'!CV59</f>
        <v/>
      </c>
      <c r="CY1127">
        <f>'T_TTAFStock'!CW59</f>
        <v/>
      </c>
      <c r="CZ1127">
        <f>'T_TTAFStock'!CX59</f>
        <v/>
      </c>
      <c r="DA1127">
        <f>'T_TTAFStock'!CY59</f>
        <v/>
      </c>
      <c r="DB1127">
        <f>'T_TTAFStock'!CZ59</f>
        <v/>
      </c>
      <c r="DC1127">
        <f>'T_TTAFStock'!DA59</f>
        <v/>
      </c>
    </row>
    <row r="1128">
      <c r="B1128" t="inlineStr">
        <is>
          <t>自社在庫(実績,kg)</t>
        </is>
      </c>
      <c r="D1128">
        <f>'T_SelfStock'!B59</f>
        <v/>
      </c>
      <c r="E1128">
        <f>'T_SelfStock'!C59</f>
        <v/>
      </c>
      <c r="F1128">
        <f>'T_SelfStock'!D59</f>
        <v/>
      </c>
      <c r="G1128">
        <f>'T_SelfStock'!E59</f>
        <v/>
      </c>
      <c r="H1128">
        <f>'T_SelfStock'!F59</f>
        <v/>
      </c>
      <c r="I1128">
        <f>'T_SelfStock'!G59</f>
        <v/>
      </c>
      <c r="J1128">
        <f>'T_SelfStock'!H59</f>
        <v/>
      </c>
      <c r="K1128">
        <f>'T_SelfStock'!I59</f>
        <v/>
      </c>
      <c r="L1128">
        <f>'T_SelfStock'!J59</f>
        <v/>
      </c>
      <c r="M1128">
        <f>'T_SelfStock'!K59</f>
        <v/>
      </c>
      <c r="N1128">
        <f>'T_SelfStock'!L59</f>
        <v/>
      </c>
      <c r="O1128">
        <f>'T_SelfStock'!M59</f>
        <v/>
      </c>
      <c r="P1128">
        <f>'T_SelfStock'!N59</f>
        <v/>
      </c>
      <c r="Q1128">
        <f>'T_SelfStock'!O59</f>
        <v/>
      </c>
      <c r="R1128">
        <f>'T_SelfStock'!P59</f>
        <v/>
      </c>
      <c r="S1128">
        <f>'T_SelfStock'!Q59</f>
        <v/>
      </c>
      <c r="T1128">
        <f>'T_SelfStock'!R59</f>
        <v/>
      </c>
      <c r="U1128">
        <f>'T_SelfStock'!S59</f>
        <v/>
      </c>
      <c r="V1128">
        <f>'T_SelfStock'!T59</f>
        <v/>
      </c>
      <c r="W1128">
        <f>'T_SelfStock'!U59</f>
        <v/>
      </c>
      <c r="X1128">
        <f>'T_SelfStock'!V59</f>
        <v/>
      </c>
      <c r="Y1128">
        <f>'T_SelfStock'!W59</f>
        <v/>
      </c>
      <c r="Z1128">
        <f>'T_SelfStock'!X59</f>
        <v/>
      </c>
      <c r="AA1128">
        <f>'T_SelfStock'!Y59</f>
        <v/>
      </c>
      <c r="AB1128">
        <f>'T_SelfStock'!Z59</f>
        <v/>
      </c>
      <c r="AC1128">
        <f>'T_SelfStock'!AA59</f>
        <v/>
      </c>
      <c r="AD1128">
        <f>'T_SelfStock'!AB59</f>
        <v/>
      </c>
      <c r="AE1128">
        <f>'T_SelfStock'!AC59</f>
        <v/>
      </c>
      <c r="AF1128">
        <f>'T_SelfStock'!AD59</f>
        <v/>
      </c>
      <c r="AG1128">
        <f>'T_SelfStock'!AE59</f>
        <v/>
      </c>
      <c r="AH1128">
        <f>'T_SelfStock'!AF59</f>
        <v/>
      </c>
      <c r="AI1128">
        <f>'T_SelfStock'!AG59</f>
        <v/>
      </c>
      <c r="AJ1128">
        <f>'T_SelfStock'!AH59</f>
        <v/>
      </c>
      <c r="AK1128">
        <f>'T_SelfStock'!AI59</f>
        <v/>
      </c>
      <c r="AL1128">
        <f>'T_SelfStock'!AJ59</f>
        <v/>
      </c>
      <c r="AM1128">
        <f>'T_SelfStock'!AK59</f>
        <v/>
      </c>
      <c r="AN1128">
        <f>'T_SelfStock'!AL59</f>
        <v/>
      </c>
      <c r="AO1128">
        <f>'T_SelfStock'!AM59</f>
        <v/>
      </c>
      <c r="AP1128">
        <f>'T_SelfStock'!AN59</f>
        <v/>
      </c>
      <c r="AQ1128">
        <f>'T_SelfStock'!AO59</f>
        <v/>
      </c>
      <c r="AR1128">
        <f>'T_SelfStock'!AP59</f>
        <v/>
      </c>
      <c r="AS1128">
        <f>'T_SelfStock'!AQ59</f>
        <v/>
      </c>
      <c r="AT1128">
        <f>'T_SelfStock'!AR59</f>
        <v/>
      </c>
      <c r="AU1128">
        <f>'T_SelfStock'!AS59</f>
        <v/>
      </c>
      <c r="AV1128">
        <f>'T_SelfStock'!AT59</f>
        <v/>
      </c>
      <c r="AW1128">
        <f>'T_SelfStock'!AU59</f>
        <v/>
      </c>
      <c r="AX1128">
        <f>'T_SelfStock'!AV59</f>
        <v/>
      </c>
      <c r="AY1128">
        <f>'T_SelfStock'!AW59</f>
        <v/>
      </c>
      <c r="AZ1128">
        <f>'T_SelfStock'!AX59</f>
        <v/>
      </c>
      <c r="BA1128">
        <f>'T_SelfStock'!AY59</f>
        <v/>
      </c>
      <c r="BB1128">
        <f>'T_SelfStock'!AZ59</f>
        <v/>
      </c>
      <c r="BC1128">
        <f>'T_SelfStock'!BA59</f>
        <v/>
      </c>
      <c r="BD1128">
        <f>'T_SelfStock'!BB59</f>
        <v/>
      </c>
      <c r="BE1128">
        <f>'T_SelfStock'!BC59</f>
        <v/>
      </c>
      <c r="BF1128">
        <f>'T_SelfStock'!BD59</f>
        <v/>
      </c>
      <c r="BG1128">
        <f>'T_SelfStock'!BE59</f>
        <v/>
      </c>
      <c r="BH1128">
        <f>'T_SelfStock'!BF59</f>
        <v/>
      </c>
      <c r="BI1128">
        <f>'T_SelfStock'!BG59</f>
        <v/>
      </c>
      <c r="BJ1128">
        <f>'T_SelfStock'!BH59</f>
        <v/>
      </c>
      <c r="BK1128">
        <f>'T_SelfStock'!BI59</f>
        <v/>
      </c>
      <c r="BL1128">
        <f>'T_SelfStock'!BJ59</f>
        <v/>
      </c>
      <c r="BM1128">
        <f>'T_SelfStock'!BK59</f>
        <v/>
      </c>
      <c r="BN1128">
        <f>'T_SelfStock'!BL59</f>
        <v/>
      </c>
      <c r="BO1128">
        <f>'T_SelfStock'!BM59</f>
        <v/>
      </c>
      <c r="BP1128">
        <f>'T_SelfStock'!BN59</f>
        <v/>
      </c>
      <c r="BQ1128">
        <f>'T_SelfStock'!BO59</f>
        <v/>
      </c>
      <c r="BR1128">
        <f>'T_SelfStock'!BP59</f>
        <v/>
      </c>
      <c r="BS1128">
        <f>'T_SelfStock'!BQ59</f>
        <v/>
      </c>
      <c r="BT1128">
        <f>'T_SelfStock'!BR59</f>
        <v/>
      </c>
      <c r="BU1128">
        <f>'T_SelfStock'!BS59</f>
        <v/>
      </c>
      <c r="BV1128">
        <f>'T_SelfStock'!BT59</f>
        <v/>
      </c>
      <c r="BW1128">
        <f>'T_SelfStock'!BU59</f>
        <v/>
      </c>
      <c r="BX1128">
        <f>'T_SelfStock'!BV59</f>
        <v/>
      </c>
      <c r="BY1128">
        <f>'T_SelfStock'!BW59</f>
        <v/>
      </c>
      <c r="BZ1128">
        <f>'T_SelfStock'!BX59</f>
        <v/>
      </c>
      <c r="CA1128">
        <f>'T_SelfStock'!BY59</f>
        <v/>
      </c>
      <c r="CB1128">
        <f>'T_SelfStock'!BZ59</f>
        <v/>
      </c>
      <c r="CC1128">
        <f>'T_SelfStock'!CA59</f>
        <v/>
      </c>
      <c r="CD1128">
        <f>'T_SelfStock'!CB59</f>
        <v/>
      </c>
      <c r="CE1128">
        <f>'T_SelfStock'!CC59</f>
        <v/>
      </c>
      <c r="CF1128">
        <f>'T_SelfStock'!CD59</f>
        <v/>
      </c>
      <c r="CG1128">
        <f>'T_SelfStock'!CE59</f>
        <v/>
      </c>
      <c r="CH1128">
        <f>'T_SelfStock'!CF59</f>
        <v/>
      </c>
      <c r="CI1128">
        <f>'T_SelfStock'!CG59</f>
        <v/>
      </c>
      <c r="CJ1128">
        <f>'T_SelfStock'!CH59</f>
        <v/>
      </c>
      <c r="CK1128">
        <f>'T_SelfStock'!CI59</f>
        <v/>
      </c>
      <c r="CL1128">
        <f>'T_SelfStock'!CJ59</f>
        <v/>
      </c>
      <c r="CM1128">
        <f>'T_SelfStock'!CK59</f>
        <v/>
      </c>
      <c r="CN1128">
        <f>'T_SelfStock'!CL59</f>
        <v/>
      </c>
      <c r="CO1128">
        <f>'T_SelfStock'!CM59</f>
        <v/>
      </c>
      <c r="CP1128">
        <f>'T_SelfStock'!CN59</f>
        <v/>
      </c>
      <c r="CQ1128">
        <f>'T_SelfStock'!CO59</f>
        <v/>
      </c>
      <c r="CR1128">
        <f>'T_SelfStock'!CP59</f>
        <v/>
      </c>
      <c r="CS1128">
        <f>'T_SelfStock'!CQ59</f>
        <v/>
      </c>
      <c r="CT1128">
        <f>'T_SelfStock'!CR59</f>
        <v/>
      </c>
      <c r="CU1128">
        <f>'T_SelfStock'!CS59</f>
        <v/>
      </c>
      <c r="CV1128">
        <f>'T_SelfStock'!CT59</f>
        <v/>
      </c>
      <c r="CW1128">
        <f>'T_SelfStock'!CU59</f>
        <v/>
      </c>
      <c r="CX1128">
        <f>'T_SelfStock'!CV59</f>
        <v/>
      </c>
      <c r="CY1128">
        <f>'T_SelfStock'!CW59</f>
        <v/>
      </c>
      <c r="CZ1128">
        <f>'T_SelfStock'!CX59</f>
        <v/>
      </c>
      <c r="DA1128">
        <f>'T_SelfStock'!CY59</f>
        <v/>
      </c>
      <c r="DB1128">
        <f>'T_SelfStock'!CZ59</f>
        <v/>
      </c>
      <c r="DC1128">
        <f>'T_SelfStock'!DA59</f>
        <v/>
      </c>
    </row>
    <row r="1129">
      <c r="B1129" t="inlineStr">
        <is>
          <t>Order(発注予定,kg)</t>
        </is>
      </c>
      <c r="D1129">
        <f>IF(SUMIFS(T_PlannedOrders[EffectiveQty],T_PlannedOrders[Part Name],$A1119,T_PlannedOrders[WeekIndex],1)=0,"",SUMIFS(T_PlannedOrders[EffectiveQty],T_PlannedOrders[Part Name],$A1119,T_PlannedOrders[WeekIndex],1)&amp;" ("&amp;TEXT(SUMPRODUCT(MAX((T_PlannedOrders[Part Name]=$A1119)*(T_PlannedOrders[WeekIndex]=1)*(T_PlannedOrders[EffectiveQty]&gt;0)*T_PlannedOrders[Order_Month])),"m月")&amp;"発注)")</f>
        <v/>
      </c>
      <c r="E1129">
        <f>IF(SUMIFS(T_PlannedOrders[EffectiveQty],T_PlannedOrders[Part Name],$A1119,T_PlannedOrders[WeekIndex],2)=0,"",SUMIFS(T_PlannedOrders[EffectiveQty],T_PlannedOrders[Part Name],$A1119,T_PlannedOrders[WeekIndex],2)&amp;" ("&amp;TEXT(SUMPRODUCT(MAX((T_PlannedOrders[Part Name]=$A1119)*(T_PlannedOrders[WeekIndex]=2)*(T_PlannedOrders[EffectiveQty]&gt;0)*T_PlannedOrders[Order_Month])),"m月")&amp;"発注)")</f>
        <v/>
      </c>
      <c r="F1129">
        <f>IF(SUMIFS(T_PlannedOrders[EffectiveQty],T_PlannedOrders[Part Name],$A1119,T_PlannedOrders[WeekIndex],3)=0,"",SUMIFS(T_PlannedOrders[EffectiveQty],T_PlannedOrders[Part Name],$A1119,T_PlannedOrders[WeekIndex],3)&amp;" ("&amp;TEXT(SUMPRODUCT(MAX((T_PlannedOrders[Part Name]=$A1119)*(T_PlannedOrders[WeekIndex]=3)*(T_PlannedOrders[EffectiveQty]&gt;0)*T_PlannedOrders[Order_Month])),"m月")&amp;"発注)")</f>
        <v/>
      </c>
      <c r="G1129">
        <f>IF(SUMIFS(T_PlannedOrders[EffectiveQty],T_PlannedOrders[Part Name],$A1119,T_PlannedOrders[WeekIndex],4)=0,"",SUMIFS(T_PlannedOrders[EffectiveQty],T_PlannedOrders[Part Name],$A1119,T_PlannedOrders[WeekIndex],4)&amp;" ("&amp;TEXT(SUMPRODUCT(MAX((T_PlannedOrders[Part Name]=$A1119)*(T_PlannedOrders[WeekIndex]=4)*(T_PlannedOrders[EffectiveQty]&gt;0)*T_PlannedOrders[Order_Month])),"m月")&amp;"発注)")</f>
        <v/>
      </c>
      <c r="H1129">
        <f>IF(SUMIFS(T_PlannedOrders[EffectiveQty],T_PlannedOrders[Part Name],$A1119,T_PlannedOrders[WeekIndex],5)=0,"",SUMIFS(T_PlannedOrders[EffectiveQty],T_PlannedOrders[Part Name],$A1119,T_PlannedOrders[WeekIndex],5)&amp;" ("&amp;TEXT(SUMPRODUCT(MAX((T_PlannedOrders[Part Name]=$A1119)*(T_PlannedOrders[WeekIndex]=5)*(T_PlannedOrders[EffectiveQty]&gt;0)*T_PlannedOrders[Order_Month])),"m月")&amp;"発注)")</f>
        <v/>
      </c>
      <c r="I1129">
        <f>IF(SUMIFS(T_PlannedOrders[EffectiveQty],T_PlannedOrders[Part Name],$A1119,T_PlannedOrders[WeekIndex],6)=0,"",SUMIFS(T_PlannedOrders[EffectiveQty],T_PlannedOrders[Part Name],$A1119,T_PlannedOrders[WeekIndex],6)&amp;" ("&amp;TEXT(SUMPRODUCT(MAX((T_PlannedOrders[Part Name]=$A1119)*(T_PlannedOrders[WeekIndex]=6)*(T_PlannedOrders[EffectiveQty]&gt;0)*T_PlannedOrders[Order_Month])),"m月")&amp;"発注)")</f>
        <v/>
      </c>
      <c r="J1129">
        <f>IF(SUMIFS(T_PlannedOrders[EffectiveQty],T_PlannedOrders[Part Name],$A1119,T_PlannedOrders[WeekIndex],7)=0,"",SUMIFS(T_PlannedOrders[EffectiveQty],T_PlannedOrders[Part Name],$A1119,T_PlannedOrders[WeekIndex],7)&amp;" ("&amp;TEXT(SUMPRODUCT(MAX((T_PlannedOrders[Part Name]=$A1119)*(T_PlannedOrders[WeekIndex]=7)*(T_PlannedOrders[EffectiveQty]&gt;0)*T_PlannedOrders[Order_Month])),"m月")&amp;"発注)")</f>
        <v/>
      </c>
      <c r="K1129">
        <f>IF(SUMIFS(T_PlannedOrders[EffectiveQty],T_PlannedOrders[Part Name],$A1119,T_PlannedOrders[WeekIndex],8)=0,"",SUMIFS(T_PlannedOrders[EffectiveQty],T_PlannedOrders[Part Name],$A1119,T_PlannedOrders[WeekIndex],8)&amp;" ("&amp;TEXT(SUMPRODUCT(MAX((T_PlannedOrders[Part Name]=$A1119)*(T_PlannedOrders[WeekIndex]=8)*(T_PlannedOrders[EffectiveQty]&gt;0)*T_PlannedOrders[Order_Month])),"m月")&amp;"発注)")</f>
        <v/>
      </c>
      <c r="L1129">
        <f>IF(SUMIFS(T_PlannedOrders[EffectiveQty],T_PlannedOrders[Part Name],$A1119,T_PlannedOrders[WeekIndex],9)=0,"",SUMIFS(T_PlannedOrders[EffectiveQty],T_PlannedOrders[Part Name],$A1119,T_PlannedOrders[WeekIndex],9)&amp;" ("&amp;TEXT(SUMPRODUCT(MAX((T_PlannedOrders[Part Name]=$A1119)*(T_PlannedOrders[WeekIndex]=9)*(T_PlannedOrders[EffectiveQty]&gt;0)*T_PlannedOrders[Order_Month])),"m月")&amp;"発注)")</f>
        <v/>
      </c>
      <c r="M1129">
        <f>IF(SUMIFS(T_PlannedOrders[EffectiveQty],T_PlannedOrders[Part Name],$A1119,T_PlannedOrders[WeekIndex],10)=0,"",SUMIFS(T_PlannedOrders[EffectiveQty],T_PlannedOrders[Part Name],$A1119,T_PlannedOrders[WeekIndex],10)&amp;" ("&amp;TEXT(SUMPRODUCT(MAX((T_PlannedOrders[Part Name]=$A1119)*(T_PlannedOrders[WeekIndex]=10)*(T_PlannedOrders[EffectiveQty]&gt;0)*T_PlannedOrders[Order_Month])),"m月")&amp;"発注)")</f>
        <v/>
      </c>
      <c r="N1129">
        <f>IF(SUMIFS(T_PlannedOrders[EffectiveQty],T_PlannedOrders[Part Name],$A1119,T_PlannedOrders[WeekIndex],11)=0,"",SUMIFS(T_PlannedOrders[EffectiveQty],T_PlannedOrders[Part Name],$A1119,T_PlannedOrders[WeekIndex],11)&amp;" ("&amp;TEXT(SUMPRODUCT(MAX((T_PlannedOrders[Part Name]=$A1119)*(T_PlannedOrders[WeekIndex]=11)*(T_PlannedOrders[EffectiveQty]&gt;0)*T_PlannedOrders[Order_Month])),"m月")&amp;"発注)")</f>
        <v/>
      </c>
      <c r="O1129">
        <f>IF(SUMIFS(T_PlannedOrders[EffectiveQty],T_PlannedOrders[Part Name],$A1119,T_PlannedOrders[WeekIndex],12)=0,"",SUMIFS(T_PlannedOrders[EffectiveQty],T_PlannedOrders[Part Name],$A1119,T_PlannedOrders[WeekIndex],12)&amp;" ("&amp;TEXT(SUMPRODUCT(MAX((T_PlannedOrders[Part Name]=$A1119)*(T_PlannedOrders[WeekIndex]=12)*(T_PlannedOrders[EffectiveQty]&gt;0)*T_PlannedOrders[Order_Month])),"m月")&amp;"発注)")</f>
        <v/>
      </c>
      <c r="P1129">
        <f>IF(SUMIFS(T_PlannedOrders[EffectiveQty],T_PlannedOrders[Part Name],$A1119,T_PlannedOrders[WeekIndex],13)=0,"",SUMIFS(T_PlannedOrders[EffectiveQty],T_PlannedOrders[Part Name],$A1119,T_PlannedOrders[WeekIndex],13)&amp;" ("&amp;TEXT(SUMPRODUCT(MAX((T_PlannedOrders[Part Name]=$A1119)*(T_PlannedOrders[WeekIndex]=13)*(T_PlannedOrders[EffectiveQty]&gt;0)*T_PlannedOrders[Order_Month])),"m月")&amp;"発注)")</f>
        <v/>
      </c>
      <c r="Q1129">
        <f>IF(SUMIFS(T_PlannedOrders[EffectiveQty],T_PlannedOrders[Part Name],$A1119,T_PlannedOrders[WeekIndex],14)=0,"",SUMIFS(T_PlannedOrders[EffectiveQty],T_PlannedOrders[Part Name],$A1119,T_PlannedOrders[WeekIndex],14)&amp;" ("&amp;TEXT(SUMPRODUCT(MAX((T_PlannedOrders[Part Name]=$A1119)*(T_PlannedOrders[WeekIndex]=14)*(T_PlannedOrders[EffectiveQty]&gt;0)*T_PlannedOrders[Order_Month])),"m月")&amp;"発注)")</f>
        <v/>
      </c>
      <c r="R1129">
        <f>IF(SUMIFS(T_PlannedOrders[EffectiveQty],T_PlannedOrders[Part Name],$A1119,T_PlannedOrders[WeekIndex],15)=0,"",SUMIFS(T_PlannedOrders[EffectiveQty],T_PlannedOrders[Part Name],$A1119,T_PlannedOrders[WeekIndex],15)&amp;" ("&amp;TEXT(SUMPRODUCT(MAX((T_PlannedOrders[Part Name]=$A1119)*(T_PlannedOrders[WeekIndex]=15)*(T_PlannedOrders[EffectiveQty]&gt;0)*T_PlannedOrders[Order_Month])),"m月")&amp;"発注)")</f>
        <v/>
      </c>
      <c r="S1129">
        <f>IF(SUMIFS(T_PlannedOrders[EffectiveQty],T_PlannedOrders[Part Name],$A1119,T_PlannedOrders[WeekIndex],16)=0,"",SUMIFS(T_PlannedOrders[EffectiveQty],T_PlannedOrders[Part Name],$A1119,T_PlannedOrders[WeekIndex],16)&amp;" ("&amp;TEXT(SUMPRODUCT(MAX((T_PlannedOrders[Part Name]=$A1119)*(T_PlannedOrders[WeekIndex]=16)*(T_PlannedOrders[EffectiveQty]&gt;0)*T_PlannedOrders[Order_Month])),"m月")&amp;"発注)")</f>
        <v/>
      </c>
      <c r="T1129">
        <f>IF(SUMIFS(T_PlannedOrders[EffectiveQty],T_PlannedOrders[Part Name],$A1119,T_PlannedOrders[WeekIndex],17)=0,"",SUMIFS(T_PlannedOrders[EffectiveQty],T_PlannedOrders[Part Name],$A1119,T_PlannedOrders[WeekIndex],17)&amp;" ("&amp;TEXT(SUMPRODUCT(MAX((T_PlannedOrders[Part Name]=$A1119)*(T_PlannedOrders[WeekIndex]=17)*(T_PlannedOrders[EffectiveQty]&gt;0)*T_PlannedOrders[Order_Month])),"m月")&amp;"発注)")</f>
        <v/>
      </c>
      <c r="U1129">
        <f>IF(SUMIFS(T_PlannedOrders[EffectiveQty],T_PlannedOrders[Part Name],$A1119,T_PlannedOrders[WeekIndex],18)=0,"",SUMIFS(T_PlannedOrders[EffectiveQty],T_PlannedOrders[Part Name],$A1119,T_PlannedOrders[WeekIndex],18)&amp;" ("&amp;TEXT(SUMPRODUCT(MAX((T_PlannedOrders[Part Name]=$A1119)*(T_PlannedOrders[WeekIndex]=18)*(T_PlannedOrders[EffectiveQty]&gt;0)*T_PlannedOrders[Order_Month])),"m月")&amp;"発注)")</f>
        <v/>
      </c>
      <c r="V1129">
        <f>IF(SUMIFS(T_PlannedOrders[EffectiveQty],T_PlannedOrders[Part Name],$A1119,T_PlannedOrders[WeekIndex],19)=0,"",SUMIFS(T_PlannedOrders[EffectiveQty],T_PlannedOrders[Part Name],$A1119,T_PlannedOrders[WeekIndex],19)&amp;" ("&amp;TEXT(SUMPRODUCT(MAX((T_PlannedOrders[Part Name]=$A1119)*(T_PlannedOrders[WeekIndex]=19)*(T_PlannedOrders[EffectiveQty]&gt;0)*T_PlannedOrders[Order_Month])),"m月")&amp;"発注)")</f>
        <v/>
      </c>
      <c r="W1129">
        <f>IF(SUMIFS(T_PlannedOrders[EffectiveQty],T_PlannedOrders[Part Name],$A1119,T_PlannedOrders[WeekIndex],20)=0,"",SUMIFS(T_PlannedOrders[EffectiveQty],T_PlannedOrders[Part Name],$A1119,T_PlannedOrders[WeekIndex],20)&amp;" ("&amp;TEXT(SUMPRODUCT(MAX((T_PlannedOrders[Part Name]=$A1119)*(T_PlannedOrders[WeekIndex]=20)*(T_PlannedOrders[EffectiveQty]&gt;0)*T_PlannedOrders[Order_Month])),"m月")&amp;"発注)")</f>
        <v/>
      </c>
      <c r="X1129">
        <f>IF(SUMIFS(T_PlannedOrders[EffectiveQty],T_PlannedOrders[Part Name],$A1119,T_PlannedOrders[WeekIndex],21)=0,"",SUMIFS(T_PlannedOrders[EffectiveQty],T_PlannedOrders[Part Name],$A1119,T_PlannedOrders[WeekIndex],21)&amp;" ("&amp;TEXT(SUMPRODUCT(MAX((T_PlannedOrders[Part Name]=$A1119)*(T_PlannedOrders[WeekIndex]=21)*(T_PlannedOrders[EffectiveQty]&gt;0)*T_PlannedOrders[Order_Month])),"m月")&amp;"発注)")</f>
        <v/>
      </c>
      <c r="Y1129">
        <f>IF(SUMIFS(T_PlannedOrders[EffectiveQty],T_PlannedOrders[Part Name],$A1119,T_PlannedOrders[WeekIndex],22)=0,"",SUMIFS(T_PlannedOrders[EffectiveQty],T_PlannedOrders[Part Name],$A1119,T_PlannedOrders[WeekIndex],22)&amp;" ("&amp;TEXT(SUMPRODUCT(MAX((T_PlannedOrders[Part Name]=$A1119)*(T_PlannedOrders[WeekIndex]=22)*(T_PlannedOrders[EffectiveQty]&gt;0)*T_PlannedOrders[Order_Month])),"m月")&amp;"発注)")</f>
        <v/>
      </c>
      <c r="Z1129">
        <f>IF(SUMIFS(T_PlannedOrders[EffectiveQty],T_PlannedOrders[Part Name],$A1119,T_PlannedOrders[WeekIndex],23)=0,"",SUMIFS(T_PlannedOrders[EffectiveQty],T_PlannedOrders[Part Name],$A1119,T_PlannedOrders[WeekIndex],23)&amp;" ("&amp;TEXT(SUMPRODUCT(MAX((T_PlannedOrders[Part Name]=$A1119)*(T_PlannedOrders[WeekIndex]=23)*(T_PlannedOrders[EffectiveQty]&gt;0)*T_PlannedOrders[Order_Month])),"m月")&amp;"発注)")</f>
        <v/>
      </c>
      <c r="AA1129">
        <f>IF(SUMIFS(T_PlannedOrders[EffectiveQty],T_PlannedOrders[Part Name],$A1119,T_PlannedOrders[WeekIndex],24)=0,"",SUMIFS(T_PlannedOrders[EffectiveQty],T_PlannedOrders[Part Name],$A1119,T_PlannedOrders[WeekIndex],24)&amp;" ("&amp;TEXT(SUMPRODUCT(MAX((T_PlannedOrders[Part Name]=$A1119)*(T_PlannedOrders[WeekIndex]=24)*(T_PlannedOrders[EffectiveQty]&gt;0)*T_PlannedOrders[Order_Month])),"m月")&amp;"発注)")</f>
        <v/>
      </c>
      <c r="AB1129">
        <f>IF(SUMIFS(T_PlannedOrders[EffectiveQty],T_PlannedOrders[Part Name],$A1119,T_PlannedOrders[WeekIndex],25)=0,"",SUMIFS(T_PlannedOrders[EffectiveQty],T_PlannedOrders[Part Name],$A1119,T_PlannedOrders[WeekIndex],25)&amp;" ("&amp;TEXT(SUMPRODUCT(MAX((T_PlannedOrders[Part Name]=$A1119)*(T_PlannedOrders[WeekIndex]=25)*(T_PlannedOrders[EffectiveQty]&gt;0)*T_PlannedOrders[Order_Month])),"m月")&amp;"発注)")</f>
        <v/>
      </c>
      <c r="AC1129">
        <f>IF(SUMIFS(T_PlannedOrders[EffectiveQty],T_PlannedOrders[Part Name],$A1119,T_PlannedOrders[WeekIndex],26)=0,"",SUMIFS(T_PlannedOrders[EffectiveQty],T_PlannedOrders[Part Name],$A1119,T_PlannedOrders[WeekIndex],26)&amp;" ("&amp;TEXT(SUMPRODUCT(MAX((T_PlannedOrders[Part Name]=$A1119)*(T_PlannedOrders[WeekIndex]=26)*(T_PlannedOrders[EffectiveQty]&gt;0)*T_PlannedOrders[Order_Month])),"m月")&amp;"発注)")</f>
        <v/>
      </c>
      <c r="AD1129">
        <f>IF(SUMIFS(T_PlannedOrders[EffectiveQty],T_PlannedOrders[Part Name],$A1119,T_PlannedOrders[WeekIndex],27)=0,"",SUMIFS(T_PlannedOrders[EffectiveQty],T_PlannedOrders[Part Name],$A1119,T_PlannedOrders[WeekIndex],27)&amp;" ("&amp;TEXT(SUMPRODUCT(MAX((T_PlannedOrders[Part Name]=$A1119)*(T_PlannedOrders[WeekIndex]=27)*(T_PlannedOrders[EffectiveQty]&gt;0)*T_PlannedOrders[Order_Month])),"m月")&amp;"発注)")</f>
        <v/>
      </c>
      <c r="AE1129">
        <f>IF(SUMIFS(T_PlannedOrders[EffectiveQty],T_PlannedOrders[Part Name],$A1119,T_PlannedOrders[WeekIndex],28)=0,"",SUMIFS(T_PlannedOrders[EffectiveQty],T_PlannedOrders[Part Name],$A1119,T_PlannedOrders[WeekIndex],28)&amp;" ("&amp;TEXT(SUMPRODUCT(MAX((T_PlannedOrders[Part Name]=$A1119)*(T_PlannedOrders[WeekIndex]=28)*(T_PlannedOrders[EffectiveQty]&gt;0)*T_PlannedOrders[Order_Month])),"m月")&amp;"発注)")</f>
        <v/>
      </c>
      <c r="AF1129">
        <f>IF(SUMIFS(T_PlannedOrders[EffectiveQty],T_PlannedOrders[Part Name],$A1119,T_PlannedOrders[WeekIndex],29)=0,"",SUMIFS(T_PlannedOrders[EffectiveQty],T_PlannedOrders[Part Name],$A1119,T_PlannedOrders[WeekIndex],29)&amp;" ("&amp;TEXT(SUMPRODUCT(MAX((T_PlannedOrders[Part Name]=$A1119)*(T_PlannedOrders[WeekIndex]=29)*(T_PlannedOrders[EffectiveQty]&gt;0)*T_PlannedOrders[Order_Month])),"m月")&amp;"発注)")</f>
        <v/>
      </c>
      <c r="AG1129">
        <f>IF(SUMIFS(T_PlannedOrders[EffectiveQty],T_PlannedOrders[Part Name],$A1119,T_PlannedOrders[WeekIndex],30)=0,"",SUMIFS(T_PlannedOrders[EffectiveQty],T_PlannedOrders[Part Name],$A1119,T_PlannedOrders[WeekIndex],30)&amp;" ("&amp;TEXT(SUMPRODUCT(MAX((T_PlannedOrders[Part Name]=$A1119)*(T_PlannedOrders[WeekIndex]=30)*(T_PlannedOrders[EffectiveQty]&gt;0)*T_PlannedOrders[Order_Month])),"m月")&amp;"発注)")</f>
        <v/>
      </c>
      <c r="AH1129">
        <f>IF(SUMIFS(T_PlannedOrders[EffectiveQty],T_PlannedOrders[Part Name],$A1119,T_PlannedOrders[WeekIndex],31)=0,"",SUMIFS(T_PlannedOrders[EffectiveQty],T_PlannedOrders[Part Name],$A1119,T_PlannedOrders[WeekIndex],31)&amp;" ("&amp;TEXT(SUMPRODUCT(MAX((T_PlannedOrders[Part Name]=$A1119)*(T_PlannedOrders[WeekIndex]=31)*(T_PlannedOrders[EffectiveQty]&gt;0)*T_PlannedOrders[Order_Month])),"m月")&amp;"発注)")</f>
        <v/>
      </c>
      <c r="AI1129">
        <f>IF(SUMIFS(T_PlannedOrders[EffectiveQty],T_PlannedOrders[Part Name],$A1119,T_PlannedOrders[WeekIndex],32)=0,"",SUMIFS(T_PlannedOrders[EffectiveQty],T_PlannedOrders[Part Name],$A1119,T_PlannedOrders[WeekIndex],32)&amp;" ("&amp;TEXT(SUMPRODUCT(MAX((T_PlannedOrders[Part Name]=$A1119)*(T_PlannedOrders[WeekIndex]=32)*(T_PlannedOrders[EffectiveQty]&gt;0)*T_PlannedOrders[Order_Month])),"m月")&amp;"発注)")</f>
        <v/>
      </c>
      <c r="AJ1129">
        <f>IF(SUMIFS(T_PlannedOrders[EffectiveQty],T_PlannedOrders[Part Name],$A1119,T_PlannedOrders[WeekIndex],33)=0,"",SUMIFS(T_PlannedOrders[EffectiveQty],T_PlannedOrders[Part Name],$A1119,T_PlannedOrders[WeekIndex],33)&amp;" ("&amp;TEXT(SUMPRODUCT(MAX((T_PlannedOrders[Part Name]=$A1119)*(T_PlannedOrders[WeekIndex]=33)*(T_PlannedOrders[EffectiveQty]&gt;0)*T_PlannedOrders[Order_Month])),"m月")&amp;"発注)")</f>
        <v/>
      </c>
      <c r="AK1129">
        <f>IF(SUMIFS(T_PlannedOrders[EffectiveQty],T_PlannedOrders[Part Name],$A1119,T_PlannedOrders[WeekIndex],34)=0,"",SUMIFS(T_PlannedOrders[EffectiveQty],T_PlannedOrders[Part Name],$A1119,T_PlannedOrders[WeekIndex],34)&amp;" ("&amp;TEXT(SUMPRODUCT(MAX((T_PlannedOrders[Part Name]=$A1119)*(T_PlannedOrders[WeekIndex]=34)*(T_PlannedOrders[EffectiveQty]&gt;0)*T_PlannedOrders[Order_Month])),"m月")&amp;"発注)")</f>
        <v/>
      </c>
      <c r="AL1129">
        <f>IF(SUMIFS(T_PlannedOrders[EffectiveQty],T_PlannedOrders[Part Name],$A1119,T_PlannedOrders[WeekIndex],35)=0,"",SUMIFS(T_PlannedOrders[EffectiveQty],T_PlannedOrders[Part Name],$A1119,T_PlannedOrders[WeekIndex],35)&amp;" ("&amp;TEXT(SUMPRODUCT(MAX((T_PlannedOrders[Part Name]=$A1119)*(T_PlannedOrders[WeekIndex]=35)*(T_PlannedOrders[EffectiveQty]&gt;0)*T_PlannedOrders[Order_Month])),"m月")&amp;"発注)")</f>
        <v/>
      </c>
      <c r="AM1129">
        <f>IF(SUMIFS(T_PlannedOrders[EffectiveQty],T_PlannedOrders[Part Name],$A1119,T_PlannedOrders[WeekIndex],36)=0,"",SUMIFS(T_PlannedOrders[EffectiveQty],T_PlannedOrders[Part Name],$A1119,T_PlannedOrders[WeekIndex],36)&amp;" ("&amp;TEXT(SUMPRODUCT(MAX((T_PlannedOrders[Part Name]=$A1119)*(T_PlannedOrders[WeekIndex]=36)*(T_PlannedOrders[EffectiveQty]&gt;0)*T_PlannedOrders[Order_Month])),"m月")&amp;"発注)")</f>
        <v/>
      </c>
      <c r="AN1129">
        <f>IF(SUMIFS(T_PlannedOrders[EffectiveQty],T_PlannedOrders[Part Name],$A1119,T_PlannedOrders[WeekIndex],37)=0,"",SUMIFS(T_PlannedOrders[EffectiveQty],T_PlannedOrders[Part Name],$A1119,T_PlannedOrders[WeekIndex],37)&amp;" ("&amp;TEXT(SUMPRODUCT(MAX((T_PlannedOrders[Part Name]=$A1119)*(T_PlannedOrders[WeekIndex]=37)*(T_PlannedOrders[EffectiveQty]&gt;0)*T_PlannedOrders[Order_Month])),"m月")&amp;"発注)")</f>
        <v/>
      </c>
      <c r="AO1129">
        <f>IF(SUMIFS(T_PlannedOrders[EffectiveQty],T_PlannedOrders[Part Name],$A1119,T_PlannedOrders[WeekIndex],38)=0,"",SUMIFS(T_PlannedOrders[EffectiveQty],T_PlannedOrders[Part Name],$A1119,T_PlannedOrders[WeekIndex],38)&amp;" ("&amp;TEXT(SUMPRODUCT(MAX((T_PlannedOrders[Part Name]=$A1119)*(T_PlannedOrders[WeekIndex]=38)*(T_PlannedOrders[EffectiveQty]&gt;0)*T_PlannedOrders[Order_Month])),"m月")&amp;"発注)")</f>
        <v/>
      </c>
      <c r="AP1129">
        <f>IF(SUMIFS(T_PlannedOrders[EffectiveQty],T_PlannedOrders[Part Name],$A1119,T_PlannedOrders[WeekIndex],39)=0,"",SUMIFS(T_PlannedOrders[EffectiveQty],T_PlannedOrders[Part Name],$A1119,T_PlannedOrders[WeekIndex],39)&amp;" ("&amp;TEXT(SUMPRODUCT(MAX((T_PlannedOrders[Part Name]=$A1119)*(T_PlannedOrders[WeekIndex]=39)*(T_PlannedOrders[EffectiveQty]&gt;0)*T_PlannedOrders[Order_Month])),"m月")&amp;"発注)")</f>
        <v/>
      </c>
      <c r="AQ1129">
        <f>IF(SUMIFS(T_PlannedOrders[EffectiveQty],T_PlannedOrders[Part Name],$A1119,T_PlannedOrders[WeekIndex],40)=0,"",SUMIFS(T_PlannedOrders[EffectiveQty],T_PlannedOrders[Part Name],$A1119,T_PlannedOrders[WeekIndex],40)&amp;" ("&amp;TEXT(SUMPRODUCT(MAX((T_PlannedOrders[Part Name]=$A1119)*(T_PlannedOrders[WeekIndex]=40)*(T_PlannedOrders[EffectiveQty]&gt;0)*T_PlannedOrders[Order_Month])),"m月")&amp;"発注)")</f>
        <v/>
      </c>
      <c r="AR1129">
        <f>IF(SUMIFS(T_PlannedOrders[EffectiveQty],T_PlannedOrders[Part Name],$A1119,T_PlannedOrders[WeekIndex],41)=0,"",SUMIFS(T_PlannedOrders[EffectiveQty],T_PlannedOrders[Part Name],$A1119,T_PlannedOrders[WeekIndex],41)&amp;" ("&amp;TEXT(SUMPRODUCT(MAX((T_PlannedOrders[Part Name]=$A1119)*(T_PlannedOrders[WeekIndex]=41)*(T_PlannedOrders[EffectiveQty]&gt;0)*T_PlannedOrders[Order_Month])),"m月")&amp;"発注)")</f>
        <v/>
      </c>
      <c r="AS1129">
        <f>IF(SUMIFS(T_PlannedOrders[EffectiveQty],T_PlannedOrders[Part Name],$A1119,T_PlannedOrders[WeekIndex],42)=0,"",SUMIFS(T_PlannedOrders[EffectiveQty],T_PlannedOrders[Part Name],$A1119,T_PlannedOrders[WeekIndex],42)&amp;" ("&amp;TEXT(SUMPRODUCT(MAX((T_PlannedOrders[Part Name]=$A1119)*(T_PlannedOrders[WeekIndex]=42)*(T_PlannedOrders[EffectiveQty]&gt;0)*T_PlannedOrders[Order_Month])),"m月")&amp;"発注)")</f>
        <v/>
      </c>
      <c r="AT1129">
        <f>IF(SUMIFS(T_PlannedOrders[EffectiveQty],T_PlannedOrders[Part Name],$A1119,T_PlannedOrders[WeekIndex],43)=0,"",SUMIFS(T_PlannedOrders[EffectiveQty],T_PlannedOrders[Part Name],$A1119,T_PlannedOrders[WeekIndex],43)&amp;" ("&amp;TEXT(SUMPRODUCT(MAX((T_PlannedOrders[Part Name]=$A1119)*(T_PlannedOrders[WeekIndex]=43)*(T_PlannedOrders[EffectiveQty]&gt;0)*T_PlannedOrders[Order_Month])),"m月")&amp;"発注)")</f>
        <v/>
      </c>
      <c r="AU1129">
        <f>IF(SUMIFS(T_PlannedOrders[EffectiveQty],T_PlannedOrders[Part Name],$A1119,T_PlannedOrders[WeekIndex],44)=0,"",SUMIFS(T_PlannedOrders[EffectiveQty],T_PlannedOrders[Part Name],$A1119,T_PlannedOrders[WeekIndex],44)&amp;" ("&amp;TEXT(SUMPRODUCT(MAX((T_PlannedOrders[Part Name]=$A1119)*(T_PlannedOrders[WeekIndex]=44)*(T_PlannedOrders[EffectiveQty]&gt;0)*T_PlannedOrders[Order_Month])),"m月")&amp;"発注)")</f>
        <v/>
      </c>
      <c r="AV1129">
        <f>IF(SUMIFS(T_PlannedOrders[EffectiveQty],T_PlannedOrders[Part Name],$A1119,T_PlannedOrders[WeekIndex],45)=0,"",SUMIFS(T_PlannedOrders[EffectiveQty],T_PlannedOrders[Part Name],$A1119,T_PlannedOrders[WeekIndex],45)&amp;" ("&amp;TEXT(SUMPRODUCT(MAX((T_PlannedOrders[Part Name]=$A1119)*(T_PlannedOrders[WeekIndex]=45)*(T_PlannedOrders[EffectiveQty]&gt;0)*T_PlannedOrders[Order_Month])),"m月")&amp;"発注)")</f>
        <v/>
      </c>
      <c r="AW1129">
        <f>IF(SUMIFS(T_PlannedOrders[EffectiveQty],T_PlannedOrders[Part Name],$A1119,T_PlannedOrders[WeekIndex],46)=0,"",SUMIFS(T_PlannedOrders[EffectiveQty],T_PlannedOrders[Part Name],$A1119,T_PlannedOrders[WeekIndex],46)&amp;" ("&amp;TEXT(SUMPRODUCT(MAX((T_PlannedOrders[Part Name]=$A1119)*(T_PlannedOrders[WeekIndex]=46)*(T_PlannedOrders[EffectiveQty]&gt;0)*T_PlannedOrders[Order_Month])),"m月")&amp;"発注)")</f>
        <v/>
      </c>
      <c r="AX1129">
        <f>IF(SUMIFS(T_PlannedOrders[EffectiveQty],T_PlannedOrders[Part Name],$A1119,T_PlannedOrders[WeekIndex],47)=0,"",SUMIFS(T_PlannedOrders[EffectiveQty],T_PlannedOrders[Part Name],$A1119,T_PlannedOrders[WeekIndex],47)&amp;" ("&amp;TEXT(SUMPRODUCT(MAX((T_PlannedOrders[Part Name]=$A1119)*(T_PlannedOrders[WeekIndex]=47)*(T_PlannedOrders[EffectiveQty]&gt;0)*T_PlannedOrders[Order_Month])),"m月")&amp;"発注)")</f>
        <v/>
      </c>
      <c r="AY1129">
        <f>IF(SUMIFS(T_PlannedOrders[EffectiveQty],T_PlannedOrders[Part Name],$A1119,T_PlannedOrders[WeekIndex],48)=0,"",SUMIFS(T_PlannedOrders[EffectiveQty],T_PlannedOrders[Part Name],$A1119,T_PlannedOrders[WeekIndex],48)&amp;" ("&amp;TEXT(SUMPRODUCT(MAX((T_PlannedOrders[Part Name]=$A1119)*(T_PlannedOrders[WeekIndex]=48)*(T_PlannedOrders[EffectiveQty]&gt;0)*T_PlannedOrders[Order_Month])),"m月")&amp;"発注)")</f>
        <v/>
      </c>
      <c r="AZ1129">
        <f>IF(SUMIFS(T_PlannedOrders[EffectiveQty],T_PlannedOrders[Part Name],$A1119,T_PlannedOrders[WeekIndex],49)=0,"",SUMIFS(T_PlannedOrders[EffectiveQty],T_PlannedOrders[Part Name],$A1119,T_PlannedOrders[WeekIndex],49)&amp;" ("&amp;TEXT(SUMPRODUCT(MAX((T_PlannedOrders[Part Name]=$A1119)*(T_PlannedOrders[WeekIndex]=49)*(T_PlannedOrders[EffectiveQty]&gt;0)*T_PlannedOrders[Order_Month])),"m月")&amp;"発注)")</f>
        <v/>
      </c>
      <c r="BA1129">
        <f>IF(SUMIFS(T_PlannedOrders[EffectiveQty],T_PlannedOrders[Part Name],$A1119,T_PlannedOrders[WeekIndex],50)=0,"",SUMIFS(T_PlannedOrders[EffectiveQty],T_PlannedOrders[Part Name],$A1119,T_PlannedOrders[WeekIndex],50)&amp;" ("&amp;TEXT(SUMPRODUCT(MAX((T_PlannedOrders[Part Name]=$A1119)*(T_PlannedOrders[WeekIndex]=50)*(T_PlannedOrders[EffectiveQty]&gt;0)*T_PlannedOrders[Order_Month])),"m月")&amp;"発注)")</f>
        <v/>
      </c>
      <c r="BB1129">
        <f>IF(SUMIFS(T_PlannedOrders[EffectiveQty],T_PlannedOrders[Part Name],$A1119,T_PlannedOrders[WeekIndex],51)=0,"",SUMIFS(T_PlannedOrders[EffectiveQty],T_PlannedOrders[Part Name],$A1119,T_PlannedOrders[WeekIndex],51)&amp;" ("&amp;TEXT(SUMPRODUCT(MAX((T_PlannedOrders[Part Name]=$A1119)*(T_PlannedOrders[WeekIndex]=51)*(T_PlannedOrders[EffectiveQty]&gt;0)*T_PlannedOrders[Order_Month])),"m月")&amp;"発注)")</f>
        <v/>
      </c>
      <c r="BC1129">
        <f>IF(SUMIFS(T_PlannedOrders[EffectiveQty],T_PlannedOrders[Part Name],$A1119,T_PlannedOrders[WeekIndex],52)=0,"",SUMIFS(T_PlannedOrders[EffectiveQty],T_PlannedOrders[Part Name],$A1119,T_PlannedOrders[WeekIndex],52)&amp;" ("&amp;TEXT(SUMPRODUCT(MAX((T_PlannedOrders[Part Name]=$A1119)*(T_PlannedOrders[WeekIndex]=52)*(T_PlannedOrders[EffectiveQty]&gt;0)*T_PlannedOrders[Order_Month])),"m月")&amp;"発注)")</f>
        <v/>
      </c>
      <c r="BD1129">
        <f>IF(SUMIFS(T_PlannedOrders[EffectiveQty],T_PlannedOrders[Part Name],$A1119,T_PlannedOrders[WeekIndex],53)=0,"",SUMIFS(T_PlannedOrders[EffectiveQty],T_PlannedOrders[Part Name],$A1119,T_PlannedOrders[WeekIndex],53)&amp;" ("&amp;TEXT(SUMPRODUCT(MAX((T_PlannedOrders[Part Name]=$A1119)*(T_PlannedOrders[WeekIndex]=53)*(T_PlannedOrders[EffectiveQty]&gt;0)*T_PlannedOrders[Order_Month])),"m月")&amp;"発注)")</f>
        <v/>
      </c>
      <c r="BE1129">
        <f>IF(SUMIFS(T_PlannedOrders[EffectiveQty],T_PlannedOrders[Part Name],$A1119,T_PlannedOrders[WeekIndex],54)=0,"",SUMIFS(T_PlannedOrders[EffectiveQty],T_PlannedOrders[Part Name],$A1119,T_PlannedOrders[WeekIndex],54)&amp;" ("&amp;TEXT(SUMPRODUCT(MAX((T_PlannedOrders[Part Name]=$A1119)*(T_PlannedOrders[WeekIndex]=54)*(T_PlannedOrders[EffectiveQty]&gt;0)*T_PlannedOrders[Order_Month])),"m月")&amp;"発注)")</f>
        <v/>
      </c>
      <c r="BF1129">
        <f>IF(SUMIFS(T_PlannedOrders[EffectiveQty],T_PlannedOrders[Part Name],$A1119,T_PlannedOrders[WeekIndex],55)=0,"",SUMIFS(T_PlannedOrders[EffectiveQty],T_PlannedOrders[Part Name],$A1119,T_PlannedOrders[WeekIndex],55)&amp;" ("&amp;TEXT(SUMPRODUCT(MAX((T_PlannedOrders[Part Name]=$A1119)*(T_PlannedOrders[WeekIndex]=55)*(T_PlannedOrders[EffectiveQty]&gt;0)*T_PlannedOrders[Order_Month])),"m月")&amp;"発注)")</f>
        <v/>
      </c>
      <c r="BG1129">
        <f>IF(SUMIFS(T_PlannedOrders[EffectiveQty],T_PlannedOrders[Part Name],$A1119,T_PlannedOrders[WeekIndex],56)=0,"",SUMIFS(T_PlannedOrders[EffectiveQty],T_PlannedOrders[Part Name],$A1119,T_PlannedOrders[WeekIndex],56)&amp;" ("&amp;TEXT(SUMPRODUCT(MAX((T_PlannedOrders[Part Name]=$A1119)*(T_PlannedOrders[WeekIndex]=56)*(T_PlannedOrders[EffectiveQty]&gt;0)*T_PlannedOrders[Order_Month])),"m月")&amp;"発注)")</f>
        <v/>
      </c>
      <c r="BH1129">
        <f>IF(SUMIFS(T_PlannedOrders[EffectiveQty],T_PlannedOrders[Part Name],$A1119,T_PlannedOrders[WeekIndex],57)=0,"",SUMIFS(T_PlannedOrders[EffectiveQty],T_PlannedOrders[Part Name],$A1119,T_PlannedOrders[WeekIndex],57)&amp;" ("&amp;TEXT(SUMPRODUCT(MAX((T_PlannedOrders[Part Name]=$A1119)*(T_PlannedOrders[WeekIndex]=57)*(T_PlannedOrders[EffectiveQty]&gt;0)*T_PlannedOrders[Order_Month])),"m月")&amp;"発注)")</f>
        <v/>
      </c>
      <c r="BI1129">
        <f>IF(SUMIFS(T_PlannedOrders[EffectiveQty],T_PlannedOrders[Part Name],$A1119,T_PlannedOrders[WeekIndex],58)=0,"",SUMIFS(T_PlannedOrders[EffectiveQty],T_PlannedOrders[Part Name],$A1119,T_PlannedOrders[WeekIndex],58)&amp;" ("&amp;TEXT(SUMPRODUCT(MAX((T_PlannedOrders[Part Name]=$A1119)*(T_PlannedOrders[WeekIndex]=58)*(T_PlannedOrders[EffectiveQty]&gt;0)*T_PlannedOrders[Order_Month])),"m月")&amp;"発注)")</f>
        <v/>
      </c>
      <c r="BJ1129">
        <f>IF(SUMIFS(T_PlannedOrders[EffectiveQty],T_PlannedOrders[Part Name],$A1119,T_PlannedOrders[WeekIndex],59)=0,"",SUMIFS(T_PlannedOrders[EffectiveQty],T_PlannedOrders[Part Name],$A1119,T_PlannedOrders[WeekIndex],59)&amp;" ("&amp;TEXT(SUMPRODUCT(MAX((T_PlannedOrders[Part Name]=$A1119)*(T_PlannedOrders[WeekIndex]=59)*(T_PlannedOrders[EffectiveQty]&gt;0)*T_PlannedOrders[Order_Month])),"m月")&amp;"発注)")</f>
        <v/>
      </c>
      <c r="BK1129">
        <f>IF(SUMIFS(T_PlannedOrders[EffectiveQty],T_PlannedOrders[Part Name],$A1119,T_PlannedOrders[WeekIndex],60)=0,"",SUMIFS(T_PlannedOrders[EffectiveQty],T_PlannedOrders[Part Name],$A1119,T_PlannedOrders[WeekIndex],60)&amp;" ("&amp;TEXT(SUMPRODUCT(MAX((T_PlannedOrders[Part Name]=$A1119)*(T_PlannedOrders[WeekIndex]=60)*(T_PlannedOrders[EffectiveQty]&gt;0)*T_PlannedOrders[Order_Month])),"m月")&amp;"発注)")</f>
        <v/>
      </c>
      <c r="BL1129">
        <f>IF(SUMIFS(T_PlannedOrders[EffectiveQty],T_PlannedOrders[Part Name],$A1119,T_PlannedOrders[WeekIndex],61)=0,"",SUMIFS(T_PlannedOrders[EffectiveQty],T_PlannedOrders[Part Name],$A1119,T_PlannedOrders[WeekIndex],61)&amp;" ("&amp;TEXT(SUMPRODUCT(MAX((T_PlannedOrders[Part Name]=$A1119)*(T_PlannedOrders[WeekIndex]=61)*(T_PlannedOrders[EffectiveQty]&gt;0)*T_PlannedOrders[Order_Month])),"m月")&amp;"発注)")</f>
        <v/>
      </c>
      <c r="BM1129">
        <f>IF(SUMIFS(T_PlannedOrders[EffectiveQty],T_PlannedOrders[Part Name],$A1119,T_PlannedOrders[WeekIndex],62)=0,"",SUMIFS(T_PlannedOrders[EffectiveQty],T_PlannedOrders[Part Name],$A1119,T_PlannedOrders[WeekIndex],62)&amp;" ("&amp;TEXT(SUMPRODUCT(MAX((T_PlannedOrders[Part Name]=$A1119)*(T_PlannedOrders[WeekIndex]=62)*(T_PlannedOrders[EffectiveQty]&gt;0)*T_PlannedOrders[Order_Month])),"m月")&amp;"発注)")</f>
        <v/>
      </c>
      <c r="BN1129">
        <f>IF(SUMIFS(T_PlannedOrders[EffectiveQty],T_PlannedOrders[Part Name],$A1119,T_PlannedOrders[WeekIndex],63)=0,"",SUMIFS(T_PlannedOrders[EffectiveQty],T_PlannedOrders[Part Name],$A1119,T_PlannedOrders[WeekIndex],63)&amp;" ("&amp;TEXT(SUMPRODUCT(MAX((T_PlannedOrders[Part Name]=$A1119)*(T_PlannedOrders[WeekIndex]=63)*(T_PlannedOrders[EffectiveQty]&gt;0)*T_PlannedOrders[Order_Month])),"m月")&amp;"発注)")</f>
        <v/>
      </c>
      <c r="BO1129">
        <f>IF(SUMIFS(T_PlannedOrders[EffectiveQty],T_PlannedOrders[Part Name],$A1119,T_PlannedOrders[WeekIndex],64)=0,"",SUMIFS(T_PlannedOrders[EffectiveQty],T_PlannedOrders[Part Name],$A1119,T_PlannedOrders[WeekIndex],64)&amp;" ("&amp;TEXT(SUMPRODUCT(MAX((T_PlannedOrders[Part Name]=$A1119)*(T_PlannedOrders[WeekIndex]=64)*(T_PlannedOrders[EffectiveQty]&gt;0)*T_PlannedOrders[Order_Month])),"m月")&amp;"発注)")</f>
        <v/>
      </c>
      <c r="BP1129">
        <f>IF(SUMIFS(T_PlannedOrders[EffectiveQty],T_PlannedOrders[Part Name],$A1119,T_PlannedOrders[WeekIndex],65)=0,"",SUMIFS(T_PlannedOrders[EffectiveQty],T_PlannedOrders[Part Name],$A1119,T_PlannedOrders[WeekIndex],65)&amp;" ("&amp;TEXT(SUMPRODUCT(MAX((T_PlannedOrders[Part Name]=$A1119)*(T_PlannedOrders[WeekIndex]=65)*(T_PlannedOrders[EffectiveQty]&gt;0)*T_PlannedOrders[Order_Month])),"m月")&amp;"発注)")</f>
        <v/>
      </c>
      <c r="BQ1129">
        <f>IF(SUMIFS(T_PlannedOrders[EffectiveQty],T_PlannedOrders[Part Name],$A1119,T_PlannedOrders[WeekIndex],66)=0,"",SUMIFS(T_PlannedOrders[EffectiveQty],T_PlannedOrders[Part Name],$A1119,T_PlannedOrders[WeekIndex],66)&amp;" ("&amp;TEXT(SUMPRODUCT(MAX((T_PlannedOrders[Part Name]=$A1119)*(T_PlannedOrders[WeekIndex]=66)*(T_PlannedOrders[EffectiveQty]&gt;0)*T_PlannedOrders[Order_Month])),"m月")&amp;"発注)")</f>
        <v/>
      </c>
      <c r="BR1129">
        <f>IF(SUMIFS(T_PlannedOrders[EffectiveQty],T_PlannedOrders[Part Name],$A1119,T_PlannedOrders[WeekIndex],67)=0,"",SUMIFS(T_PlannedOrders[EffectiveQty],T_PlannedOrders[Part Name],$A1119,T_PlannedOrders[WeekIndex],67)&amp;" ("&amp;TEXT(SUMPRODUCT(MAX((T_PlannedOrders[Part Name]=$A1119)*(T_PlannedOrders[WeekIndex]=67)*(T_PlannedOrders[EffectiveQty]&gt;0)*T_PlannedOrders[Order_Month])),"m月")&amp;"発注)")</f>
        <v/>
      </c>
      <c r="BS1129">
        <f>IF(SUMIFS(T_PlannedOrders[EffectiveQty],T_PlannedOrders[Part Name],$A1119,T_PlannedOrders[WeekIndex],68)=0,"",SUMIFS(T_PlannedOrders[EffectiveQty],T_PlannedOrders[Part Name],$A1119,T_PlannedOrders[WeekIndex],68)&amp;" ("&amp;TEXT(SUMPRODUCT(MAX((T_PlannedOrders[Part Name]=$A1119)*(T_PlannedOrders[WeekIndex]=68)*(T_PlannedOrders[EffectiveQty]&gt;0)*T_PlannedOrders[Order_Month])),"m月")&amp;"発注)")</f>
        <v/>
      </c>
      <c r="BT1129">
        <f>IF(SUMIFS(T_PlannedOrders[EffectiveQty],T_PlannedOrders[Part Name],$A1119,T_PlannedOrders[WeekIndex],69)=0,"",SUMIFS(T_PlannedOrders[EffectiveQty],T_PlannedOrders[Part Name],$A1119,T_PlannedOrders[WeekIndex],69)&amp;" ("&amp;TEXT(SUMPRODUCT(MAX((T_PlannedOrders[Part Name]=$A1119)*(T_PlannedOrders[WeekIndex]=69)*(T_PlannedOrders[EffectiveQty]&gt;0)*T_PlannedOrders[Order_Month])),"m月")&amp;"発注)")</f>
        <v/>
      </c>
      <c r="BU1129">
        <f>IF(SUMIFS(T_PlannedOrders[EffectiveQty],T_PlannedOrders[Part Name],$A1119,T_PlannedOrders[WeekIndex],70)=0,"",SUMIFS(T_PlannedOrders[EffectiveQty],T_PlannedOrders[Part Name],$A1119,T_PlannedOrders[WeekIndex],70)&amp;" ("&amp;TEXT(SUMPRODUCT(MAX((T_PlannedOrders[Part Name]=$A1119)*(T_PlannedOrders[WeekIndex]=70)*(T_PlannedOrders[EffectiveQty]&gt;0)*T_PlannedOrders[Order_Month])),"m月")&amp;"発注)")</f>
        <v/>
      </c>
      <c r="BV1129">
        <f>IF(SUMIFS(T_PlannedOrders[EffectiveQty],T_PlannedOrders[Part Name],$A1119,T_PlannedOrders[WeekIndex],71)=0,"",SUMIFS(T_PlannedOrders[EffectiveQty],T_PlannedOrders[Part Name],$A1119,T_PlannedOrders[WeekIndex],71)&amp;" ("&amp;TEXT(SUMPRODUCT(MAX((T_PlannedOrders[Part Name]=$A1119)*(T_PlannedOrders[WeekIndex]=71)*(T_PlannedOrders[EffectiveQty]&gt;0)*T_PlannedOrders[Order_Month])),"m月")&amp;"発注)")</f>
        <v/>
      </c>
      <c r="BW1129">
        <f>IF(SUMIFS(T_PlannedOrders[EffectiveQty],T_PlannedOrders[Part Name],$A1119,T_PlannedOrders[WeekIndex],72)=0,"",SUMIFS(T_PlannedOrders[EffectiveQty],T_PlannedOrders[Part Name],$A1119,T_PlannedOrders[WeekIndex],72)&amp;" ("&amp;TEXT(SUMPRODUCT(MAX((T_PlannedOrders[Part Name]=$A1119)*(T_PlannedOrders[WeekIndex]=72)*(T_PlannedOrders[EffectiveQty]&gt;0)*T_PlannedOrders[Order_Month])),"m月")&amp;"発注)")</f>
        <v/>
      </c>
      <c r="BX1129">
        <f>IF(SUMIFS(T_PlannedOrders[EffectiveQty],T_PlannedOrders[Part Name],$A1119,T_PlannedOrders[WeekIndex],73)=0,"",SUMIFS(T_PlannedOrders[EffectiveQty],T_PlannedOrders[Part Name],$A1119,T_PlannedOrders[WeekIndex],73)&amp;" ("&amp;TEXT(SUMPRODUCT(MAX((T_PlannedOrders[Part Name]=$A1119)*(T_PlannedOrders[WeekIndex]=73)*(T_PlannedOrders[EffectiveQty]&gt;0)*T_PlannedOrders[Order_Month])),"m月")&amp;"発注)")</f>
        <v/>
      </c>
      <c r="BY1129">
        <f>IF(SUMIFS(T_PlannedOrders[EffectiveQty],T_PlannedOrders[Part Name],$A1119,T_PlannedOrders[WeekIndex],74)=0,"",SUMIFS(T_PlannedOrders[EffectiveQty],T_PlannedOrders[Part Name],$A1119,T_PlannedOrders[WeekIndex],74)&amp;" ("&amp;TEXT(SUMPRODUCT(MAX((T_PlannedOrders[Part Name]=$A1119)*(T_PlannedOrders[WeekIndex]=74)*(T_PlannedOrders[EffectiveQty]&gt;0)*T_PlannedOrders[Order_Month])),"m月")&amp;"発注)")</f>
        <v/>
      </c>
      <c r="BZ1129">
        <f>IF(SUMIFS(T_PlannedOrders[EffectiveQty],T_PlannedOrders[Part Name],$A1119,T_PlannedOrders[WeekIndex],75)=0,"",SUMIFS(T_PlannedOrders[EffectiveQty],T_PlannedOrders[Part Name],$A1119,T_PlannedOrders[WeekIndex],75)&amp;" ("&amp;TEXT(SUMPRODUCT(MAX((T_PlannedOrders[Part Name]=$A1119)*(T_PlannedOrders[WeekIndex]=75)*(T_PlannedOrders[EffectiveQty]&gt;0)*T_PlannedOrders[Order_Month])),"m月")&amp;"発注)")</f>
        <v/>
      </c>
      <c r="CA1129">
        <f>IF(SUMIFS(T_PlannedOrders[EffectiveQty],T_PlannedOrders[Part Name],$A1119,T_PlannedOrders[WeekIndex],76)=0,"",SUMIFS(T_PlannedOrders[EffectiveQty],T_PlannedOrders[Part Name],$A1119,T_PlannedOrders[WeekIndex],76)&amp;" ("&amp;TEXT(SUMPRODUCT(MAX((T_PlannedOrders[Part Name]=$A1119)*(T_PlannedOrders[WeekIndex]=76)*(T_PlannedOrders[EffectiveQty]&gt;0)*T_PlannedOrders[Order_Month])),"m月")&amp;"発注)")</f>
        <v/>
      </c>
      <c r="CB1129">
        <f>IF(SUMIFS(T_PlannedOrders[EffectiveQty],T_PlannedOrders[Part Name],$A1119,T_PlannedOrders[WeekIndex],77)=0,"",SUMIFS(T_PlannedOrders[EffectiveQty],T_PlannedOrders[Part Name],$A1119,T_PlannedOrders[WeekIndex],77)&amp;" ("&amp;TEXT(SUMPRODUCT(MAX((T_PlannedOrders[Part Name]=$A1119)*(T_PlannedOrders[WeekIndex]=77)*(T_PlannedOrders[EffectiveQty]&gt;0)*T_PlannedOrders[Order_Month])),"m月")&amp;"発注)")</f>
        <v/>
      </c>
      <c r="CC1129">
        <f>IF(SUMIFS(T_PlannedOrders[EffectiveQty],T_PlannedOrders[Part Name],$A1119,T_PlannedOrders[WeekIndex],78)=0,"",SUMIFS(T_PlannedOrders[EffectiveQty],T_PlannedOrders[Part Name],$A1119,T_PlannedOrders[WeekIndex],78)&amp;" ("&amp;TEXT(SUMPRODUCT(MAX((T_PlannedOrders[Part Name]=$A1119)*(T_PlannedOrders[WeekIndex]=78)*(T_PlannedOrders[EffectiveQty]&gt;0)*T_PlannedOrders[Order_Month])),"m月")&amp;"発注)")</f>
        <v/>
      </c>
      <c r="CD1129">
        <f>IF(SUMIFS(T_PlannedOrders[EffectiveQty],T_PlannedOrders[Part Name],$A1119,T_PlannedOrders[WeekIndex],79)=0,"",SUMIFS(T_PlannedOrders[EffectiveQty],T_PlannedOrders[Part Name],$A1119,T_PlannedOrders[WeekIndex],79)&amp;" ("&amp;TEXT(SUMPRODUCT(MAX((T_PlannedOrders[Part Name]=$A1119)*(T_PlannedOrders[WeekIndex]=79)*(T_PlannedOrders[EffectiveQty]&gt;0)*T_PlannedOrders[Order_Month])),"m月")&amp;"発注)")</f>
        <v/>
      </c>
      <c r="CE1129">
        <f>IF(SUMIFS(T_PlannedOrders[EffectiveQty],T_PlannedOrders[Part Name],$A1119,T_PlannedOrders[WeekIndex],80)=0,"",SUMIFS(T_PlannedOrders[EffectiveQty],T_PlannedOrders[Part Name],$A1119,T_PlannedOrders[WeekIndex],80)&amp;" ("&amp;TEXT(SUMPRODUCT(MAX((T_PlannedOrders[Part Name]=$A1119)*(T_PlannedOrders[WeekIndex]=80)*(T_PlannedOrders[EffectiveQty]&gt;0)*T_PlannedOrders[Order_Month])),"m月")&amp;"発注)")</f>
        <v/>
      </c>
      <c r="CF1129">
        <f>IF(SUMIFS(T_PlannedOrders[EffectiveQty],T_PlannedOrders[Part Name],$A1119,T_PlannedOrders[WeekIndex],81)=0,"",SUMIFS(T_PlannedOrders[EffectiveQty],T_PlannedOrders[Part Name],$A1119,T_PlannedOrders[WeekIndex],81)&amp;" ("&amp;TEXT(SUMPRODUCT(MAX((T_PlannedOrders[Part Name]=$A1119)*(T_PlannedOrders[WeekIndex]=81)*(T_PlannedOrders[EffectiveQty]&gt;0)*T_PlannedOrders[Order_Month])),"m月")&amp;"発注)")</f>
        <v/>
      </c>
      <c r="CG1129">
        <f>IF(SUMIFS(T_PlannedOrders[EffectiveQty],T_PlannedOrders[Part Name],$A1119,T_PlannedOrders[WeekIndex],82)=0,"",SUMIFS(T_PlannedOrders[EffectiveQty],T_PlannedOrders[Part Name],$A1119,T_PlannedOrders[WeekIndex],82)&amp;" ("&amp;TEXT(SUMPRODUCT(MAX((T_PlannedOrders[Part Name]=$A1119)*(T_PlannedOrders[WeekIndex]=82)*(T_PlannedOrders[EffectiveQty]&gt;0)*T_PlannedOrders[Order_Month])),"m月")&amp;"発注)")</f>
        <v/>
      </c>
      <c r="CH1129">
        <f>IF(SUMIFS(T_PlannedOrders[EffectiveQty],T_PlannedOrders[Part Name],$A1119,T_PlannedOrders[WeekIndex],83)=0,"",SUMIFS(T_PlannedOrders[EffectiveQty],T_PlannedOrders[Part Name],$A1119,T_PlannedOrders[WeekIndex],83)&amp;" ("&amp;TEXT(SUMPRODUCT(MAX((T_PlannedOrders[Part Name]=$A1119)*(T_PlannedOrders[WeekIndex]=83)*(T_PlannedOrders[EffectiveQty]&gt;0)*T_PlannedOrders[Order_Month])),"m月")&amp;"発注)")</f>
        <v/>
      </c>
      <c r="CI1129">
        <f>IF(SUMIFS(T_PlannedOrders[EffectiveQty],T_PlannedOrders[Part Name],$A1119,T_PlannedOrders[WeekIndex],84)=0,"",SUMIFS(T_PlannedOrders[EffectiveQty],T_PlannedOrders[Part Name],$A1119,T_PlannedOrders[WeekIndex],84)&amp;" ("&amp;TEXT(SUMPRODUCT(MAX((T_PlannedOrders[Part Name]=$A1119)*(T_PlannedOrders[WeekIndex]=84)*(T_PlannedOrders[EffectiveQty]&gt;0)*T_PlannedOrders[Order_Month])),"m月")&amp;"発注)")</f>
        <v/>
      </c>
      <c r="CJ1129">
        <f>IF(SUMIFS(T_PlannedOrders[EffectiveQty],T_PlannedOrders[Part Name],$A1119,T_PlannedOrders[WeekIndex],85)=0,"",SUMIFS(T_PlannedOrders[EffectiveQty],T_PlannedOrders[Part Name],$A1119,T_PlannedOrders[WeekIndex],85)&amp;" ("&amp;TEXT(SUMPRODUCT(MAX((T_PlannedOrders[Part Name]=$A1119)*(T_PlannedOrders[WeekIndex]=85)*(T_PlannedOrders[EffectiveQty]&gt;0)*T_PlannedOrders[Order_Month])),"m月")&amp;"発注)")</f>
        <v/>
      </c>
      <c r="CK1129">
        <f>IF(SUMIFS(T_PlannedOrders[EffectiveQty],T_PlannedOrders[Part Name],$A1119,T_PlannedOrders[WeekIndex],86)=0,"",SUMIFS(T_PlannedOrders[EffectiveQty],T_PlannedOrders[Part Name],$A1119,T_PlannedOrders[WeekIndex],86)&amp;" ("&amp;TEXT(SUMPRODUCT(MAX((T_PlannedOrders[Part Name]=$A1119)*(T_PlannedOrders[WeekIndex]=86)*(T_PlannedOrders[EffectiveQty]&gt;0)*T_PlannedOrders[Order_Month])),"m月")&amp;"発注)")</f>
        <v/>
      </c>
      <c r="CL1129">
        <f>IF(SUMIFS(T_PlannedOrders[EffectiveQty],T_PlannedOrders[Part Name],$A1119,T_PlannedOrders[WeekIndex],87)=0,"",SUMIFS(T_PlannedOrders[EffectiveQty],T_PlannedOrders[Part Name],$A1119,T_PlannedOrders[WeekIndex],87)&amp;" ("&amp;TEXT(SUMPRODUCT(MAX((T_PlannedOrders[Part Name]=$A1119)*(T_PlannedOrders[WeekIndex]=87)*(T_PlannedOrders[EffectiveQty]&gt;0)*T_PlannedOrders[Order_Month])),"m月")&amp;"発注)")</f>
        <v/>
      </c>
      <c r="CM1129">
        <f>IF(SUMIFS(T_PlannedOrders[EffectiveQty],T_PlannedOrders[Part Name],$A1119,T_PlannedOrders[WeekIndex],88)=0,"",SUMIFS(T_PlannedOrders[EffectiveQty],T_PlannedOrders[Part Name],$A1119,T_PlannedOrders[WeekIndex],88)&amp;" ("&amp;TEXT(SUMPRODUCT(MAX((T_PlannedOrders[Part Name]=$A1119)*(T_PlannedOrders[WeekIndex]=88)*(T_PlannedOrders[EffectiveQty]&gt;0)*T_PlannedOrders[Order_Month])),"m月")&amp;"発注)")</f>
        <v/>
      </c>
      <c r="CN1129">
        <f>IF(SUMIFS(T_PlannedOrders[EffectiveQty],T_PlannedOrders[Part Name],$A1119,T_PlannedOrders[WeekIndex],89)=0,"",SUMIFS(T_PlannedOrders[EffectiveQty],T_PlannedOrders[Part Name],$A1119,T_PlannedOrders[WeekIndex],89)&amp;" ("&amp;TEXT(SUMPRODUCT(MAX((T_PlannedOrders[Part Name]=$A1119)*(T_PlannedOrders[WeekIndex]=89)*(T_PlannedOrders[EffectiveQty]&gt;0)*T_PlannedOrders[Order_Month])),"m月")&amp;"発注)")</f>
        <v/>
      </c>
      <c r="CO1129">
        <f>IF(SUMIFS(T_PlannedOrders[EffectiveQty],T_PlannedOrders[Part Name],$A1119,T_PlannedOrders[WeekIndex],90)=0,"",SUMIFS(T_PlannedOrders[EffectiveQty],T_PlannedOrders[Part Name],$A1119,T_PlannedOrders[WeekIndex],90)&amp;" ("&amp;TEXT(SUMPRODUCT(MAX((T_PlannedOrders[Part Name]=$A1119)*(T_PlannedOrders[WeekIndex]=90)*(T_PlannedOrders[EffectiveQty]&gt;0)*T_PlannedOrders[Order_Month])),"m月")&amp;"発注)")</f>
        <v/>
      </c>
      <c r="CP1129">
        <f>IF(SUMIFS(T_PlannedOrders[EffectiveQty],T_PlannedOrders[Part Name],$A1119,T_PlannedOrders[WeekIndex],91)=0,"",SUMIFS(T_PlannedOrders[EffectiveQty],T_PlannedOrders[Part Name],$A1119,T_PlannedOrders[WeekIndex],91)&amp;" ("&amp;TEXT(SUMPRODUCT(MAX((T_PlannedOrders[Part Name]=$A1119)*(T_PlannedOrders[WeekIndex]=91)*(T_PlannedOrders[EffectiveQty]&gt;0)*T_PlannedOrders[Order_Month])),"m月")&amp;"発注)")</f>
        <v/>
      </c>
      <c r="CQ1129">
        <f>IF(SUMIFS(T_PlannedOrders[EffectiveQty],T_PlannedOrders[Part Name],$A1119,T_PlannedOrders[WeekIndex],92)=0,"",SUMIFS(T_PlannedOrders[EffectiveQty],T_PlannedOrders[Part Name],$A1119,T_PlannedOrders[WeekIndex],92)&amp;" ("&amp;TEXT(SUMPRODUCT(MAX((T_PlannedOrders[Part Name]=$A1119)*(T_PlannedOrders[WeekIndex]=92)*(T_PlannedOrders[EffectiveQty]&gt;0)*T_PlannedOrders[Order_Month])),"m月")&amp;"発注)")</f>
        <v/>
      </c>
      <c r="CR1129">
        <f>IF(SUMIFS(T_PlannedOrders[EffectiveQty],T_PlannedOrders[Part Name],$A1119,T_PlannedOrders[WeekIndex],93)=0,"",SUMIFS(T_PlannedOrders[EffectiveQty],T_PlannedOrders[Part Name],$A1119,T_PlannedOrders[WeekIndex],93)&amp;" ("&amp;TEXT(SUMPRODUCT(MAX((T_PlannedOrders[Part Name]=$A1119)*(T_PlannedOrders[WeekIndex]=93)*(T_PlannedOrders[EffectiveQty]&gt;0)*T_PlannedOrders[Order_Month])),"m月")&amp;"発注)")</f>
        <v/>
      </c>
      <c r="CS1129">
        <f>IF(SUMIFS(T_PlannedOrders[EffectiveQty],T_PlannedOrders[Part Name],$A1119,T_PlannedOrders[WeekIndex],94)=0,"",SUMIFS(T_PlannedOrders[EffectiveQty],T_PlannedOrders[Part Name],$A1119,T_PlannedOrders[WeekIndex],94)&amp;" ("&amp;TEXT(SUMPRODUCT(MAX((T_PlannedOrders[Part Name]=$A1119)*(T_PlannedOrders[WeekIndex]=94)*(T_PlannedOrders[EffectiveQty]&gt;0)*T_PlannedOrders[Order_Month])),"m月")&amp;"発注)")</f>
        <v/>
      </c>
      <c r="CT1129">
        <f>IF(SUMIFS(T_PlannedOrders[EffectiveQty],T_PlannedOrders[Part Name],$A1119,T_PlannedOrders[WeekIndex],95)=0,"",SUMIFS(T_PlannedOrders[EffectiveQty],T_PlannedOrders[Part Name],$A1119,T_PlannedOrders[WeekIndex],95)&amp;" ("&amp;TEXT(SUMPRODUCT(MAX((T_PlannedOrders[Part Name]=$A1119)*(T_PlannedOrders[WeekIndex]=95)*(T_PlannedOrders[EffectiveQty]&gt;0)*T_PlannedOrders[Order_Month])),"m月")&amp;"発注)")</f>
        <v/>
      </c>
      <c r="CU1129">
        <f>IF(SUMIFS(T_PlannedOrders[EffectiveQty],T_PlannedOrders[Part Name],$A1119,T_PlannedOrders[WeekIndex],96)=0,"",SUMIFS(T_PlannedOrders[EffectiveQty],T_PlannedOrders[Part Name],$A1119,T_PlannedOrders[WeekIndex],96)&amp;" ("&amp;TEXT(SUMPRODUCT(MAX((T_PlannedOrders[Part Name]=$A1119)*(T_PlannedOrders[WeekIndex]=96)*(T_PlannedOrders[EffectiveQty]&gt;0)*T_PlannedOrders[Order_Month])),"m月")&amp;"発注)")</f>
        <v/>
      </c>
      <c r="CV1129">
        <f>IF(SUMIFS(T_PlannedOrders[EffectiveQty],T_PlannedOrders[Part Name],$A1119,T_PlannedOrders[WeekIndex],97)=0,"",SUMIFS(T_PlannedOrders[EffectiveQty],T_PlannedOrders[Part Name],$A1119,T_PlannedOrders[WeekIndex],97)&amp;" ("&amp;TEXT(SUMPRODUCT(MAX((T_PlannedOrders[Part Name]=$A1119)*(T_PlannedOrders[WeekIndex]=97)*(T_PlannedOrders[EffectiveQty]&gt;0)*T_PlannedOrders[Order_Month])),"m月")&amp;"発注)")</f>
        <v/>
      </c>
      <c r="CW1129">
        <f>IF(SUMIFS(T_PlannedOrders[EffectiveQty],T_PlannedOrders[Part Name],$A1119,T_PlannedOrders[WeekIndex],98)=0,"",SUMIFS(T_PlannedOrders[EffectiveQty],T_PlannedOrders[Part Name],$A1119,T_PlannedOrders[WeekIndex],98)&amp;" ("&amp;TEXT(SUMPRODUCT(MAX((T_PlannedOrders[Part Name]=$A1119)*(T_PlannedOrders[WeekIndex]=98)*(T_PlannedOrders[EffectiveQty]&gt;0)*T_PlannedOrders[Order_Month])),"m月")&amp;"発注)")</f>
        <v/>
      </c>
      <c r="CX1129">
        <f>IF(SUMIFS(T_PlannedOrders[EffectiveQty],T_PlannedOrders[Part Name],$A1119,T_PlannedOrders[WeekIndex],99)=0,"",SUMIFS(T_PlannedOrders[EffectiveQty],T_PlannedOrders[Part Name],$A1119,T_PlannedOrders[WeekIndex],99)&amp;" ("&amp;TEXT(SUMPRODUCT(MAX((T_PlannedOrders[Part Name]=$A1119)*(T_PlannedOrders[WeekIndex]=99)*(T_PlannedOrders[EffectiveQty]&gt;0)*T_PlannedOrders[Order_Month])),"m月")&amp;"発注)")</f>
        <v/>
      </c>
      <c r="CY1129">
        <f>IF(SUMIFS(T_PlannedOrders[EffectiveQty],T_PlannedOrders[Part Name],$A1119,T_PlannedOrders[WeekIndex],100)=0,"",SUMIFS(T_PlannedOrders[EffectiveQty],T_PlannedOrders[Part Name],$A1119,T_PlannedOrders[WeekIndex],100)&amp;" ("&amp;TEXT(SUMPRODUCT(MAX((T_PlannedOrders[Part Name]=$A1119)*(T_PlannedOrders[WeekIndex]=100)*(T_PlannedOrders[EffectiveQty]&gt;0)*T_PlannedOrders[Order_Month])),"m月")&amp;"発注)")</f>
        <v/>
      </c>
      <c r="CZ1129">
        <f>IF(SUMIFS(T_PlannedOrders[EffectiveQty],T_PlannedOrders[Part Name],$A1119,T_PlannedOrders[WeekIndex],101)=0,"",SUMIFS(T_PlannedOrders[EffectiveQty],T_PlannedOrders[Part Name],$A1119,T_PlannedOrders[WeekIndex],101)&amp;" ("&amp;TEXT(SUMPRODUCT(MAX((T_PlannedOrders[Part Name]=$A1119)*(T_PlannedOrders[WeekIndex]=101)*(T_PlannedOrders[EffectiveQty]&gt;0)*T_PlannedOrders[Order_Month])),"m月")&amp;"発注)")</f>
        <v/>
      </c>
      <c r="DA1129">
        <f>IF(SUMIFS(T_PlannedOrders[EffectiveQty],T_PlannedOrders[Part Name],$A1119,T_PlannedOrders[WeekIndex],102)=0,"",SUMIFS(T_PlannedOrders[EffectiveQty],T_PlannedOrders[Part Name],$A1119,T_PlannedOrders[WeekIndex],102)&amp;" ("&amp;TEXT(SUMPRODUCT(MAX((T_PlannedOrders[Part Name]=$A1119)*(T_PlannedOrders[WeekIndex]=102)*(T_PlannedOrders[EffectiveQty]&gt;0)*T_PlannedOrders[Order_Month])),"m月")&amp;"発注)")</f>
        <v/>
      </c>
      <c r="DB1129">
        <f>IF(SUMIFS(T_PlannedOrders[EffectiveQty],T_PlannedOrders[Part Name],$A1119,T_PlannedOrders[WeekIndex],103)=0,"",SUMIFS(T_PlannedOrders[EffectiveQty],T_PlannedOrders[Part Name],$A1119,T_PlannedOrders[WeekIndex],103)&amp;" ("&amp;TEXT(SUMPRODUCT(MAX((T_PlannedOrders[Part Name]=$A1119)*(T_PlannedOrders[WeekIndex]=103)*(T_PlannedOrders[EffectiveQty]&gt;0)*T_PlannedOrders[Order_Month])),"m月")&amp;"発注)")</f>
        <v/>
      </c>
      <c r="DC1129">
        <f>IF(SUMIFS(T_PlannedOrders[EffectiveQty],T_PlannedOrders[Part Name],$A1119,T_PlannedOrders[WeekIndex],104)=0,"",SUMIFS(T_PlannedOrders[EffectiveQty],T_PlannedOrders[Part Name],$A1119,T_PlannedOrders[WeekIndex],104)&amp;" ("&amp;TEXT(SUMPRODUCT(MAX((T_PlannedOrders[Part Name]=$A1119)*(T_PlannedOrders[WeekIndex]=104)*(T_PlannedOrders[EffectiveQty]&gt;0)*T_PlannedOrders[Order_Month])),"m月")&amp;"発注)")</f>
        <v/>
      </c>
    </row>
    <row r="1130">
      <c r="B1130" s="5" t="inlineStr">
        <is>
          <t>合計在庫(週末時点,kg)</t>
        </is>
      </c>
      <c r="D1130">
        <f>'Grid_Stock'!B55</f>
        <v/>
      </c>
      <c r="E1130">
        <f>'Grid_Stock'!C55</f>
        <v/>
      </c>
      <c r="F1130">
        <f>'Grid_Stock'!D55</f>
        <v/>
      </c>
      <c r="G1130">
        <f>'Grid_Stock'!E55</f>
        <v/>
      </c>
      <c r="H1130">
        <f>'Grid_Stock'!F55</f>
        <v/>
      </c>
      <c r="I1130">
        <f>'Grid_Stock'!G55</f>
        <v/>
      </c>
      <c r="J1130">
        <f>'Grid_Stock'!H55</f>
        <v/>
      </c>
      <c r="K1130">
        <f>'Grid_Stock'!I55</f>
        <v/>
      </c>
      <c r="L1130">
        <f>'Grid_Stock'!J55</f>
        <v/>
      </c>
      <c r="M1130">
        <f>'Grid_Stock'!K55</f>
        <v/>
      </c>
      <c r="N1130">
        <f>'Grid_Stock'!L55</f>
        <v/>
      </c>
      <c r="O1130">
        <f>'Grid_Stock'!M55</f>
        <v/>
      </c>
      <c r="P1130">
        <f>'Grid_Stock'!N55</f>
        <v/>
      </c>
      <c r="Q1130">
        <f>'Grid_Stock'!O55</f>
        <v/>
      </c>
      <c r="R1130">
        <f>'Grid_Stock'!P55</f>
        <v/>
      </c>
      <c r="S1130">
        <f>'Grid_Stock'!Q55</f>
        <v/>
      </c>
      <c r="T1130">
        <f>'Grid_Stock'!R55</f>
        <v/>
      </c>
      <c r="U1130">
        <f>'Grid_Stock'!S55</f>
        <v/>
      </c>
      <c r="V1130">
        <f>'Grid_Stock'!T55</f>
        <v/>
      </c>
      <c r="W1130">
        <f>'Grid_Stock'!U55</f>
        <v/>
      </c>
      <c r="X1130">
        <f>'Grid_Stock'!V55</f>
        <v/>
      </c>
      <c r="Y1130">
        <f>'Grid_Stock'!W55</f>
        <v/>
      </c>
      <c r="Z1130">
        <f>'Grid_Stock'!X55</f>
        <v/>
      </c>
      <c r="AA1130">
        <f>'Grid_Stock'!Y55</f>
        <v/>
      </c>
      <c r="AB1130">
        <f>'Grid_Stock'!Z55</f>
        <v/>
      </c>
      <c r="AC1130">
        <f>'Grid_Stock'!AA55</f>
        <v/>
      </c>
      <c r="AD1130">
        <f>'Grid_Stock'!AB55</f>
        <v/>
      </c>
      <c r="AE1130">
        <f>'Grid_Stock'!AC55</f>
        <v/>
      </c>
      <c r="AF1130">
        <f>'Grid_Stock'!AD55</f>
        <v/>
      </c>
      <c r="AG1130">
        <f>'Grid_Stock'!AE55</f>
        <v/>
      </c>
      <c r="AH1130">
        <f>'Grid_Stock'!AF55</f>
        <v/>
      </c>
      <c r="AI1130">
        <f>'Grid_Stock'!AG55</f>
        <v/>
      </c>
      <c r="AJ1130">
        <f>'Grid_Stock'!AH55</f>
        <v/>
      </c>
      <c r="AK1130">
        <f>'Grid_Stock'!AI55</f>
        <v/>
      </c>
      <c r="AL1130">
        <f>'Grid_Stock'!AJ55</f>
        <v/>
      </c>
      <c r="AM1130">
        <f>'Grid_Stock'!AK55</f>
        <v/>
      </c>
      <c r="AN1130">
        <f>'Grid_Stock'!AL55</f>
        <v/>
      </c>
      <c r="AO1130">
        <f>'Grid_Stock'!AM55</f>
        <v/>
      </c>
      <c r="AP1130">
        <f>'Grid_Stock'!AN55</f>
        <v/>
      </c>
      <c r="AQ1130">
        <f>'Grid_Stock'!AO55</f>
        <v/>
      </c>
      <c r="AR1130">
        <f>'Grid_Stock'!AP55</f>
        <v/>
      </c>
      <c r="AS1130">
        <f>'Grid_Stock'!AQ55</f>
        <v/>
      </c>
      <c r="AT1130">
        <f>'Grid_Stock'!AR55</f>
        <v/>
      </c>
      <c r="AU1130">
        <f>'Grid_Stock'!AS55</f>
        <v/>
      </c>
      <c r="AV1130">
        <f>'Grid_Stock'!AT55</f>
        <v/>
      </c>
      <c r="AW1130">
        <f>'Grid_Stock'!AU55</f>
        <v/>
      </c>
      <c r="AX1130">
        <f>'Grid_Stock'!AV55</f>
        <v/>
      </c>
      <c r="AY1130">
        <f>'Grid_Stock'!AW55</f>
        <v/>
      </c>
      <c r="AZ1130">
        <f>'Grid_Stock'!AX55</f>
        <v/>
      </c>
      <c r="BA1130">
        <f>'Grid_Stock'!AY55</f>
        <v/>
      </c>
      <c r="BB1130">
        <f>'Grid_Stock'!AZ55</f>
        <v/>
      </c>
      <c r="BC1130">
        <f>'Grid_Stock'!BA55</f>
        <v/>
      </c>
      <c r="BD1130">
        <f>'Grid_Stock'!BB55</f>
        <v/>
      </c>
      <c r="BE1130">
        <f>'Grid_Stock'!BC55</f>
        <v/>
      </c>
      <c r="BF1130">
        <f>'Grid_Stock'!BD55</f>
        <v/>
      </c>
      <c r="BG1130">
        <f>'Grid_Stock'!BE55</f>
        <v/>
      </c>
      <c r="BH1130">
        <f>'Grid_Stock'!BF55</f>
        <v/>
      </c>
      <c r="BI1130">
        <f>'Grid_Stock'!BG55</f>
        <v/>
      </c>
      <c r="BJ1130">
        <f>'Grid_Stock'!BH55</f>
        <v/>
      </c>
      <c r="BK1130">
        <f>'Grid_Stock'!BI55</f>
        <v/>
      </c>
      <c r="BL1130">
        <f>'Grid_Stock'!BJ55</f>
        <v/>
      </c>
      <c r="BM1130">
        <f>'Grid_Stock'!BK55</f>
        <v/>
      </c>
      <c r="BN1130">
        <f>'Grid_Stock'!BL55</f>
        <v/>
      </c>
      <c r="BO1130">
        <f>'Grid_Stock'!BM55</f>
        <v/>
      </c>
      <c r="BP1130">
        <f>'Grid_Stock'!BN55</f>
        <v/>
      </c>
      <c r="BQ1130">
        <f>'Grid_Stock'!BO55</f>
        <v/>
      </c>
      <c r="BR1130">
        <f>'Grid_Stock'!BP55</f>
        <v/>
      </c>
      <c r="BS1130">
        <f>'Grid_Stock'!BQ55</f>
        <v/>
      </c>
      <c r="BT1130">
        <f>'Grid_Stock'!BR55</f>
        <v/>
      </c>
      <c r="BU1130">
        <f>'Grid_Stock'!BS55</f>
        <v/>
      </c>
      <c r="BV1130">
        <f>'Grid_Stock'!BT55</f>
        <v/>
      </c>
      <c r="BW1130">
        <f>'Grid_Stock'!BU55</f>
        <v/>
      </c>
      <c r="BX1130">
        <f>'Grid_Stock'!BV55</f>
        <v/>
      </c>
      <c r="BY1130">
        <f>'Grid_Stock'!BW55</f>
        <v/>
      </c>
      <c r="BZ1130">
        <f>'Grid_Stock'!BX55</f>
        <v/>
      </c>
      <c r="CA1130">
        <f>'Grid_Stock'!BY55</f>
        <v/>
      </c>
      <c r="CB1130">
        <f>'Grid_Stock'!BZ55</f>
        <v/>
      </c>
      <c r="CC1130">
        <f>'Grid_Stock'!CA55</f>
        <v/>
      </c>
      <c r="CD1130">
        <f>'Grid_Stock'!CB55</f>
        <v/>
      </c>
      <c r="CE1130">
        <f>'Grid_Stock'!CC55</f>
        <v/>
      </c>
      <c r="CF1130">
        <f>'Grid_Stock'!CD55</f>
        <v/>
      </c>
      <c r="CG1130">
        <f>'Grid_Stock'!CE55</f>
        <v/>
      </c>
      <c r="CH1130">
        <f>'Grid_Stock'!CF55</f>
        <v/>
      </c>
      <c r="CI1130">
        <f>'Grid_Stock'!CG55</f>
        <v/>
      </c>
      <c r="CJ1130">
        <f>'Grid_Stock'!CH55</f>
        <v/>
      </c>
      <c r="CK1130">
        <f>'Grid_Stock'!CI55</f>
        <v/>
      </c>
      <c r="CL1130">
        <f>'Grid_Stock'!CJ55</f>
        <v/>
      </c>
      <c r="CM1130">
        <f>'Grid_Stock'!CK55</f>
        <v/>
      </c>
      <c r="CN1130">
        <f>'Grid_Stock'!CL55</f>
        <v/>
      </c>
      <c r="CO1130">
        <f>'Grid_Stock'!CM55</f>
        <v/>
      </c>
      <c r="CP1130">
        <f>'Grid_Stock'!CN55</f>
        <v/>
      </c>
      <c r="CQ1130">
        <f>'Grid_Stock'!CO55</f>
        <v/>
      </c>
      <c r="CR1130">
        <f>'Grid_Stock'!CP55</f>
        <v/>
      </c>
      <c r="CS1130">
        <f>'Grid_Stock'!CQ55</f>
        <v/>
      </c>
      <c r="CT1130">
        <f>'Grid_Stock'!CR55</f>
        <v/>
      </c>
      <c r="CU1130">
        <f>'Grid_Stock'!CS55</f>
        <v/>
      </c>
      <c r="CV1130">
        <f>'Grid_Stock'!CT55</f>
        <v/>
      </c>
      <c r="CW1130">
        <f>'Grid_Stock'!CU55</f>
        <v/>
      </c>
      <c r="CX1130">
        <f>'Grid_Stock'!CV55</f>
        <v/>
      </c>
      <c r="CY1130">
        <f>'Grid_Stock'!CW55</f>
        <v/>
      </c>
      <c r="CZ1130">
        <f>'Grid_Stock'!CX55</f>
        <v/>
      </c>
      <c r="DA1130">
        <f>'Grid_Stock'!CY55</f>
        <v/>
      </c>
      <c r="DB1130">
        <f>'Grid_Stock'!CZ55</f>
        <v/>
      </c>
      <c r="DC1130">
        <f>'Grid_Stock'!DA55</f>
        <v/>
      </c>
    </row>
    <row r="1131">
      <c r="B1131" s="23" t="inlineStr">
        <is>
          <t>（発注の目安はDashboardの基準在庫[下限/上限]と色分けを参照）</t>
        </is>
      </c>
    </row>
    <row r="1133">
      <c r="A1133" s="21" t="inlineStr">
        <is>
          <t>CHEM-1580</t>
        </is>
      </c>
      <c r="B1133" s="21" t="inlineStr">
        <is>
          <t>Barium Acetate</t>
        </is>
      </c>
      <c r="C1133" s="22" t="n"/>
      <c r="D1133" s="21" t="n"/>
      <c r="E1133" s="21" t="n"/>
      <c r="F1133" s="21" t="n"/>
      <c r="G1133" s="21" t="n"/>
      <c r="H1133" s="21" t="n"/>
      <c r="I1133" s="21" t="n"/>
      <c r="J1133" s="21" t="n"/>
      <c r="K1133" s="21" t="n"/>
      <c r="L1133" s="21" t="n"/>
      <c r="M1133" s="21" t="n"/>
      <c r="N1133" s="21" t="n"/>
      <c r="O1133" s="21" t="n"/>
      <c r="P1133" s="21" t="n"/>
      <c r="Q1133" s="21" t="n"/>
      <c r="R1133" s="21" t="n"/>
      <c r="S1133" s="21" t="n"/>
      <c r="T1133" s="21" t="n"/>
      <c r="U1133" s="21" t="n"/>
      <c r="V1133" s="21" t="n"/>
      <c r="W1133" s="21" t="n"/>
      <c r="X1133" s="21" t="n"/>
      <c r="Y1133" s="21" t="n"/>
      <c r="Z1133" s="21" t="n"/>
      <c r="AA1133" s="21" t="n"/>
      <c r="AB1133" s="21" t="n"/>
      <c r="AC1133" s="21" t="n"/>
      <c r="AD1133" s="21" t="n"/>
      <c r="AE1133" s="21" t="n"/>
      <c r="AF1133" s="21" t="n"/>
      <c r="AG1133" s="21" t="n"/>
      <c r="AH1133" s="21" t="n"/>
      <c r="AI1133" s="21" t="n"/>
      <c r="AJ1133" s="21" t="n"/>
      <c r="AK1133" s="21" t="n"/>
      <c r="AL1133" s="21" t="n"/>
      <c r="AM1133" s="21" t="n"/>
      <c r="AN1133" s="21" t="n"/>
      <c r="AO1133" s="21" t="n"/>
      <c r="AP1133" s="21" t="n"/>
      <c r="AQ1133" s="21" t="n"/>
      <c r="AR1133" s="21" t="n"/>
      <c r="AS1133" s="21" t="n"/>
      <c r="AT1133" s="21" t="n"/>
      <c r="AU1133" s="21" t="n"/>
      <c r="AV1133" s="21" t="n"/>
      <c r="AW1133" s="21" t="n"/>
      <c r="AX1133" s="21" t="n"/>
      <c r="AY1133" s="21" t="n"/>
      <c r="AZ1133" s="21" t="n"/>
      <c r="BA1133" s="21" t="n"/>
      <c r="BB1133" s="21" t="n"/>
      <c r="BC1133" s="21" t="n"/>
      <c r="BD1133" s="21" t="n"/>
      <c r="BE1133" s="21" t="n"/>
      <c r="BF1133" s="21" t="n"/>
      <c r="BG1133" s="21" t="n"/>
      <c r="BH1133" s="21" t="n"/>
      <c r="BI1133" s="21" t="n"/>
      <c r="BJ1133" s="21" t="n"/>
      <c r="BK1133" s="21" t="n"/>
      <c r="BL1133" s="21" t="n"/>
      <c r="BM1133" s="21" t="n"/>
      <c r="BN1133" s="21" t="n"/>
      <c r="BO1133" s="21" t="n"/>
      <c r="BP1133" s="21" t="n"/>
      <c r="BQ1133" s="21" t="n"/>
      <c r="BR1133" s="21" t="n"/>
      <c r="BS1133" s="21" t="n"/>
      <c r="BT1133" s="21" t="n"/>
      <c r="BU1133" s="21" t="n"/>
      <c r="BV1133" s="21" t="n"/>
      <c r="BW1133" s="21" t="n"/>
      <c r="BX1133" s="21" t="n"/>
      <c r="BY1133" s="21" t="n"/>
      <c r="BZ1133" s="21" t="n"/>
      <c r="CA1133" s="21" t="n"/>
      <c r="CB1133" s="21" t="n"/>
      <c r="CC1133" s="21" t="n"/>
      <c r="CD1133" s="21" t="n"/>
      <c r="CE1133" s="21" t="n"/>
      <c r="CF1133" s="21" t="n"/>
      <c r="CG1133" s="21" t="n"/>
      <c r="CH1133" s="21" t="n"/>
      <c r="CI1133" s="21" t="n"/>
      <c r="CJ1133" s="21" t="n"/>
      <c r="CK1133" s="21" t="n"/>
      <c r="CL1133" s="21" t="n"/>
      <c r="CM1133" s="21" t="n"/>
      <c r="CN1133" s="21" t="n"/>
      <c r="CO1133" s="21" t="n"/>
      <c r="CP1133" s="21" t="n"/>
      <c r="CQ1133" s="21" t="n"/>
      <c r="CR1133" s="21" t="n"/>
      <c r="CS1133" s="21" t="n"/>
      <c r="CT1133" s="21" t="n"/>
      <c r="CU1133" s="21" t="n"/>
      <c r="CV1133" s="21" t="n"/>
      <c r="CW1133" s="21" t="n"/>
      <c r="CX1133" s="21" t="n"/>
      <c r="CY1133" s="21" t="n"/>
      <c r="CZ1133" s="21" t="n"/>
      <c r="DA1133" s="21" t="n"/>
      <c r="DB1133" s="21" t="n"/>
      <c r="DC1133" s="21" t="n"/>
    </row>
    <row r="1134">
      <c r="B1134" t="inlineStr">
        <is>
          <t>TSP-360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12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Name],$A1133)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TSP-367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12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Name],$A1133)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TSP-544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Name],$A1133)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TSP-710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Name],$A1133)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s="5" t="inlineStr">
        <is>
          <t>合計使用量(kg)/週</t>
        </is>
      </c>
      <c r="D1142">
        <f>'Grid_Requirement'!B26</f>
        <v/>
      </c>
      <c r="E1142">
        <f>'Grid_Requirement'!C26</f>
        <v/>
      </c>
      <c r="F1142">
        <f>'Grid_Requirement'!D26</f>
        <v/>
      </c>
      <c r="G1142">
        <f>'Grid_Requirement'!E26</f>
        <v/>
      </c>
      <c r="H1142">
        <f>'Grid_Requirement'!F26</f>
        <v/>
      </c>
      <c r="I1142">
        <f>'Grid_Requirement'!G26</f>
        <v/>
      </c>
      <c r="J1142">
        <f>'Grid_Requirement'!H26</f>
        <v/>
      </c>
      <c r="K1142">
        <f>'Grid_Requirement'!I26</f>
        <v/>
      </c>
      <c r="L1142">
        <f>'Grid_Requirement'!J26</f>
        <v/>
      </c>
      <c r="M1142">
        <f>'Grid_Requirement'!K26</f>
        <v/>
      </c>
      <c r="N1142">
        <f>'Grid_Requirement'!L26</f>
        <v/>
      </c>
      <c r="O1142">
        <f>'Grid_Requirement'!M26</f>
        <v/>
      </c>
      <c r="P1142">
        <f>'Grid_Requirement'!N26</f>
        <v/>
      </c>
      <c r="Q1142">
        <f>'Grid_Requirement'!O26</f>
        <v/>
      </c>
      <c r="R1142">
        <f>'Grid_Requirement'!P26</f>
        <v/>
      </c>
      <c r="S1142">
        <f>'Grid_Requirement'!Q26</f>
        <v/>
      </c>
      <c r="T1142">
        <f>'Grid_Requirement'!R26</f>
        <v/>
      </c>
      <c r="U1142">
        <f>'Grid_Requirement'!S26</f>
        <v/>
      </c>
      <c r="V1142">
        <f>'Grid_Requirement'!T26</f>
        <v/>
      </c>
      <c r="W1142">
        <f>'Grid_Requirement'!U26</f>
        <v/>
      </c>
      <c r="X1142">
        <f>'Grid_Requirement'!V26</f>
        <v/>
      </c>
      <c r="Y1142">
        <f>'Grid_Requirement'!W26</f>
        <v/>
      </c>
      <c r="Z1142">
        <f>'Grid_Requirement'!X26</f>
        <v/>
      </c>
      <c r="AA1142">
        <f>'Grid_Requirement'!Y26</f>
        <v/>
      </c>
      <c r="AB1142">
        <f>'Grid_Requirement'!Z26</f>
        <v/>
      </c>
      <c r="AC1142">
        <f>'Grid_Requirement'!AA26</f>
        <v/>
      </c>
      <c r="AD1142">
        <f>'Grid_Requirement'!AB26</f>
        <v/>
      </c>
      <c r="AE1142">
        <f>'Grid_Requirement'!AC26</f>
        <v/>
      </c>
      <c r="AF1142">
        <f>'Grid_Requirement'!AD26</f>
        <v/>
      </c>
      <c r="AG1142">
        <f>'Grid_Requirement'!AE26</f>
        <v/>
      </c>
      <c r="AH1142">
        <f>'Grid_Requirement'!AF26</f>
        <v/>
      </c>
      <c r="AI1142">
        <f>'Grid_Requirement'!AG26</f>
        <v/>
      </c>
      <c r="AJ1142">
        <f>'Grid_Requirement'!AH26</f>
        <v/>
      </c>
      <c r="AK1142">
        <f>'Grid_Requirement'!AI26</f>
        <v/>
      </c>
      <c r="AL1142">
        <f>'Grid_Requirement'!AJ26</f>
        <v/>
      </c>
      <c r="AM1142">
        <f>'Grid_Requirement'!AK26</f>
        <v/>
      </c>
      <c r="AN1142">
        <f>'Grid_Requirement'!AL26</f>
        <v/>
      </c>
      <c r="AO1142">
        <f>'Grid_Requirement'!AM26</f>
        <v/>
      </c>
      <c r="AP1142">
        <f>'Grid_Requirement'!AN26</f>
        <v/>
      </c>
      <c r="AQ1142">
        <f>'Grid_Requirement'!AO26</f>
        <v/>
      </c>
      <c r="AR1142">
        <f>'Grid_Requirement'!AP26</f>
        <v/>
      </c>
      <c r="AS1142">
        <f>'Grid_Requirement'!AQ26</f>
        <v/>
      </c>
      <c r="AT1142">
        <f>'Grid_Requirement'!AR26</f>
        <v/>
      </c>
      <c r="AU1142">
        <f>'Grid_Requirement'!AS26</f>
        <v/>
      </c>
      <c r="AV1142">
        <f>'Grid_Requirement'!AT26</f>
        <v/>
      </c>
      <c r="AW1142">
        <f>'Grid_Requirement'!AU26</f>
        <v/>
      </c>
      <c r="AX1142">
        <f>'Grid_Requirement'!AV26</f>
        <v/>
      </c>
      <c r="AY1142">
        <f>'Grid_Requirement'!AW26</f>
        <v/>
      </c>
      <c r="AZ1142">
        <f>'Grid_Requirement'!AX26</f>
        <v/>
      </c>
      <c r="BA1142">
        <f>'Grid_Requirement'!AY26</f>
        <v/>
      </c>
      <c r="BB1142">
        <f>'Grid_Requirement'!AZ26</f>
        <v/>
      </c>
      <c r="BC1142">
        <f>'Grid_Requirement'!BA26</f>
        <v/>
      </c>
      <c r="BD1142">
        <f>'Grid_Requirement'!BB26</f>
        <v/>
      </c>
      <c r="BE1142">
        <f>'Grid_Requirement'!BC26</f>
        <v/>
      </c>
      <c r="BF1142">
        <f>'Grid_Requirement'!BD26</f>
        <v/>
      </c>
      <c r="BG1142">
        <f>'Grid_Requirement'!BE26</f>
        <v/>
      </c>
      <c r="BH1142">
        <f>'Grid_Requirement'!BF26</f>
        <v/>
      </c>
      <c r="BI1142">
        <f>'Grid_Requirement'!BG26</f>
        <v/>
      </c>
      <c r="BJ1142">
        <f>'Grid_Requirement'!BH26</f>
        <v/>
      </c>
      <c r="BK1142">
        <f>'Grid_Requirement'!BI26</f>
        <v/>
      </c>
      <c r="BL1142">
        <f>'Grid_Requirement'!BJ26</f>
        <v/>
      </c>
      <c r="BM1142">
        <f>'Grid_Requirement'!BK26</f>
        <v/>
      </c>
      <c r="BN1142">
        <f>'Grid_Requirement'!BL26</f>
        <v/>
      </c>
      <c r="BO1142">
        <f>'Grid_Requirement'!BM26</f>
        <v/>
      </c>
      <c r="BP1142">
        <f>'Grid_Requirement'!BN26</f>
        <v/>
      </c>
      <c r="BQ1142">
        <f>'Grid_Requirement'!BO26</f>
        <v/>
      </c>
      <c r="BR1142">
        <f>'Grid_Requirement'!BP26</f>
        <v/>
      </c>
      <c r="BS1142">
        <f>'Grid_Requirement'!BQ26</f>
        <v/>
      </c>
      <c r="BT1142">
        <f>'Grid_Requirement'!BR26</f>
        <v/>
      </c>
      <c r="BU1142">
        <f>'Grid_Requirement'!BS26</f>
        <v/>
      </c>
      <c r="BV1142">
        <f>'Grid_Requirement'!BT26</f>
        <v/>
      </c>
      <c r="BW1142">
        <f>'Grid_Requirement'!BU26</f>
        <v/>
      </c>
      <c r="BX1142">
        <f>'Grid_Requirement'!BV26</f>
        <v/>
      </c>
      <c r="BY1142">
        <f>'Grid_Requirement'!BW26</f>
        <v/>
      </c>
      <c r="BZ1142">
        <f>'Grid_Requirement'!BX26</f>
        <v/>
      </c>
      <c r="CA1142">
        <f>'Grid_Requirement'!BY26</f>
        <v/>
      </c>
      <c r="CB1142">
        <f>'Grid_Requirement'!BZ26</f>
        <v/>
      </c>
      <c r="CC1142">
        <f>'Grid_Requirement'!CA26</f>
        <v/>
      </c>
      <c r="CD1142">
        <f>'Grid_Requirement'!CB26</f>
        <v/>
      </c>
      <c r="CE1142">
        <f>'Grid_Requirement'!CC26</f>
        <v/>
      </c>
      <c r="CF1142">
        <f>'Grid_Requirement'!CD26</f>
        <v/>
      </c>
      <c r="CG1142">
        <f>'Grid_Requirement'!CE26</f>
        <v/>
      </c>
      <c r="CH1142">
        <f>'Grid_Requirement'!CF26</f>
        <v/>
      </c>
      <c r="CI1142">
        <f>'Grid_Requirement'!CG26</f>
        <v/>
      </c>
      <c r="CJ1142">
        <f>'Grid_Requirement'!CH26</f>
        <v/>
      </c>
      <c r="CK1142">
        <f>'Grid_Requirement'!CI26</f>
        <v/>
      </c>
      <c r="CL1142">
        <f>'Grid_Requirement'!CJ26</f>
        <v/>
      </c>
      <c r="CM1142">
        <f>'Grid_Requirement'!CK26</f>
        <v/>
      </c>
      <c r="CN1142">
        <f>'Grid_Requirement'!CL26</f>
        <v/>
      </c>
      <c r="CO1142">
        <f>'Grid_Requirement'!CM26</f>
        <v/>
      </c>
      <c r="CP1142">
        <f>'Grid_Requirement'!CN26</f>
        <v/>
      </c>
      <c r="CQ1142">
        <f>'Grid_Requirement'!CO26</f>
        <v/>
      </c>
      <c r="CR1142">
        <f>'Grid_Requirement'!CP26</f>
        <v/>
      </c>
      <c r="CS1142">
        <f>'Grid_Requirement'!CQ26</f>
        <v/>
      </c>
      <c r="CT1142">
        <f>'Grid_Requirement'!CR26</f>
        <v/>
      </c>
      <c r="CU1142">
        <f>'Grid_Requirement'!CS26</f>
        <v/>
      </c>
      <c r="CV1142">
        <f>'Grid_Requirement'!CT26</f>
        <v/>
      </c>
      <c r="CW1142">
        <f>'Grid_Requirement'!CU26</f>
        <v/>
      </c>
      <c r="CX1142">
        <f>'Grid_Requirement'!CV26</f>
        <v/>
      </c>
      <c r="CY1142">
        <f>'Grid_Requirement'!CW26</f>
        <v/>
      </c>
      <c r="CZ1142">
        <f>'Grid_Requirement'!CX26</f>
        <v/>
      </c>
      <c r="DA1142">
        <f>'Grid_Requirement'!CY26</f>
        <v/>
      </c>
      <c r="DB1142">
        <f>'Grid_Requirement'!CZ26</f>
        <v/>
      </c>
      <c r="DC1142">
        <f>'Grid_Requirement'!DA26</f>
        <v/>
      </c>
    </row>
    <row r="1143">
      <c r="B1143" t="inlineStr">
        <is>
          <t>TTAF在庫(実績,kg)</t>
        </is>
      </c>
      <c r="D1143">
        <f>'T_TTAFStock'!B30</f>
        <v/>
      </c>
      <c r="E1143">
        <f>'T_TTAFStock'!C30</f>
        <v/>
      </c>
      <c r="F1143">
        <f>'T_TTAFStock'!D30</f>
        <v/>
      </c>
      <c r="G1143">
        <f>'T_TTAFStock'!E30</f>
        <v/>
      </c>
      <c r="H1143">
        <f>'T_TTAFStock'!F30</f>
        <v/>
      </c>
      <c r="I1143">
        <f>'T_TTAFStock'!G30</f>
        <v/>
      </c>
      <c r="J1143">
        <f>'T_TTAFStock'!H30</f>
        <v/>
      </c>
      <c r="K1143">
        <f>'T_TTAFStock'!I30</f>
        <v/>
      </c>
      <c r="L1143">
        <f>'T_TTAFStock'!J30</f>
        <v/>
      </c>
      <c r="M1143">
        <f>'T_TTAFStock'!K30</f>
        <v/>
      </c>
      <c r="N1143">
        <f>'T_TTAFStock'!L30</f>
        <v/>
      </c>
      <c r="O1143">
        <f>'T_TTAFStock'!M30</f>
        <v/>
      </c>
      <c r="P1143">
        <f>'T_TTAFStock'!N30</f>
        <v/>
      </c>
      <c r="Q1143">
        <f>'T_TTAFStock'!O30</f>
        <v/>
      </c>
      <c r="R1143">
        <f>'T_TTAFStock'!P30</f>
        <v/>
      </c>
      <c r="S1143">
        <f>'T_TTAFStock'!Q30</f>
        <v/>
      </c>
      <c r="T1143">
        <f>'T_TTAFStock'!R30</f>
        <v/>
      </c>
      <c r="U1143">
        <f>'T_TTAFStock'!S30</f>
        <v/>
      </c>
      <c r="V1143">
        <f>'T_TTAFStock'!T30</f>
        <v/>
      </c>
      <c r="W1143">
        <f>'T_TTAFStock'!U30</f>
        <v/>
      </c>
      <c r="X1143">
        <f>'T_TTAFStock'!V30</f>
        <v/>
      </c>
      <c r="Y1143">
        <f>'T_TTAFStock'!W30</f>
        <v/>
      </c>
      <c r="Z1143">
        <f>'T_TTAFStock'!X30</f>
        <v/>
      </c>
      <c r="AA1143">
        <f>'T_TTAFStock'!Y30</f>
        <v/>
      </c>
      <c r="AB1143">
        <f>'T_TTAFStock'!Z30</f>
        <v/>
      </c>
      <c r="AC1143">
        <f>'T_TTAFStock'!AA30</f>
        <v/>
      </c>
      <c r="AD1143">
        <f>'T_TTAFStock'!AB30</f>
        <v/>
      </c>
      <c r="AE1143">
        <f>'T_TTAFStock'!AC30</f>
        <v/>
      </c>
      <c r="AF1143">
        <f>'T_TTAFStock'!AD30</f>
        <v/>
      </c>
      <c r="AG1143">
        <f>'T_TTAFStock'!AE30</f>
        <v/>
      </c>
      <c r="AH1143">
        <f>'T_TTAFStock'!AF30</f>
        <v/>
      </c>
      <c r="AI1143">
        <f>'T_TTAFStock'!AG30</f>
        <v/>
      </c>
      <c r="AJ1143">
        <f>'T_TTAFStock'!AH30</f>
        <v/>
      </c>
      <c r="AK1143">
        <f>'T_TTAFStock'!AI30</f>
        <v/>
      </c>
      <c r="AL1143">
        <f>'T_TTAFStock'!AJ30</f>
        <v/>
      </c>
      <c r="AM1143">
        <f>'T_TTAFStock'!AK30</f>
        <v/>
      </c>
      <c r="AN1143">
        <f>'T_TTAFStock'!AL30</f>
        <v/>
      </c>
      <c r="AO1143">
        <f>'T_TTAFStock'!AM30</f>
        <v/>
      </c>
      <c r="AP1143">
        <f>'T_TTAFStock'!AN30</f>
        <v/>
      </c>
      <c r="AQ1143">
        <f>'T_TTAFStock'!AO30</f>
        <v/>
      </c>
      <c r="AR1143">
        <f>'T_TTAFStock'!AP30</f>
        <v/>
      </c>
      <c r="AS1143">
        <f>'T_TTAFStock'!AQ30</f>
        <v/>
      </c>
      <c r="AT1143">
        <f>'T_TTAFStock'!AR30</f>
        <v/>
      </c>
      <c r="AU1143">
        <f>'T_TTAFStock'!AS30</f>
        <v/>
      </c>
      <c r="AV1143">
        <f>'T_TTAFStock'!AT30</f>
        <v/>
      </c>
      <c r="AW1143">
        <f>'T_TTAFStock'!AU30</f>
        <v/>
      </c>
      <c r="AX1143">
        <f>'T_TTAFStock'!AV30</f>
        <v/>
      </c>
      <c r="AY1143">
        <f>'T_TTAFStock'!AW30</f>
        <v/>
      </c>
      <c r="AZ1143">
        <f>'T_TTAFStock'!AX30</f>
        <v/>
      </c>
      <c r="BA1143">
        <f>'T_TTAFStock'!AY30</f>
        <v/>
      </c>
      <c r="BB1143">
        <f>'T_TTAFStock'!AZ30</f>
        <v/>
      </c>
      <c r="BC1143">
        <f>'T_TTAFStock'!BA30</f>
        <v/>
      </c>
      <c r="BD1143">
        <f>'T_TTAFStock'!BB30</f>
        <v/>
      </c>
      <c r="BE1143">
        <f>'T_TTAFStock'!BC30</f>
        <v/>
      </c>
      <c r="BF1143">
        <f>'T_TTAFStock'!BD30</f>
        <v/>
      </c>
      <c r="BG1143">
        <f>'T_TTAFStock'!BE30</f>
        <v/>
      </c>
      <c r="BH1143">
        <f>'T_TTAFStock'!BF30</f>
        <v/>
      </c>
      <c r="BI1143">
        <f>'T_TTAFStock'!BG30</f>
        <v/>
      </c>
      <c r="BJ1143">
        <f>'T_TTAFStock'!BH30</f>
        <v/>
      </c>
      <c r="BK1143">
        <f>'T_TTAFStock'!BI30</f>
        <v/>
      </c>
      <c r="BL1143">
        <f>'T_TTAFStock'!BJ30</f>
        <v/>
      </c>
      <c r="BM1143">
        <f>'T_TTAFStock'!BK30</f>
        <v/>
      </c>
      <c r="BN1143">
        <f>'T_TTAFStock'!BL30</f>
        <v/>
      </c>
      <c r="BO1143">
        <f>'T_TTAFStock'!BM30</f>
        <v/>
      </c>
      <c r="BP1143">
        <f>'T_TTAFStock'!BN30</f>
        <v/>
      </c>
      <c r="BQ1143">
        <f>'T_TTAFStock'!BO30</f>
        <v/>
      </c>
      <c r="BR1143">
        <f>'T_TTAFStock'!BP30</f>
        <v/>
      </c>
      <c r="BS1143">
        <f>'T_TTAFStock'!BQ30</f>
        <v/>
      </c>
      <c r="BT1143">
        <f>'T_TTAFStock'!BR30</f>
        <v/>
      </c>
      <c r="BU1143">
        <f>'T_TTAFStock'!BS30</f>
        <v/>
      </c>
      <c r="BV1143">
        <f>'T_TTAFStock'!BT30</f>
        <v/>
      </c>
      <c r="BW1143">
        <f>'T_TTAFStock'!BU30</f>
        <v/>
      </c>
      <c r="BX1143">
        <f>'T_TTAFStock'!BV30</f>
        <v/>
      </c>
      <c r="BY1143">
        <f>'T_TTAFStock'!BW30</f>
        <v/>
      </c>
      <c r="BZ1143">
        <f>'T_TTAFStock'!BX30</f>
        <v/>
      </c>
      <c r="CA1143">
        <f>'T_TTAFStock'!BY30</f>
        <v/>
      </c>
      <c r="CB1143">
        <f>'T_TTAFStock'!BZ30</f>
        <v/>
      </c>
      <c r="CC1143">
        <f>'T_TTAFStock'!CA30</f>
        <v/>
      </c>
      <c r="CD1143">
        <f>'T_TTAFStock'!CB30</f>
        <v/>
      </c>
      <c r="CE1143">
        <f>'T_TTAFStock'!CC30</f>
        <v/>
      </c>
      <c r="CF1143">
        <f>'T_TTAFStock'!CD30</f>
        <v/>
      </c>
      <c r="CG1143">
        <f>'T_TTAFStock'!CE30</f>
        <v/>
      </c>
      <c r="CH1143">
        <f>'T_TTAFStock'!CF30</f>
        <v/>
      </c>
      <c r="CI1143">
        <f>'T_TTAFStock'!CG30</f>
        <v/>
      </c>
      <c r="CJ1143">
        <f>'T_TTAFStock'!CH30</f>
        <v/>
      </c>
      <c r="CK1143">
        <f>'T_TTAFStock'!CI30</f>
        <v/>
      </c>
      <c r="CL1143">
        <f>'T_TTAFStock'!CJ30</f>
        <v/>
      </c>
      <c r="CM1143">
        <f>'T_TTAFStock'!CK30</f>
        <v/>
      </c>
      <c r="CN1143">
        <f>'T_TTAFStock'!CL30</f>
        <v/>
      </c>
      <c r="CO1143">
        <f>'T_TTAFStock'!CM30</f>
        <v/>
      </c>
      <c r="CP1143">
        <f>'T_TTAFStock'!CN30</f>
        <v/>
      </c>
      <c r="CQ1143">
        <f>'T_TTAFStock'!CO30</f>
        <v/>
      </c>
      <c r="CR1143">
        <f>'T_TTAFStock'!CP30</f>
        <v/>
      </c>
      <c r="CS1143">
        <f>'T_TTAFStock'!CQ30</f>
        <v/>
      </c>
      <c r="CT1143">
        <f>'T_TTAFStock'!CR30</f>
        <v/>
      </c>
      <c r="CU1143">
        <f>'T_TTAFStock'!CS30</f>
        <v/>
      </c>
      <c r="CV1143">
        <f>'T_TTAFStock'!CT30</f>
        <v/>
      </c>
      <c r="CW1143">
        <f>'T_TTAFStock'!CU30</f>
        <v/>
      </c>
      <c r="CX1143">
        <f>'T_TTAFStock'!CV30</f>
        <v/>
      </c>
      <c r="CY1143">
        <f>'T_TTAFStock'!CW30</f>
        <v/>
      </c>
      <c r="CZ1143">
        <f>'T_TTAFStock'!CX30</f>
        <v/>
      </c>
      <c r="DA1143">
        <f>'T_TTAFStock'!CY30</f>
        <v/>
      </c>
      <c r="DB1143">
        <f>'T_TTAFStock'!CZ30</f>
        <v/>
      </c>
      <c r="DC1143">
        <f>'T_TTAFStock'!DA30</f>
        <v/>
      </c>
    </row>
    <row r="1144">
      <c r="B1144" t="inlineStr">
        <is>
          <t>自社在庫(実績,kg)</t>
        </is>
      </c>
      <c r="D1144">
        <f>'T_SelfStock'!B30</f>
        <v/>
      </c>
      <c r="E1144">
        <f>'T_SelfStock'!C30</f>
        <v/>
      </c>
      <c r="F1144">
        <f>'T_SelfStock'!D30</f>
        <v/>
      </c>
      <c r="G1144">
        <f>'T_SelfStock'!E30</f>
        <v/>
      </c>
      <c r="H1144">
        <f>'T_SelfStock'!F30</f>
        <v/>
      </c>
      <c r="I1144">
        <f>'T_SelfStock'!G30</f>
        <v/>
      </c>
      <c r="J1144">
        <f>'T_SelfStock'!H30</f>
        <v/>
      </c>
      <c r="K1144">
        <f>'T_SelfStock'!I30</f>
        <v/>
      </c>
      <c r="L1144">
        <f>'T_SelfStock'!J30</f>
        <v/>
      </c>
      <c r="M1144">
        <f>'T_SelfStock'!K30</f>
        <v/>
      </c>
      <c r="N1144">
        <f>'T_SelfStock'!L30</f>
        <v/>
      </c>
      <c r="O1144">
        <f>'T_SelfStock'!M30</f>
        <v/>
      </c>
      <c r="P1144">
        <f>'T_SelfStock'!N30</f>
        <v/>
      </c>
      <c r="Q1144">
        <f>'T_SelfStock'!O30</f>
        <v/>
      </c>
      <c r="R1144">
        <f>'T_SelfStock'!P30</f>
        <v/>
      </c>
      <c r="S1144">
        <f>'T_SelfStock'!Q30</f>
        <v/>
      </c>
      <c r="T1144">
        <f>'T_SelfStock'!R30</f>
        <v/>
      </c>
      <c r="U1144">
        <f>'T_SelfStock'!S30</f>
        <v/>
      </c>
      <c r="V1144">
        <f>'T_SelfStock'!T30</f>
        <v/>
      </c>
      <c r="W1144">
        <f>'T_SelfStock'!U30</f>
        <v/>
      </c>
      <c r="X1144">
        <f>'T_SelfStock'!V30</f>
        <v/>
      </c>
      <c r="Y1144">
        <f>'T_SelfStock'!W30</f>
        <v/>
      </c>
      <c r="Z1144">
        <f>'T_SelfStock'!X30</f>
        <v/>
      </c>
      <c r="AA1144">
        <f>'T_SelfStock'!Y30</f>
        <v/>
      </c>
      <c r="AB1144">
        <f>'T_SelfStock'!Z30</f>
        <v/>
      </c>
      <c r="AC1144">
        <f>'T_SelfStock'!AA30</f>
        <v/>
      </c>
      <c r="AD1144">
        <f>'T_SelfStock'!AB30</f>
        <v/>
      </c>
      <c r="AE1144">
        <f>'T_SelfStock'!AC30</f>
        <v/>
      </c>
      <c r="AF1144">
        <f>'T_SelfStock'!AD30</f>
        <v/>
      </c>
      <c r="AG1144">
        <f>'T_SelfStock'!AE30</f>
        <v/>
      </c>
      <c r="AH1144">
        <f>'T_SelfStock'!AF30</f>
        <v/>
      </c>
      <c r="AI1144">
        <f>'T_SelfStock'!AG30</f>
        <v/>
      </c>
      <c r="AJ1144">
        <f>'T_SelfStock'!AH30</f>
        <v/>
      </c>
      <c r="AK1144">
        <f>'T_SelfStock'!AI30</f>
        <v/>
      </c>
      <c r="AL1144">
        <f>'T_SelfStock'!AJ30</f>
        <v/>
      </c>
      <c r="AM1144">
        <f>'T_SelfStock'!AK30</f>
        <v/>
      </c>
      <c r="AN1144">
        <f>'T_SelfStock'!AL30</f>
        <v/>
      </c>
      <c r="AO1144">
        <f>'T_SelfStock'!AM30</f>
        <v/>
      </c>
      <c r="AP1144">
        <f>'T_SelfStock'!AN30</f>
        <v/>
      </c>
      <c r="AQ1144">
        <f>'T_SelfStock'!AO30</f>
        <v/>
      </c>
      <c r="AR1144">
        <f>'T_SelfStock'!AP30</f>
        <v/>
      </c>
      <c r="AS1144">
        <f>'T_SelfStock'!AQ30</f>
        <v/>
      </c>
      <c r="AT1144">
        <f>'T_SelfStock'!AR30</f>
        <v/>
      </c>
      <c r="AU1144">
        <f>'T_SelfStock'!AS30</f>
        <v/>
      </c>
      <c r="AV1144">
        <f>'T_SelfStock'!AT30</f>
        <v/>
      </c>
      <c r="AW1144">
        <f>'T_SelfStock'!AU30</f>
        <v/>
      </c>
      <c r="AX1144">
        <f>'T_SelfStock'!AV30</f>
        <v/>
      </c>
      <c r="AY1144">
        <f>'T_SelfStock'!AW30</f>
        <v/>
      </c>
      <c r="AZ1144">
        <f>'T_SelfStock'!AX30</f>
        <v/>
      </c>
      <c r="BA1144">
        <f>'T_SelfStock'!AY30</f>
        <v/>
      </c>
      <c r="BB1144">
        <f>'T_SelfStock'!AZ30</f>
        <v/>
      </c>
      <c r="BC1144">
        <f>'T_SelfStock'!BA30</f>
        <v/>
      </c>
      <c r="BD1144">
        <f>'T_SelfStock'!BB30</f>
        <v/>
      </c>
      <c r="BE1144">
        <f>'T_SelfStock'!BC30</f>
        <v/>
      </c>
      <c r="BF1144">
        <f>'T_SelfStock'!BD30</f>
        <v/>
      </c>
      <c r="BG1144">
        <f>'T_SelfStock'!BE30</f>
        <v/>
      </c>
      <c r="BH1144">
        <f>'T_SelfStock'!BF30</f>
        <v/>
      </c>
      <c r="BI1144">
        <f>'T_SelfStock'!BG30</f>
        <v/>
      </c>
      <c r="BJ1144">
        <f>'T_SelfStock'!BH30</f>
        <v/>
      </c>
      <c r="BK1144">
        <f>'T_SelfStock'!BI30</f>
        <v/>
      </c>
      <c r="BL1144">
        <f>'T_SelfStock'!BJ30</f>
        <v/>
      </c>
      <c r="BM1144">
        <f>'T_SelfStock'!BK30</f>
        <v/>
      </c>
      <c r="BN1144">
        <f>'T_SelfStock'!BL30</f>
        <v/>
      </c>
      <c r="BO1144">
        <f>'T_SelfStock'!BM30</f>
        <v/>
      </c>
      <c r="BP1144">
        <f>'T_SelfStock'!BN30</f>
        <v/>
      </c>
      <c r="BQ1144">
        <f>'T_SelfStock'!BO30</f>
        <v/>
      </c>
      <c r="BR1144">
        <f>'T_SelfStock'!BP30</f>
        <v/>
      </c>
      <c r="BS1144">
        <f>'T_SelfStock'!BQ30</f>
        <v/>
      </c>
      <c r="BT1144">
        <f>'T_SelfStock'!BR30</f>
        <v/>
      </c>
      <c r="BU1144">
        <f>'T_SelfStock'!BS30</f>
        <v/>
      </c>
      <c r="BV1144">
        <f>'T_SelfStock'!BT30</f>
        <v/>
      </c>
      <c r="BW1144">
        <f>'T_SelfStock'!BU30</f>
        <v/>
      </c>
      <c r="BX1144">
        <f>'T_SelfStock'!BV30</f>
        <v/>
      </c>
      <c r="BY1144">
        <f>'T_SelfStock'!BW30</f>
        <v/>
      </c>
      <c r="BZ1144">
        <f>'T_SelfStock'!BX30</f>
        <v/>
      </c>
      <c r="CA1144">
        <f>'T_SelfStock'!BY30</f>
        <v/>
      </c>
      <c r="CB1144">
        <f>'T_SelfStock'!BZ30</f>
        <v/>
      </c>
      <c r="CC1144">
        <f>'T_SelfStock'!CA30</f>
        <v/>
      </c>
      <c r="CD1144">
        <f>'T_SelfStock'!CB30</f>
        <v/>
      </c>
      <c r="CE1144">
        <f>'T_SelfStock'!CC30</f>
        <v/>
      </c>
      <c r="CF1144">
        <f>'T_SelfStock'!CD30</f>
        <v/>
      </c>
      <c r="CG1144">
        <f>'T_SelfStock'!CE30</f>
        <v/>
      </c>
      <c r="CH1144">
        <f>'T_SelfStock'!CF30</f>
        <v/>
      </c>
      <c r="CI1144">
        <f>'T_SelfStock'!CG30</f>
        <v/>
      </c>
      <c r="CJ1144">
        <f>'T_SelfStock'!CH30</f>
        <v/>
      </c>
      <c r="CK1144">
        <f>'T_SelfStock'!CI30</f>
        <v/>
      </c>
      <c r="CL1144">
        <f>'T_SelfStock'!CJ30</f>
        <v/>
      </c>
      <c r="CM1144">
        <f>'T_SelfStock'!CK30</f>
        <v/>
      </c>
      <c r="CN1144">
        <f>'T_SelfStock'!CL30</f>
        <v/>
      </c>
      <c r="CO1144">
        <f>'T_SelfStock'!CM30</f>
        <v/>
      </c>
      <c r="CP1144">
        <f>'T_SelfStock'!CN30</f>
        <v/>
      </c>
      <c r="CQ1144">
        <f>'T_SelfStock'!CO30</f>
        <v/>
      </c>
      <c r="CR1144">
        <f>'T_SelfStock'!CP30</f>
        <v/>
      </c>
      <c r="CS1144">
        <f>'T_SelfStock'!CQ30</f>
        <v/>
      </c>
      <c r="CT1144">
        <f>'T_SelfStock'!CR30</f>
        <v/>
      </c>
      <c r="CU1144">
        <f>'T_SelfStock'!CS30</f>
        <v/>
      </c>
      <c r="CV1144">
        <f>'T_SelfStock'!CT30</f>
        <v/>
      </c>
      <c r="CW1144">
        <f>'T_SelfStock'!CU30</f>
        <v/>
      </c>
      <c r="CX1144">
        <f>'T_SelfStock'!CV30</f>
        <v/>
      </c>
      <c r="CY1144">
        <f>'T_SelfStock'!CW30</f>
        <v/>
      </c>
      <c r="CZ1144">
        <f>'T_SelfStock'!CX30</f>
        <v/>
      </c>
      <c r="DA1144">
        <f>'T_SelfStock'!CY30</f>
        <v/>
      </c>
      <c r="DB1144">
        <f>'T_SelfStock'!CZ30</f>
        <v/>
      </c>
      <c r="DC1144">
        <f>'T_SelfStock'!DA30</f>
        <v/>
      </c>
    </row>
    <row r="1145">
      <c r="B1145" t="inlineStr">
        <is>
          <t>Order(発注予定,kg)</t>
        </is>
      </c>
      <c r="D1145">
        <f>IF(SUMIFS(T_PlannedOrders[EffectiveQty],T_PlannedOrders[Part Name],$A1133,T_PlannedOrders[WeekIndex],1)=0,"",SUMIFS(T_PlannedOrders[EffectiveQty],T_PlannedOrders[Part Name],$A1133,T_PlannedOrders[WeekIndex],1)&amp;" ("&amp;TEXT(SUMPRODUCT(MAX((T_PlannedOrders[Part Name]=$A1133)*(T_PlannedOrders[WeekIndex]=1)*(T_PlannedOrders[EffectiveQty]&gt;0)*T_PlannedOrders[Order_Month])),"m月")&amp;"発注)")</f>
        <v/>
      </c>
      <c r="E1145">
        <f>IF(SUMIFS(T_PlannedOrders[EffectiveQty],T_PlannedOrders[Part Name],$A1133,T_PlannedOrders[WeekIndex],2)=0,"",SUMIFS(T_PlannedOrders[EffectiveQty],T_PlannedOrders[Part Name],$A1133,T_PlannedOrders[WeekIndex],2)&amp;" ("&amp;TEXT(SUMPRODUCT(MAX((T_PlannedOrders[Part Name]=$A1133)*(T_PlannedOrders[WeekIndex]=2)*(T_PlannedOrders[EffectiveQty]&gt;0)*T_PlannedOrders[Order_Month])),"m月")&amp;"発注)")</f>
        <v/>
      </c>
      <c r="F1145">
        <f>IF(SUMIFS(T_PlannedOrders[EffectiveQty],T_PlannedOrders[Part Name],$A1133,T_PlannedOrders[WeekIndex],3)=0,"",SUMIFS(T_PlannedOrders[EffectiveQty],T_PlannedOrders[Part Name],$A1133,T_PlannedOrders[WeekIndex],3)&amp;" ("&amp;TEXT(SUMPRODUCT(MAX((T_PlannedOrders[Part Name]=$A1133)*(T_PlannedOrders[WeekIndex]=3)*(T_PlannedOrders[EffectiveQty]&gt;0)*T_PlannedOrders[Order_Month])),"m月")&amp;"発注)")</f>
        <v/>
      </c>
      <c r="G1145">
        <f>IF(SUMIFS(T_PlannedOrders[EffectiveQty],T_PlannedOrders[Part Name],$A1133,T_PlannedOrders[WeekIndex],4)=0,"",SUMIFS(T_PlannedOrders[EffectiveQty],T_PlannedOrders[Part Name],$A1133,T_PlannedOrders[WeekIndex],4)&amp;" ("&amp;TEXT(SUMPRODUCT(MAX((T_PlannedOrders[Part Name]=$A1133)*(T_PlannedOrders[WeekIndex]=4)*(T_PlannedOrders[EffectiveQty]&gt;0)*T_PlannedOrders[Order_Month])),"m月")&amp;"発注)")</f>
        <v/>
      </c>
      <c r="H1145">
        <f>IF(SUMIFS(T_PlannedOrders[EffectiveQty],T_PlannedOrders[Part Name],$A1133,T_PlannedOrders[WeekIndex],5)=0,"",SUMIFS(T_PlannedOrders[EffectiveQty],T_PlannedOrders[Part Name],$A1133,T_PlannedOrders[WeekIndex],5)&amp;" ("&amp;TEXT(SUMPRODUCT(MAX((T_PlannedOrders[Part Name]=$A1133)*(T_PlannedOrders[WeekIndex]=5)*(T_PlannedOrders[EffectiveQty]&gt;0)*T_PlannedOrders[Order_Month])),"m月")&amp;"発注)")</f>
        <v/>
      </c>
      <c r="I1145">
        <f>IF(SUMIFS(T_PlannedOrders[EffectiveQty],T_PlannedOrders[Part Name],$A1133,T_PlannedOrders[WeekIndex],6)=0,"",SUMIFS(T_PlannedOrders[EffectiveQty],T_PlannedOrders[Part Name],$A1133,T_PlannedOrders[WeekIndex],6)&amp;" ("&amp;TEXT(SUMPRODUCT(MAX((T_PlannedOrders[Part Name]=$A1133)*(T_PlannedOrders[WeekIndex]=6)*(T_PlannedOrders[EffectiveQty]&gt;0)*T_PlannedOrders[Order_Month])),"m月")&amp;"発注)")</f>
        <v/>
      </c>
      <c r="J1145">
        <f>IF(SUMIFS(T_PlannedOrders[EffectiveQty],T_PlannedOrders[Part Name],$A1133,T_PlannedOrders[WeekIndex],7)=0,"",SUMIFS(T_PlannedOrders[EffectiveQty],T_PlannedOrders[Part Name],$A1133,T_PlannedOrders[WeekIndex],7)&amp;" ("&amp;TEXT(SUMPRODUCT(MAX((T_PlannedOrders[Part Name]=$A1133)*(T_PlannedOrders[WeekIndex]=7)*(T_PlannedOrders[EffectiveQty]&gt;0)*T_PlannedOrders[Order_Month])),"m月")&amp;"発注)")</f>
        <v/>
      </c>
      <c r="K1145">
        <f>IF(SUMIFS(T_PlannedOrders[EffectiveQty],T_PlannedOrders[Part Name],$A1133,T_PlannedOrders[WeekIndex],8)=0,"",SUMIFS(T_PlannedOrders[EffectiveQty],T_PlannedOrders[Part Name],$A1133,T_PlannedOrders[WeekIndex],8)&amp;" ("&amp;TEXT(SUMPRODUCT(MAX((T_PlannedOrders[Part Name]=$A1133)*(T_PlannedOrders[WeekIndex]=8)*(T_PlannedOrders[EffectiveQty]&gt;0)*T_PlannedOrders[Order_Month])),"m月")&amp;"発注)")</f>
        <v/>
      </c>
      <c r="L1145">
        <f>IF(SUMIFS(T_PlannedOrders[EffectiveQty],T_PlannedOrders[Part Name],$A1133,T_PlannedOrders[WeekIndex],9)=0,"",SUMIFS(T_PlannedOrders[EffectiveQty],T_PlannedOrders[Part Name],$A1133,T_PlannedOrders[WeekIndex],9)&amp;" ("&amp;TEXT(SUMPRODUCT(MAX((T_PlannedOrders[Part Name]=$A1133)*(T_PlannedOrders[WeekIndex]=9)*(T_PlannedOrders[EffectiveQty]&gt;0)*T_PlannedOrders[Order_Month])),"m月")&amp;"発注)")</f>
        <v/>
      </c>
      <c r="M1145">
        <f>IF(SUMIFS(T_PlannedOrders[EffectiveQty],T_PlannedOrders[Part Name],$A1133,T_PlannedOrders[WeekIndex],10)=0,"",SUMIFS(T_PlannedOrders[EffectiveQty],T_PlannedOrders[Part Name],$A1133,T_PlannedOrders[WeekIndex],10)&amp;" ("&amp;TEXT(SUMPRODUCT(MAX((T_PlannedOrders[Part Name]=$A1133)*(T_PlannedOrders[WeekIndex]=10)*(T_PlannedOrders[EffectiveQty]&gt;0)*T_PlannedOrders[Order_Month])),"m月")&amp;"発注)")</f>
        <v/>
      </c>
      <c r="N1145">
        <f>IF(SUMIFS(T_PlannedOrders[EffectiveQty],T_PlannedOrders[Part Name],$A1133,T_PlannedOrders[WeekIndex],11)=0,"",SUMIFS(T_PlannedOrders[EffectiveQty],T_PlannedOrders[Part Name],$A1133,T_PlannedOrders[WeekIndex],11)&amp;" ("&amp;TEXT(SUMPRODUCT(MAX((T_PlannedOrders[Part Name]=$A1133)*(T_PlannedOrders[WeekIndex]=11)*(T_PlannedOrders[EffectiveQty]&gt;0)*T_PlannedOrders[Order_Month])),"m月")&amp;"発注)")</f>
        <v/>
      </c>
      <c r="O1145">
        <f>IF(SUMIFS(T_PlannedOrders[EffectiveQty],T_PlannedOrders[Part Name],$A1133,T_PlannedOrders[WeekIndex],12)=0,"",SUMIFS(T_PlannedOrders[EffectiveQty],T_PlannedOrders[Part Name],$A1133,T_PlannedOrders[WeekIndex],12)&amp;" ("&amp;TEXT(SUMPRODUCT(MAX((T_PlannedOrders[Part Name]=$A1133)*(T_PlannedOrders[WeekIndex]=12)*(T_PlannedOrders[EffectiveQty]&gt;0)*T_PlannedOrders[Order_Month])),"m月")&amp;"発注)")</f>
        <v/>
      </c>
      <c r="P1145">
        <f>IF(SUMIFS(T_PlannedOrders[EffectiveQty],T_PlannedOrders[Part Name],$A1133,T_PlannedOrders[WeekIndex],13)=0,"",SUMIFS(T_PlannedOrders[EffectiveQty],T_PlannedOrders[Part Name],$A1133,T_PlannedOrders[WeekIndex],13)&amp;" ("&amp;TEXT(SUMPRODUCT(MAX((T_PlannedOrders[Part Name]=$A1133)*(T_PlannedOrders[WeekIndex]=13)*(T_PlannedOrders[EffectiveQty]&gt;0)*T_PlannedOrders[Order_Month])),"m月")&amp;"発注)")</f>
        <v/>
      </c>
      <c r="Q1145">
        <f>IF(SUMIFS(T_PlannedOrders[EffectiveQty],T_PlannedOrders[Part Name],$A1133,T_PlannedOrders[WeekIndex],14)=0,"",SUMIFS(T_PlannedOrders[EffectiveQty],T_PlannedOrders[Part Name],$A1133,T_PlannedOrders[WeekIndex],14)&amp;" ("&amp;TEXT(SUMPRODUCT(MAX((T_PlannedOrders[Part Name]=$A1133)*(T_PlannedOrders[WeekIndex]=14)*(T_PlannedOrders[EffectiveQty]&gt;0)*T_PlannedOrders[Order_Month])),"m月")&amp;"発注)")</f>
        <v/>
      </c>
      <c r="R1145">
        <f>IF(SUMIFS(T_PlannedOrders[EffectiveQty],T_PlannedOrders[Part Name],$A1133,T_PlannedOrders[WeekIndex],15)=0,"",SUMIFS(T_PlannedOrders[EffectiveQty],T_PlannedOrders[Part Name],$A1133,T_PlannedOrders[WeekIndex],15)&amp;" ("&amp;TEXT(SUMPRODUCT(MAX((T_PlannedOrders[Part Name]=$A1133)*(T_PlannedOrders[WeekIndex]=15)*(T_PlannedOrders[EffectiveQty]&gt;0)*T_PlannedOrders[Order_Month])),"m月")&amp;"発注)")</f>
        <v/>
      </c>
      <c r="S1145">
        <f>IF(SUMIFS(T_PlannedOrders[EffectiveQty],T_PlannedOrders[Part Name],$A1133,T_PlannedOrders[WeekIndex],16)=0,"",SUMIFS(T_PlannedOrders[EffectiveQty],T_PlannedOrders[Part Name],$A1133,T_PlannedOrders[WeekIndex],16)&amp;" ("&amp;TEXT(SUMPRODUCT(MAX((T_PlannedOrders[Part Name]=$A1133)*(T_PlannedOrders[WeekIndex]=16)*(T_PlannedOrders[EffectiveQty]&gt;0)*T_PlannedOrders[Order_Month])),"m月")&amp;"発注)")</f>
        <v/>
      </c>
      <c r="T1145">
        <f>IF(SUMIFS(T_PlannedOrders[EffectiveQty],T_PlannedOrders[Part Name],$A1133,T_PlannedOrders[WeekIndex],17)=0,"",SUMIFS(T_PlannedOrders[EffectiveQty],T_PlannedOrders[Part Name],$A1133,T_PlannedOrders[WeekIndex],17)&amp;" ("&amp;TEXT(SUMPRODUCT(MAX((T_PlannedOrders[Part Name]=$A1133)*(T_PlannedOrders[WeekIndex]=17)*(T_PlannedOrders[EffectiveQty]&gt;0)*T_PlannedOrders[Order_Month])),"m月")&amp;"発注)")</f>
        <v/>
      </c>
      <c r="U1145">
        <f>IF(SUMIFS(T_PlannedOrders[EffectiveQty],T_PlannedOrders[Part Name],$A1133,T_PlannedOrders[WeekIndex],18)=0,"",SUMIFS(T_PlannedOrders[EffectiveQty],T_PlannedOrders[Part Name],$A1133,T_PlannedOrders[WeekIndex],18)&amp;" ("&amp;TEXT(SUMPRODUCT(MAX((T_PlannedOrders[Part Name]=$A1133)*(T_PlannedOrders[WeekIndex]=18)*(T_PlannedOrders[EffectiveQty]&gt;0)*T_PlannedOrders[Order_Month])),"m月")&amp;"発注)")</f>
        <v/>
      </c>
      <c r="V1145">
        <f>IF(SUMIFS(T_PlannedOrders[EffectiveQty],T_PlannedOrders[Part Name],$A1133,T_PlannedOrders[WeekIndex],19)=0,"",SUMIFS(T_PlannedOrders[EffectiveQty],T_PlannedOrders[Part Name],$A1133,T_PlannedOrders[WeekIndex],19)&amp;" ("&amp;TEXT(SUMPRODUCT(MAX((T_PlannedOrders[Part Name]=$A1133)*(T_PlannedOrders[WeekIndex]=19)*(T_PlannedOrders[EffectiveQty]&gt;0)*T_PlannedOrders[Order_Month])),"m月")&amp;"発注)")</f>
        <v/>
      </c>
      <c r="W1145">
        <f>IF(SUMIFS(T_PlannedOrders[EffectiveQty],T_PlannedOrders[Part Name],$A1133,T_PlannedOrders[WeekIndex],20)=0,"",SUMIFS(T_PlannedOrders[EffectiveQty],T_PlannedOrders[Part Name],$A1133,T_PlannedOrders[WeekIndex],20)&amp;" ("&amp;TEXT(SUMPRODUCT(MAX((T_PlannedOrders[Part Name]=$A1133)*(T_PlannedOrders[WeekIndex]=20)*(T_PlannedOrders[EffectiveQty]&gt;0)*T_PlannedOrders[Order_Month])),"m月")&amp;"発注)")</f>
        <v/>
      </c>
      <c r="X1145">
        <f>IF(SUMIFS(T_PlannedOrders[EffectiveQty],T_PlannedOrders[Part Name],$A1133,T_PlannedOrders[WeekIndex],21)=0,"",SUMIFS(T_PlannedOrders[EffectiveQty],T_PlannedOrders[Part Name],$A1133,T_PlannedOrders[WeekIndex],21)&amp;" ("&amp;TEXT(SUMPRODUCT(MAX((T_PlannedOrders[Part Name]=$A1133)*(T_PlannedOrders[WeekIndex]=21)*(T_PlannedOrders[EffectiveQty]&gt;0)*T_PlannedOrders[Order_Month])),"m月")&amp;"発注)")</f>
        <v/>
      </c>
      <c r="Y1145">
        <f>IF(SUMIFS(T_PlannedOrders[EffectiveQty],T_PlannedOrders[Part Name],$A1133,T_PlannedOrders[WeekIndex],22)=0,"",SUMIFS(T_PlannedOrders[EffectiveQty],T_PlannedOrders[Part Name],$A1133,T_PlannedOrders[WeekIndex],22)&amp;" ("&amp;TEXT(SUMPRODUCT(MAX((T_PlannedOrders[Part Name]=$A1133)*(T_PlannedOrders[WeekIndex]=22)*(T_PlannedOrders[EffectiveQty]&gt;0)*T_PlannedOrders[Order_Month])),"m月")&amp;"発注)")</f>
        <v/>
      </c>
      <c r="Z1145">
        <f>IF(SUMIFS(T_PlannedOrders[EffectiveQty],T_PlannedOrders[Part Name],$A1133,T_PlannedOrders[WeekIndex],23)=0,"",SUMIFS(T_PlannedOrders[EffectiveQty],T_PlannedOrders[Part Name],$A1133,T_PlannedOrders[WeekIndex],23)&amp;" ("&amp;TEXT(SUMPRODUCT(MAX((T_PlannedOrders[Part Name]=$A1133)*(T_PlannedOrders[WeekIndex]=23)*(T_PlannedOrders[EffectiveQty]&gt;0)*T_PlannedOrders[Order_Month])),"m月")&amp;"発注)")</f>
        <v/>
      </c>
      <c r="AA1145">
        <f>IF(SUMIFS(T_PlannedOrders[EffectiveQty],T_PlannedOrders[Part Name],$A1133,T_PlannedOrders[WeekIndex],24)=0,"",SUMIFS(T_PlannedOrders[EffectiveQty],T_PlannedOrders[Part Name],$A1133,T_PlannedOrders[WeekIndex],24)&amp;" ("&amp;TEXT(SUMPRODUCT(MAX((T_PlannedOrders[Part Name]=$A1133)*(T_PlannedOrders[WeekIndex]=24)*(T_PlannedOrders[EffectiveQty]&gt;0)*T_PlannedOrders[Order_Month])),"m月")&amp;"発注)")</f>
        <v/>
      </c>
      <c r="AB1145">
        <f>IF(SUMIFS(T_PlannedOrders[EffectiveQty],T_PlannedOrders[Part Name],$A1133,T_PlannedOrders[WeekIndex],25)=0,"",SUMIFS(T_PlannedOrders[EffectiveQty],T_PlannedOrders[Part Name],$A1133,T_PlannedOrders[WeekIndex],25)&amp;" ("&amp;TEXT(SUMPRODUCT(MAX((T_PlannedOrders[Part Name]=$A1133)*(T_PlannedOrders[WeekIndex]=25)*(T_PlannedOrders[EffectiveQty]&gt;0)*T_PlannedOrders[Order_Month])),"m月")&amp;"発注)")</f>
        <v/>
      </c>
      <c r="AC1145">
        <f>IF(SUMIFS(T_PlannedOrders[EffectiveQty],T_PlannedOrders[Part Name],$A1133,T_PlannedOrders[WeekIndex],26)=0,"",SUMIFS(T_PlannedOrders[EffectiveQty],T_PlannedOrders[Part Name],$A1133,T_PlannedOrders[WeekIndex],26)&amp;" ("&amp;TEXT(SUMPRODUCT(MAX((T_PlannedOrders[Part Name]=$A1133)*(T_PlannedOrders[WeekIndex]=26)*(T_PlannedOrders[EffectiveQty]&gt;0)*T_PlannedOrders[Order_Month])),"m月")&amp;"発注)")</f>
        <v/>
      </c>
      <c r="AD1145">
        <f>IF(SUMIFS(T_PlannedOrders[EffectiveQty],T_PlannedOrders[Part Name],$A1133,T_PlannedOrders[WeekIndex],27)=0,"",SUMIFS(T_PlannedOrders[EffectiveQty],T_PlannedOrders[Part Name],$A1133,T_PlannedOrders[WeekIndex],27)&amp;" ("&amp;TEXT(SUMPRODUCT(MAX((T_PlannedOrders[Part Name]=$A1133)*(T_PlannedOrders[WeekIndex]=27)*(T_PlannedOrders[EffectiveQty]&gt;0)*T_PlannedOrders[Order_Month])),"m月")&amp;"発注)")</f>
        <v/>
      </c>
      <c r="AE1145">
        <f>IF(SUMIFS(T_PlannedOrders[EffectiveQty],T_PlannedOrders[Part Name],$A1133,T_PlannedOrders[WeekIndex],28)=0,"",SUMIFS(T_PlannedOrders[EffectiveQty],T_PlannedOrders[Part Name],$A1133,T_PlannedOrders[WeekIndex],28)&amp;" ("&amp;TEXT(SUMPRODUCT(MAX((T_PlannedOrders[Part Name]=$A1133)*(T_PlannedOrders[WeekIndex]=28)*(T_PlannedOrders[EffectiveQty]&gt;0)*T_PlannedOrders[Order_Month])),"m月")&amp;"発注)")</f>
        <v/>
      </c>
      <c r="AF1145">
        <f>IF(SUMIFS(T_PlannedOrders[EffectiveQty],T_PlannedOrders[Part Name],$A1133,T_PlannedOrders[WeekIndex],29)=0,"",SUMIFS(T_PlannedOrders[EffectiveQty],T_PlannedOrders[Part Name],$A1133,T_PlannedOrders[WeekIndex],29)&amp;" ("&amp;TEXT(SUMPRODUCT(MAX((T_PlannedOrders[Part Name]=$A1133)*(T_PlannedOrders[WeekIndex]=29)*(T_PlannedOrders[EffectiveQty]&gt;0)*T_PlannedOrders[Order_Month])),"m月")&amp;"発注)")</f>
        <v/>
      </c>
      <c r="AG1145">
        <f>IF(SUMIFS(T_PlannedOrders[EffectiveQty],T_PlannedOrders[Part Name],$A1133,T_PlannedOrders[WeekIndex],30)=0,"",SUMIFS(T_PlannedOrders[EffectiveQty],T_PlannedOrders[Part Name],$A1133,T_PlannedOrders[WeekIndex],30)&amp;" ("&amp;TEXT(SUMPRODUCT(MAX((T_PlannedOrders[Part Name]=$A1133)*(T_PlannedOrders[WeekIndex]=30)*(T_PlannedOrders[EffectiveQty]&gt;0)*T_PlannedOrders[Order_Month])),"m月")&amp;"発注)")</f>
        <v/>
      </c>
      <c r="AH1145">
        <f>IF(SUMIFS(T_PlannedOrders[EffectiveQty],T_PlannedOrders[Part Name],$A1133,T_PlannedOrders[WeekIndex],31)=0,"",SUMIFS(T_PlannedOrders[EffectiveQty],T_PlannedOrders[Part Name],$A1133,T_PlannedOrders[WeekIndex],31)&amp;" ("&amp;TEXT(SUMPRODUCT(MAX((T_PlannedOrders[Part Name]=$A1133)*(T_PlannedOrders[WeekIndex]=31)*(T_PlannedOrders[EffectiveQty]&gt;0)*T_PlannedOrders[Order_Month])),"m月")&amp;"発注)")</f>
        <v/>
      </c>
      <c r="AI1145">
        <f>IF(SUMIFS(T_PlannedOrders[EffectiveQty],T_PlannedOrders[Part Name],$A1133,T_PlannedOrders[WeekIndex],32)=0,"",SUMIFS(T_PlannedOrders[EffectiveQty],T_PlannedOrders[Part Name],$A1133,T_PlannedOrders[WeekIndex],32)&amp;" ("&amp;TEXT(SUMPRODUCT(MAX((T_PlannedOrders[Part Name]=$A1133)*(T_PlannedOrders[WeekIndex]=32)*(T_PlannedOrders[EffectiveQty]&gt;0)*T_PlannedOrders[Order_Month])),"m月")&amp;"発注)")</f>
        <v/>
      </c>
      <c r="AJ1145">
        <f>IF(SUMIFS(T_PlannedOrders[EffectiveQty],T_PlannedOrders[Part Name],$A1133,T_PlannedOrders[WeekIndex],33)=0,"",SUMIFS(T_PlannedOrders[EffectiveQty],T_PlannedOrders[Part Name],$A1133,T_PlannedOrders[WeekIndex],33)&amp;" ("&amp;TEXT(SUMPRODUCT(MAX((T_PlannedOrders[Part Name]=$A1133)*(T_PlannedOrders[WeekIndex]=33)*(T_PlannedOrders[EffectiveQty]&gt;0)*T_PlannedOrders[Order_Month])),"m月")&amp;"発注)")</f>
        <v/>
      </c>
      <c r="AK1145">
        <f>IF(SUMIFS(T_PlannedOrders[EffectiveQty],T_PlannedOrders[Part Name],$A1133,T_PlannedOrders[WeekIndex],34)=0,"",SUMIFS(T_PlannedOrders[EffectiveQty],T_PlannedOrders[Part Name],$A1133,T_PlannedOrders[WeekIndex],34)&amp;" ("&amp;TEXT(SUMPRODUCT(MAX((T_PlannedOrders[Part Name]=$A1133)*(T_PlannedOrders[WeekIndex]=34)*(T_PlannedOrders[EffectiveQty]&gt;0)*T_PlannedOrders[Order_Month])),"m月")&amp;"発注)")</f>
        <v/>
      </c>
      <c r="AL1145">
        <f>IF(SUMIFS(T_PlannedOrders[EffectiveQty],T_PlannedOrders[Part Name],$A1133,T_PlannedOrders[WeekIndex],35)=0,"",SUMIFS(T_PlannedOrders[EffectiveQty],T_PlannedOrders[Part Name],$A1133,T_PlannedOrders[WeekIndex],35)&amp;" ("&amp;TEXT(SUMPRODUCT(MAX((T_PlannedOrders[Part Name]=$A1133)*(T_PlannedOrders[WeekIndex]=35)*(T_PlannedOrders[EffectiveQty]&gt;0)*T_PlannedOrders[Order_Month])),"m月")&amp;"発注)")</f>
        <v/>
      </c>
      <c r="AM1145">
        <f>IF(SUMIFS(T_PlannedOrders[EffectiveQty],T_PlannedOrders[Part Name],$A1133,T_PlannedOrders[WeekIndex],36)=0,"",SUMIFS(T_PlannedOrders[EffectiveQty],T_PlannedOrders[Part Name],$A1133,T_PlannedOrders[WeekIndex],36)&amp;" ("&amp;TEXT(SUMPRODUCT(MAX((T_PlannedOrders[Part Name]=$A1133)*(T_PlannedOrders[WeekIndex]=36)*(T_PlannedOrders[EffectiveQty]&gt;0)*T_PlannedOrders[Order_Month])),"m月")&amp;"発注)")</f>
        <v/>
      </c>
      <c r="AN1145">
        <f>IF(SUMIFS(T_PlannedOrders[EffectiveQty],T_PlannedOrders[Part Name],$A1133,T_PlannedOrders[WeekIndex],37)=0,"",SUMIFS(T_PlannedOrders[EffectiveQty],T_PlannedOrders[Part Name],$A1133,T_PlannedOrders[WeekIndex],37)&amp;" ("&amp;TEXT(SUMPRODUCT(MAX((T_PlannedOrders[Part Name]=$A1133)*(T_PlannedOrders[WeekIndex]=37)*(T_PlannedOrders[EffectiveQty]&gt;0)*T_PlannedOrders[Order_Month])),"m月")&amp;"発注)")</f>
        <v/>
      </c>
      <c r="AO1145">
        <f>IF(SUMIFS(T_PlannedOrders[EffectiveQty],T_PlannedOrders[Part Name],$A1133,T_PlannedOrders[WeekIndex],38)=0,"",SUMIFS(T_PlannedOrders[EffectiveQty],T_PlannedOrders[Part Name],$A1133,T_PlannedOrders[WeekIndex],38)&amp;" ("&amp;TEXT(SUMPRODUCT(MAX((T_PlannedOrders[Part Name]=$A1133)*(T_PlannedOrders[WeekIndex]=38)*(T_PlannedOrders[EffectiveQty]&gt;0)*T_PlannedOrders[Order_Month])),"m月")&amp;"発注)")</f>
        <v/>
      </c>
      <c r="AP1145">
        <f>IF(SUMIFS(T_PlannedOrders[EffectiveQty],T_PlannedOrders[Part Name],$A1133,T_PlannedOrders[WeekIndex],39)=0,"",SUMIFS(T_PlannedOrders[EffectiveQty],T_PlannedOrders[Part Name],$A1133,T_PlannedOrders[WeekIndex],39)&amp;" ("&amp;TEXT(SUMPRODUCT(MAX((T_PlannedOrders[Part Name]=$A1133)*(T_PlannedOrders[WeekIndex]=39)*(T_PlannedOrders[EffectiveQty]&gt;0)*T_PlannedOrders[Order_Month])),"m月")&amp;"発注)")</f>
        <v/>
      </c>
      <c r="AQ1145">
        <f>IF(SUMIFS(T_PlannedOrders[EffectiveQty],T_PlannedOrders[Part Name],$A1133,T_PlannedOrders[WeekIndex],40)=0,"",SUMIFS(T_PlannedOrders[EffectiveQty],T_PlannedOrders[Part Name],$A1133,T_PlannedOrders[WeekIndex],40)&amp;" ("&amp;TEXT(SUMPRODUCT(MAX((T_PlannedOrders[Part Name]=$A1133)*(T_PlannedOrders[WeekIndex]=40)*(T_PlannedOrders[EffectiveQty]&gt;0)*T_PlannedOrders[Order_Month])),"m月")&amp;"発注)")</f>
        <v/>
      </c>
      <c r="AR1145">
        <f>IF(SUMIFS(T_PlannedOrders[EffectiveQty],T_PlannedOrders[Part Name],$A1133,T_PlannedOrders[WeekIndex],41)=0,"",SUMIFS(T_PlannedOrders[EffectiveQty],T_PlannedOrders[Part Name],$A1133,T_PlannedOrders[WeekIndex],41)&amp;" ("&amp;TEXT(SUMPRODUCT(MAX((T_PlannedOrders[Part Name]=$A1133)*(T_PlannedOrders[WeekIndex]=41)*(T_PlannedOrders[EffectiveQty]&gt;0)*T_PlannedOrders[Order_Month])),"m月")&amp;"発注)")</f>
        <v/>
      </c>
      <c r="AS1145">
        <f>IF(SUMIFS(T_PlannedOrders[EffectiveQty],T_PlannedOrders[Part Name],$A1133,T_PlannedOrders[WeekIndex],42)=0,"",SUMIFS(T_PlannedOrders[EffectiveQty],T_PlannedOrders[Part Name],$A1133,T_PlannedOrders[WeekIndex],42)&amp;" ("&amp;TEXT(SUMPRODUCT(MAX((T_PlannedOrders[Part Name]=$A1133)*(T_PlannedOrders[WeekIndex]=42)*(T_PlannedOrders[EffectiveQty]&gt;0)*T_PlannedOrders[Order_Month])),"m月")&amp;"発注)")</f>
        <v/>
      </c>
      <c r="AT1145">
        <f>IF(SUMIFS(T_PlannedOrders[EffectiveQty],T_PlannedOrders[Part Name],$A1133,T_PlannedOrders[WeekIndex],43)=0,"",SUMIFS(T_PlannedOrders[EffectiveQty],T_PlannedOrders[Part Name],$A1133,T_PlannedOrders[WeekIndex],43)&amp;" ("&amp;TEXT(SUMPRODUCT(MAX((T_PlannedOrders[Part Name]=$A1133)*(T_PlannedOrders[WeekIndex]=43)*(T_PlannedOrders[EffectiveQty]&gt;0)*T_PlannedOrders[Order_Month])),"m月")&amp;"発注)")</f>
        <v/>
      </c>
      <c r="AU1145">
        <f>IF(SUMIFS(T_PlannedOrders[EffectiveQty],T_PlannedOrders[Part Name],$A1133,T_PlannedOrders[WeekIndex],44)=0,"",SUMIFS(T_PlannedOrders[EffectiveQty],T_PlannedOrders[Part Name],$A1133,T_PlannedOrders[WeekIndex],44)&amp;" ("&amp;TEXT(SUMPRODUCT(MAX((T_PlannedOrders[Part Name]=$A1133)*(T_PlannedOrders[WeekIndex]=44)*(T_PlannedOrders[EffectiveQty]&gt;0)*T_PlannedOrders[Order_Month])),"m月")&amp;"発注)")</f>
        <v/>
      </c>
      <c r="AV1145">
        <f>IF(SUMIFS(T_PlannedOrders[EffectiveQty],T_PlannedOrders[Part Name],$A1133,T_PlannedOrders[WeekIndex],45)=0,"",SUMIFS(T_PlannedOrders[EffectiveQty],T_PlannedOrders[Part Name],$A1133,T_PlannedOrders[WeekIndex],45)&amp;" ("&amp;TEXT(SUMPRODUCT(MAX((T_PlannedOrders[Part Name]=$A1133)*(T_PlannedOrders[WeekIndex]=45)*(T_PlannedOrders[EffectiveQty]&gt;0)*T_PlannedOrders[Order_Month])),"m月")&amp;"発注)")</f>
        <v/>
      </c>
      <c r="AW1145">
        <f>IF(SUMIFS(T_PlannedOrders[EffectiveQty],T_PlannedOrders[Part Name],$A1133,T_PlannedOrders[WeekIndex],46)=0,"",SUMIFS(T_PlannedOrders[EffectiveQty],T_PlannedOrders[Part Name],$A1133,T_PlannedOrders[WeekIndex],46)&amp;" ("&amp;TEXT(SUMPRODUCT(MAX((T_PlannedOrders[Part Name]=$A1133)*(T_PlannedOrders[WeekIndex]=46)*(T_PlannedOrders[EffectiveQty]&gt;0)*T_PlannedOrders[Order_Month])),"m月")&amp;"発注)")</f>
        <v/>
      </c>
      <c r="AX1145">
        <f>IF(SUMIFS(T_PlannedOrders[EffectiveQty],T_PlannedOrders[Part Name],$A1133,T_PlannedOrders[WeekIndex],47)=0,"",SUMIFS(T_PlannedOrders[EffectiveQty],T_PlannedOrders[Part Name],$A1133,T_PlannedOrders[WeekIndex],47)&amp;" ("&amp;TEXT(SUMPRODUCT(MAX((T_PlannedOrders[Part Name]=$A1133)*(T_PlannedOrders[WeekIndex]=47)*(T_PlannedOrders[EffectiveQty]&gt;0)*T_PlannedOrders[Order_Month])),"m月")&amp;"発注)")</f>
        <v/>
      </c>
      <c r="AY1145">
        <f>IF(SUMIFS(T_PlannedOrders[EffectiveQty],T_PlannedOrders[Part Name],$A1133,T_PlannedOrders[WeekIndex],48)=0,"",SUMIFS(T_PlannedOrders[EffectiveQty],T_PlannedOrders[Part Name],$A1133,T_PlannedOrders[WeekIndex],48)&amp;" ("&amp;TEXT(SUMPRODUCT(MAX((T_PlannedOrders[Part Name]=$A1133)*(T_PlannedOrders[WeekIndex]=48)*(T_PlannedOrders[EffectiveQty]&gt;0)*T_PlannedOrders[Order_Month])),"m月")&amp;"発注)")</f>
        <v/>
      </c>
      <c r="AZ1145">
        <f>IF(SUMIFS(T_PlannedOrders[EffectiveQty],T_PlannedOrders[Part Name],$A1133,T_PlannedOrders[WeekIndex],49)=0,"",SUMIFS(T_PlannedOrders[EffectiveQty],T_PlannedOrders[Part Name],$A1133,T_PlannedOrders[WeekIndex],49)&amp;" ("&amp;TEXT(SUMPRODUCT(MAX((T_PlannedOrders[Part Name]=$A1133)*(T_PlannedOrders[WeekIndex]=49)*(T_PlannedOrders[EffectiveQty]&gt;0)*T_PlannedOrders[Order_Month])),"m月")&amp;"発注)")</f>
        <v/>
      </c>
      <c r="BA1145">
        <f>IF(SUMIFS(T_PlannedOrders[EffectiveQty],T_PlannedOrders[Part Name],$A1133,T_PlannedOrders[WeekIndex],50)=0,"",SUMIFS(T_PlannedOrders[EffectiveQty],T_PlannedOrders[Part Name],$A1133,T_PlannedOrders[WeekIndex],50)&amp;" ("&amp;TEXT(SUMPRODUCT(MAX((T_PlannedOrders[Part Name]=$A1133)*(T_PlannedOrders[WeekIndex]=50)*(T_PlannedOrders[EffectiveQty]&gt;0)*T_PlannedOrders[Order_Month])),"m月")&amp;"発注)")</f>
        <v/>
      </c>
      <c r="BB1145">
        <f>IF(SUMIFS(T_PlannedOrders[EffectiveQty],T_PlannedOrders[Part Name],$A1133,T_PlannedOrders[WeekIndex],51)=0,"",SUMIFS(T_PlannedOrders[EffectiveQty],T_PlannedOrders[Part Name],$A1133,T_PlannedOrders[WeekIndex],51)&amp;" ("&amp;TEXT(SUMPRODUCT(MAX((T_PlannedOrders[Part Name]=$A1133)*(T_PlannedOrders[WeekIndex]=51)*(T_PlannedOrders[EffectiveQty]&gt;0)*T_PlannedOrders[Order_Month])),"m月")&amp;"発注)")</f>
        <v/>
      </c>
      <c r="BC1145">
        <f>IF(SUMIFS(T_PlannedOrders[EffectiveQty],T_PlannedOrders[Part Name],$A1133,T_PlannedOrders[WeekIndex],52)=0,"",SUMIFS(T_PlannedOrders[EffectiveQty],T_PlannedOrders[Part Name],$A1133,T_PlannedOrders[WeekIndex],52)&amp;" ("&amp;TEXT(SUMPRODUCT(MAX((T_PlannedOrders[Part Name]=$A1133)*(T_PlannedOrders[WeekIndex]=52)*(T_PlannedOrders[EffectiveQty]&gt;0)*T_PlannedOrders[Order_Month])),"m月")&amp;"発注)")</f>
        <v/>
      </c>
      <c r="BD1145">
        <f>IF(SUMIFS(T_PlannedOrders[EffectiveQty],T_PlannedOrders[Part Name],$A1133,T_PlannedOrders[WeekIndex],53)=0,"",SUMIFS(T_PlannedOrders[EffectiveQty],T_PlannedOrders[Part Name],$A1133,T_PlannedOrders[WeekIndex],53)&amp;" ("&amp;TEXT(SUMPRODUCT(MAX((T_PlannedOrders[Part Name]=$A1133)*(T_PlannedOrders[WeekIndex]=53)*(T_PlannedOrders[EffectiveQty]&gt;0)*T_PlannedOrders[Order_Month])),"m月")&amp;"発注)")</f>
        <v/>
      </c>
      <c r="BE1145">
        <f>IF(SUMIFS(T_PlannedOrders[EffectiveQty],T_PlannedOrders[Part Name],$A1133,T_PlannedOrders[WeekIndex],54)=0,"",SUMIFS(T_PlannedOrders[EffectiveQty],T_PlannedOrders[Part Name],$A1133,T_PlannedOrders[WeekIndex],54)&amp;" ("&amp;TEXT(SUMPRODUCT(MAX((T_PlannedOrders[Part Name]=$A1133)*(T_PlannedOrders[WeekIndex]=54)*(T_PlannedOrders[EffectiveQty]&gt;0)*T_PlannedOrders[Order_Month])),"m月")&amp;"発注)")</f>
        <v/>
      </c>
      <c r="BF1145">
        <f>IF(SUMIFS(T_PlannedOrders[EffectiveQty],T_PlannedOrders[Part Name],$A1133,T_PlannedOrders[WeekIndex],55)=0,"",SUMIFS(T_PlannedOrders[EffectiveQty],T_PlannedOrders[Part Name],$A1133,T_PlannedOrders[WeekIndex],55)&amp;" ("&amp;TEXT(SUMPRODUCT(MAX((T_PlannedOrders[Part Name]=$A1133)*(T_PlannedOrders[WeekIndex]=55)*(T_PlannedOrders[EffectiveQty]&gt;0)*T_PlannedOrders[Order_Month])),"m月")&amp;"発注)")</f>
        <v/>
      </c>
      <c r="BG1145">
        <f>IF(SUMIFS(T_PlannedOrders[EffectiveQty],T_PlannedOrders[Part Name],$A1133,T_PlannedOrders[WeekIndex],56)=0,"",SUMIFS(T_PlannedOrders[EffectiveQty],T_PlannedOrders[Part Name],$A1133,T_PlannedOrders[WeekIndex],56)&amp;" ("&amp;TEXT(SUMPRODUCT(MAX((T_PlannedOrders[Part Name]=$A1133)*(T_PlannedOrders[WeekIndex]=56)*(T_PlannedOrders[EffectiveQty]&gt;0)*T_PlannedOrders[Order_Month])),"m月")&amp;"発注)")</f>
        <v/>
      </c>
      <c r="BH1145">
        <f>IF(SUMIFS(T_PlannedOrders[EffectiveQty],T_PlannedOrders[Part Name],$A1133,T_PlannedOrders[WeekIndex],57)=0,"",SUMIFS(T_PlannedOrders[EffectiveQty],T_PlannedOrders[Part Name],$A1133,T_PlannedOrders[WeekIndex],57)&amp;" ("&amp;TEXT(SUMPRODUCT(MAX((T_PlannedOrders[Part Name]=$A1133)*(T_PlannedOrders[WeekIndex]=57)*(T_PlannedOrders[EffectiveQty]&gt;0)*T_PlannedOrders[Order_Month])),"m月")&amp;"発注)")</f>
        <v/>
      </c>
      <c r="BI1145">
        <f>IF(SUMIFS(T_PlannedOrders[EffectiveQty],T_PlannedOrders[Part Name],$A1133,T_PlannedOrders[WeekIndex],58)=0,"",SUMIFS(T_PlannedOrders[EffectiveQty],T_PlannedOrders[Part Name],$A1133,T_PlannedOrders[WeekIndex],58)&amp;" ("&amp;TEXT(SUMPRODUCT(MAX((T_PlannedOrders[Part Name]=$A1133)*(T_PlannedOrders[WeekIndex]=58)*(T_PlannedOrders[EffectiveQty]&gt;0)*T_PlannedOrders[Order_Month])),"m月")&amp;"発注)")</f>
        <v/>
      </c>
      <c r="BJ1145">
        <f>IF(SUMIFS(T_PlannedOrders[EffectiveQty],T_PlannedOrders[Part Name],$A1133,T_PlannedOrders[WeekIndex],59)=0,"",SUMIFS(T_PlannedOrders[EffectiveQty],T_PlannedOrders[Part Name],$A1133,T_PlannedOrders[WeekIndex],59)&amp;" ("&amp;TEXT(SUMPRODUCT(MAX((T_PlannedOrders[Part Name]=$A1133)*(T_PlannedOrders[WeekIndex]=59)*(T_PlannedOrders[EffectiveQty]&gt;0)*T_PlannedOrders[Order_Month])),"m月")&amp;"発注)")</f>
        <v/>
      </c>
      <c r="BK1145">
        <f>IF(SUMIFS(T_PlannedOrders[EffectiveQty],T_PlannedOrders[Part Name],$A1133,T_PlannedOrders[WeekIndex],60)=0,"",SUMIFS(T_PlannedOrders[EffectiveQty],T_PlannedOrders[Part Name],$A1133,T_PlannedOrders[WeekIndex],60)&amp;" ("&amp;TEXT(SUMPRODUCT(MAX((T_PlannedOrders[Part Name]=$A1133)*(T_PlannedOrders[WeekIndex]=60)*(T_PlannedOrders[EffectiveQty]&gt;0)*T_PlannedOrders[Order_Month])),"m月")&amp;"発注)")</f>
        <v/>
      </c>
      <c r="BL1145">
        <f>IF(SUMIFS(T_PlannedOrders[EffectiveQty],T_PlannedOrders[Part Name],$A1133,T_PlannedOrders[WeekIndex],61)=0,"",SUMIFS(T_PlannedOrders[EffectiveQty],T_PlannedOrders[Part Name],$A1133,T_PlannedOrders[WeekIndex],61)&amp;" ("&amp;TEXT(SUMPRODUCT(MAX((T_PlannedOrders[Part Name]=$A1133)*(T_PlannedOrders[WeekIndex]=61)*(T_PlannedOrders[EffectiveQty]&gt;0)*T_PlannedOrders[Order_Month])),"m月")&amp;"発注)")</f>
        <v/>
      </c>
      <c r="BM1145">
        <f>IF(SUMIFS(T_PlannedOrders[EffectiveQty],T_PlannedOrders[Part Name],$A1133,T_PlannedOrders[WeekIndex],62)=0,"",SUMIFS(T_PlannedOrders[EffectiveQty],T_PlannedOrders[Part Name],$A1133,T_PlannedOrders[WeekIndex],62)&amp;" ("&amp;TEXT(SUMPRODUCT(MAX((T_PlannedOrders[Part Name]=$A1133)*(T_PlannedOrders[WeekIndex]=62)*(T_PlannedOrders[EffectiveQty]&gt;0)*T_PlannedOrders[Order_Month])),"m月")&amp;"発注)")</f>
        <v/>
      </c>
      <c r="BN1145">
        <f>IF(SUMIFS(T_PlannedOrders[EffectiveQty],T_PlannedOrders[Part Name],$A1133,T_PlannedOrders[WeekIndex],63)=0,"",SUMIFS(T_PlannedOrders[EffectiveQty],T_PlannedOrders[Part Name],$A1133,T_PlannedOrders[WeekIndex],63)&amp;" ("&amp;TEXT(SUMPRODUCT(MAX((T_PlannedOrders[Part Name]=$A1133)*(T_PlannedOrders[WeekIndex]=63)*(T_PlannedOrders[EffectiveQty]&gt;0)*T_PlannedOrders[Order_Month])),"m月")&amp;"発注)")</f>
        <v/>
      </c>
      <c r="BO1145">
        <f>IF(SUMIFS(T_PlannedOrders[EffectiveQty],T_PlannedOrders[Part Name],$A1133,T_PlannedOrders[WeekIndex],64)=0,"",SUMIFS(T_PlannedOrders[EffectiveQty],T_PlannedOrders[Part Name],$A1133,T_PlannedOrders[WeekIndex],64)&amp;" ("&amp;TEXT(SUMPRODUCT(MAX((T_PlannedOrders[Part Name]=$A1133)*(T_PlannedOrders[WeekIndex]=64)*(T_PlannedOrders[EffectiveQty]&gt;0)*T_PlannedOrders[Order_Month])),"m月")&amp;"発注)")</f>
        <v/>
      </c>
      <c r="BP1145">
        <f>IF(SUMIFS(T_PlannedOrders[EffectiveQty],T_PlannedOrders[Part Name],$A1133,T_PlannedOrders[WeekIndex],65)=0,"",SUMIFS(T_PlannedOrders[EffectiveQty],T_PlannedOrders[Part Name],$A1133,T_PlannedOrders[WeekIndex],65)&amp;" ("&amp;TEXT(SUMPRODUCT(MAX((T_PlannedOrders[Part Name]=$A1133)*(T_PlannedOrders[WeekIndex]=65)*(T_PlannedOrders[EffectiveQty]&gt;0)*T_PlannedOrders[Order_Month])),"m月")&amp;"発注)")</f>
        <v/>
      </c>
      <c r="BQ1145">
        <f>IF(SUMIFS(T_PlannedOrders[EffectiveQty],T_PlannedOrders[Part Name],$A1133,T_PlannedOrders[WeekIndex],66)=0,"",SUMIFS(T_PlannedOrders[EffectiveQty],T_PlannedOrders[Part Name],$A1133,T_PlannedOrders[WeekIndex],66)&amp;" ("&amp;TEXT(SUMPRODUCT(MAX((T_PlannedOrders[Part Name]=$A1133)*(T_PlannedOrders[WeekIndex]=66)*(T_PlannedOrders[EffectiveQty]&gt;0)*T_PlannedOrders[Order_Month])),"m月")&amp;"発注)")</f>
        <v/>
      </c>
      <c r="BR1145">
        <f>IF(SUMIFS(T_PlannedOrders[EffectiveQty],T_PlannedOrders[Part Name],$A1133,T_PlannedOrders[WeekIndex],67)=0,"",SUMIFS(T_PlannedOrders[EffectiveQty],T_PlannedOrders[Part Name],$A1133,T_PlannedOrders[WeekIndex],67)&amp;" ("&amp;TEXT(SUMPRODUCT(MAX((T_PlannedOrders[Part Name]=$A1133)*(T_PlannedOrders[WeekIndex]=67)*(T_PlannedOrders[EffectiveQty]&gt;0)*T_PlannedOrders[Order_Month])),"m月")&amp;"発注)")</f>
        <v/>
      </c>
      <c r="BS1145">
        <f>IF(SUMIFS(T_PlannedOrders[EffectiveQty],T_PlannedOrders[Part Name],$A1133,T_PlannedOrders[WeekIndex],68)=0,"",SUMIFS(T_PlannedOrders[EffectiveQty],T_PlannedOrders[Part Name],$A1133,T_PlannedOrders[WeekIndex],68)&amp;" ("&amp;TEXT(SUMPRODUCT(MAX((T_PlannedOrders[Part Name]=$A1133)*(T_PlannedOrders[WeekIndex]=68)*(T_PlannedOrders[EffectiveQty]&gt;0)*T_PlannedOrders[Order_Month])),"m月")&amp;"発注)")</f>
        <v/>
      </c>
      <c r="BT1145">
        <f>IF(SUMIFS(T_PlannedOrders[EffectiveQty],T_PlannedOrders[Part Name],$A1133,T_PlannedOrders[WeekIndex],69)=0,"",SUMIFS(T_PlannedOrders[EffectiveQty],T_PlannedOrders[Part Name],$A1133,T_PlannedOrders[WeekIndex],69)&amp;" ("&amp;TEXT(SUMPRODUCT(MAX((T_PlannedOrders[Part Name]=$A1133)*(T_PlannedOrders[WeekIndex]=69)*(T_PlannedOrders[EffectiveQty]&gt;0)*T_PlannedOrders[Order_Month])),"m月")&amp;"発注)")</f>
        <v/>
      </c>
      <c r="BU1145">
        <f>IF(SUMIFS(T_PlannedOrders[EffectiveQty],T_PlannedOrders[Part Name],$A1133,T_PlannedOrders[WeekIndex],70)=0,"",SUMIFS(T_PlannedOrders[EffectiveQty],T_PlannedOrders[Part Name],$A1133,T_PlannedOrders[WeekIndex],70)&amp;" ("&amp;TEXT(SUMPRODUCT(MAX((T_PlannedOrders[Part Name]=$A1133)*(T_PlannedOrders[WeekIndex]=70)*(T_PlannedOrders[EffectiveQty]&gt;0)*T_PlannedOrders[Order_Month])),"m月")&amp;"発注)")</f>
        <v/>
      </c>
      <c r="BV1145">
        <f>IF(SUMIFS(T_PlannedOrders[EffectiveQty],T_PlannedOrders[Part Name],$A1133,T_PlannedOrders[WeekIndex],71)=0,"",SUMIFS(T_PlannedOrders[EffectiveQty],T_PlannedOrders[Part Name],$A1133,T_PlannedOrders[WeekIndex],71)&amp;" ("&amp;TEXT(SUMPRODUCT(MAX((T_PlannedOrders[Part Name]=$A1133)*(T_PlannedOrders[WeekIndex]=71)*(T_PlannedOrders[EffectiveQty]&gt;0)*T_PlannedOrders[Order_Month])),"m月")&amp;"発注)")</f>
        <v/>
      </c>
      <c r="BW1145">
        <f>IF(SUMIFS(T_PlannedOrders[EffectiveQty],T_PlannedOrders[Part Name],$A1133,T_PlannedOrders[WeekIndex],72)=0,"",SUMIFS(T_PlannedOrders[EffectiveQty],T_PlannedOrders[Part Name],$A1133,T_PlannedOrders[WeekIndex],72)&amp;" ("&amp;TEXT(SUMPRODUCT(MAX((T_PlannedOrders[Part Name]=$A1133)*(T_PlannedOrders[WeekIndex]=72)*(T_PlannedOrders[EffectiveQty]&gt;0)*T_PlannedOrders[Order_Month])),"m月")&amp;"発注)")</f>
        <v/>
      </c>
      <c r="BX1145">
        <f>IF(SUMIFS(T_PlannedOrders[EffectiveQty],T_PlannedOrders[Part Name],$A1133,T_PlannedOrders[WeekIndex],73)=0,"",SUMIFS(T_PlannedOrders[EffectiveQty],T_PlannedOrders[Part Name],$A1133,T_PlannedOrders[WeekIndex],73)&amp;" ("&amp;TEXT(SUMPRODUCT(MAX((T_PlannedOrders[Part Name]=$A1133)*(T_PlannedOrders[WeekIndex]=73)*(T_PlannedOrders[EffectiveQty]&gt;0)*T_PlannedOrders[Order_Month])),"m月")&amp;"発注)")</f>
        <v/>
      </c>
      <c r="BY1145">
        <f>IF(SUMIFS(T_PlannedOrders[EffectiveQty],T_PlannedOrders[Part Name],$A1133,T_PlannedOrders[WeekIndex],74)=0,"",SUMIFS(T_PlannedOrders[EffectiveQty],T_PlannedOrders[Part Name],$A1133,T_PlannedOrders[WeekIndex],74)&amp;" ("&amp;TEXT(SUMPRODUCT(MAX((T_PlannedOrders[Part Name]=$A1133)*(T_PlannedOrders[WeekIndex]=74)*(T_PlannedOrders[EffectiveQty]&gt;0)*T_PlannedOrders[Order_Month])),"m月")&amp;"発注)")</f>
        <v/>
      </c>
      <c r="BZ1145">
        <f>IF(SUMIFS(T_PlannedOrders[EffectiveQty],T_PlannedOrders[Part Name],$A1133,T_PlannedOrders[WeekIndex],75)=0,"",SUMIFS(T_PlannedOrders[EffectiveQty],T_PlannedOrders[Part Name],$A1133,T_PlannedOrders[WeekIndex],75)&amp;" ("&amp;TEXT(SUMPRODUCT(MAX((T_PlannedOrders[Part Name]=$A1133)*(T_PlannedOrders[WeekIndex]=75)*(T_PlannedOrders[EffectiveQty]&gt;0)*T_PlannedOrders[Order_Month])),"m月")&amp;"発注)")</f>
        <v/>
      </c>
      <c r="CA1145">
        <f>IF(SUMIFS(T_PlannedOrders[EffectiveQty],T_PlannedOrders[Part Name],$A1133,T_PlannedOrders[WeekIndex],76)=0,"",SUMIFS(T_PlannedOrders[EffectiveQty],T_PlannedOrders[Part Name],$A1133,T_PlannedOrders[WeekIndex],76)&amp;" ("&amp;TEXT(SUMPRODUCT(MAX((T_PlannedOrders[Part Name]=$A1133)*(T_PlannedOrders[WeekIndex]=76)*(T_PlannedOrders[EffectiveQty]&gt;0)*T_PlannedOrders[Order_Month])),"m月")&amp;"発注)")</f>
        <v/>
      </c>
      <c r="CB1145">
        <f>IF(SUMIFS(T_PlannedOrders[EffectiveQty],T_PlannedOrders[Part Name],$A1133,T_PlannedOrders[WeekIndex],77)=0,"",SUMIFS(T_PlannedOrders[EffectiveQty],T_PlannedOrders[Part Name],$A1133,T_PlannedOrders[WeekIndex],77)&amp;" ("&amp;TEXT(SUMPRODUCT(MAX((T_PlannedOrders[Part Name]=$A1133)*(T_PlannedOrders[WeekIndex]=77)*(T_PlannedOrders[EffectiveQty]&gt;0)*T_PlannedOrders[Order_Month])),"m月")&amp;"発注)")</f>
        <v/>
      </c>
      <c r="CC1145">
        <f>IF(SUMIFS(T_PlannedOrders[EffectiveQty],T_PlannedOrders[Part Name],$A1133,T_PlannedOrders[WeekIndex],78)=0,"",SUMIFS(T_PlannedOrders[EffectiveQty],T_PlannedOrders[Part Name],$A1133,T_PlannedOrders[WeekIndex],78)&amp;" ("&amp;TEXT(SUMPRODUCT(MAX((T_PlannedOrders[Part Name]=$A1133)*(T_PlannedOrders[WeekIndex]=78)*(T_PlannedOrders[EffectiveQty]&gt;0)*T_PlannedOrders[Order_Month])),"m月")&amp;"発注)")</f>
        <v/>
      </c>
      <c r="CD1145">
        <f>IF(SUMIFS(T_PlannedOrders[EffectiveQty],T_PlannedOrders[Part Name],$A1133,T_PlannedOrders[WeekIndex],79)=0,"",SUMIFS(T_PlannedOrders[EffectiveQty],T_PlannedOrders[Part Name],$A1133,T_PlannedOrders[WeekIndex],79)&amp;" ("&amp;TEXT(SUMPRODUCT(MAX((T_PlannedOrders[Part Name]=$A1133)*(T_PlannedOrders[WeekIndex]=79)*(T_PlannedOrders[EffectiveQty]&gt;0)*T_PlannedOrders[Order_Month])),"m月")&amp;"発注)")</f>
        <v/>
      </c>
      <c r="CE1145">
        <f>IF(SUMIFS(T_PlannedOrders[EffectiveQty],T_PlannedOrders[Part Name],$A1133,T_PlannedOrders[WeekIndex],80)=0,"",SUMIFS(T_PlannedOrders[EffectiveQty],T_PlannedOrders[Part Name],$A1133,T_PlannedOrders[WeekIndex],80)&amp;" ("&amp;TEXT(SUMPRODUCT(MAX((T_PlannedOrders[Part Name]=$A1133)*(T_PlannedOrders[WeekIndex]=80)*(T_PlannedOrders[EffectiveQty]&gt;0)*T_PlannedOrders[Order_Month])),"m月")&amp;"発注)")</f>
        <v/>
      </c>
      <c r="CF1145">
        <f>IF(SUMIFS(T_PlannedOrders[EffectiveQty],T_PlannedOrders[Part Name],$A1133,T_PlannedOrders[WeekIndex],81)=0,"",SUMIFS(T_PlannedOrders[EffectiveQty],T_PlannedOrders[Part Name],$A1133,T_PlannedOrders[WeekIndex],81)&amp;" ("&amp;TEXT(SUMPRODUCT(MAX((T_PlannedOrders[Part Name]=$A1133)*(T_PlannedOrders[WeekIndex]=81)*(T_PlannedOrders[EffectiveQty]&gt;0)*T_PlannedOrders[Order_Month])),"m月")&amp;"発注)")</f>
        <v/>
      </c>
      <c r="CG1145">
        <f>IF(SUMIFS(T_PlannedOrders[EffectiveQty],T_PlannedOrders[Part Name],$A1133,T_PlannedOrders[WeekIndex],82)=0,"",SUMIFS(T_PlannedOrders[EffectiveQty],T_PlannedOrders[Part Name],$A1133,T_PlannedOrders[WeekIndex],82)&amp;" ("&amp;TEXT(SUMPRODUCT(MAX((T_PlannedOrders[Part Name]=$A1133)*(T_PlannedOrders[WeekIndex]=82)*(T_PlannedOrders[EffectiveQty]&gt;0)*T_PlannedOrders[Order_Month])),"m月")&amp;"発注)")</f>
        <v/>
      </c>
      <c r="CH1145">
        <f>IF(SUMIFS(T_PlannedOrders[EffectiveQty],T_PlannedOrders[Part Name],$A1133,T_PlannedOrders[WeekIndex],83)=0,"",SUMIFS(T_PlannedOrders[EffectiveQty],T_PlannedOrders[Part Name],$A1133,T_PlannedOrders[WeekIndex],83)&amp;" ("&amp;TEXT(SUMPRODUCT(MAX((T_PlannedOrders[Part Name]=$A1133)*(T_PlannedOrders[WeekIndex]=83)*(T_PlannedOrders[EffectiveQty]&gt;0)*T_PlannedOrders[Order_Month])),"m月")&amp;"発注)")</f>
        <v/>
      </c>
      <c r="CI1145">
        <f>IF(SUMIFS(T_PlannedOrders[EffectiveQty],T_PlannedOrders[Part Name],$A1133,T_PlannedOrders[WeekIndex],84)=0,"",SUMIFS(T_PlannedOrders[EffectiveQty],T_PlannedOrders[Part Name],$A1133,T_PlannedOrders[WeekIndex],84)&amp;" ("&amp;TEXT(SUMPRODUCT(MAX((T_PlannedOrders[Part Name]=$A1133)*(T_PlannedOrders[WeekIndex]=84)*(T_PlannedOrders[EffectiveQty]&gt;0)*T_PlannedOrders[Order_Month])),"m月")&amp;"発注)")</f>
        <v/>
      </c>
      <c r="CJ1145">
        <f>IF(SUMIFS(T_PlannedOrders[EffectiveQty],T_PlannedOrders[Part Name],$A1133,T_PlannedOrders[WeekIndex],85)=0,"",SUMIFS(T_PlannedOrders[EffectiveQty],T_PlannedOrders[Part Name],$A1133,T_PlannedOrders[WeekIndex],85)&amp;" ("&amp;TEXT(SUMPRODUCT(MAX((T_PlannedOrders[Part Name]=$A1133)*(T_PlannedOrders[WeekIndex]=85)*(T_PlannedOrders[EffectiveQty]&gt;0)*T_PlannedOrders[Order_Month])),"m月")&amp;"発注)")</f>
        <v/>
      </c>
      <c r="CK1145">
        <f>IF(SUMIFS(T_PlannedOrders[EffectiveQty],T_PlannedOrders[Part Name],$A1133,T_PlannedOrders[WeekIndex],86)=0,"",SUMIFS(T_PlannedOrders[EffectiveQty],T_PlannedOrders[Part Name],$A1133,T_PlannedOrders[WeekIndex],86)&amp;" ("&amp;TEXT(SUMPRODUCT(MAX((T_PlannedOrders[Part Name]=$A1133)*(T_PlannedOrders[WeekIndex]=86)*(T_PlannedOrders[EffectiveQty]&gt;0)*T_PlannedOrders[Order_Month])),"m月")&amp;"発注)")</f>
        <v/>
      </c>
      <c r="CL1145">
        <f>IF(SUMIFS(T_PlannedOrders[EffectiveQty],T_PlannedOrders[Part Name],$A1133,T_PlannedOrders[WeekIndex],87)=0,"",SUMIFS(T_PlannedOrders[EffectiveQty],T_PlannedOrders[Part Name],$A1133,T_PlannedOrders[WeekIndex],87)&amp;" ("&amp;TEXT(SUMPRODUCT(MAX((T_PlannedOrders[Part Name]=$A1133)*(T_PlannedOrders[WeekIndex]=87)*(T_PlannedOrders[EffectiveQty]&gt;0)*T_PlannedOrders[Order_Month])),"m月")&amp;"発注)")</f>
        <v/>
      </c>
      <c r="CM1145">
        <f>IF(SUMIFS(T_PlannedOrders[EffectiveQty],T_PlannedOrders[Part Name],$A1133,T_PlannedOrders[WeekIndex],88)=0,"",SUMIFS(T_PlannedOrders[EffectiveQty],T_PlannedOrders[Part Name],$A1133,T_PlannedOrders[WeekIndex],88)&amp;" ("&amp;TEXT(SUMPRODUCT(MAX((T_PlannedOrders[Part Name]=$A1133)*(T_PlannedOrders[WeekIndex]=88)*(T_PlannedOrders[EffectiveQty]&gt;0)*T_PlannedOrders[Order_Month])),"m月")&amp;"発注)")</f>
        <v/>
      </c>
      <c r="CN1145">
        <f>IF(SUMIFS(T_PlannedOrders[EffectiveQty],T_PlannedOrders[Part Name],$A1133,T_PlannedOrders[WeekIndex],89)=0,"",SUMIFS(T_PlannedOrders[EffectiveQty],T_PlannedOrders[Part Name],$A1133,T_PlannedOrders[WeekIndex],89)&amp;" ("&amp;TEXT(SUMPRODUCT(MAX((T_PlannedOrders[Part Name]=$A1133)*(T_PlannedOrders[WeekIndex]=89)*(T_PlannedOrders[EffectiveQty]&gt;0)*T_PlannedOrders[Order_Month])),"m月")&amp;"発注)")</f>
        <v/>
      </c>
      <c r="CO1145">
        <f>IF(SUMIFS(T_PlannedOrders[EffectiveQty],T_PlannedOrders[Part Name],$A1133,T_PlannedOrders[WeekIndex],90)=0,"",SUMIFS(T_PlannedOrders[EffectiveQty],T_PlannedOrders[Part Name],$A1133,T_PlannedOrders[WeekIndex],90)&amp;" ("&amp;TEXT(SUMPRODUCT(MAX((T_PlannedOrders[Part Name]=$A1133)*(T_PlannedOrders[WeekIndex]=90)*(T_PlannedOrders[EffectiveQty]&gt;0)*T_PlannedOrders[Order_Month])),"m月")&amp;"発注)")</f>
        <v/>
      </c>
      <c r="CP1145">
        <f>IF(SUMIFS(T_PlannedOrders[EffectiveQty],T_PlannedOrders[Part Name],$A1133,T_PlannedOrders[WeekIndex],91)=0,"",SUMIFS(T_PlannedOrders[EffectiveQty],T_PlannedOrders[Part Name],$A1133,T_PlannedOrders[WeekIndex],91)&amp;" ("&amp;TEXT(SUMPRODUCT(MAX((T_PlannedOrders[Part Name]=$A1133)*(T_PlannedOrders[WeekIndex]=91)*(T_PlannedOrders[EffectiveQty]&gt;0)*T_PlannedOrders[Order_Month])),"m月")&amp;"発注)")</f>
        <v/>
      </c>
      <c r="CQ1145">
        <f>IF(SUMIFS(T_PlannedOrders[EffectiveQty],T_PlannedOrders[Part Name],$A1133,T_PlannedOrders[WeekIndex],92)=0,"",SUMIFS(T_PlannedOrders[EffectiveQty],T_PlannedOrders[Part Name],$A1133,T_PlannedOrders[WeekIndex],92)&amp;" ("&amp;TEXT(SUMPRODUCT(MAX((T_PlannedOrders[Part Name]=$A1133)*(T_PlannedOrders[WeekIndex]=92)*(T_PlannedOrders[EffectiveQty]&gt;0)*T_PlannedOrders[Order_Month])),"m月")&amp;"発注)")</f>
        <v/>
      </c>
      <c r="CR1145">
        <f>IF(SUMIFS(T_PlannedOrders[EffectiveQty],T_PlannedOrders[Part Name],$A1133,T_PlannedOrders[WeekIndex],93)=0,"",SUMIFS(T_PlannedOrders[EffectiveQty],T_PlannedOrders[Part Name],$A1133,T_PlannedOrders[WeekIndex],93)&amp;" ("&amp;TEXT(SUMPRODUCT(MAX((T_PlannedOrders[Part Name]=$A1133)*(T_PlannedOrders[WeekIndex]=93)*(T_PlannedOrders[EffectiveQty]&gt;0)*T_PlannedOrders[Order_Month])),"m月")&amp;"発注)")</f>
        <v/>
      </c>
      <c r="CS1145">
        <f>IF(SUMIFS(T_PlannedOrders[EffectiveQty],T_PlannedOrders[Part Name],$A1133,T_PlannedOrders[WeekIndex],94)=0,"",SUMIFS(T_PlannedOrders[EffectiveQty],T_PlannedOrders[Part Name],$A1133,T_PlannedOrders[WeekIndex],94)&amp;" ("&amp;TEXT(SUMPRODUCT(MAX((T_PlannedOrders[Part Name]=$A1133)*(T_PlannedOrders[WeekIndex]=94)*(T_PlannedOrders[EffectiveQty]&gt;0)*T_PlannedOrders[Order_Month])),"m月")&amp;"発注)")</f>
        <v/>
      </c>
      <c r="CT1145">
        <f>IF(SUMIFS(T_PlannedOrders[EffectiveQty],T_PlannedOrders[Part Name],$A1133,T_PlannedOrders[WeekIndex],95)=0,"",SUMIFS(T_PlannedOrders[EffectiveQty],T_PlannedOrders[Part Name],$A1133,T_PlannedOrders[WeekIndex],95)&amp;" ("&amp;TEXT(SUMPRODUCT(MAX((T_PlannedOrders[Part Name]=$A1133)*(T_PlannedOrders[WeekIndex]=95)*(T_PlannedOrders[EffectiveQty]&gt;0)*T_PlannedOrders[Order_Month])),"m月")&amp;"発注)")</f>
        <v/>
      </c>
      <c r="CU1145">
        <f>IF(SUMIFS(T_PlannedOrders[EffectiveQty],T_PlannedOrders[Part Name],$A1133,T_PlannedOrders[WeekIndex],96)=0,"",SUMIFS(T_PlannedOrders[EffectiveQty],T_PlannedOrders[Part Name],$A1133,T_PlannedOrders[WeekIndex],96)&amp;" ("&amp;TEXT(SUMPRODUCT(MAX((T_PlannedOrders[Part Name]=$A1133)*(T_PlannedOrders[WeekIndex]=96)*(T_PlannedOrders[EffectiveQty]&gt;0)*T_PlannedOrders[Order_Month])),"m月")&amp;"発注)")</f>
        <v/>
      </c>
      <c r="CV1145">
        <f>IF(SUMIFS(T_PlannedOrders[EffectiveQty],T_PlannedOrders[Part Name],$A1133,T_PlannedOrders[WeekIndex],97)=0,"",SUMIFS(T_PlannedOrders[EffectiveQty],T_PlannedOrders[Part Name],$A1133,T_PlannedOrders[WeekIndex],97)&amp;" ("&amp;TEXT(SUMPRODUCT(MAX((T_PlannedOrders[Part Name]=$A1133)*(T_PlannedOrders[WeekIndex]=97)*(T_PlannedOrders[EffectiveQty]&gt;0)*T_PlannedOrders[Order_Month])),"m月")&amp;"発注)")</f>
        <v/>
      </c>
      <c r="CW1145">
        <f>IF(SUMIFS(T_PlannedOrders[EffectiveQty],T_PlannedOrders[Part Name],$A1133,T_PlannedOrders[WeekIndex],98)=0,"",SUMIFS(T_PlannedOrders[EffectiveQty],T_PlannedOrders[Part Name],$A1133,T_PlannedOrders[WeekIndex],98)&amp;" ("&amp;TEXT(SUMPRODUCT(MAX((T_PlannedOrders[Part Name]=$A1133)*(T_PlannedOrders[WeekIndex]=98)*(T_PlannedOrders[EffectiveQty]&gt;0)*T_PlannedOrders[Order_Month])),"m月")&amp;"発注)")</f>
        <v/>
      </c>
      <c r="CX1145">
        <f>IF(SUMIFS(T_PlannedOrders[EffectiveQty],T_PlannedOrders[Part Name],$A1133,T_PlannedOrders[WeekIndex],99)=0,"",SUMIFS(T_PlannedOrders[EffectiveQty],T_PlannedOrders[Part Name],$A1133,T_PlannedOrders[WeekIndex],99)&amp;" ("&amp;TEXT(SUMPRODUCT(MAX((T_PlannedOrders[Part Name]=$A1133)*(T_PlannedOrders[WeekIndex]=99)*(T_PlannedOrders[EffectiveQty]&gt;0)*T_PlannedOrders[Order_Month])),"m月")&amp;"発注)")</f>
        <v/>
      </c>
      <c r="CY1145">
        <f>IF(SUMIFS(T_PlannedOrders[EffectiveQty],T_PlannedOrders[Part Name],$A1133,T_PlannedOrders[WeekIndex],100)=0,"",SUMIFS(T_PlannedOrders[EffectiveQty],T_PlannedOrders[Part Name],$A1133,T_PlannedOrders[WeekIndex],100)&amp;" ("&amp;TEXT(SUMPRODUCT(MAX((T_PlannedOrders[Part Name]=$A1133)*(T_PlannedOrders[WeekIndex]=100)*(T_PlannedOrders[EffectiveQty]&gt;0)*T_PlannedOrders[Order_Month])),"m月")&amp;"発注)")</f>
        <v/>
      </c>
      <c r="CZ1145">
        <f>IF(SUMIFS(T_PlannedOrders[EffectiveQty],T_PlannedOrders[Part Name],$A1133,T_PlannedOrders[WeekIndex],101)=0,"",SUMIFS(T_PlannedOrders[EffectiveQty],T_PlannedOrders[Part Name],$A1133,T_PlannedOrders[WeekIndex],101)&amp;" ("&amp;TEXT(SUMPRODUCT(MAX((T_PlannedOrders[Part Name]=$A1133)*(T_PlannedOrders[WeekIndex]=101)*(T_PlannedOrders[EffectiveQty]&gt;0)*T_PlannedOrders[Order_Month])),"m月")&amp;"発注)")</f>
        <v/>
      </c>
      <c r="DA1145">
        <f>IF(SUMIFS(T_PlannedOrders[EffectiveQty],T_PlannedOrders[Part Name],$A1133,T_PlannedOrders[WeekIndex],102)=0,"",SUMIFS(T_PlannedOrders[EffectiveQty],T_PlannedOrders[Part Name],$A1133,T_PlannedOrders[WeekIndex],102)&amp;" ("&amp;TEXT(SUMPRODUCT(MAX((T_PlannedOrders[Part Name]=$A1133)*(T_PlannedOrders[WeekIndex]=102)*(T_PlannedOrders[EffectiveQty]&gt;0)*T_PlannedOrders[Order_Month])),"m月")&amp;"発注)")</f>
        <v/>
      </c>
      <c r="DB1145">
        <f>IF(SUMIFS(T_PlannedOrders[EffectiveQty],T_PlannedOrders[Part Name],$A1133,T_PlannedOrders[WeekIndex],103)=0,"",SUMIFS(T_PlannedOrders[EffectiveQty],T_PlannedOrders[Part Name],$A1133,T_PlannedOrders[WeekIndex],103)&amp;" ("&amp;TEXT(SUMPRODUCT(MAX((T_PlannedOrders[Part Name]=$A1133)*(T_PlannedOrders[WeekIndex]=103)*(T_PlannedOrders[EffectiveQty]&gt;0)*T_PlannedOrders[Order_Month])),"m月")&amp;"発注)")</f>
        <v/>
      </c>
      <c r="DC1145">
        <f>IF(SUMIFS(T_PlannedOrders[EffectiveQty],T_PlannedOrders[Part Name],$A1133,T_PlannedOrders[WeekIndex],104)=0,"",SUMIFS(T_PlannedOrders[EffectiveQty],T_PlannedOrders[Part Name],$A1133,T_PlannedOrders[WeekIndex],104)&amp;" ("&amp;TEXT(SUMPRODUCT(MAX((T_PlannedOrders[Part Name]=$A1133)*(T_PlannedOrders[WeekIndex]=104)*(T_PlannedOrders[EffectiveQty]&gt;0)*T_PlannedOrders[Order_Month])),"m月")&amp;"発注)")</f>
        <v/>
      </c>
    </row>
    <row r="1146">
      <c r="B1146" s="5" t="inlineStr">
        <is>
          <t>合計在庫(週末時点,kg)</t>
        </is>
      </c>
      <c r="D1146">
        <f>'Grid_Stock'!B26</f>
        <v/>
      </c>
      <c r="E1146">
        <f>'Grid_Stock'!C26</f>
        <v/>
      </c>
      <c r="F1146">
        <f>'Grid_Stock'!D26</f>
        <v/>
      </c>
      <c r="G1146">
        <f>'Grid_Stock'!E26</f>
        <v/>
      </c>
      <c r="H1146">
        <f>'Grid_Stock'!F26</f>
        <v/>
      </c>
      <c r="I1146">
        <f>'Grid_Stock'!G26</f>
        <v/>
      </c>
      <c r="J1146">
        <f>'Grid_Stock'!H26</f>
        <v/>
      </c>
      <c r="K1146">
        <f>'Grid_Stock'!I26</f>
        <v/>
      </c>
      <c r="L1146">
        <f>'Grid_Stock'!J26</f>
        <v/>
      </c>
      <c r="M1146">
        <f>'Grid_Stock'!K26</f>
        <v/>
      </c>
      <c r="N1146">
        <f>'Grid_Stock'!L26</f>
        <v/>
      </c>
      <c r="O1146">
        <f>'Grid_Stock'!M26</f>
        <v/>
      </c>
      <c r="P1146">
        <f>'Grid_Stock'!N26</f>
        <v/>
      </c>
      <c r="Q1146">
        <f>'Grid_Stock'!O26</f>
        <v/>
      </c>
      <c r="R1146">
        <f>'Grid_Stock'!P26</f>
        <v/>
      </c>
      <c r="S1146">
        <f>'Grid_Stock'!Q26</f>
        <v/>
      </c>
      <c r="T1146">
        <f>'Grid_Stock'!R26</f>
        <v/>
      </c>
      <c r="U1146">
        <f>'Grid_Stock'!S26</f>
        <v/>
      </c>
      <c r="V1146">
        <f>'Grid_Stock'!T26</f>
        <v/>
      </c>
      <c r="W1146">
        <f>'Grid_Stock'!U26</f>
        <v/>
      </c>
      <c r="X1146">
        <f>'Grid_Stock'!V26</f>
        <v/>
      </c>
      <c r="Y1146">
        <f>'Grid_Stock'!W26</f>
        <v/>
      </c>
      <c r="Z1146">
        <f>'Grid_Stock'!X26</f>
        <v/>
      </c>
      <c r="AA1146">
        <f>'Grid_Stock'!Y26</f>
        <v/>
      </c>
      <c r="AB1146">
        <f>'Grid_Stock'!Z26</f>
        <v/>
      </c>
      <c r="AC1146">
        <f>'Grid_Stock'!AA26</f>
        <v/>
      </c>
      <c r="AD1146">
        <f>'Grid_Stock'!AB26</f>
        <v/>
      </c>
      <c r="AE1146">
        <f>'Grid_Stock'!AC26</f>
        <v/>
      </c>
      <c r="AF1146">
        <f>'Grid_Stock'!AD26</f>
        <v/>
      </c>
      <c r="AG1146">
        <f>'Grid_Stock'!AE26</f>
        <v/>
      </c>
      <c r="AH1146">
        <f>'Grid_Stock'!AF26</f>
        <v/>
      </c>
      <c r="AI1146">
        <f>'Grid_Stock'!AG26</f>
        <v/>
      </c>
      <c r="AJ1146">
        <f>'Grid_Stock'!AH26</f>
        <v/>
      </c>
      <c r="AK1146">
        <f>'Grid_Stock'!AI26</f>
        <v/>
      </c>
      <c r="AL1146">
        <f>'Grid_Stock'!AJ26</f>
        <v/>
      </c>
      <c r="AM1146">
        <f>'Grid_Stock'!AK26</f>
        <v/>
      </c>
      <c r="AN1146">
        <f>'Grid_Stock'!AL26</f>
        <v/>
      </c>
      <c r="AO1146">
        <f>'Grid_Stock'!AM26</f>
        <v/>
      </c>
      <c r="AP1146">
        <f>'Grid_Stock'!AN26</f>
        <v/>
      </c>
      <c r="AQ1146">
        <f>'Grid_Stock'!AO26</f>
        <v/>
      </c>
      <c r="AR1146">
        <f>'Grid_Stock'!AP26</f>
        <v/>
      </c>
      <c r="AS1146">
        <f>'Grid_Stock'!AQ26</f>
        <v/>
      </c>
      <c r="AT1146">
        <f>'Grid_Stock'!AR26</f>
        <v/>
      </c>
      <c r="AU1146">
        <f>'Grid_Stock'!AS26</f>
        <v/>
      </c>
      <c r="AV1146">
        <f>'Grid_Stock'!AT26</f>
        <v/>
      </c>
      <c r="AW1146">
        <f>'Grid_Stock'!AU26</f>
        <v/>
      </c>
      <c r="AX1146">
        <f>'Grid_Stock'!AV26</f>
        <v/>
      </c>
      <c r="AY1146">
        <f>'Grid_Stock'!AW26</f>
        <v/>
      </c>
      <c r="AZ1146">
        <f>'Grid_Stock'!AX26</f>
        <v/>
      </c>
      <c r="BA1146">
        <f>'Grid_Stock'!AY26</f>
        <v/>
      </c>
      <c r="BB1146">
        <f>'Grid_Stock'!AZ26</f>
        <v/>
      </c>
      <c r="BC1146">
        <f>'Grid_Stock'!BA26</f>
        <v/>
      </c>
      <c r="BD1146">
        <f>'Grid_Stock'!BB26</f>
        <v/>
      </c>
      <c r="BE1146">
        <f>'Grid_Stock'!BC26</f>
        <v/>
      </c>
      <c r="BF1146">
        <f>'Grid_Stock'!BD26</f>
        <v/>
      </c>
      <c r="BG1146">
        <f>'Grid_Stock'!BE26</f>
        <v/>
      </c>
      <c r="BH1146">
        <f>'Grid_Stock'!BF26</f>
        <v/>
      </c>
      <c r="BI1146">
        <f>'Grid_Stock'!BG26</f>
        <v/>
      </c>
      <c r="BJ1146">
        <f>'Grid_Stock'!BH26</f>
        <v/>
      </c>
      <c r="BK1146">
        <f>'Grid_Stock'!BI26</f>
        <v/>
      </c>
      <c r="BL1146">
        <f>'Grid_Stock'!BJ26</f>
        <v/>
      </c>
      <c r="BM1146">
        <f>'Grid_Stock'!BK26</f>
        <v/>
      </c>
      <c r="BN1146">
        <f>'Grid_Stock'!BL26</f>
        <v/>
      </c>
      <c r="BO1146">
        <f>'Grid_Stock'!BM26</f>
        <v/>
      </c>
      <c r="BP1146">
        <f>'Grid_Stock'!BN26</f>
        <v/>
      </c>
      <c r="BQ1146">
        <f>'Grid_Stock'!BO26</f>
        <v/>
      </c>
      <c r="BR1146">
        <f>'Grid_Stock'!BP26</f>
        <v/>
      </c>
      <c r="BS1146">
        <f>'Grid_Stock'!BQ26</f>
        <v/>
      </c>
      <c r="BT1146">
        <f>'Grid_Stock'!BR26</f>
        <v/>
      </c>
      <c r="BU1146">
        <f>'Grid_Stock'!BS26</f>
        <v/>
      </c>
      <c r="BV1146">
        <f>'Grid_Stock'!BT26</f>
        <v/>
      </c>
      <c r="BW1146">
        <f>'Grid_Stock'!BU26</f>
        <v/>
      </c>
      <c r="BX1146">
        <f>'Grid_Stock'!BV26</f>
        <v/>
      </c>
      <c r="BY1146">
        <f>'Grid_Stock'!BW26</f>
        <v/>
      </c>
      <c r="BZ1146">
        <f>'Grid_Stock'!BX26</f>
        <v/>
      </c>
      <c r="CA1146">
        <f>'Grid_Stock'!BY26</f>
        <v/>
      </c>
      <c r="CB1146">
        <f>'Grid_Stock'!BZ26</f>
        <v/>
      </c>
      <c r="CC1146">
        <f>'Grid_Stock'!CA26</f>
        <v/>
      </c>
      <c r="CD1146">
        <f>'Grid_Stock'!CB26</f>
        <v/>
      </c>
      <c r="CE1146">
        <f>'Grid_Stock'!CC26</f>
        <v/>
      </c>
      <c r="CF1146">
        <f>'Grid_Stock'!CD26</f>
        <v/>
      </c>
      <c r="CG1146">
        <f>'Grid_Stock'!CE26</f>
        <v/>
      </c>
      <c r="CH1146">
        <f>'Grid_Stock'!CF26</f>
        <v/>
      </c>
      <c r="CI1146">
        <f>'Grid_Stock'!CG26</f>
        <v/>
      </c>
      <c r="CJ1146">
        <f>'Grid_Stock'!CH26</f>
        <v/>
      </c>
      <c r="CK1146">
        <f>'Grid_Stock'!CI26</f>
        <v/>
      </c>
      <c r="CL1146">
        <f>'Grid_Stock'!CJ26</f>
        <v/>
      </c>
      <c r="CM1146">
        <f>'Grid_Stock'!CK26</f>
        <v/>
      </c>
      <c r="CN1146">
        <f>'Grid_Stock'!CL26</f>
        <v/>
      </c>
      <c r="CO1146">
        <f>'Grid_Stock'!CM26</f>
        <v/>
      </c>
      <c r="CP1146">
        <f>'Grid_Stock'!CN26</f>
        <v/>
      </c>
      <c r="CQ1146">
        <f>'Grid_Stock'!CO26</f>
        <v/>
      </c>
      <c r="CR1146">
        <f>'Grid_Stock'!CP26</f>
        <v/>
      </c>
      <c r="CS1146">
        <f>'Grid_Stock'!CQ26</f>
        <v/>
      </c>
      <c r="CT1146">
        <f>'Grid_Stock'!CR26</f>
        <v/>
      </c>
      <c r="CU1146">
        <f>'Grid_Stock'!CS26</f>
        <v/>
      </c>
      <c r="CV1146">
        <f>'Grid_Stock'!CT26</f>
        <v/>
      </c>
      <c r="CW1146">
        <f>'Grid_Stock'!CU26</f>
        <v/>
      </c>
      <c r="CX1146">
        <f>'Grid_Stock'!CV26</f>
        <v/>
      </c>
      <c r="CY1146">
        <f>'Grid_Stock'!CW26</f>
        <v/>
      </c>
      <c r="CZ1146">
        <f>'Grid_Stock'!CX26</f>
        <v/>
      </c>
      <c r="DA1146">
        <f>'Grid_Stock'!CY26</f>
        <v/>
      </c>
      <c r="DB1146">
        <f>'Grid_Stock'!CZ26</f>
        <v/>
      </c>
      <c r="DC1146">
        <f>'Grid_Stock'!DA26</f>
        <v/>
      </c>
    </row>
    <row r="1147">
      <c r="B1147" s="23" t="inlineStr">
        <is>
          <t>（発注の目安はDashboardの基準在庫[下限/上限]と色分けを参照）</t>
        </is>
      </c>
    </row>
    <row r="1149">
      <c r="A1149" s="21" t="inlineStr">
        <is>
          <t>CHEM-1550</t>
        </is>
      </c>
      <c r="B1149" s="21" t="inlineStr">
        <is>
          <t>CHUPOL CC-6</t>
        </is>
      </c>
      <c r="C1149" s="22" t="n"/>
      <c r="D1149" s="21" t="n"/>
      <c r="E1149" s="21" t="n"/>
      <c r="F1149" s="21" t="n"/>
      <c r="G1149" s="21" t="n"/>
      <c r="H1149" s="21" t="n"/>
      <c r="I1149" s="21" t="n"/>
      <c r="J1149" s="21" t="n"/>
      <c r="K1149" s="21" t="n"/>
      <c r="L1149" s="21" t="n"/>
      <c r="M1149" s="21" t="n"/>
      <c r="N1149" s="21" t="n"/>
      <c r="O1149" s="21" t="n"/>
      <c r="P1149" s="21" t="n"/>
      <c r="Q1149" s="21" t="n"/>
      <c r="R1149" s="21" t="n"/>
      <c r="S1149" s="21" t="n"/>
      <c r="T1149" s="21" t="n"/>
      <c r="U1149" s="21" t="n"/>
      <c r="V1149" s="21" t="n"/>
      <c r="W1149" s="21" t="n"/>
      <c r="X1149" s="21" t="n"/>
      <c r="Y1149" s="21" t="n"/>
      <c r="Z1149" s="21" t="n"/>
      <c r="AA1149" s="21" t="n"/>
      <c r="AB1149" s="21" t="n"/>
      <c r="AC1149" s="21" t="n"/>
      <c r="AD1149" s="21" t="n"/>
      <c r="AE1149" s="21" t="n"/>
      <c r="AF1149" s="21" t="n"/>
      <c r="AG1149" s="21" t="n"/>
      <c r="AH1149" s="21" t="n"/>
      <c r="AI1149" s="21" t="n"/>
      <c r="AJ1149" s="21" t="n"/>
      <c r="AK1149" s="21" t="n"/>
      <c r="AL1149" s="21" t="n"/>
      <c r="AM1149" s="21" t="n"/>
      <c r="AN1149" s="21" t="n"/>
      <c r="AO1149" s="21" t="n"/>
      <c r="AP1149" s="21" t="n"/>
      <c r="AQ1149" s="21" t="n"/>
      <c r="AR1149" s="21" t="n"/>
      <c r="AS1149" s="21" t="n"/>
      <c r="AT1149" s="21" t="n"/>
      <c r="AU1149" s="21" t="n"/>
      <c r="AV1149" s="21" t="n"/>
      <c r="AW1149" s="21" t="n"/>
      <c r="AX1149" s="21" t="n"/>
      <c r="AY1149" s="21" t="n"/>
      <c r="AZ1149" s="21" t="n"/>
      <c r="BA1149" s="21" t="n"/>
      <c r="BB1149" s="21" t="n"/>
      <c r="BC1149" s="21" t="n"/>
      <c r="BD1149" s="21" t="n"/>
      <c r="BE1149" s="21" t="n"/>
      <c r="BF1149" s="21" t="n"/>
      <c r="BG1149" s="21" t="n"/>
      <c r="BH1149" s="21" t="n"/>
      <c r="BI1149" s="21" t="n"/>
      <c r="BJ1149" s="21" t="n"/>
      <c r="BK1149" s="21" t="n"/>
      <c r="BL1149" s="21" t="n"/>
      <c r="BM1149" s="21" t="n"/>
      <c r="BN1149" s="21" t="n"/>
      <c r="BO1149" s="21" t="n"/>
      <c r="BP1149" s="21" t="n"/>
      <c r="BQ1149" s="21" t="n"/>
      <c r="BR1149" s="21" t="n"/>
      <c r="BS1149" s="21" t="n"/>
      <c r="BT1149" s="21" t="n"/>
      <c r="BU1149" s="21" t="n"/>
      <c r="BV1149" s="21" t="n"/>
      <c r="BW1149" s="21" t="n"/>
      <c r="BX1149" s="21" t="n"/>
      <c r="BY1149" s="21" t="n"/>
      <c r="BZ1149" s="21" t="n"/>
      <c r="CA1149" s="21" t="n"/>
      <c r="CB1149" s="21" t="n"/>
      <c r="CC1149" s="21" t="n"/>
      <c r="CD1149" s="21" t="n"/>
      <c r="CE1149" s="21" t="n"/>
      <c r="CF1149" s="21" t="n"/>
      <c r="CG1149" s="21" t="n"/>
      <c r="CH1149" s="21" t="n"/>
      <c r="CI1149" s="21" t="n"/>
      <c r="CJ1149" s="21" t="n"/>
      <c r="CK1149" s="21" t="n"/>
      <c r="CL1149" s="21" t="n"/>
      <c r="CM1149" s="21" t="n"/>
      <c r="CN1149" s="21" t="n"/>
      <c r="CO1149" s="21" t="n"/>
      <c r="CP1149" s="21" t="n"/>
      <c r="CQ1149" s="21" t="n"/>
      <c r="CR1149" s="21" t="n"/>
      <c r="CS1149" s="21" t="n"/>
      <c r="CT1149" s="21" t="n"/>
      <c r="CU1149" s="21" t="n"/>
      <c r="CV1149" s="21" t="n"/>
      <c r="CW1149" s="21" t="n"/>
      <c r="CX1149" s="21" t="n"/>
      <c r="CY1149" s="21" t="n"/>
      <c r="CZ1149" s="21" t="n"/>
      <c r="DA1149" s="21" t="n"/>
      <c r="DB1149" s="21" t="n"/>
      <c r="DC1149" s="21" t="n"/>
    </row>
    <row r="1150">
      <c r="B1150" t="inlineStr">
        <is>
          <t>TSP-402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Name],$A1149)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TSP-403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Name],$A1149)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t="inlineStr">
        <is>
          <t>TSP-404</t>
        </is>
      </c>
      <c r="C1154" t="inlineStr">
        <is>
          <t>No. of batches</t>
        </is>
      </c>
      <c r="D1154">
        <f>IFERROR(INDEX(PP_Grid[#Data],$DD1154,2),0)</f>
        <v/>
      </c>
      <c r="E1154">
        <f>IFERROR(INDEX(PP_Grid[#Data],$DD1154,3),0)</f>
        <v/>
      </c>
      <c r="F1154">
        <f>IFERROR(INDEX(PP_Grid[#Data],$DD1154,4),0)</f>
        <v/>
      </c>
      <c r="G1154">
        <f>IFERROR(INDEX(PP_Grid[#Data],$DD1154,5),0)</f>
        <v/>
      </c>
      <c r="H1154">
        <f>IFERROR(INDEX(PP_Grid[#Data],$DD1154,6),0)</f>
        <v/>
      </c>
      <c r="I1154">
        <f>IFERROR(INDEX(PP_Grid[#Data],$DD1154,7),0)</f>
        <v/>
      </c>
      <c r="J1154">
        <f>IFERROR(INDEX(PP_Grid[#Data],$DD1154,8),0)</f>
        <v/>
      </c>
      <c r="K1154">
        <f>IFERROR(INDEX(PP_Grid[#Data],$DD1154,9),0)</f>
        <v/>
      </c>
      <c r="L1154">
        <f>IFERROR(INDEX(PP_Grid[#Data],$DD1154,10),0)</f>
        <v/>
      </c>
      <c r="M1154">
        <f>IFERROR(INDEX(PP_Grid[#Data],$DD1154,11),0)</f>
        <v/>
      </c>
      <c r="N1154">
        <f>IFERROR(INDEX(PP_Grid[#Data],$DD1154,12),0)</f>
        <v/>
      </c>
      <c r="O1154">
        <f>IFERROR(INDEX(PP_Grid[#Data],$DD1154,13),0)</f>
        <v/>
      </c>
      <c r="P1154">
        <f>IFERROR(INDEX(PP_Grid[#Data],$DD1154,14),0)</f>
        <v/>
      </c>
      <c r="Q1154">
        <f>IFERROR(INDEX(PP_Grid[#Data],$DD1154,15),0)</f>
        <v/>
      </c>
      <c r="R1154">
        <f>IFERROR(INDEX(PP_Grid[#Data],$DD1154,16),0)</f>
        <v/>
      </c>
      <c r="S1154">
        <f>IFERROR(INDEX(PP_Grid[#Data],$DD1154,17),0)</f>
        <v/>
      </c>
      <c r="T1154">
        <f>IFERROR(INDEX(PP_Grid[#Data],$DD1154,18),0)</f>
        <v/>
      </c>
      <c r="U1154">
        <f>IFERROR(INDEX(PP_Grid[#Data],$DD1154,19),0)</f>
        <v/>
      </c>
      <c r="V1154">
        <f>IFERROR(INDEX(PP_Grid[#Data],$DD1154,20),0)</f>
        <v/>
      </c>
      <c r="W1154">
        <f>IFERROR(INDEX(PP_Grid[#Data],$DD1154,21),0)</f>
        <v/>
      </c>
      <c r="X1154">
        <f>IFERROR(INDEX(PP_Grid[#Data],$DD1154,22),0)</f>
        <v/>
      </c>
      <c r="Y1154">
        <f>IFERROR(INDEX(PP_Grid[#Data],$DD1154,23),0)</f>
        <v/>
      </c>
      <c r="Z1154">
        <f>IFERROR(INDEX(PP_Grid[#Data],$DD1154,24),0)</f>
        <v/>
      </c>
      <c r="AA1154">
        <f>IFERROR(INDEX(PP_Grid[#Data],$DD1154,25),0)</f>
        <v/>
      </c>
      <c r="AB1154">
        <f>IFERROR(INDEX(PP_Grid[#Data],$DD1154,26),0)</f>
        <v/>
      </c>
      <c r="AC1154">
        <f>IFERROR(INDEX(PP_Grid[#Data],$DD1154,27),0)</f>
        <v/>
      </c>
      <c r="AD1154">
        <f>IFERROR(INDEX(PP_Grid[#Data],$DD1154,28),0)</f>
        <v/>
      </c>
      <c r="AE1154">
        <f>IFERROR(INDEX(PP_Grid[#Data],$DD1154,29),0)</f>
        <v/>
      </c>
      <c r="AF1154">
        <f>IFERROR(INDEX(PP_Grid[#Data],$DD1154,30),0)</f>
        <v/>
      </c>
      <c r="AG1154">
        <f>IFERROR(INDEX(PP_Grid[#Data],$DD1154,31),0)</f>
        <v/>
      </c>
      <c r="AH1154">
        <f>IFERROR(INDEX(PP_Grid[#Data],$DD1154,32),0)</f>
        <v/>
      </c>
      <c r="AI1154">
        <f>IFERROR(INDEX(PP_Grid[#Data],$DD1154,33),0)</f>
        <v/>
      </c>
      <c r="AJ1154">
        <f>IFERROR(INDEX(PP_Grid[#Data],$DD1154,34),0)</f>
        <v/>
      </c>
      <c r="AK1154">
        <f>IFERROR(INDEX(PP_Grid[#Data],$DD1154,35),0)</f>
        <v/>
      </c>
      <c r="AL1154">
        <f>IFERROR(INDEX(PP_Grid[#Data],$DD1154,36),0)</f>
        <v/>
      </c>
      <c r="AM1154">
        <f>IFERROR(INDEX(PP_Grid[#Data],$DD1154,37),0)</f>
        <v/>
      </c>
      <c r="AN1154">
        <f>IFERROR(INDEX(PP_Grid[#Data],$DD1154,38),0)</f>
        <v/>
      </c>
      <c r="AO1154">
        <f>IFERROR(INDEX(PP_Grid[#Data],$DD1154,39),0)</f>
        <v/>
      </c>
      <c r="AP1154">
        <f>IFERROR(INDEX(PP_Grid[#Data],$DD1154,40),0)</f>
        <v/>
      </c>
      <c r="AQ1154">
        <f>IFERROR(INDEX(PP_Grid[#Data],$DD1154,41),0)</f>
        <v/>
      </c>
      <c r="AR1154">
        <f>IFERROR(INDEX(PP_Grid[#Data],$DD1154,42),0)</f>
        <v/>
      </c>
      <c r="AS1154">
        <f>IFERROR(INDEX(PP_Grid[#Data],$DD1154,43),0)</f>
        <v/>
      </c>
      <c r="AT1154">
        <f>IFERROR(INDEX(PP_Grid[#Data],$DD1154,44),0)</f>
        <v/>
      </c>
      <c r="AU1154">
        <f>IFERROR(INDEX(PP_Grid[#Data],$DD1154,45),0)</f>
        <v/>
      </c>
      <c r="AV1154">
        <f>IFERROR(INDEX(PP_Grid[#Data],$DD1154,46),0)</f>
        <v/>
      </c>
      <c r="AW1154">
        <f>IFERROR(INDEX(PP_Grid[#Data],$DD1154,47),0)</f>
        <v/>
      </c>
      <c r="AX1154">
        <f>IFERROR(INDEX(PP_Grid[#Data],$DD1154,48),0)</f>
        <v/>
      </c>
      <c r="AY1154">
        <f>IFERROR(INDEX(PP_Grid[#Data],$DD1154,49),0)</f>
        <v/>
      </c>
      <c r="AZ1154">
        <f>IFERROR(INDEX(PP_Grid[#Data],$DD1154,50),0)</f>
        <v/>
      </c>
      <c r="BA1154">
        <f>IFERROR(INDEX(PP_Grid[#Data],$DD1154,51),0)</f>
        <v/>
      </c>
      <c r="BB1154">
        <f>IFERROR(INDEX(PP_Grid[#Data],$DD1154,52),0)</f>
        <v/>
      </c>
      <c r="BC1154">
        <f>IFERROR(INDEX(PP_Grid[#Data],$DD1154,53),0)</f>
        <v/>
      </c>
      <c r="BD1154">
        <f>IFERROR(INDEX(PP_Grid[#Data],$DD1154,54),0)</f>
        <v/>
      </c>
      <c r="BE1154">
        <f>IFERROR(INDEX(PP_Grid[#Data],$DD1154,55),0)</f>
        <v/>
      </c>
      <c r="BF1154">
        <f>IFERROR(INDEX(PP_Grid[#Data],$DD1154,56),0)</f>
        <v/>
      </c>
      <c r="BG1154">
        <f>IFERROR(INDEX(PP_Grid[#Data],$DD1154,57),0)</f>
        <v/>
      </c>
      <c r="BH1154">
        <f>IFERROR(INDEX(PP_Grid[#Data],$DD1154,58),0)</f>
        <v/>
      </c>
      <c r="BI1154">
        <f>IFERROR(INDEX(PP_Grid[#Data],$DD1154,59),0)</f>
        <v/>
      </c>
      <c r="BJ1154">
        <f>IFERROR(INDEX(PP_Grid[#Data],$DD1154,60),0)</f>
        <v/>
      </c>
      <c r="BK1154">
        <f>IFERROR(INDEX(PP_Grid[#Data],$DD1154,61),0)</f>
        <v/>
      </c>
      <c r="BL1154">
        <f>IFERROR(INDEX(PP_Grid[#Data],$DD1154,62),0)</f>
        <v/>
      </c>
      <c r="BM1154">
        <f>IFERROR(INDEX(PP_Grid[#Data],$DD1154,63),0)</f>
        <v/>
      </c>
      <c r="BN1154">
        <f>IFERROR(INDEX(PP_Grid[#Data],$DD1154,64),0)</f>
        <v/>
      </c>
      <c r="BO1154">
        <f>IFERROR(INDEX(PP_Grid[#Data],$DD1154,65),0)</f>
        <v/>
      </c>
      <c r="BP1154">
        <f>IFERROR(INDEX(PP_Grid[#Data],$DD1154,66),0)</f>
        <v/>
      </c>
      <c r="BQ1154">
        <f>IFERROR(INDEX(PP_Grid[#Data],$DD1154,67),0)</f>
        <v/>
      </c>
      <c r="BR1154">
        <f>IFERROR(INDEX(PP_Grid[#Data],$DD1154,68),0)</f>
        <v/>
      </c>
      <c r="BS1154">
        <f>IFERROR(INDEX(PP_Grid[#Data],$DD1154,69),0)</f>
        <v/>
      </c>
      <c r="BT1154">
        <f>IFERROR(INDEX(PP_Grid[#Data],$DD1154,70),0)</f>
        <v/>
      </c>
      <c r="BU1154">
        <f>IFERROR(INDEX(PP_Grid[#Data],$DD1154,71),0)</f>
        <v/>
      </c>
      <c r="BV1154">
        <f>IFERROR(INDEX(PP_Grid[#Data],$DD1154,72),0)</f>
        <v/>
      </c>
      <c r="BW1154">
        <f>IFERROR(INDEX(PP_Grid[#Data],$DD1154,73),0)</f>
        <v/>
      </c>
      <c r="BX1154">
        <f>IFERROR(INDEX(PP_Grid[#Data],$DD1154,74),0)</f>
        <v/>
      </c>
      <c r="BY1154">
        <f>IFERROR(INDEX(PP_Grid[#Data],$DD1154,75),0)</f>
        <v/>
      </c>
      <c r="BZ1154">
        <f>IFERROR(INDEX(PP_Grid[#Data],$DD1154,76),0)</f>
        <v/>
      </c>
      <c r="CA1154">
        <f>IFERROR(INDEX(PP_Grid[#Data],$DD1154,77),0)</f>
        <v/>
      </c>
      <c r="CB1154">
        <f>IFERROR(INDEX(PP_Grid[#Data],$DD1154,78),0)</f>
        <v/>
      </c>
      <c r="CC1154">
        <f>IFERROR(INDEX(PP_Grid[#Data],$DD1154,79),0)</f>
        <v/>
      </c>
      <c r="CD1154">
        <f>IFERROR(INDEX(PP_Grid[#Data],$DD1154,80),0)</f>
        <v/>
      </c>
      <c r="CE1154">
        <f>IFERROR(INDEX(PP_Grid[#Data],$DD1154,81),0)</f>
        <v/>
      </c>
      <c r="CF1154">
        <f>IFERROR(INDEX(PP_Grid[#Data],$DD1154,82),0)</f>
        <v/>
      </c>
      <c r="CG1154">
        <f>IFERROR(INDEX(PP_Grid[#Data],$DD1154,83),0)</f>
        <v/>
      </c>
      <c r="CH1154">
        <f>IFERROR(INDEX(PP_Grid[#Data],$DD1154,84),0)</f>
        <v/>
      </c>
      <c r="CI1154">
        <f>IFERROR(INDEX(PP_Grid[#Data],$DD1154,85),0)</f>
        <v/>
      </c>
      <c r="CJ1154">
        <f>IFERROR(INDEX(PP_Grid[#Data],$DD1154,86),0)</f>
        <v/>
      </c>
      <c r="CK1154">
        <f>IFERROR(INDEX(PP_Grid[#Data],$DD1154,87),0)</f>
        <v/>
      </c>
      <c r="CL1154">
        <f>IFERROR(INDEX(PP_Grid[#Data],$DD1154,88),0)</f>
        <v/>
      </c>
      <c r="CM1154">
        <f>IFERROR(INDEX(PP_Grid[#Data],$DD1154,89),0)</f>
        <v/>
      </c>
      <c r="CN1154">
        <f>IFERROR(INDEX(PP_Grid[#Data],$DD1154,90),0)</f>
        <v/>
      </c>
      <c r="CO1154">
        <f>IFERROR(INDEX(PP_Grid[#Data],$DD1154,91),0)</f>
        <v/>
      </c>
      <c r="CP1154">
        <f>IFERROR(INDEX(PP_Grid[#Data],$DD1154,92),0)</f>
        <v/>
      </c>
      <c r="CQ1154">
        <f>IFERROR(INDEX(PP_Grid[#Data],$DD1154,93),0)</f>
        <v/>
      </c>
      <c r="CR1154">
        <f>IFERROR(INDEX(PP_Grid[#Data],$DD1154,94),0)</f>
        <v/>
      </c>
      <c r="CS1154">
        <f>IFERROR(INDEX(PP_Grid[#Data],$DD1154,95),0)</f>
        <v/>
      </c>
      <c r="CT1154">
        <f>IFERROR(INDEX(PP_Grid[#Data],$DD1154,96),0)</f>
        <v/>
      </c>
      <c r="CU1154">
        <f>IFERROR(INDEX(PP_Grid[#Data],$DD1154,97),0)</f>
        <v/>
      </c>
      <c r="CV1154">
        <f>IFERROR(INDEX(PP_Grid[#Data],$DD1154,98),0)</f>
        <v/>
      </c>
      <c r="CW1154">
        <f>IFERROR(INDEX(PP_Grid[#Data],$DD1154,99),0)</f>
        <v/>
      </c>
      <c r="CX1154">
        <f>IFERROR(INDEX(PP_Grid[#Data],$DD1154,100),0)</f>
        <v/>
      </c>
      <c r="CY1154">
        <f>IFERROR(INDEX(PP_Grid[#Data],$DD1154,101),0)</f>
        <v/>
      </c>
      <c r="CZ1154">
        <f>IFERROR(INDEX(PP_Grid[#Data],$DD1154,102),0)</f>
        <v/>
      </c>
      <c r="DA1154">
        <f>IFERROR(INDEX(PP_Grid[#Data],$DD1154,103),0)</f>
        <v/>
      </c>
      <c r="DB1154">
        <f>IFERROR(INDEX(PP_Grid[#Data],$DD1154,104),0)</f>
        <v/>
      </c>
      <c r="DC1154">
        <f>IFERROR(INDEX(PP_Grid[#Data],$DD1154,105),0)</f>
        <v/>
      </c>
      <c r="DD1154" s="12">
        <f>IFERROR(MATCH($B1154,PP_Grid[Intermediate],0),99999)</f>
        <v/>
      </c>
    </row>
    <row r="1155">
      <c r="B1155" t="inlineStr">
        <is>
          <t>使用量(kg)</t>
        </is>
      </c>
      <c r="C1155">
        <f>SUMIFS(M_BOM[RM_Qty_Per_Batch],M_BOM[Intermediate],$B1154,M_BOM[Part Name],$A1149)</f>
        <v/>
      </c>
      <c r="D1155">
        <f>$C1155*D1154</f>
        <v/>
      </c>
      <c r="E1155">
        <f>$C1155*E1154</f>
        <v/>
      </c>
      <c r="F1155">
        <f>$C1155*F1154</f>
        <v/>
      </c>
      <c r="G1155">
        <f>$C1155*G1154</f>
        <v/>
      </c>
      <c r="H1155">
        <f>$C1155*H1154</f>
        <v/>
      </c>
      <c r="I1155">
        <f>$C1155*I1154</f>
        <v/>
      </c>
      <c r="J1155">
        <f>$C1155*J1154</f>
        <v/>
      </c>
      <c r="K1155">
        <f>$C1155*K1154</f>
        <v/>
      </c>
      <c r="L1155">
        <f>$C1155*L1154</f>
        <v/>
      </c>
      <c r="M1155">
        <f>$C1155*M1154</f>
        <v/>
      </c>
      <c r="N1155">
        <f>$C1155*N1154</f>
        <v/>
      </c>
      <c r="O1155">
        <f>$C1155*O1154</f>
        <v/>
      </c>
      <c r="P1155">
        <f>$C1155*P1154</f>
        <v/>
      </c>
      <c r="Q1155">
        <f>$C1155*Q1154</f>
        <v/>
      </c>
      <c r="R1155">
        <f>$C1155*R1154</f>
        <v/>
      </c>
      <c r="S1155">
        <f>$C1155*S1154</f>
        <v/>
      </c>
      <c r="T1155">
        <f>$C1155*T1154</f>
        <v/>
      </c>
      <c r="U1155">
        <f>$C1155*U1154</f>
        <v/>
      </c>
      <c r="V1155">
        <f>$C1155*V1154</f>
        <v/>
      </c>
      <c r="W1155">
        <f>$C1155*W1154</f>
        <v/>
      </c>
      <c r="X1155">
        <f>$C1155*X1154</f>
        <v/>
      </c>
      <c r="Y1155">
        <f>$C1155*Y1154</f>
        <v/>
      </c>
      <c r="Z1155">
        <f>$C1155*Z1154</f>
        <v/>
      </c>
      <c r="AA1155">
        <f>$C1155*AA1154</f>
        <v/>
      </c>
      <c r="AB1155">
        <f>$C1155*AB1154</f>
        <v/>
      </c>
      <c r="AC1155">
        <f>$C1155*AC1154</f>
        <v/>
      </c>
      <c r="AD1155">
        <f>$C1155*AD1154</f>
        <v/>
      </c>
      <c r="AE1155">
        <f>$C1155*AE1154</f>
        <v/>
      </c>
      <c r="AF1155">
        <f>$C1155*AF1154</f>
        <v/>
      </c>
      <c r="AG1155">
        <f>$C1155*AG1154</f>
        <v/>
      </c>
      <c r="AH1155">
        <f>$C1155*AH1154</f>
        <v/>
      </c>
      <c r="AI1155">
        <f>$C1155*AI1154</f>
        <v/>
      </c>
      <c r="AJ1155">
        <f>$C1155*AJ1154</f>
        <v/>
      </c>
      <c r="AK1155">
        <f>$C1155*AK1154</f>
        <v/>
      </c>
      <c r="AL1155">
        <f>$C1155*AL1154</f>
        <v/>
      </c>
      <c r="AM1155">
        <f>$C1155*AM1154</f>
        <v/>
      </c>
      <c r="AN1155">
        <f>$C1155*AN1154</f>
        <v/>
      </c>
      <c r="AO1155">
        <f>$C1155*AO1154</f>
        <v/>
      </c>
      <c r="AP1155">
        <f>$C1155*AP1154</f>
        <v/>
      </c>
      <c r="AQ1155">
        <f>$C1155*AQ1154</f>
        <v/>
      </c>
      <c r="AR1155">
        <f>$C1155*AR1154</f>
        <v/>
      </c>
      <c r="AS1155">
        <f>$C1155*AS1154</f>
        <v/>
      </c>
      <c r="AT1155">
        <f>$C1155*AT1154</f>
        <v/>
      </c>
      <c r="AU1155">
        <f>$C1155*AU1154</f>
        <v/>
      </c>
      <c r="AV1155">
        <f>$C1155*AV1154</f>
        <v/>
      </c>
      <c r="AW1155">
        <f>$C1155*AW1154</f>
        <v/>
      </c>
      <c r="AX1155">
        <f>$C1155*AX1154</f>
        <v/>
      </c>
      <c r="AY1155">
        <f>$C1155*AY1154</f>
        <v/>
      </c>
      <c r="AZ1155">
        <f>$C1155*AZ1154</f>
        <v/>
      </c>
      <c r="BA1155">
        <f>$C1155*BA1154</f>
        <v/>
      </c>
      <c r="BB1155">
        <f>$C1155*BB1154</f>
        <v/>
      </c>
      <c r="BC1155">
        <f>$C1155*BC1154</f>
        <v/>
      </c>
      <c r="BD1155">
        <f>$C1155*BD1154</f>
        <v/>
      </c>
      <c r="BE1155">
        <f>$C1155*BE1154</f>
        <v/>
      </c>
      <c r="BF1155">
        <f>$C1155*BF1154</f>
        <v/>
      </c>
      <c r="BG1155">
        <f>$C1155*BG1154</f>
        <v/>
      </c>
      <c r="BH1155">
        <f>$C1155*BH1154</f>
        <v/>
      </c>
      <c r="BI1155">
        <f>$C1155*BI1154</f>
        <v/>
      </c>
      <c r="BJ1155">
        <f>$C1155*BJ1154</f>
        <v/>
      </c>
      <c r="BK1155">
        <f>$C1155*BK1154</f>
        <v/>
      </c>
      <c r="BL1155">
        <f>$C1155*BL1154</f>
        <v/>
      </c>
      <c r="BM1155">
        <f>$C1155*BM1154</f>
        <v/>
      </c>
      <c r="BN1155">
        <f>$C1155*BN1154</f>
        <v/>
      </c>
      <c r="BO1155">
        <f>$C1155*BO1154</f>
        <v/>
      </c>
      <c r="BP1155">
        <f>$C1155*BP1154</f>
        <v/>
      </c>
      <c r="BQ1155">
        <f>$C1155*BQ1154</f>
        <v/>
      </c>
      <c r="BR1155">
        <f>$C1155*BR1154</f>
        <v/>
      </c>
      <c r="BS1155">
        <f>$C1155*BS1154</f>
        <v/>
      </c>
      <c r="BT1155">
        <f>$C1155*BT1154</f>
        <v/>
      </c>
      <c r="BU1155">
        <f>$C1155*BU1154</f>
        <v/>
      </c>
      <c r="BV1155">
        <f>$C1155*BV1154</f>
        <v/>
      </c>
      <c r="BW1155">
        <f>$C1155*BW1154</f>
        <v/>
      </c>
      <c r="BX1155">
        <f>$C1155*BX1154</f>
        <v/>
      </c>
      <c r="BY1155">
        <f>$C1155*BY1154</f>
        <v/>
      </c>
      <c r="BZ1155">
        <f>$C1155*BZ1154</f>
        <v/>
      </c>
      <c r="CA1155">
        <f>$C1155*CA1154</f>
        <v/>
      </c>
      <c r="CB1155">
        <f>$C1155*CB1154</f>
        <v/>
      </c>
      <c r="CC1155">
        <f>$C1155*CC1154</f>
        <v/>
      </c>
      <c r="CD1155">
        <f>$C1155*CD1154</f>
        <v/>
      </c>
      <c r="CE1155">
        <f>$C1155*CE1154</f>
        <v/>
      </c>
      <c r="CF1155">
        <f>$C1155*CF1154</f>
        <v/>
      </c>
      <c r="CG1155">
        <f>$C1155*CG1154</f>
        <v/>
      </c>
      <c r="CH1155">
        <f>$C1155*CH1154</f>
        <v/>
      </c>
      <c r="CI1155">
        <f>$C1155*CI1154</f>
        <v/>
      </c>
      <c r="CJ1155">
        <f>$C1155*CJ1154</f>
        <v/>
      </c>
      <c r="CK1155">
        <f>$C1155*CK1154</f>
        <v/>
      </c>
      <c r="CL1155">
        <f>$C1155*CL1154</f>
        <v/>
      </c>
      <c r="CM1155">
        <f>$C1155*CM1154</f>
        <v/>
      </c>
      <c r="CN1155">
        <f>$C1155*CN1154</f>
        <v/>
      </c>
      <c r="CO1155">
        <f>$C1155*CO1154</f>
        <v/>
      </c>
      <c r="CP1155">
        <f>$C1155*CP1154</f>
        <v/>
      </c>
      <c r="CQ1155">
        <f>$C1155*CQ1154</f>
        <v/>
      </c>
      <c r="CR1155">
        <f>$C1155*CR1154</f>
        <v/>
      </c>
      <c r="CS1155">
        <f>$C1155*CS1154</f>
        <v/>
      </c>
      <c r="CT1155">
        <f>$C1155*CT1154</f>
        <v/>
      </c>
      <c r="CU1155">
        <f>$C1155*CU1154</f>
        <v/>
      </c>
      <c r="CV1155">
        <f>$C1155*CV1154</f>
        <v/>
      </c>
      <c r="CW1155">
        <f>$C1155*CW1154</f>
        <v/>
      </c>
      <c r="CX1155">
        <f>$C1155*CX1154</f>
        <v/>
      </c>
      <c r="CY1155">
        <f>$C1155*CY1154</f>
        <v/>
      </c>
      <c r="CZ1155">
        <f>$C1155*CZ1154</f>
        <v/>
      </c>
      <c r="DA1155">
        <f>$C1155*DA1154</f>
        <v/>
      </c>
      <c r="DB1155">
        <f>$C1155*DB1154</f>
        <v/>
      </c>
      <c r="DC1155">
        <f>$C1155*DC1154</f>
        <v/>
      </c>
    </row>
    <row r="1156">
      <c r="B1156" t="inlineStr">
        <is>
          <t>TSP-405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12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Name],$A1149)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s="5" t="inlineStr">
        <is>
          <t>合計使用量(kg)/週</t>
        </is>
      </c>
      <c r="D1158">
        <f>'Grid_Requirement'!B30</f>
        <v/>
      </c>
      <c r="E1158">
        <f>'Grid_Requirement'!C30</f>
        <v/>
      </c>
      <c r="F1158">
        <f>'Grid_Requirement'!D30</f>
        <v/>
      </c>
      <c r="G1158">
        <f>'Grid_Requirement'!E30</f>
        <v/>
      </c>
      <c r="H1158">
        <f>'Grid_Requirement'!F30</f>
        <v/>
      </c>
      <c r="I1158">
        <f>'Grid_Requirement'!G30</f>
        <v/>
      </c>
      <c r="J1158">
        <f>'Grid_Requirement'!H30</f>
        <v/>
      </c>
      <c r="K1158">
        <f>'Grid_Requirement'!I30</f>
        <v/>
      </c>
      <c r="L1158">
        <f>'Grid_Requirement'!J30</f>
        <v/>
      </c>
      <c r="M1158">
        <f>'Grid_Requirement'!K30</f>
        <v/>
      </c>
      <c r="N1158">
        <f>'Grid_Requirement'!L30</f>
        <v/>
      </c>
      <c r="O1158">
        <f>'Grid_Requirement'!M30</f>
        <v/>
      </c>
      <c r="P1158">
        <f>'Grid_Requirement'!N30</f>
        <v/>
      </c>
      <c r="Q1158">
        <f>'Grid_Requirement'!O30</f>
        <v/>
      </c>
      <c r="R1158">
        <f>'Grid_Requirement'!P30</f>
        <v/>
      </c>
      <c r="S1158">
        <f>'Grid_Requirement'!Q30</f>
        <v/>
      </c>
      <c r="T1158">
        <f>'Grid_Requirement'!R30</f>
        <v/>
      </c>
      <c r="U1158">
        <f>'Grid_Requirement'!S30</f>
        <v/>
      </c>
      <c r="V1158">
        <f>'Grid_Requirement'!T30</f>
        <v/>
      </c>
      <c r="W1158">
        <f>'Grid_Requirement'!U30</f>
        <v/>
      </c>
      <c r="X1158">
        <f>'Grid_Requirement'!V30</f>
        <v/>
      </c>
      <c r="Y1158">
        <f>'Grid_Requirement'!W30</f>
        <v/>
      </c>
      <c r="Z1158">
        <f>'Grid_Requirement'!X30</f>
        <v/>
      </c>
      <c r="AA1158">
        <f>'Grid_Requirement'!Y30</f>
        <v/>
      </c>
      <c r="AB1158">
        <f>'Grid_Requirement'!Z30</f>
        <v/>
      </c>
      <c r="AC1158">
        <f>'Grid_Requirement'!AA30</f>
        <v/>
      </c>
      <c r="AD1158">
        <f>'Grid_Requirement'!AB30</f>
        <v/>
      </c>
      <c r="AE1158">
        <f>'Grid_Requirement'!AC30</f>
        <v/>
      </c>
      <c r="AF1158">
        <f>'Grid_Requirement'!AD30</f>
        <v/>
      </c>
      <c r="AG1158">
        <f>'Grid_Requirement'!AE30</f>
        <v/>
      </c>
      <c r="AH1158">
        <f>'Grid_Requirement'!AF30</f>
        <v/>
      </c>
      <c r="AI1158">
        <f>'Grid_Requirement'!AG30</f>
        <v/>
      </c>
      <c r="AJ1158">
        <f>'Grid_Requirement'!AH30</f>
        <v/>
      </c>
      <c r="AK1158">
        <f>'Grid_Requirement'!AI30</f>
        <v/>
      </c>
      <c r="AL1158">
        <f>'Grid_Requirement'!AJ30</f>
        <v/>
      </c>
      <c r="AM1158">
        <f>'Grid_Requirement'!AK30</f>
        <v/>
      </c>
      <c r="AN1158">
        <f>'Grid_Requirement'!AL30</f>
        <v/>
      </c>
      <c r="AO1158">
        <f>'Grid_Requirement'!AM30</f>
        <v/>
      </c>
      <c r="AP1158">
        <f>'Grid_Requirement'!AN30</f>
        <v/>
      </c>
      <c r="AQ1158">
        <f>'Grid_Requirement'!AO30</f>
        <v/>
      </c>
      <c r="AR1158">
        <f>'Grid_Requirement'!AP30</f>
        <v/>
      </c>
      <c r="AS1158">
        <f>'Grid_Requirement'!AQ30</f>
        <v/>
      </c>
      <c r="AT1158">
        <f>'Grid_Requirement'!AR30</f>
        <v/>
      </c>
      <c r="AU1158">
        <f>'Grid_Requirement'!AS30</f>
        <v/>
      </c>
      <c r="AV1158">
        <f>'Grid_Requirement'!AT30</f>
        <v/>
      </c>
      <c r="AW1158">
        <f>'Grid_Requirement'!AU30</f>
        <v/>
      </c>
      <c r="AX1158">
        <f>'Grid_Requirement'!AV30</f>
        <v/>
      </c>
      <c r="AY1158">
        <f>'Grid_Requirement'!AW30</f>
        <v/>
      </c>
      <c r="AZ1158">
        <f>'Grid_Requirement'!AX30</f>
        <v/>
      </c>
      <c r="BA1158">
        <f>'Grid_Requirement'!AY30</f>
        <v/>
      </c>
      <c r="BB1158">
        <f>'Grid_Requirement'!AZ30</f>
        <v/>
      </c>
      <c r="BC1158">
        <f>'Grid_Requirement'!BA30</f>
        <v/>
      </c>
      <c r="BD1158">
        <f>'Grid_Requirement'!BB30</f>
        <v/>
      </c>
      <c r="BE1158">
        <f>'Grid_Requirement'!BC30</f>
        <v/>
      </c>
      <c r="BF1158">
        <f>'Grid_Requirement'!BD30</f>
        <v/>
      </c>
      <c r="BG1158">
        <f>'Grid_Requirement'!BE30</f>
        <v/>
      </c>
      <c r="BH1158">
        <f>'Grid_Requirement'!BF30</f>
        <v/>
      </c>
      <c r="BI1158">
        <f>'Grid_Requirement'!BG30</f>
        <v/>
      </c>
      <c r="BJ1158">
        <f>'Grid_Requirement'!BH30</f>
        <v/>
      </c>
      <c r="BK1158">
        <f>'Grid_Requirement'!BI30</f>
        <v/>
      </c>
      <c r="BL1158">
        <f>'Grid_Requirement'!BJ30</f>
        <v/>
      </c>
      <c r="BM1158">
        <f>'Grid_Requirement'!BK30</f>
        <v/>
      </c>
      <c r="BN1158">
        <f>'Grid_Requirement'!BL30</f>
        <v/>
      </c>
      <c r="BO1158">
        <f>'Grid_Requirement'!BM30</f>
        <v/>
      </c>
      <c r="BP1158">
        <f>'Grid_Requirement'!BN30</f>
        <v/>
      </c>
      <c r="BQ1158">
        <f>'Grid_Requirement'!BO30</f>
        <v/>
      </c>
      <c r="BR1158">
        <f>'Grid_Requirement'!BP30</f>
        <v/>
      </c>
      <c r="BS1158">
        <f>'Grid_Requirement'!BQ30</f>
        <v/>
      </c>
      <c r="BT1158">
        <f>'Grid_Requirement'!BR30</f>
        <v/>
      </c>
      <c r="BU1158">
        <f>'Grid_Requirement'!BS30</f>
        <v/>
      </c>
      <c r="BV1158">
        <f>'Grid_Requirement'!BT30</f>
        <v/>
      </c>
      <c r="BW1158">
        <f>'Grid_Requirement'!BU30</f>
        <v/>
      </c>
      <c r="BX1158">
        <f>'Grid_Requirement'!BV30</f>
        <v/>
      </c>
      <c r="BY1158">
        <f>'Grid_Requirement'!BW30</f>
        <v/>
      </c>
      <c r="BZ1158">
        <f>'Grid_Requirement'!BX30</f>
        <v/>
      </c>
      <c r="CA1158">
        <f>'Grid_Requirement'!BY30</f>
        <v/>
      </c>
      <c r="CB1158">
        <f>'Grid_Requirement'!BZ30</f>
        <v/>
      </c>
      <c r="CC1158">
        <f>'Grid_Requirement'!CA30</f>
        <v/>
      </c>
      <c r="CD1158">
        <f>'Grid_Requirement'!CB30</f>
        <v/>
      </c>
      <c r="CE1158">
        <f>'Grid_Requirement'!CC30</f>
        <v/>
      </c>
      <c r="CF1158">
        <f>'Grid_Requirement'!CD30</f>
        <v/>
      </c>
      <c r="CG1158">
        <f>'Grid_Requirement'!CE30</f>
        <v/>
      </c>
      <c r="CH1158">
        <f>'Grid_Requirement'!CF30</f>
        <v/>
      </c>
      <c r="CI1158">
        <f>'Grid_Requirement'!CG30</f>
        <v/>
      </c>
      <c r="CJ1158">
        <f>'Grid_Requirement'!CH30</f>
        <v/>
      </c>
      <c r="CK1158">
        <f>'Grid_Requirement'!CI30</f>
        <v/>
      </c>
      <c r="CL1158">
        <f>'Grid_Requirement'!CJ30</f>
        <v/>
      </c>
      <c r="CM1158">
        <f>'Grid_Requirement'!CK30</f>
        <v/>
      </c>
      <c r="CN1158">
        <f>'Grid_Requirement'!CL30</f>
        <v/>
      </c>
      <c r="CO1158">
        <f>'Grid_Requirement'!CM30</f>
        <v/>
      </c>
      <c r="CP1158">
        <f>'Grid_Requirement'!CN30</f>
        <v/>
      </c>
      <c r="CQ1158">
        <f>'Grid_Requirement'!CO30</f>
        <v/>
      </c>
      <c r="CR1158">
        <f>'Grid_Requirement'!CP30</f>
        <v/>
      </c>
      <c r="CS1158">
        <f>'Grid_Requirement'!CQ30</f>
        <v/>
      </c>
      <c r="CT1158">
        <f>'Grid_Requirement'!CR30</f>
        <v/>
      </c>
      <c r="CU1158">
        <f>'Grid_Requirement'!CS30</f>
        <v/>
      </c>
      <c r="CV1158">
        <f>'Grid_Requirement'!CT30</f>
        <v/>
      </c>
      <c r="CW1158">
        <f>'Grid_Requirement'!CU30</f>
        <v/>
      </c>
      <c r="CX1158">
        <f>'Grid_Requirement'!CV30</f>
        <v/>
      </c>
      <c r="CY1158">
        <f>'Grid_Requirement'!CW30</f>
        <v/>
      </c>
      <c r="CZ1158">
        <f>'Grid_Requirement'!CX30</f>
        <v/>
      </c>
      <c r="DA1158">
        <f>'Grid_Requirement'!CY30</f>
        <v/>
      </c>
      <c r="DB1158">
        <f>'Grid_Requirement'!CZ30</f>
        <v/>
      </c>
      <c r="DC1158">
        <f>'Grid_Requirement'!DA30</f>
        <v/>
      </c>
    </row>
    <row r="1159">
      <c r="B1159" t="inlineStr">
        <is>
          <t>TTAF在庫(実績,kg)</t>
        </is>
      </c>
      <c r="D1159">
        <f>'T_TTAFStock'!B34</f>
        <v/>
      </c>
      <c r="E1159">
        <f>'T_TTAFStock'!C34</f>
        <v/>
      </c>
      <c r="F1159">
        <f>'T_TTAFStock'!D34</f>
        <v/>
      </c>
      <c r="G1159">
        <f>'T_TTAFStock'!E34</f>
        <v/>
      </c>
      <c r="H1159">
        <f>'T_TTAFStock'!F34</f>
        <v/>
      </c>
      <c r="I1159">
        <f>'T_TTAFStock'!G34</f>
        <v/>
      </c>
      <c r="J1159">
        <f>'T_TTAFStock'!H34</f>
        <v/>
      </c>
      <c r="K1159">
        <f>'T_TTAFStock'!I34</f>
        <v/>
      </c>
      <c r="L1159">
        <f>'T_TTAFStock'!J34</f>
        <v/>
      </c>
      <c r="M1159">
        <f>'T_TTAFStock'!K34</f>
        <v/>
      </c>
      <c r="N1159">
        <f>'T_TTAFStock'!L34</f>
        <v/>
      </c>
      <c r="O1159">
        <f>'T_TTAFStock'!M34</f>
        <v/>
      </c>
      <c r="P1159">
        <f>'T_TTAFStock'!N34</f>
        <v/>
      </c>
      <c r="Q1159">
        <f>'T_TTAFStock'!O34</f>
        <v/>
      </c>
      <c r="R1159">
        <f>'T_TTAFStock'!P34</f>
        <v/>
      </c>
      <c r="S1159">
        <f>'T_TTAFStock'!Q34</f>
        <v/>
      </c>
      <c r="T1159">
        <f>'T_TTAFStock'!R34</f>
        <v/>
      </c>
      <c r="U1159">
        <f>'T_TTAFStock'!S34</f>
        <v/>
      </c>
      <c r="V1159">
        <f>'T_TTAFStock'!T34</f>
        <v/>
      </c>
      <c r="W1159">
        <f>'T_TTAFStock'!U34</f>
        <v/>
      </c>
      <c r="X1159">
        <f>'T_TTAFStock'!V34</f>
        <v/>
      </c>
      <c r="Y1159">
        <f>'T_TTAFStock'!W34</f>
        <v/>
      </c>
      <c r="Z1159">
        <f>'T_TTAFStock'!X34</f>
        <v/>
      </c>
      <c r="AA1159">
        <f>'T_TTAFStock'!Y34</f>
        <v/>
      </c>
      <c r="AB1159">
        <f>'T_TTAFStock'!Z34</f>
        <v/>
      </c>
      <c r="AC1159">
        <f>'T_TTAFStock'!AA34</f>
        <v/>
      </c>
      <c r="AD1159">
        <f>'T_TTAFStock'!AB34</f>
        <v/>
      </c>
      <c r="AE1159">
        <f>'T_TTAFStock'!AC34</f>
        <v/>
      </c>
      <c r="AF1159">
        <f>'T_TTAFStock'!AD34</f>
        <v/>
      </c>
      <c r="AG1159">
        <f>'T_TTAFStock'!AE34</f>
        <v/>
      </c>
      <c r="AH1159">
        <f>'T_TTAFStock'!AF34</f>
        <v/>
      </c>
      <c r="AI1159">
        <f>'T_TTAFStock'!AG34</f>
        <v/>
      </c>
      <c r="AJ1159">
        <f>'T_TTAFStock'!AH34</f>
        <v/>
      </c>
      <c r="AK1159">
        <f>'T_TTAFStock'!AI34</f>
        <v/>
      </c>
      <c r="AL1159">
        <f>'T_TTAFStock'!AJ34</f>
        <v/>
      </c>
      <c r="AM1159">
        <f>'T_TTAFStock'!AK34</f>
        <v/>
      </c>
      <c r="AN1159">
        <f>'T_TTAFStock'!AL34</f>
        <v/>
      </c>
      <c r="AO1159">
        <f>'T_TTAFStock'!AM34</f>
        <v/>
      </c>
      <c r="AP1159">
        <f>'T_TTAFStock'!AN34</f>
        <v/>
      </c>
      <c r="AQ1159">
        <f>'T_TTAFStock'!AO34</f>
        <v/>
      </c>
      <c r="AR1159">
        <f>'T_TTAFStock'!AP34</f>
        <v/>
      </c>
      <c r="AS1159">
        <f>'T_TTAFStock'!AQ34</f>
        <v/>
      </c>
      <c r="AT1159">
        <f>'T_TTAFStock'!AR34</f>
        <v/>
      </c>
      <c r="AU1159">
        <f>'T_TTAFStock'!AS34</f>
        <v/>
      </c>
      <c r="AV1159">
        <f>'T_TTAFStock'!AT34</f>
        <v/>
      </c>
      <c r="AW1159">
        <f>'T_TTAFStock'!AU34</f>
        <v/>
      </c>
      <c r="AX1159">
        <f>'T_TTAFStock'!AV34</f>
        <v/>
      </c>
      <c r="AY1159">
        <f>'T_TTAFStock'!AW34</f>
        <v/>
      </c>
      <c r="AZ1159">
        <f>'T_TTAFStock'!AX34</f>
        <v/>
      </c>
      <c r="BA1159">
        <f>'T_TTAFStock'!AY34</f>
        <v/>
      </c>
      <c r="BB1159">
        <f>'T_TTAFStock'!AZ34</f>
        <v/>
      </c>
      <c r="BC1159">
        <f>'T_TTAFStock'!BA34</f>
        <v/>
      </c>
      <c r="BD1159">
        <f>'T_TTAFStock'!BB34</f>
        <v/>
      </c>
      <c r="BE1159">
        <f>'T_TTAFStock'!BC34</f>
        <v/>
      </c>
      <c r="BF1159">
        <f>'T_TTAFStock'!BD34</f>
        <v/>
      </c>
      <c r="BG1159">
        <f>'T_TTAFStock'!BE34</f>
        <v/>
      </c>
      <c r="BH1159">
        <f>'T_TTAFStock'!BF34</f>
        <v/>
      </c>
      <c r="BI1159">
        <f>'T_TTAFStock'!BG34</f>
        <v/>
      </c>
      <c r="BJ1159">
        <f>'T_TTAFStock'!BH34</f>
        <v/>
      </c>
      <c r="BK1159">
        <f>'T_TTAFStock'!BI34</f>
        <v/>
      </c>
      <c r="BL1159">
        <f>'T_TTAFStock'!BJ34</f>
        <v/>
      </c>
      <c r="BM1159">
        <f>'T_TTAFStock'!BK34</f>
        <v/>
      </c>
      <c r="BN1159">
        <f>'T_TTAFStock'!BL34</f>
        <v/>
      </c>
      <c r="BO1159">
        <f>'T_TTAFStock'!BM34</f>
        <v/>
      </c>
      <c r="BP1159">
        <f>'T_TTAFStock'!BN34</f>
        <v/>
      </c>
      <c r="BQ1159">
        <f>'T_TTAFStock'!BO34</f>
        <v/>
      </c>
      <c r="BR1159">
        <f>'T_TTAFStock'!BP34</f>
        <v/>
      </c>
      <c r="BS1159">
        <f>'T_TTAFStock'!BQ34</f>
        <v/>
      </c>
      <c r="BT1159">
        <f>'T_TTAFStock'!BR34</f>
        <v/>
      </c>
      <c r="BU1159">
        <f>'T_TTAFStock'!BS34</f>
        <v/>
      </c>
      <c r="BV1159">
        <f>'T_TTAFStock'!BT34</f>
        <v/>
      </c>
      <c r="BW1159">
        <f>'T_TTAFStock'!BU34</f>
        <v/>
      </c>
      <c r="BX1159">
        <f>'T_TTAFStock'!BV34</f>
        <v/>
      </c>
      <c r="BY1159">
        <f>'T_TTAFStock'!BW34</f>
        <v/>
      </c>
      <c r="BZ1159">
        <f>'T_TTAFStock'!BX34</f>
        <v/>
      </c>
      <c r="CA1159">
        <f>'T_TTAFStock'!BY34</f>
        <v/>
      </c>
      <c r="CB1159">
        <f>'T_TTAFStock'!BZ34</f>
        <v/>
      </c>
      <c r="CC1159">
        <f>'T_TTAFStock'!CA34</f>
        <v/>
      </c>
      <c r="CD1159">
        <f>'T_TTAFStock'!CB34</f>
        <v/>
      </c>
      <c r="CE1159">
        <f>'T_TTAFStock'!CC34</f>
        <v/>
      </c>
      <c r="CF1159">
        <f>'T_TTAFStock'!CD34</f>
        <v/>
      </c>
      <c r="CG1159">
        <f>'T_TTAFStock'!CE34</f>
        <v/>
      </c>
      <c r="CH1159">
        <f>'T_TTAFStock'!CF34</f>
        <v/>
      </c>
      <c r="CI1159">
        <f>'T_TTAFStock'!CG34</f>
        <v/>
      </c>
      <c r="CJ1159">
        <f>'T_TTAFStock'!CH34</f>
        <v/>
      </c>
      <c r="CK1159">
        <f>'T_TTAFStock'!CI34</f>
        <v/>
      </c>
      <c r="CL1159">
        <f>'T_TTAFStock'!CJ34</f>
        <v/>
      </c>
      <c r="CM1159">
        <f>'T_TTAFStock'!CK34</f>
        <v/>
      </c>
      <c r="CN1159">
        <f>'T_TTAFStock'!CL34</f>
        <v/>
      </c>
      <c r="CO1159">
        <f>'T_TTAFStock'!CM34</f>
        <v/>
      </c>
      <c r="CP1159">
        <f>'T_TTAFStock'!CN34</f>
        <v/>
      </c>
      <c r="CQ1159">
        <f>'T_TTAFStock'!CO34</f>
        <v/>
      </c>
      <c r="CR1159">
        <f>'T_TTAFStock'!CP34</f>
        <v/>
      </c>
      <c r="CS1159">
        <f>'T_TTAFStock'!CQ34</f>
        <v/>
      </c>
      <c r="CT1159">
        <f>'T_TTAFStock'!CR34</f>
        <v/>
      </c>
      <c r="CU1159">
        <f>'T_TTAFStock'!CS34</f>
        <v/>
      </c>
      <c r="CV1159">
        <f>'T_TTAFStock'!CT34</f>
        <v/>
      </c>
      <c r="CW1159">
        <f>'T_TTAFStock'!CU34</f>
        <v/>
      </c>
      <c r="CX1159">
        <f>'T_TTAFStock'!CV34</f>
        <v/>
      </c>
      <c r="CY1159">
        <f>'T_TTAFStock'!CW34</f>
        <v/>
      </c>
      <c r="CZ1159">
        <f>'T_TTAFStock'!CX34</f>
        <v/>
      </c>
      <c r="DA1159">
        <f>'T_TTAFStock'!CY34</f>
        <v/>
      </c>
      <c r="DB1159">
        <f>'T_TTAFStock'!CZ34</f>
        <v/>
      </c>
      <c r="DC1159">
        <f>'T_TTAFStock'!DA34</f>
        <v/>
      </c>
    </row>
    <row r="1160">
      <c r="B1160" t="inlineStr">
        <is>
          <t>自社在庫(実績,kg)</t>
        </is>
      </c>
      <c r="D1160">
        <f>'T_SelfStock'!B34</f>
        <v/>
      </c>
      <c r="E1160">
        <f>'T_SelfStock'!C34</f>
        <v/>
      </c>
      <c r="F1160">
        <f>'T_SelfStock'!D34</f>
        <v/>
      </c>
      <c r="G1160">
        <f>'T_SelfStock'!E34</f>
        <v/>
      </c>
      <c r="H1160">
        <f>'T_SelfStock'!F34</f>
        <v/>
      </c>
      <c r="I1160">
        <f>'T_SelfStock'!G34</f>
        <v/>
      </c>
      <c r="J1160">
        <f>'T_SelfStock'!H34</f>
        <v/>
      </c>
      <c r="K1160">
        <f>'T_SelfStock'!I34</f>
        <v/>
      </c>
      <c r="L1160">
        <f>'T_SelfStock'!J34</f>
        <v/>
      </c>
      <c r="M1160">
        <f>'T_SelfStock'!K34</f>
        <v/>
      </c>
      <c r="N1160">
        <f>'T_SelfStock'!L34</f>
        <v/>
      </c>
      <c r="O1160">
        <f>'T_SelfStock'!M34</f>
        <v/>
      </c>
      <c r="P1160">
        <f>'T_SelfStock'!N34</f>
        <v/>
      </c>
      <c r="Q1160">
        <f>'T_SelfStock'!O34</f>
        <v/>
      </c>
      <c r="R1160">
        <f>'T_SelfStock'!P34</f>
        <v/>
      </c>
      <c r="S1160">
        <f>'T_SelfStock'!Q34</f>
        <v/>
      </c>
      <c r="T1160">
        <f>'T_SelfStock'!R34</f>
        <v/>
      </c>
      <c r="U1160">
        <f>'T_SelfStock'!S34</f>
        <v/>
      </c>
      <c r="V1160">
        <f>'T_SelfStock'!T34</f>
        <v/>
      </c>
      <c r="W1160">
        <f>'T_SelfStock'!U34</f>
        <v/>
      </c>
      <c r="X1160">
        <f>'T_SelfStock'!V34</f>
        <v/>
      </c>
      <c r="Y1160">
        <f>'T_SelfStock'!W34</f>
        <v/>
      </c>
      <c r="Z1160">
        <f>'T_SelfStock'!X34</f>
        <v/>
      </c>
      <c r="AA1160">
        <f>'T_SelfStock'!Y34</f>
        <v/>
      </c>
      <c r="AB1160">
        <f>'T_SelfStock'!Z34</f>
        <v/>
      </c>
      <c r="AC1160">
        <f>'T_SelfStock'!AA34</f>
        <v/>
      </c>
      <c r="AD1160">
        <f>'T_SelfStock'!AB34</f>
        <v/>
      </c>
      <c r="AE1160">
        <f>'T_SelfStock'!AC34</f>
        <v/>
      </c>
      <c r="AF1160">
        <f>'T_SelfStock'!AD34</f>
        <v/>
      </c>
      <c r="AG1160">
        <f>'T_SelfStock'!AE34</f>
        <v/>
      </c>
      <c r="AH1160">
        <f>'T_SelfStock'!AF34</f>
        <v/>
      </c>
      <c r="AI1160">
        <f>'T_SelfStock'!AG34</f>
        <v/>
      </c>
      <c r="AJ1160">
        <f>'T_SelfStock'!AH34</f>
        <v/>
      </c>
      <c r="AK1160">
        <f>'T_SelfStock'!AI34</f>
        <v/>
      </c>
      <c r="AL1160">
        <f>'T_SelfStock'!AJ34</f>
        <v/>
      </c>
      <c r="AM1160">
        <f>'T_SelfStock'!AK34</f>
        <v/>
      </c>
      <c r="AN1160">
        <f>'T_SelfStock'!AL34</f>
        <v/>
      </c>
      <c r="AO1160">
        <f>'T_SelfStock'!AM34</f>
        <v/>
      </c>
      <c r="AP1160">
        <f>'T_SelfStock'!AN34</f>
        <v/>
      </c>
      <c r="AQ1160">
        <f>'T_SelfStock'!AO34</f>
        <v/>
      </c>
      <c r="AR1160">
        <f>'T_SelfStock'!AP34</f>
        <v/>
      </c>
      <c r="AS1160">
        <f>'T_SelfStock'!AQ34</f>
        <v/>
      </c>
      <c r="AT1160">
        <f>'T_SelfStock'!AR34</f>
        <v/>
      </c>
      <c r="AU1160">
        <f>'T_SelfStock'!AS34</f>
        <v/>
      </c>
      <c r="AV1160">
        <f>'T_SelfStock'!AT34</f>
        <v/>
      </c>
      <c r="AW1160">
        <f>'T_SelfStock'!AU34</f>
        <v/>
      </c>
      <c r="AX1160">
        <f>'T_SelfStock'!AV34</f>
        <v/>
      </c>
      <c r="AY1160">
        <f>'T_SelfStock'!AW34</f>
        <v/>
      </c>
      <c r="AZ1160">
        <f>'T_SelfStock'!AX34</f>
        <v/>
      </c>
      <c r="BA1160">
        <f>'T_SelfStock'!AY34</f>
        <v/>
      </c>
      <c r="BB1160">
        <f>'T_SelfStock'!AZ34</f>
        <v/>
      </c>
      <c r="BC1160">
        <f>'T_SelfStock'!BA34</f>
        <v/>
      </c>
      <c r="BD1160">
        <f>'T_SelfStock'!BB34</f>
        <v/>
      </c>
      <c r="BE1160">
        <f>'T_SelfStock'!BC34</f>
        <v/>
      </c>
      <c r="BF1160">
        <f>'T_SelfStock'!BD34</f>
        <v/>
      </c>
      <c r="BG1160">
        <f>'T_SelfStock'!BE34</f>
        <v/>
      </c>
      <c r="BH1160">
        <f>'T_SelfStock'!BF34</f>
        <v/>
      </c>
      <c r="BI1160">
        <f>'T_SelfStock'!BG34</f>
        <v/>
      </c>
      <c r="BJ1160">
        <f>'T_SelfStock'!BH34</f>
        <v/>
      </c>
      <c r="BK1160">
        <f>'T_SelfStock'!BI34</f>
        <v/>
      </c>
      <c r="BL1160">
        <f>'T_SelfStock'!BJ34</f>
        <v/>
      </c>
      <c r="BM1160">
        <f>'T_SelfStock'!BK34</f>
        <v/>
      </c>
      <c r="BN1160">
        <f>'T_SelfStock'!BL34</f>
        <v/>
      </c>
      <c r="BO1160">
        <f>'T_SelfStock'!BM34</f>
        <v/>
      </c>
      <c r="BP1160">
        <f>'T_SelfStock'!BN34</f>
        <v/>
      </c>
      <c r="BQ1160">
        <f>'T_SelfStock'!BO34</f>
        <v/>
      </c>
      <c r="BR1160">
        <f>'T_SelfStock'!BP34</f>
        <v/>
      </c>
      <c r="BS1160">
        <f>'T_SelfStock'!BQ34</f>
        <v/>
      </c>
      <c r="BT1160">
        <f>'T_SelfStock'!BR34</f>
        <v/>
      </c>
      <c r="BU1160">
        <f>'T_SelfStock'!BS34</f>
        <v/>
      </c>
      <c r="BV1160">
        <f>'T_SelfStock'!BT34</f>
        <v/>
      </c>
      <c r="BW1160">
        <f>'T_SelfStock'!BU34</f>
        <v/>
      </c>
      <c r="BX1160">
        <f>'T_SelfStock'!BV34</f>
        <v/>
      </c>
      <c r="BY1160">
        <f>'T_SelfStock'!BW34</f>
        <v/>
      </c>
      <c r="BZ1160">
        <f>'T_SelfStock'!BX34</f>
        <v/>
      </c>
      <c r="CA1160">
        <f>'T_SelfStock'!BY34</f>
        <v/>
      </c>
      <c r="CB1160">
        <f>'T_SelfStock'!BZ34</f>
        <v/>
      </c>
      <c r="CC1160">
        <f>'T_SelfStock'!CA34</f>
        <v/>
      </c>
      <c r="CD1160">
        <f>'T_SelfStock'!CB34</f>
        <v/>
      </c>
      <c r="CE1160">
        <f>'T_SelfStock'!CC34</f>
        <v/>
      </c>
      <c r="CF1160">
        <f>'T_SelfStock'!CD34</f>
        <v/>
      </c>
      <c r="CG1160">
        <f>'T_SelfStock'!CE34</f>
        <v/>
      </c>
      <c r="CH1160">
        <f>'T_SelfStock'!CF34</f>
        <v/>
      </c>
      <c r="CI1160">
        <f>'T_SelfStock'!CG34</f>
        <v/>
      </c>
      <c r="CJ1160">
        <f>'T_SelfStock'!CH34</f>
        <v/>
      </c>
      <c r="CK1160">
        <f>'T_SelfStock'!CI34</f>
        <v/>
      </c>
      <c r="CL1160">
        <f>'T_SelfStock'!CJ34</f>
        <v/>
      </c>
      <c r="CM1160">
        <f>'T_SelfStock'!CK34</f>
        <v/>
      </c>
      <c r="CN1160">
        <f>'T_SelfStock'!CL34</f>
        <v/>
      </c>
      <c r="CO1160">
        <f>'T_SelfStock'!CM34</f>
        <v/>
      </c>
      <c r="CP1160">
        <f>'T_SelfStock'!CN34</f>
        <v/>
      </c>
      <c r="CQ1160">
        <f>'T_SelfStock'!CO34</f>
        <v/>
      </c>
      <c r="CR1160">
        <f>'T_SelfStock'!CP34</f>
        <v/>
      </c>
      <c r="CS1160">
        <f>'T_SelfStock'!CQ34</f>
        <v/>
      </c>
      <c r="CT1160">
        <f>'T_SelfStock'!CR34</f>
        <v/>
      </c>
      <c r="CU1160">
        <f>'T_SelfStock'!CS34</f>
        <v/>
      </c>
      <c r="CV1160">
        <f>'T_SelfStock'!CT34</f>
        <v/>
      </c>
      <c r="CW1160">
        <f>'T_SelfStock'!CU34</f>
        <v/>
      </c>
      <c r="CX1160">
        <f>'T_SelfStock'!CV34</f>
        <v/>
      </c>
      <c r="CY1160">
        <f>'T_SelfStock'!CW34</f>
        <v/>
      </c>
      <c r="CZ1160">
        <f>'T_SelfStock'!CX34</f>
        <v/>
      </c>
      <c r="DA1160">
        <f>'T_SelfStock'!CY34</f>
        <v/>
      </c>
      <c r="DB1160">
        <f>'T_SelfStock'!CZ34</f>
        <v/>
      </c>
      <c r="DC1160">
        <f>'T_SelfStock'!DA34</f>
        <v/>
      </c>
    </row>
    <row r="1161">
      <c r="B1161" t="inlineStr">
        <is>
          <t>Order(発注予定,kg)</t>
        </is>
      </c>
      <c r="D1161">
        <f>IF(SUMIFS(T_PlannedOrders[EffectiveQty],T_PlannedOrders[Part Name],$A1149,T_PlannedOrders[WeekIndex],1)=0,"",SUMIFS(T_PlannedOrders[EffectiveQty],T_PlannedOrders[Part Name],$A1149,T_PlannedOrders[WeekIndex],1)&amp;" ("&amp;TEXT(SUMPRODUCT(MAX((T_PlannedOrders[Part Name]=$A1149)*(T_PlannedOrders[WeekIndex]=1)*(T_PlannedOrders[EffectiveQty]&gt;0)*T_PlannedOrders[Order_Month])),"m月")&amp;"発注)")</f>
        <v/>
      </c>
      <c r="E1161">
        <f>IF(SUMIFS(T_PlannedOrders[EffectiveQty],T_PlannedOrders[Part Name],$A1149,T_PlannedOrders[WeekIndex],2)=0,"",SUMIFS(T_PlannedOrders[EffectiveQty],T_PlannedOrders[Part Name],$A1149,T_PlannedOrders[WeekIndex],2)&amp;" ("&amp;TEXT(SUMPRODUCT(MAX((T_PlannedOrders[Part Name]=$A1149)*(T_PlannedOrders[WeekIndex]=2)*(T_PlannedOrders[EffectiveQty]&gt;0)*T_PlannedOrders[Order_Month])),"m月")&amp;"発注)")</f>
        <v/>
      </c>
      <c r="F1161">
        <f>IF(SUMIFS(T_PlannedOrders[EffectiveQty],T_PlannedOrders[Part Name],$A1149,T_PlannedOrders[WeekIndex],3)=0,"",SUMIFS(T_PlannedOrders[EffectiveQty],T_PlannedOrders[Part Name],$A1149,T_PlannedOrders[WeekIndex],3)&amp;" ("&amp;TEXT(SUMPRODUCT(MAX((T_PlannedOrders[Part Name]=$A1149)*(T_PlannedOrders[WeekIndex]=3)*(T_PlannedOrders[EffectiveQty]&gt;0)*T_PlannedOrders[Order_Month])),"m月")&amp;"発注)")</f>
        <v/>
      </c>
      <c r="G1161">
        <f>IF(SUMIFS(T_PlannedOrders[EffectiveQty],T_PlannedOrders[Part Name],$A1149,T_PlannedOrders[WeekIndex],4)=0,"",SUMIFS(T_PlannedOrders[EffectiveQty],T_PlannedOrders[Part Name],$A1149,T_PlannedOrders[WeekIndex],4)&amp;" ("&amp;TEXT(SUMPRODUCT(MAX((T_PlannedOrders[Part Name]=$A1149)*(T_PlannedOrders[WeekIndex]=4)*(T_PlannedOrders[EffectiveQty]&gt;0)*T_PlannedOrders[Order_Month])),"m月")&amp;"発注)")</f>
        <v/>
      </c>
      <c r="H1161">
        <f>IF(SUMIFS(T_PlannedOrders[EffectiveQty],T_PlannedOrders[Part Name],$A1149,T_PlannedOrders[WeekIndex],5)=0,"",SUMIFS(T_PlannedOrders[EffectiveQty],T_PlannedOrders[Part Name],$A1149,T_PlannedOrders[WeekIndex],5)&amp;" ("&amp;TEXT(SUMPRODUCT(MAX((T_PlannedOrders[Part Name]=$A1149)*(T_PlannedOrders[WeekIndex]=5)*(T_PlannedOrders[EffectiveQty]&gt;0)*T_PlannedOrders[Order_Month])),"m月")&amp;"発注)")</f>
        <v/>
      </c>
      <c r="I1161">
        <f>IF(SUMIFS(T_PlannedOrders[EffectiveQty],T_PlannedOrders[Part Name],$A1149,T_PlannedOrders[WeekIndex],6)=0,"",SUMIFS(T_PlannedOrders[EffectiveQty],T_PlannedOrders[Part Name],$A1149,T_PlannedOrders[WeekIndex],6)&amp;" ("&amp;TEXT(SUMPRODUCT(MAX((T_PlannedOrders[Part Name]=$A1149)*(T_PlannedOrders[WeekIndex]=6)*(T_PlannedOrders[EffectiveQty]&gt;0)*T_PlannedOrders[Order_Month])),"m月")&amp;"発注)")</f>
        <v/>
      </c>
      <c r="J1161">
        <f>IF(SUMIFS(T_PlannedOrders[EffectiveQty],T_PlannedOrders[Part Name],$A1149,T_PlannedOrders[WeekIndex],7)=0,"",SUMIFS(T_PlannedOrders[EffectiveQty],T_PlannedOrders[Part Name],$A1149,T_PlannedOrders[WeekIndex],7)&amp;" ("&amp;TEXT(SUMPRODUCT(MAX((T_PlannedOrders[Part Name]=$A1149)*(T_PlannedOrders[WeekIndex]=7)*(T_PlannedOrders[EffectiveQty]&gt;0)*T_PlannedOrders[Order_Month])),"m月")&amp;"発注)")</f>
        <v/>
      </c>
      <c r="K1161">
        <f>IF(SUMIFS(T_PlannedOrders[EffectiveQty],T_PlannedOrders[Part Name],$A1149,T_PlannedOrders[WeekIndex],8)=0,"",SUMIFS(T_PlannedOrders[EffectiveQty],T_PlannedOrders[Part Name],$A1149,T_PlannedOrders[WeekIndex],8)&amp;" ("&amp;TEXT(SUMPRODUCT(MAX((T_PlannedOrders[Part Name]=$A1149)*(T_PlannedOrders[WeekIndex]=8)*(T_PlannedOrders[EffectiveQty]&gt;0)*T_PlannedOrders[Order_Month])),"m月")&amp;"発注)")</f>
        <v/>
      </c>
      <c r="L1161">
        <f>IF(SUMIFS(T_PlannedOrders[EffectiveQty],T_PlannedOrders[Part Name],$A1149,T_PlannedOrders[WeekIndex],9)=0,"",SUMIFS(T_PlannedOrders[EffectiveQty],T_PlannedOrders[Part Name],$A1149,T_PlannedOrders[WeekIndex],9)&amp;" ("&amp;TEXT(SUMPRODUCT(MAX((T_PlannedOrders[Part Name]=$A1149)*(T_PlannedOrders[WeekIndex]=9)*(T_PlannedOrders[EffectiveQty]&gt;0)*T_PlannedOrders[Order_Month])),"m月")&amp;"発注)")</f>
        <v/>
      </c>
      <c r="M1161">
        <f>IF(SUMIFS(T_PlannedOrders[EffectiveQty],T_PlannedOrders[Part Name],$A1149,T_PlannedOrders[WeekIndex],10)=0,"",SUMIFS(T_PlannedOrders[EffectiveQty],T_PlannedOrders[Part Name],$A1149,T_PlannedOrders[WeekIndex],10)&amp;" ("&amp;TEXT(SUMPRODUCT(MAX((T_PlannedOrders[Part Name]=$A1149)*(T_PlannedOrders[WeekIndex]=10)*(T_PlannedOrders[EffectiveQty]&gt;0)*T_PlannedOrders[Order_Month])),"m月")&amp;"発注)")</f>
        <v/>
      </c>
      <c r="N1161">
        <f>IF(SUMIFS(T_PlannedOrders[EffectiveQty],T_PlannedOrders[Part Name],$A1149,T_PlannedOrders[WeekIndex],11)=0,"",SUMIFS(T_PlannedOrders[EffectiveQty],T_PlannedOrders[Part Name],$A1149,T_PlannedOrders[WeekIndex],11)&amp;" ("&amp;TEXT(SUMPRODUCT(MAX((T_PlannedOrders[Part Name]=$A1149)*(T_PlannedOrders[WeekIndex]=11)*(T_PlannedOrders[EffectiveQty]&gt;0)*T_PlannedOrders[Order_Month])),"m月")&amp;"発注)")</f>
        <v/>
      </c>
      <c r="O1161">
        <f>IF(SUMIFS(T_PlannedOrders[EffectiveQty],T_PlannedOrders[Part Name],$A1149,T_PlannedOrders[WeekIndex],12)=0,"",SUMIFS(T_PlannedOrders[EffectiveQty],T_PlannedOrders[Part Name],$A1149,T_PlannedOrders[WeekIndex],12)&amp;" ("&amp;TEXT(SUMPRODUCT(MAX((T_PlannedOrders[Part Name]=$A1149)*(T_PlannedOrders[WeekIndex]=12)*(T_PlannedOrders[EffectiveQty]&gt;0)*T_PlannedOrders[Order_Month])),"m月")&amp;"発注)")</f>
        <v/>
      </c>
      <c r="P1161">
        <f>IF(SUMIFS(T_PlannedOrders[EffectiveQty],T_PlannedOrders[Part Name],$A1149,T_PlannedOrders[WeekIndex],13)=0,"",SUMIFS(T_PlannedOrders[EffectiveQty],T_PlannedOrders[Part Name],$A1149,T_PlannedOrders[WeekIndex],13)&amp;" ("&amp;TEXT(SUMPRODUCT(MAX((T_PlannedOrders[Part Name]=$A1149)*(T_PlannedOrders[WeekIndex]=13)*(T_PlannedOrders[EffectiveQty]&gt;0)*T_PlannedOrders[Order_Month])),"m月")&amp;"発注)")</f>
        <v/>
      </c>
      <c r="Q1161">
        <f>IF(SUMIFS(T_PlannedOrders[EffectiveQty],T_PlannedOrders[Part Name],$A1149,T_PlannedOrders[WeekIndex],14)=0,"",SUMIFS(T_PlannedOrders[EffectiveQty],T_PlannedOrders[Part Name],$A1149,T_PlannedOrders[WeekIndex],14)&amp;" ("&amp;TEXT(SUMPRODUCT(MAX((T_PlannedOrders[Part Name]=$A1149)*(T_PlannedOrders[WeekIndex]=14)*(T_PlannedOrders[EffectiveQty]&gt;0)*T_PlannedOrders[Order_Month])),"m月")&amp;"発注)")</f>
        <v/>
      </c>
      <c r="R1161">
        <f>IF(SUMIFS(T_PlannedOrders[EffectiveQty],T_PlannedOrders[Part Name],$A1149,T_PlannedOrders[WeekIndex],15)=0,"",SUMIFS(T_PlannedOrders[EffectiveQty],T_PlannedOrders[Part Name],$A1149,T_PlannedOrders[WeekIndex],15)&amp;" ("&amp;TEXT(SUMPRODUCT(MAX((T_PlannedOrders[Part Name]=$A1149)*(T_PlannedOrders[WeekIndex]=15)*(T_PlannedOrders[EffectiveQty]&gt;0)*T_PlannedOrders[Order_Month])),"m月")&amp;"発注)")</f>
        <v/>
      </c>
      <c r="S1161">
        <f>IF(SUMIFS(T_PlannedOrders[EffectiveQty],T_PlannedOrders[Part Name],$A1149,T_PlannedOrders[WeekIndex],16)=0,"",SUMIFS(T_PlannedOrders[EffectiveQty],T_PlannedOrders[Part Name],$A1149,T_PlannedOrders[WeekIndex],16)&amp;" ("&amp;TEXT(SUMPRODUCT(MAX((T_PlannedOrders[Part Name]=$A1149)*(T_PlannedOrders[WeekIndex]=16)*(T_PlannedOrders[EffectiveQty]&gt;0)*T_PlannedOrders[Order_Month])),"m月")&amp;"発注)")</f>
        <v/>
      </c>
      <c r="T1161">
        <f>IF(SUMIFS(T_PlannedOrders[EffectiveQty],T_PlannedOrders[Part Name],$A1149,T_PlannedOrders[WeekIndex],17)=0,"",SUMIFS(T_PlannedOrders[EffectiveQty],T_PlannedOrders[Part Name],$A1149,T_PlannedOrders[WeekIndex],17)&amp;" ("&amp;TEXT(SUMPRODUCT(MAX((T_PlannedOrders[Part Name]=$A1149)*(T_PlannedOrders[WeekIndex]=17)*(T_PlannedOrders[EffectiveQty]&gt;0)*T_PlannedOrders[Order_Month])),"m月")&amp;"発注)")</f>
        <v/>
      </c>
      <c r="U1161">
        <f>IF(SUMIFS(T_PlannedOrders[EffectiveQty],T_PlannedOrders[Part Name],$A1149,T_PlannedOrders[WeekIndex],18)=0,"",SUMIFS(T_PlannedOrders[EffectiveQty],T_PlannedOrders[Part Name],$A1149,T_PlannedOrders[WeekIndex],18)&amp;" ("&amp;TEXT(SUMPRODUCT(MAX((T_PlannedOrders[Part Name]=$A1149)*(T_PlannedOrders[WeekIndex]=18)*(T_PlannedOrders[EffectiveQty]&gt;0)*T_PlannedOrders[Order_Month])),"m月")&amp;"発注)")</f>
        <v/>
      </c>
      <c r="V1161">
        <f>IF(SUMIFS(T_PlannedOrders[EffectiveQty],T_PlannedOrders[Part Name],$A1149,T_PlannedOrders[WeekIndex],19)=0,"",SUMIFS(T_PlannedOrders[EffectiveQty],T_PlannedOrders[Part Name],$A1149,T_PlannedOrders[WeekIndex],19)&amp;" ("&amp;TEXT(SUMPRODUCT(MAX((T_PlannedOrders[Part Name]=$A1149)*(T_PlannedOrders[WeekIndex]=19)*(T_PlannedOrders[EffectiveQty]&gt;0)*T_PlannedOrders[Order_Month])),"m月")&amp;"発注)")</f>
        <v/>
      </c>
      <c r="W1161">
        <f>IF(SUMIFS(T_PlannedOrders[EffectiveQty],T_PlannedOrders[Part Name],$A1149,T_PlannedOrders[WeekIndex],20)=0,"",SUMIFS(T_PlannedOrders[EffectiveQty],T_PlannedOrders[Part Name],$A1149,T_PlannedOrders[WeekIndex],20)&amp;" ("&amp;TEXT(SUMPRODUCT(MAX((T_PlannedOrders[Part Name]=$A1149)*(T_PlannedOrders[WeekIndex]=20)*(T_PlannedOrders[EffectiveQty]&gt;0)*T_PlannedOrders[Order_Month])),"m月")&amp;"発注)")</f>
        <v/>
      </c>
      <c r="X1161">
        <f>IF(SUMIFS(T_PlannedOrders[EffectiveQty],T_PlannedOrders[Part Name],$A1149,T_PlannedOrders[WeekIndex],21)=0,"",SUMIFS(T_PlannedOrders[EffectiveQty],T_PlannedOrders[Part Name],$A1149,T_PlannedOrders[WeekIndex],21)&amp;" ("&amp;TEXT(SUMPRODUCT(MAX((T_PlannedOrders[Part Name]=$A1149)*(T_PlannedOrders[WeekIndex]=21)*(T_PlannedOrders[EffectiveQty]&gt;0)*T_PlannedOrders[Order_Month])),"m月")&amp;"発注)")</f>
        <v/>
      </c>
      <c r="Y1161">
        <f>IF(SUMIFS(T_PlannedOrders[EffectiveQty],T_PlannedOrders[Part Name],$A1149,T_PlannedOrders[WeekIndex],22)=0,"",SUMIFS(T_PlannedOrders[EffectiveQty],T_PlannedOrders[Part Name],$A1149,T_PlannedOrders[WeekIndex],22)&amp;" ("&amp;TEXT(SUMPRODUCT(MAX((T_PlannedOrders[Part Name]=$A1149)*(T_PlannedOrders[WeekIndex]=22)*(T_PlannedOrders[EffectiveQty]&gt;0)*T_PlannedOrders[Order_Month])),"m月")&amp;"発注)")</f>
        <v/>
      </c>
      <c r="Z1161">
        <f>IF(SUMIFS(T_PlannedOrders[EffectiveQty],T_PlannedOrders[Part Name],$A1149,T_PlannedOrders[WeekIndex],23)=0,"",SUMIFS(T_PlannedOrders[EffectiveQty],T_PlannedOrders[Part Name],$A1149,T_PlannedOrders[WeekIndex],23)&amp;" ("&amp;TEXT(SUMPRODUCT(MAX((T_PlannedOrders[Part Name]=$A1149)*(T_PlannedOrders[WeekIndex]=23)*(T_PlannedOrders[EffectiveQty]&gt;0)*T_PlannedOrders[Order_Month])),"m月")&amp;"発注)")</f>
        <v/>
      </c>
      <c r="AA1161">
        <f>IF(SUMIFS(T_PlannedOrders[EffectiveQty],T_PlannedOrders[Part Name],$A1149,T_PlannedOrders[WeekIndex],24)=0,"",SUMIFS(T_PlannedOrders[EffectiveQty],T_PlannedOrders[Part Name],$A1149,T_PlannedOrders[WeekIndex],24)&amp;" ("&amp;TEXT(SUMPRODUCT(MAX((T_PlannedOrders[Part Name]=$A1149)*(T_PlannedOrders[WeekIndex]=24)*(T_PlannedOrders[EffectiveQty]&gt;0)*T_PlannedOrders[Order_Month])),"m月")&amp;"発注)")</f>
        <v/>
      </c>
      <c r="AB1161">
        <f>IF(SUMIFS(T_PlannedOrders[EffectiveQty],T_PlannedOrders[Part Name],$A1149,T_PlannedOrders[WeekIndex],25)=0,"",SUMIFS(T_PlannedOrders[EffectiveQty],T_PlannedOrders[Part Name],$A1149,T_PlannedOrders[WeekIndex],25)&amp;" ("&amp;TEXT(SUMPRODUCT(MAX((T_PlannedOrders[Part Name]=$A1149)*(T_PlannedOrders[WeekIndex]=25)*(T_PlannedOrders[EffectiveQty]&gt;0)*T_PlannedOrders[Order_Month])),"m月")&amp;"発注)")</f>
        <v/>
      </c>
      <c r="AC1161">
        <f>IF(SUMIFS(T_PlannedOrders[EffectiveQty],T_PlannedOrders[Part Name],$A1149,T_PlannedOrders[WeekIndex],26)=0,"",SUMIFS(T_PlannedOrders[EffectiveQty],T_PlannedOrders[Part Name],$A1149,T_PlannedOrders[WeekIndex],26)&amp;" ("&amp;TEXT(SUMPRODUCT(MAX((T_PlannedOrders[Part Name]=$A1149)*(T_PlannedOrders[WeekIndex]=26)*(T_PlannedOrders[EffectiveQty]&gt;0)*T_PlannedOrders[Order_Month])),"m月")&amp;"発注)")</f>
        <v/>
      </c>
      <c r="AD1161">
        <f>IF(SUMIFS(T_PlannedOrders[EffectiveQty],T_PlannedOrders[Part Name],$A1149,T_PlannedOrders[WeekIndex],27)=0,"",SUMIFS(T_PlannedOrders[EffectiveQty],T_PlannedOrders[Part Name],$A1149,T_PlannedOrders[WeekIndex],27)&amp;" ("&amp;TEXT(SUMPRODUCT(MAX((T_PlannedOrders[Part Name]=$A1149)*(T_PlannedOrders[WeekIndex]=27)*(T_PlannedOrders[EffectiveQty]&gt;0)*T_PlannedOrders[Order_Month])),"m月")&amp;"発注)")</f>
        <v/>
      </c>
      <c r="AE1161">
        <f>IF(SUMIFS(T_PlannedOrders[EffectiveQty],T_PlannedOrders[Part Name],$A1149,T_PlannedOrders[WeekIndex],28)=0,"",SUMIFS(T_PlannedOrders[EffectiveQty],T_PlannedOrders[Part Name],$A1149,T_PlannedOrders[WeekIndex],28)&amp;" ("&amp;TEXT(SUMPRODUCT(MAX((T_PlannedOrders[Part Name]=$A1149)*(T_PlannedOrders[WeekIndex]=28)*(T_PlannedOrders[EffectiveQty]&gt;0)*T_PlannedOrders[Order_Month])),"m月")&amp;"発注)")</f>
        <v/>
      </c>
      <c r="AF1161">
        <f>IF(SUMIFS(T_PlannedOrders[EffectiveQty],T_PlannedOrders[Part Name],$A1149,T_PlannedOrders[WeekIndex],29)=0,"",SUMIFS(T_PlannedOrders[EffectiveQty],T_PlannedOrders[Part Name],$A1149,T_PlannedOrders[WeekIndex],29)&amp;" ("&amp;TEXT(SUMPRODUCT(MAX((T_PlannedOrders[Part Name]=$A1149)*(T_PlannedOrders[WeekIndex]=29)*(T_PlannedOrders[EffectiveQty]&gt;0)*T_PlannedOrders[Order_Month])),"m月")&amp;"発注)")</f>
        <v/>
      </c>
      <c r="AG1161">
        <f>IF(SUMIFS(T_PlannedOrders[EffectiveQty],T_PlannedOrders[Part Name],$A1149,T_PlannedOrders[WeekIndex],30)=0,"",SUMIFS(T_PlannedOrders[EffectiveQty],T_PlannedOrders[Part Name],$A1149,T_PlannedOrders[WeekIndex],30)&amp;" ("&amp;TEXT(SUMPRODUCT(MAX((T_PlannedOrders[Part Name]=$A1149)*(T_PlannedOrders[WeekIndex]=30)*(T_PlannedOrders[EffectiveQty]&gt;0)*T_PlannedOrders[Order_Month])),"m月")&amp;"発注)")</f>
        <v/>
      </c>
      <c r="AH1161">
        <f>IF(SUMIFS(T_PlannedOrders[EffectiveQty],T_PlannedOrders[Part Name],$A1149,T_PlannedOrders[WeekIndex],31)=0,"",SUMIFS(T_PlannedOrders[EffectiveQty],T_PlannedOrders[Part Name],$A1149,T_PlannedOrders[WeekIndex],31)&amp;" ("&amp;TEXT(SUMPRODUCT(MAX((T_PlannedOrders[Part Name]=$A1149)*(T_PlannedOrders[WeekIndex]=31)*(T_PlannedOrders[EffectiveQty]&gt;0)*T_PlannedOrders[Order_Month])),"m月")&amp;"発注)")</f>
        <v/>
      </c>
      <c r="AI1161">
        <f>IF(SUMIFS(T_PlannedOrders[EffectiveQty],T_PlannedOrders[Part Name],$A1149,T_PlannedOrders[WeekIndex],32)=0,"",SUMIFS(T_PlannedOrders[EffectiveQty],T_PlannedOrders[Part Name],$A1149,T_PlannedOrders[WeekIndex],32)&amp;" ("&amp;TEXT(SUMPRODUCT(MAX((T_PlannedOrders[Part Name]=$A1149)*(T_PlannedOrders[WeekIndex]=32)*(T_PlannedOrders[EffectiveQty]&gt;0)*T_PlannedOrders[Order_Month])),"m月")&amp;"発注)")</f>
        <v/>
      </c>
      <c r="AJ1161">
        <f>IF(SUMIFS(T_PlannedOrders[EffectiveQty],T_PlannedOrders[Part Name],$A1149,T_PlannedOrders[WeekIndex],33)=0,"",SUMIFS(T_PlannedOrders[EffectiveQty],T_PlannedOrders[Part Name],$A1149,T_PlannedOrders[WeekIndex],33)&amp;" ("&amp;TEXT(SUMPRODUCT(MAX((T_PlannedOrders[Part Name]=$A1149)*(T_PlannedOrders[WeekIndex]=33)*(T_PlannedOrders[EffectiveQty]&gt;0)*T_PlannedOrders[Order_Month])),"m月")&amp;"発注)")</f>
        <v/>
      </c>
      <c r="AK1161">
        <f>IF(SUMIFS(T_PlannedOrders[EffectiveQty],T_PlannedOrders[Part Name],$A1149,T_PlannedOrders[WeekIndex],34)=0,"",SUMIFS(T_PlannedOrders[EffectiveQty],T_PlannedOrders[Part Name],$A1149,T_PlannedOrders[WeekIndex],34)&amp;" ("&amp;TEXT(SUMPRODUCT(MAX((T_PlannedOrders[Part Name]=$A1149)*(T_PlannedOrders[WeekIndex]=34)*(T_PlannedOrders[EffectiveQty]&gt;0)*T_PlannedOrders[Order_Month])),"m月")&amp;"発注)")</f>
        <v/>
      </c>
      <c r="AL1161">
        <f>IF(SUMIFS(T_PlannedOrders[EffectiveQty],T_PlannedOrders[Part Name],$A1149,T_PlannedOrders[WeekIndex],35)=0,"",SUMIFS(T_PlannedOrders[EffectiveQty],T_PlannedOrders[Part Name],$A1149,T_PlannedOrders[WeekIndex],35)&amp;" ("&amp;TEXT(SUMPRODUCT(MAX((T_PlannedOrders[Part Name]=$A1149)*(T_PlannedOrders[WeekIndex]=35)*(T_PlannedOrders[EffectiveQty]&gt;0)*T_PlannedOrders[Order_Month])),"m月")&amp;"発注)")</f>
        <v/>
      </c>
      <c r="AM1161">
        <f>IF(SUMIFS(T_PlannedOrders[EffectiveQty],T_PlannedOrders[Part Name],$A1149,T_PlannedOrders[WeekIndex],36)=0,"",SUMIFS(T_PlannedOrders[EffectiveQty],T_PlannedOrders[Part Name],$A1149,T_PlannedOrders[WeekIndex],36)&amp;" ("&amp;TEXT(SUMPRODUCT(MAX((T_PlannedOrders[Part Name]=$A1149)*(T_PlannedOrders[WeekIndex]=36)*(T_PlannedOrders[EffectiveQty]&gt;0)*T_PlannedOrders[Order_Month])),"m月")&amp;"発注)")</f>
        <v/>
      </c>
      <c r="AN1161">
        <f>IF(SUMIFS(T_PlannedOrders[EffectiveQty],T_PlannedOrders[Part Name],$A1149,T_PlannedOrders[WeekIndex],37)=0,"",SUMIFS(T_PlannedOrders[EffectiveQty],T_PlannedOrders[Part Name],$A1149,T_PlannedOrders[WeekIndex],37)&amp;" ("&amp;TEXT(SUMPRODUCT(MAX((T_PlannedOrders[Part Name]=$A1149)*(T_PlannedOrders[WeekIndex]=37)*(T_PlannedOrders[EffectiveQty]&gt;0)*T_PlannedOrders[Order_Month])),"m月")&amp;"発注)")</f>
        <v/>
      </c>
      <c r="AO1161">
        <f>IF(SUMIFS(T_PlannedOrders[EffectiveQty],T_PlannedOrders[Part Name],$A1149,T_PlannedOrders[WeekIndex],38)=0,"",SUMIFS(T_PlannedOrders[EffectiveQty],T_PlannedOrders[Part Name],$A1149,T_PlannedOrders[WeekIndex],38)&amp;" ("&amp;TEXT(SUMPRODUCT(MAX((T_PlannedOrders[Part Name]=$A1149)*(T_PlannedOrders[WeekIndex]=38)*(T_PlannedOrders[EffectiveQty]&gt;0)*T_PlannedOrders[Order_Month])),"m月")&amp;"発注)")</f>
        <v/>
      </c>
      <c r="AP1161">
        <f>IF(SUMIFS(T_PlannedOrders[EffectiveQty],T_PlannedOrders[Part Name],$A1149,T_PlannedOrders[WeekIndex],39)=0,"",SUMIFS(T_PlannedOrders[EffectiveQty],T_PlannedOrders[Part Name],$A1149,T_PlannedOrders[WeekIndex],39)&amp;" ("&amp;TEXT(SUMPRODUCT(MAX((T_PlannedOrders[Part Name]=$A1149)*(T_PlannedOrders[WeekIndex]=39)*(T_PlannedOrders[EffectiveQty]&gt;0)*T_PlannedOrders[Order_Month])),"m月")&amp;"発注)")</f>
        <v/>
      </c>
      <c r="AQ1161">
        <f>IF(SUMIFS(T_PlannedOrders[EffectiveQty],T_PlannedOrders[Part Name],$A1149,T_PlannedOrders[WeekIndex],40)=0,"",SUMIFS(T_PlannedOrders[EffectiveQty],T_PlannedOrders[Part Name],$A1149,T_PlannedOrders[WeekIndex],40)&amp;" ("&amp;TEXT(SUMPRODUCT(MAX((T_PlannedOrders[Part Name]=$A1149)*(T_PlannedOrders[WeekIndex]=40)*(T_PlannedOrders[EffectiveQty]&gt;0)*T_PlannedOrders[Order_Month])),"m月")&amp;"発注)")</f>
        <v/>
      </c>
      <c r="AR1161">
        <f>IF(SUMIFS(T_PlannedOrders[EffectiveQty],T_PlannedOrders[Part Name],$A1149,T_PlannedOrders[WeekIndex],41)=0,"",SUMIFS(T_PlannedOrders[EffectiveQty],T_PlannedOrders[Part Name],$A1149,T_PlannedOrders[WeekIndex],41)&amp;" ("&amp;TEXT(SUMPRODUCT(MAX((T_PlannedOrders[Part Name]=$A1149)*(T_PlannedOrders[WeekIndex]=41)*(T_PlannedOrders[EffectiveQty]&gt;0)*T_PlannedOrders[Order_Month])),"m月")&amp;"発注)")</f>
        <v/>
      </c>
      <c r="AS1161">
        <f>IF(SUMIFS(T_PlannedOrders[EffectiveQty],T_PlannedOrders[Part Name],$A1149,T_PlannedOrders[WeekIndex],42)=0,"",SUMIFS(T_PlannedOrders[EffectiveQty],T_PlannedOrders[Part Name],$A1149,T_PlannedOrders[WeekIndex],42)&amp;" ("&amp;TEXT(SUMPRODUCT(MAX((T_PlannedOrders[Part Name]=$A1149)*(T_PlannedOrders[WeekIndex]=42)*(T_PlannedOrders[EffectiveQty]&gt;0)*T_PlannedOrders[Order_Month])),"m月")&amp;"発注)")</f>
        <v/>
      </c>
      <c r="AT1161">
        <f>IF(SUMIFS(T_PlannedOrders[EffectiveQty],T_PlannedOrders[Part Name],$A1149,T_PlannedOrders[WeekIndex],43)=0,"",SUMIFS(T_PlannedOrders[EffectiveQty],T_PlannedOrders[Part Name],$A1149,T_PlannedOrders[WeekIndex],43)&amp;" ("&amp;TEXT(SUMPRODUCT(MAX((T_PlannedOrders[Part Name]=$A1149)*(T_PlannedOrders[WeekIndex]=43)*(T_PlannedOrders[EffectiveQty]&gt;0)*T_PlannedOrders[Order_Month])),"m月")&amp;"発注)")</f>
        <v/>
      </c>
      <c r="AU1161">
        <f>IF(SUMIFS(T_PlannedOrders[EffectiveQty],T_PlannedOrders[Part Name],$A1149,T_PlannedOrders[WeekIndex],44)=0,"",SUMIFS(T_PlannedOrders[EffectiveQty],T_PlannedOrders[Part Name],$A1149,T_PlannedOrders[WeekIndex],44)&amp;" ("&amp;TEXT(SUMPRODUCT(MAX((T_PlannedOrders[Part Name]=$A1149)*(T_PlannedOrders[WeekIndex]=44)*(T_PlannedOrders[EffectiveQty]&gt;0)*T_PlannedOrders[Order_Month])),"m月")&amp;"発注)")</f>
        <v/>
      </c>
      <c r="AV1161">
        <f>IF(SUMIFS(T_PlannedOrders[EffectiveQty],T_PlannedOrders[Part Name],$A1149,T_PlannedOrders[WeekIndex],45)=0,"",SUMIFS(T_PlannedOrders[EffectiveQty],T_PlannedOrders[Part Name],$A1149,T_PlannedOrders[WeekIndex],45)&amp;" ("&amp;TEXT(SUMPRODUCT(MAX((T_PlannedOrders[Part Name]=$A1149)*(T_PlannedOrders[WeekIndex]=45)*(T_PlannedOrders[EffectiveQty]&gt;0)*T_PlannedOrders[Order_Month])),"m月")&amp;"発注)")</f>
        <v/>
      </c>
      <c r="AW1161">
        <f>IF(SUMIFS(T_PlannedOrders[EffectiveQty],T_PlannedOrders[Part Name],$A1149,T_PlannedOrders[WeekIndex],46)=0,"",SUMIFS(T_PlannedOrders[EffectiveQty],T_PlannedOrders[Part Name],$A1149,T_PlannedOrders[WeekIndex],46)&amp;" ("&amp;TEXT(SUMPRODUCT(MAX((T_PlannedOrders[Part Name]=$A1149)*(T_PlannedOrders[WeekIndex]=46)*(T_PlannedOrders[EffectiveQty]&gt;0)*T_PlannedOrders[Order_Month])),"m月")&amp;"発注)")</f>
        <v/>
      </c>
      <c r="AX1161">
        <f>IF(SUMIFS(T_PlannedOrders[EffectiveQty],T_PlannedOrders[Part Name],$A1149,T_PlannedOrders[WeekIndex],47)=0,"",SUMIFS(T_PlannedOrders[EffectiveQty],T_PlannedOrders[Part Name],$A1149,T_PlannedOrders[WeekIndex],47)&amp;" ("&amp;TEXT(SUMPRODUCT(MAX((T_PlannedOrders[Part Name]=$A1149)*(T_PlannedOrders[WeekIndex]=47)*(T_PlannedOrders[EffectiveQty]&gt;0)*T_PlannedOrders[Order_Month])),"m月")&amp;"発注)")</f>
        <v/>
      </c>
      <c r="AY1161">
        <f>IF(SUMIFS(T_PlannedOrders[EffectiveQty],T_PlannedOrders[Part Name],$A1149,T_PlannedOrders[WeekIndex],48)=0,"",SUMIFS(T_PlannedOrders[EffectiveQty],T_PlannedOrders[Part Name],$A1149,T_PlannedOrders[WeekIndex],48)&amp;" ("&amp;TEXT(SUMPRODUCT(MAX((T_PlannedOrders[Part Name]=$A1149)*(T_PlannedOrders[WeekIndex]=48)*(T_PlannedOrders[EffectiveQty]&gt;0)*T_PlannedOrders[Order_Month])),"m月")&amp;"発注)")</f>
        <v/>
      </c>
      <c r="AZ1161">
        <f>IF(SUMIFS(T_PlannedOrders[EffectiveQty],T_PlannedOrders[Part Name],$A1149,T_PlannedOrders[WeekIndex],49)=0,"",SUMIFS(T_PlannedOrders[EffectiveQty],T_PlannedOrders[Part Name],$A1149,T_PlannedOrders[WeekIndex],49)&amp;" ("&amp;TEXT(SUMPRODUCT(MAX((T_PlannedOrders[Part Name]=$A1149)*(T_PlannedOrders[WeekIndex]=49)*(T_PlannedOrders[EffectiveQty]&gt;0)*T_PlannedOrders[Order_Month])),"m月")&amp;"発注)")</f>
        <v/>
      </c>
      <c r="BA1161">
        <f>IF(SUMIFS(T_PlannedOrders[EffectiveQty],T_PlannedOrders[Part Name],$A1149,T_PlannedOrders[WeekIndex],50)=0,"",SUMIFS(T_PlannedOrders[EffectiveQty],T_PlannedOrders[Part Name],$A1149,T_PlannedOrders[WeekIndex],50)&amp;" ("&amp;TEXT(SUMPRODUCT(MAX((T_PlannedOrders[Part Name]=$A1149)*(T_PlannedOrders[WeekIndex]=50)*(T_PlannedOrders[EffectiveQty]&gt;0)*T_PlannedOrders[Order_Month])),"m月")&amp;"発注)")</f>
        <v/>
      </c>
      <c r="BB1161">
        <f>IF(SUMIFS(T_PlannedOrders[EffectiveQty],T_PlannedOrders[Part Name],$A1149,T_PlannedOrders[WeekIndex],51)=0,"",SUMIFS(T_PlannedOrders[EffectiveQty],T_PlannedOrders[Part Name],$A1149,T_PlannedOrders[WeekIndex],51)&amp;" ("&amp;TEXT(SUMPRODUCT(MAX((T_PlannedOrders[Part Name]=$A1149)*(T_PlannedOrders[WeekIndex]=51)*(T_PlannedOrders[EffectiveQty]&gt;0)*T_PlannedOrders[Order_Month])),"m月")&amp;"発注)")</f>
        <v/>
      </c>
      <c r="BC1161">
        <f>IF(SUMIFS(T_PlannedOrders[EffectiveQty],T_PlannedOrders[Part Name],$A1149,T_PlannedOrders[WeekIndex],52)=0,"",SUMIFS(T_PlannedOrders[EffectiveQty],T_PlannedOrders[Part Name],$A1149,T_PlannedOrders[WeekIndex],52)&amp;" ("&amp;TEXT(SUMPRODUCT(MAX((T_PlannedOrders[Part Name]=$A1149)*(T_PlannedOrders[WeekIndex]=52)*(T_PlannedOrders[EffectiveQty]&gt;0)*T_PlannedOrders[Order_Month])),"m月")&amp;"発注)")</f>
        <v/>
      </c>
      <c r="BD1161">
        <f>IF(SUMIFS(T_PlannedOrders[EffectiveQty],T_PlannedOrders[Part Name],$A1149,T_PlannedOrders[WeekIndex],53)=0,"",SUMIFS(T_PlannedOrders[EffectiveQty],T_PlannedOrders[Part Name],$A1149,T_PlannedOrders[WeekIndex],53)&amp;" ("&amp;TEXT(SUMPRODUCT(MAX((T_PlannedOrders[Part Name]=$A1149)*(T_PlannedOrders[WeekIndex]=53)*(T_PlannedOrders[EffectiveQty]&gt;0)*T_PlannedOrders[Order_Month])),"m月")&amp;"発注)")</f>
        <v/>
      </c>
      <c r="BE1161">
        <f>IF(SUMIFS(T_PlannedOrders[EffectiveQty],T_PlannedOrders[Part Name],$A1149,T_PlannedOrders[WeekIndex],54)=0,"",SUMIFS(T_PlannedOrders[EffectiveQty],T_PlannedOrders[Part Name],$A1149,T_PlannedOrders[WeekIndex],54)&amp;" ("&amp;TEXT(SUMPRODUCT(MAX((T_PlannedOrders[Part Name]=$A1149)*(T_PlannedOrders[WeekIndex]=54)*(T_PlannedOrders[EffectiveQty]&gt;0)*T_PlannedOrders[Order_Month])),"m月")&amp;"発注)")</f>
        <v/>
      </c>
      <c r="BF1161">
        <f>IF(SUMIFS(T_PlannedOrders[EffectiveQty],T_PlannedOrders[Part Name],$A1149,T_PlannedOrders[WeekIndex],55)=0,"",SUMIFS(T_PlannedOrders[EffectiveQty],T_PlannedOrders[Part Name],$A1149,T_PlannedOrders[WeekIndex],55)&amp;" ("&amp;TEXT(SUMPRODUCT(MAX((T_PlannedOrders[Part Name]=$A1149)*(T_PlannedOrders[WeekIndex]=55)*(T_PlannedOrders[EffectiveQty]&gt;0)*T_PlannedOrders[Order_Month])),"m月")&amp;"発注)")</f>
        <v/>
      </c>
      <c r="BG1161">
        <f>IF(SUMIFS(T_PlannedOrders[EffectiveQty],T_PlannedOrders[Part Name],$A1149,T_PlannedOrders[WeekIndex],56)=0,"",SUMIFS(T_PlannedOrders[EffectiveQty],T_PlannedOrders[Part Name],$A1149,T_PlannedOrders[WeekIndex],56)&amp;" ("&amp;TEXT(SUMPRODUCT(MAX((T_PlannedOrders[Part Name]=$A1149)*(T_PlannedOrders[WeekIndex]=56)*(T_PlannedOrders[EffectiveQty]&gt;0)*T_PlannedOrders[Order_Month])),"m月")&amp;"発注)")</f>
        <v/>
      </c>
      <c r="BH1161">
        <f>IF(SUMIFS(T_PlannedOrders[EffectiveQty],T_PlannedOrders[Part Name],$A1149,T_PlannedOrders[WeekIndex],57)=0,"",SUMIFS(T_PlannedOrders[EffectiveQty],T_PlannedOrders[Part Name],$A1149,T_PlannedOrders[WeekIndex],57)&amp;" ("&amp;TEXT(SUMPRODUCT(MAX((T_PlannedOrders[Part Name]=$A1149)*(T_PlannedOrders[WeekIndex]=57)*(T_PlannedOrders[EffectiveQty]&gt;0)*T_PlannedOrders[Order_Month])),"m月")&amp;"発注)")</f>
        <v/>
      </c>
      <c r="BI1161">
        <f>IF(SUMIFS(T_PlannedOrders[EffectiveQty],T_PlannedOrders[Part Name],$A1149,T_PlannedOrders[WeekIndex],58)=0,"",SUMIFS(T_PlannedOrders[EffectiveQty],T_PlannedOrders[Part Name],$A1149,T_PlannedOrders[WeekIndex],58)&amp;" ("&amp;TEXT(SUMPRODUCT(MAX((T_PlannedOrders[Part Name]=$A1149)*(T_PlannedOrders[WeekIndex]=58)*(T_PlannedOrders[EffectiveQty]&gt;0)*T_PlannedOrders[Order_Month])),"m月")&amp;"発注)")</f>
        <v/>
      </c>
      <c r="BJ1161">
        <f>IF(SUMIFS(T_PlannedOrders[EffectiveQty],T_PlannedOrders[Part Name],$A1149,T_PlannedOrders[WeekIndex],59)=0,"",SUMIFS(T_PlannedOrders[EffectiveQty],T_PlannedOrders[Part Name],$A1149,T_PlannedOrders[WeekIndex],59)&amp;" ("&amp;TEXT(SUMPRODUCT(MAX((T_PlannedOrders[Part Name]=$A1149)*(T_PlannedOrders[WeekIndex]=59)*(T_PlannedOrders[EffectiveQty]&gt;0)*T_PlannedOrders[Order_Month])),"m月")&amp;"発注)")</f>
        <v/>
      </c>
      <c r="BK1161">
        <f>IF(SUMIFS(T_PlannedOrders[EffectiveQty],T_PlannedOrders[Part Name],$A1149,T_PlannedOrders[WeekIndex],60)=0,"",SUMIFS(T_PlannedOrders[EffectiveQty],T_PlannedOrders[Part Name],$A1149,T_PlannedOrders[WeekIndex],60)&amp;" ("&amp;TEXT(SUMPRODUCT(MAX((T_PlannedOrders[Part Name]=$A1149)*(T_PlannedOrders[WeekIndex]=60)*(T_PlannedOrders[EffectiveQty]&gt;0)*T_PlannedOrders[Order_Month])),"m月")&amp;"発注)")</f>
        <v/>
      </c>
      <c r="BL1161">
        <f>IF(SUMIFS(T_PlannedOrders[EffectiveQty],T_PlannedOrders[Part Name],$A1149,T_PlannedOrders[WeekIndex],61)=0,"",SUMIFS(T_PlannedOrders[EffectiveQty],T_PlannedOrders[Part Name],$A1149,T_PlannedOrders[WeekIndex],61)&amp;" ("&amp;TEXT(SUMPRODUCT(MAX((T_PlannedOrders[Part Name]=$A1149)*(T_PlannedOrders[WeekIndex]=61)*(T_PlannedOrders[EffectiveQty]&gt;0)*T_PlannedOrders[Order_Month])),"m月")&amp;"発注)")</f>
        <v/>
      </c>
      <c r="BM1161">
        <f>IF(SUMIFS(T_PlannedOrders[EffectiveQty],T_PlannedOrders[Part Name],$A1149,T_PlannedOrders[WeekIndex],62)=0,"",SUMIFS(T_PlannedOrders[EffectiveQty],T_PlannedOrders[Part Name],$A1149,T_PlannedOrders[WeekIndex],62)&amp;" ("&amp;TEXT(SUMPRODUCT(MAX((T_PlannedOrders[Part Name]=$A1149)*(T_PlannedOrders[WeekIndex]=62)*(T_PlannedOrders[EffectiveQty]&gt;0)*T_PlannedOrders[Order_Month])),"m月")&amp;"発注)")</f>
        <v/>
      </c>
      <c r="BN1161">
        <f>IF(SUMIFS(T_PlannedOrders[EffectiveQty],T_PlannedOrders[Part Name],$A1149,T_PlannedOrders[WeekIndex],63)=0,"",SUMIFS(T_PlannedOrders[EffectiveQty],T_PlannedOrders[Part Name],$A1149,T_PlannedOrders[WeekIndex],63)&amp;" ("&amp;TEXT(SUMPRODUCT(MAX((T_PlannedOrders[Part Name]=$A1149)*(T_PlannedOrders[WeekIndex]=63)*(T_PlannedOrders[EffectiveQty]&gt;0)*T_PlannedOrders[Order_Month])),"m月")&amp;"発注)")</f>
        <v/>
      </c>
      <c r="BO1161">
        <f>IF(SUMIFS(T_PlannedOrders[EffectiveQty],T_PlannedOrders[Part Name],$A1149,T_PlannedOrders[WeekIndex],64)=0,"",SUMIFS(T_PlannedOrders[EffectiveQty],T_PlannedOrders[Part Name],$A1149,T_PlannedOrders[WeekIndex],64)&amp;" ("&amp;TEXT(SUMPRODUCT(MAX((T_PlannedOrders[Part Name]=$A1149)*(T_PlannedOrders[WeekIndex]=64)*(T_PlannedOrders[EffectiveQty]&gt;0)*T_PlannedOrders[Order_Month])),"m月")&amp;"発注)")</f>
        <v/>
      </c>
      <c r="BP1161">
        <f>IF(SUMIFS(T_PlannedOrders[EffectiveQty],T_PlannedOrders[Part Name],$A1149,T_PlannedOrders[WeekIndex],65)=0,"",SUMIFS(T_PlannedOrders[EffectiveQty],T_PlannedOrders[Part Name],$A1149,T_PlannedOrders[WeekIndex],65)&amp;" ("&amp;TEXT(SUMPRODUCT(MAX((T_PlannedOrders[Part Name]=$A1149)*(T_PlannedOrders[WeekIndex]=65)*(T_PlannedOrders[EffectiveQty]&gt;0)*T_PlannedOrders[Order_Month])),"m月")&amp;"発注)")</f>
        <v/>
      </c>
      <c r="BQ1161">
        <f>IF(SUMIFS(T_PlannedOrders[EffectiveQty],T_PlannedOrders[Part Name],$A1149,T_PlannedOrders[WeekIndex],66)=0,"",SUMIFS(T_PlannedOrders[EffectiveQty],T_PlannedOrders[Part Name],$A1149,T_PlannedOrders[WeekIndex],66)&amp;" ("&amp;TEXT(SUMPRODUCT(MAX((T_PlannedOrders[Part Name]=$A1149)*(T_PlannedOrders[WeekIndex]=66)*(T_PlannedOrders[EffectiveQty]&gt;0)*T_PlannedOrders[Order_Month])),"m月")&amp;"発注)")</f>
        <v/>
      </c>
      <c r="BR1161">
        <f>IF(SUMIFS(T_PlannedOrders[EffectiveQty],T_PlannedOrders[Part Name],$A1149,T_PlannedOrders[WeekIndex],67)=0,"",SUMIFS(T_PlannedOrders[EffectiveQty],T_PlannedOrders[Part Name],$A1149,T_PlannedOrders[WeekIndex],67)&amp;" ("&amp;TEXT(SUMPRODUCT(MAX((T_PlannedOrders[Part Name]=$A1149)*(T_PlannedOrders[WeekIndex]=67)*(T_PlannedOrders[EffectiveQty]&gt;0)*T_PlannedOrders[Order_Month])),"m月")&amp;"発注)")</f>
        <v/>
      </c>
      <c r="BS1161">
        <f>IF(SUMIFS(T_PlannedOrders[EffectiveQty],T_PlannedOrders[Part Name],$A1149,T_PlannedOrders[WeekIndex],68)=0,"",SUMIFS(T_PlannedOrders[EffectiveQty],T_PlannedOrders[Part Name],$A1149,T_PlannedOrders[WeekIndex],68)&amp;" ("&amp;TEXT(SUMPRODUCT(MAX((T_PlannedOrders[Part Name]=$A1149)*(T_PlannedOrders[WeekIndex]=68)*(T_PlannedOrders[EffectiveQty]&gt;0)*T_PlannedOrders[Order_Month])),"m月")&amp;"発注)")</f>
        <v/>
      </c>
      <c r="BT1161">
        <f>IF(SUMIFS(T_PlannedOrders[EffectiveQty],T_PlannedOrders[Part Name],$A1149,T_PlannedOrders[WeekIndex],69)=0,"",SUMIFS(T_PlannedOrders[EffectiveQty],T_PlannedOrders[Part Name],$A1149,T_PlannedOrders[WeekIndex],69)&amp;" ("&amp;TEXT(SUMPRODUCT(MAX((T_PlannedOrders[Part Name]=$A1149)*(T_PlannedOrders[WeekIndex]=69)*(T_PlannedOrders[EffectiveQty]&gt;0)*T_PlannedOrders[Order_Month])),"m月")&amp;"発注)")</f>
        <v/>
      </c>
      <c r="BU1161">
        <f>IF(SUMIFS(T_PlannedOrders[EffectiveQty],T_PlannedOrders[Part Name],$A1149,T_PlannedOrders[WeekIndex],70)=0,"",SUMIFS(T_PlannedOrders[EffectiveQty],T_PlannedOrders[Part Name],$A1149,T_PlannedOrders[WeekIndex],70)&amp;" ("&amp;TEXT(SUMPRODUCT(MAX((T_PlannedOrders[Part Name]=$A1149)*(T_PlannedOrders[WeekIndex]=70)*(T_PlannedOrders[EffectiveQty]&gt;0)*T_PlannedOrders[Order_Month])),"m月")&amp;"発注)")</f>
        <v/>
      </c>
      <c r="BV1161">
        <f>IF(SUMIFS(T_PlannedOrders[EffectiveQty],T_PlannedOrders[Part Name],$A1149,T_PlannedOrders[WeekIndex],71)=0,"",SUMIFS(T_PlannedOrders[EffectiveQty],T_PlannedOrders[Part Name],$A1149,T_PlannedOrders[WeekIndex],71)&amp;" ("&amp;TEXT(SUMPRODUCT(MAX((T_PlannedOrders[Part Name]=$A1149)*(T_PlannedOrders[WeekIndex]=71)*(T_PlannedOrders[EffectiveQty]&gt;0)*T_PlannedOrders[Order_Month])),"m月")&amp;"発注)")</f>
        <v/>
      </c>
      <c r="BW1161">
        <f>IF(SUMIFS(T_PlannedOrders[EffectiveQty],T_PlannedOrders[Part Name],$A1149,T_PlannedOrders[WeekIndex],72)=0,"",SUMIFS(T_PlannedOrders[EffectiveQty],T_PlannedOrders[Part Name],$A1149,T_PlannedOrders[WeekIndex],72)&amp;" ("&amp;TEXT(SUMPRODUCT(MAX((T_PlannedOrders[Part Name]=$A1149)*(T_PlannedOrders[WeekIndex]=72)*(T_PlannedOrders[EffectiveQty]&gt;0)*T_PlannedOrders[Order_Month])),"m月")&amp;"発注)")</f>
        <v/>
      </c>
      <c r="BX1161">
        <f>IF(SUMIFS(T_PlannedOrders[EffectiveQty],T_PlannedOrders[Part Name],$A1149,T_PlannedOrders[WeekIndex],73)=0,"",SUMIFS(T_PlannedOrders[EffectiveQty],T_PlannedOrders[Part Name],$A1149,T_PlannedOrders[WeekIndex],73)&amp;" ("&amp;TEXT(SUMPRODUCT(MAX((T_PlannedOrders[Part Name]=$A1149)*(T_PlannedOrders[WeekIndex]=73)*(T_PlannedOrders[EffectiveQty]&gt;0)*T_PlannedOrders[Order_Month])),"m月")&amp;"発注)")</f>
        <v/>
      </c>
      <c r="BY1161">
        <f>IF(SUMIFS(T_PlannedOrders[EffectiveQty],T_PlannedOrders[Part Name],$A1149,T_PlannedOrders[WeekIndex],74)=0,"",SUMIFS(T_PlannedOrders[EffectiveQty],T_PlannedOrders[Part Name],$A1149,T_PlannedOrders[WeekIndex],74)&amp;" ("&amp;TEXT(SUMPRODUCT(MAX((T_PlannedOrders[Part Name]=$A1149)*(T_PlannedOrders[WeekIndex]=74)*(T_PlannedOrders[EffectiveQty]&gt;0)*T_PlannedOrders[Order_Month])),"m月")&amp;"発注)")</f>
        <v/>
      </c>
      <c r="BZ1161">
        <f>IF(SUMIFS(T_PlannedOrders[EffectiveQty],T_PlannedOrders[Part Name],$A1149,T_PlannedOrders[WeekIndex],75)=0,"",SUMIFS(T_PlannedOrders[EffectiveQty],T_PlannedOrders[Part Name],$A1149,T_PlannedOrders[WeekIndex],75)&amp;" ("&amp;TEXT(SUMPRODUCT(MAX((T_PlannedOrders[Part Name]=$A1149)*(T_PlannedOrders[WeekIndex]=75)*(T_PlannedOrders[EffectiveQty]&gt;0)*T_PlannedOrders[Order_Month])),"m月")&amp;"発注)")</f>
        <v/>
      </c>
      <c r="CA1161">
        <f>IF(SUMIFS(T_PlannedOrders[EffectiveQty],T_PlannedOrders[Part Name],$A1149,T_PlannedOrders[WeekIndex],76)=0,"",SUMIFS(T_PlannedOrders[EffectiveQty],T_PlannedOrders[Part Name],$A1149,T_PlannedOrders[WeekIndex],76)&amp;" ("&amp;TEXT(SUMPRODUCT(MAX((T_PlannedOrders[Part Name]=$A1149)*(T_PlannedOrders[WeekIndex]=76)*(T_PlannedOrders[EffectiveQty]&gt;0)*T_PlannedOrders[Order_Month])),"m月")&amp;"発注)")</f>
        <v/>
      </c>
      <c r="CB1161">
        <f>IF(SUMIFS(T_PlannedOrders[EffectiveQty],T_PlannedOrders[Part Name],$A1149,T_PlannedOrders[WeekIndex],77)=0,"",SUMIFS(T_PlannedOrders[EffectiveQty],T_PlannedOrders[Part Name],$A1149,T_PlannedOrders[WeekIndex],77)&amp;" ("&amp;TEXT(SUMPRODUCT(MAX((T_PlannedOrders[Part Name]=$A1149)*(T_PlannedOrders[WeekIndex]=77)*(T_PlannedOrders[EffectiveQty]&gt;0)*T_PlannedOrders[Order_Month])),"m月")&amp;"発注)")</f>
        <v/>
      </c>
      <c r="CC1161">
        <f>IF(SUMIFS(T_PlannedOrders[EffectiveQty],T_PlannedOrders[Part Name],$A1149,T_PlannedOrders[WeekIndex],78)=0,"",SUMIFS(T_PlannedOrders[EffectiveQty],T_PlannedOrders[Part Name],$A1149,T_PlannedOrders[WeekIndex],78)&amp;" ("&amp;TEXT(SUMPRODUCT(MAX((T_PlannedOrders[Part Name]=$A1149)*(T_PlannedOrders[WeekIndex]=78)*(T_PlannedOrders[EffectiveQty]&gt;0)*T_PlannedOrders[Order_Month])),"m月")&amp;"発注)")</f>
        <v/>
      </c>
      <c r="CD1161">
        <f>IF(SUMIFS(T_PlannedOrders[EffectiveQty],T_PlannedOrders[Part Name],$A1149,T_PlannedOrders[WeekIndex],79)=0,"",SUMIFS(T_PlannedOrders[EffectiveQty],T_PlannedOrders[Part Name],$A1149,T_PlannedOrders[WeekIndex],79)&amp;" ("&amp;TEXT(SUMPRODUCT(MAX((T_PlannedOrders[Part Name]=$A1149)*(T_PlannedOrders[WeekIndex]=79)*(T_PlannedOrders[EffectiveQty]&gt;0)*T_PlannedOrders[Order_Month])),"m月")&amp;"発注)")</f>
        <v/>
      </c>
      <c r="CE1161">
        <f>IF(SUMIFS(T_PlannedOrders[EffectiveQty],T_PlannedOrders[Part Name],$A1149,T_PlannedOrders[WeekIndex],80)=0,"",SUMIFS(T_PlannedOrders[EffectiveQty],T_PlannedOrders[Part Name],$A1149,T_PlannedOrders[WeekIndex],80)&amp;" ("&amp;TEXT(SUMPRODUCT(MAX((T_PlannedOrders[Part Name]=$A1149)*(T_PlannedOrders[WeekIndex]=80)*(T_PlannedOrders[EffectiveQty]&gt;0)*T_PlannedOrders[Order_Month])),"m月")&amp;"発注)")</f>
        <v/>
      </c>
      <c r="CF1161">
        <f>IF(SUMIFS(T_PlannedOrders[EffectiveQty],T_PlannedOrders[Part Name],$A1149,T_PlannedOrders[WeekIndex],81)=0,"",SUMIFS(T_PlannedOrders[EffectiveQty],T_PlannedOrders[Part Name],$A1149,T_PlannedOrders[WeekIndex],81)&amp;" ("&amp;TEXT(SUMPRODUCT(MAX((T_PlannedOrders[Part Name]=$A1149)*(T_PlannedOrders[WeekIndex]=81)*(T_PlannedOrders[EffectiveQty]&gt;0)*T_PlannedOrders[Order_Month])),"m月")&amp;"発注)")</f>
        <v/>
      </c>
      <c r="CG1161">
        <f>IF(SUMIFS(T_PlannedOrders[EffectiveQty],T_PlannedOrders[Part Name],$A1149,T_PlannedOrders[WeekIndex],82)=0,"",SUMIFS(T_PlannedOrders[EffectiveQty],T_PlannedOrders[Part Name],$A1149,T_PlannedOrders[WeekIndex],82)&amp;" ("&amp;TEXT(SUMPRODUCT(MAX((T_PlannedOrders[Part Name]=$A1149)*(T_PlannedOrders[WeekIndex]=82)*(T_PlannedOrders[EffectiveQty]&gt;0)*T_PlannedOrders[Order_Month])),"m月")&amp;"発注)")</f>
        <v/>
      </c>
      <c r="CH1161">
        <f>IF(SUMIFS(T_PlannedOrders[EffectiveQty],T_PlannedOrders[Part Name],$A1149,T_PlannedOrders[WeekIndex],83)=0,"",SUMIFS(T_PlannedOrders[EffectiveQty],T_PlannedOrders[Part Name],$A1149,T_PlannedOrders[WeekIndex],83)&amp;" ("&amp;TEXT(SUMPRODUCT(MAX((T_PlannedOrders[Part Name]=$A1149)*(T_PlannedOrders[WeekIndex]=83)*(T_PlannedOrders[EffectiveQty]&gt;0)*T_PlannedOrders[Order_Month])),"m月")&amp;"発注)")</f>
        <v/>
      </c>
      <c r="CI1161">
        <f>IF(SUMIFS(T_PlannedOrders[EffectiveQty],T_PlannedOrders[Part Name],$A1149,T_PlannedOrders[WeekIndex],84)=0,"",SUMIFS(T_PlannedOrders[EffectiveQty],T_PlannedOrders[Part Name],$A1149,T_PlannedOrders[WeekIndex],84)&amp;" ("&amp;TEXT(SUMPRODUCT(MAX((T_PlannedOrders[Part Name]=$A1149)*(T_PlannedOrders[WeekIndex]=84)*(T_PlannedOrders[EffectiveQty]&gt;0)*T_PlannedOrders[Order_Month])),"m月")&amp;"発注)")</f>
        <v/>
      </c>
      <c r="CJ1161">
        <f>IF(SUMIFS(T_PlannedOrders[EffectiveQty],T_PlannedOrders[Part Name],$A1149,T_PlannedOrders[WeekIndex],85)=0,"",SUMIFS(T_PlannedOrders[EffectiveQty],T_PlannedOrders[Part Name],$A1149,T_PlannedOrders[WeekIndex],85)&amp;" ("&amp;TEXT(SUMPRODUCT(MAX((T_PlannedOrders[Part Name]=$A1149)*(T_PlannedOrders[WeekIndex]=85)*(T_PlannedOrders[EffectiveQty]&gt;0)*T_PlannedOrders[Order_Month])),"m月")&amp;"発注)")</f>
        <v/>
      </c>
      <c r="CK1161">
        <f>IF(SUMIFS(T_PlannedOrders[EffectiveQty],T_PlannedOrders[Part Name],$A1149,T_PlannedOrders[WeekIndex],86)=0,"",SUMIFS(T_PlannedOrders[EffectiveQty],T_PlannedOrders[Part Name],$A1149,T_PlannedOrders[WeekIndex],86)&amp;" ("&amp;TEXT(SUMPRODUCT(MAX((T_PlannedOrders[Part Name]=$A1149)*(T_PlannedOrders[WeekIndex]=86)*(T_PlannedOrders[EffectiveQty]&gt;0)*T_PlannedOrders[Order_Month])),"m月")&amp;"発注)")</f>
        <v/>
      </c>
      <c r="CL1161">
        <f>IF(SUMIFS(T_PlannedOrders[EffectiveQty],T_PlannedOrders[Part Name],$A1149,T_PlannedOrders[WeekIndex],87)=0,"",SUMIFS(T_PlannedOrders[EffectiveQty],T_PlannedOrders[Part Name],$A1149,T_PlannedOrders[WeekIndex],87)&amp;" ("&amp;TEXT(SUMPRODUCT(MAX((T_PlannedOrders[Part Name]=$A1149)*(T_PlannedOrders[WeekIndex]=87)*(T_PlannedOrders[EffectiveQty]&gt;0)*T_PlannedOrders[Order_Month])),"m月")&amp;"発注)")</f>
        <v/>
      </c>
      <c r="CM1161">
        <f>IF(SUMIFS(T_PlannedOrders[EffectiveQty],T_PlannedOrders[Part Name],$A1149,T_PlannedOrders[WeekIndex],88)=0,"",SUMIFS(T_PlannedOrders[EffectiveQty],T_PlannedOrders[Part Name],$A1149,T_PlannedOrders[WeekIndex],88)&amp;" ("&amp;TEXT(SUMPRODUCT(MAX((T_PlannedOrders[Part Name]=$A1149)*(T_PlannedOrders[WeekIndex]=88)*(T_PlannedOrders[EffectiveQty]&gt;0)*T_PlannedOrders[Order_Month])),"m月")&amp;"発注)")</f>
        <v/>
      </c>
      <c r="CN1161">
        <f>IF(SUMIFS(T_PlannedOrders[EffectiveQty],T_PlannedOrders[Part Name],$A1149,T_PlannedOrders[WeekIndex],89)=0,"",SUMIFS(T_PlannedOrders[EffectiveQty],T_PlannedOrders[Part Name],$A1149,T_PlannedOrders[WeekIndex],89)&amp;" ("&amp;TEXT(SUMPRODUCT(MAX((T_PlannedOrders[Part Name]=$A1149)*(T_PlannedOrders[WeekIndex]=89)*(T_PlannedOrders[EffectiveQty]&gt;0)*T_PlannedOrders[Order_Month])),"m月")&amp;"発注)")</f>
        <v/>
      </c>
      <c r="CO1161">
        <f>IF(SUMIFS(T_PlannedOrders[EffectiveQty],T_PlannedOrders[Part Name],$A1149,T_PlannedOrders[WeekIndex],90)=0,"",SUMIFS(T_PlannedOrders[EffectiveQty],T_PlannedOrders[Part Name],$A1149,T_PlannedOrders[WeekIndex],90)&amp;" ("&amp;TEXT(SUMPRODUCT(MAX((T_PlannedOrders[Part Name]=$A1149)*(T_PlannedOrders[WeekIndex]=90)*(T_PlannedOrders[EffectiveQty]&gt;0)*T_PlannedOrders[Order_Month])),"m月")&amp;"発注)")</f>
        <v/>
      </c>
      <c r="CP1161">
        <f>IF(SUMIFS(T_PlannedOrders[EffectiveQty],T_PlannedOrders[Part Name],$A1149,T_PlannedOrders[WeekIndex],91)=0,"",SUMIFS(T_PlannedOrders[EffectiveQty],T_PlannedOrders[Part Name],$A1149,T_PlannedOrders[WeekIndex],91)&amp;" ("&amp;TEXT(SUMPRODUCT(MAX((T_PlannedOrders[Part Name]=$A1149)*(T_PlannedOrders[WeekIndex]=91)*(T_PlannedOrders[EffectiveQty]&gt;0)*T_PlannedOrders[Order_Month])),"m月")&amp;"発注)")</f>
        <v/>
      </c>
      <c r="CQ1161">
        <f>IF(SUMIFS(T_PlannedOrders[EffectiveQty],T_PlannedOrders[Part Name],$A1149,T_PlannedOrders[WeekIndex],92)=0,"",SUMIFS(T_PlannedOrders[EffectiveQty],T_PlannedOrders[Part Name],$A1149,T_PlannedOrders[WeekIndex],92)&amp;" ("&amp;TEXT(SUMPRODUCT(MAX((T_PlannedOrders[Part Name]=$A1149)*(T_PlannedOrders[WeekIndex]=92)*(T_PlannedOrders[EffectiveQty]&gt;0)*T_PlannedOrders[Order_Month])),"m月")&amp;"発注)")</f>
        <v/>
      </c>
      <c r="CR1161">
        <f>IF(SUMIFS(T_PlannedOrders[EffectiveQty],T_PlannedOrders[Part Name],$A1149,T_PlannedOrders[WeekIndex],93)=0,"",SUMIFS(T_PlannedOrders[EffectiveQty],T_PlannedOrders[Part Name],$A1149,T_PlannedOrders[WeekIndex],93)&amp;" ("&amp;TEXT(SUMPRODUCT(MAX((T_PlannedOrders[Part Name]=$A1149)*(T_PlannedOrders[WeekIndex]=93)*(T_PlannedOrders[EffectiveQty]&gt;0)*T_PlannedOrders[Order_Month])),"m月")&amp;"発注)")</f>
        <v/>
      </c>
      <c r="CS1161">
        <f>IF(SUMIFS(T_PlannedOrders[EffectiveQty],T_PlannedOrders[Part Name],$A1149,T_PlannedOrders[WeekIndex],94)=0,"",SUMIFS(T_PlannedOrders[EffectiveQty],T_PlannedOrders[Part Name],$A1149,T_PlannedOrders[WeekIndex],94)&amp;" ("&amp;TEXT(SUMPRODUCT(MAX((T_PlannedOrders[Part Name]=$A1149)*(T_PlannedOrders[WeekIndex]=94)*(T_PlannedOrders[EffectiveQty]&gt;0)*T_PlannedOrders[Order_Month])),"m月")&amp;"発注)")</f>
        <v/>
      </c>
      <c r="CT1161">
        <f>IF(SUMIFS(T_PlannedOrders[EffectiveQty],T_PlannedOrders[Part Name],$A1149,T_PlannedOrders[WeekIndex],95)=0,"",SUMIFS(T_PlannedOrders[EffectiveQty],T_PlannedOrders[Part Name],$A1149,T_PlannedOrders[WeekIndex],95)&amp;" ("&amp;TEXT(SUMPRODUCT(MAX((T_PlannedOrders[Part Name]=$A1149)*(T_PlannedOrders[WeekIndex]=95)*(T_PlannedOrders[EffectiveQty]&gt;0)*T_PlannedOrders[Order_Month])),"m月")&amp;"発注)")</f>
        <v/>
      </c>
      <c r="CU1161">
        <f>IF(SUMIFS(T_PlannedOrders[EffectiveQty],T_PlannedOrders[Part Name],$A1149,T_PlannedOrders[WeekIndex],96)=0,"",SUMIFS(T_PlannedOrders[EffectiveQty],T_PlannedOrders[Part Name],$A1149,T_PlannedOrders[WeekIndex],96)&amp;" ("&amp;TEXT(SUMPRODUCT(MAX((T_PlannedOrders[Part Name]=$A1149)*(T_PlannedOrders[WeekIndex]=96)*(T_PlannedOrders[EffectiveQty]&gt;0)*T_PlannedOrders[Order_Month])),"m月")&amp;"発注)")</f>
        <v/>
      </c>
      <c r="CV1161">
        <f>IF(SUMIFS(T_PlannedOrders[EffectiveQty],T_PlannedOrders[Part Name],$A1149,T_PlannedOrders[WeekIndex],97)=0,"",SUMIFS(T_PlannedOrders[EffectiveQty],T_PlannedOrders[Part Name],$A1149,T_PlannedOrders[WeekIndex],97)&amp;" ("&amp;TEXT(SUMPRODUCT(MAX((T_PlannedOrders[Part Name]=$A1149)*(T_PlannedOrders[WeekIndex]=97)*(T_PlannedOrders[EffectiveQty]&gt;0)*T_PlannedOrders[Order_Month])),"m月")&amp;"発注)")</f>
        <v/>
      </c>
      <c r="CW1161">
        <f>IF(SUMIFS(T_PlannedOrders[EffectiveQty],T_PlannedOrders[Part Name],$A1149,T_PlannedOrders[WeekIndex],98)=0,"",SUMIFS(T_PlannedOrders[EffectiveQty],T_PlannedOrders[Part Name],$A1149,T_PlannedOrders[WeekIndex],98)&amp;" ("&amp;TEXT(SUMPRODUCT(MAX((T_PlannedOrders[Part Name]=$A1149)*(T_PlannedOrders[WeekIndex]=98)*(T_PlannedOrders[EffectiveQty]&gt;0)*T_PlannedOrders[Order_Month])),"m月")&amp;"発注)")</f>
        <v/>
      </c>
      <c r="CX1161">
        <f>IF(SUMIFS(T_PlannedOrders[EffectiveQty],T_PlannedOrders[Part Name],$A1149,T_PlannedOrders[WeekIndex],99)=0,"",SUMIFS(T_PlannedOrders[EffectiveQty],T_PlannedOrders[Part Name],$A1149,T_PlannedOrders[WeekIndex],99)&amp;" ("&amp;TEXT(SUMPRODUCT(MAX((T_PlannedOrders[Part Name]=$A1149)*(T_PlannedOrders[WeekIndex]=99)*(T_PlannedOrders[EffectiveQty]&gt;0)*T_PlannedOrders[Order_Month])),"m月")&amp;"発注)")</f>
        <v/>
      </c>
      <c r="CY1161">
        <f>IF(SUMIFS(T_PlannedOrders[EffectiveQty],T_PlannedOrders[Part Name],$A1149,T_PlannedOrders[WeekIndex],100)=0,"",SUMIFS(T_PlannedOrders[EffectiveQty],T_PlannedOrders[Part Name],$A1149,T_PlannedOrders[WeekIndex],100)&amp;" ("&amp;TEXT(SUMPRODUCT(MAX((T_PlannedOrders[Part Name]=$A1149)*(T_PlannedOrders[WeekIndex]=100)*(T_PlannedOrders[EffectiveQty]&gt;0)*T_PlannedOrders[Order_Month])),"m月")&amp;"発注)")</f>
        <v/>
      </c>
      <c r="CZ1161">
        <f>IF(SUMIFS(T_PlannedOrders[EffectiveQty],T_PlannedOrders[Part Name],$A1149,T_PlannedOrders[WeekIndex],101)=0,"",SUMIFS(T_PlannedOrders[EffectiveQty],T_PlannedOrders[Part Name],$A1149,T_PlannedOrders[WeekIndex],101)&amp;" ("&amp;TEXT(SUMPRODUCT(MAX((T_PlannedOrders[Part Name]=$A1149)*(T_PlannedOrders[WeekIndex]=101)*(T_PlannedOrders[EffectiveQty]&gt;0)*T_PlannedOrders[Order_Month])),"m月")&amp;"発注)")</f>
        <v/>
      </c>
      <c r="DA1161">
        <f>IF(SUMIFS(T_PlannedOrders[EffectiveQty],T_PlannedOrders[Part Name],$A1149,T_PlannedOrders[WeekIndex],102)=0,"",SUMIFS(T_PlannedOrders[EffectiveQty],T_PlannedOrders[Part Name],$A1149,T_PlannedOrders[WeekIndex],102)&amp;" ("&amp;TEXT(SUMPRODUCT(MAX((T_PlannedOrders[Part Name]=$A1149)*(T_PlannedOrders[WeekIndex]=102)*(T_PlannedOrders[EffectiveQty]&gt;0)*T_PlannedOrders[Order_Month])),"m月")&amp;"発注)")</f>
        <v/>
      </c>
      <c r="DB1161">
        <f>IF(SUMIFS(T_PlannedOrders[EffectiveQty],T_PlannedOrders[Part Name],$A1149,T_PlannedOrders[WeekIndex],103)=0,"",SUMIFS(T_PlannedOrders[EffectiveQty],T_PlannedOrders[Part Name],$A1149,T_PlannedOrders[WeekIndex],103)&amp;" ("&amp;TEXT(SUMPRODUCT(MAX((T_PlannedOrders[Part Name]=$A1149)*(T_PlannedOrders[WeekIndex]=103)*(T_PlannedOrders[EffectiveQty]&gt;0)*T_PlannedOrders[Order_Month])),"m月")&amp;"発注)")</f>
        <v/>
      </c>
      <c r="DC1161">
        <f>IF(SUMIFS(T_PlannedOrders[EffectiveQty],T_PlannedOrders[Part Name],$A1149,T_PlannedOrders[WeekIndex],104)=0,"",SUMIFS(T_PlannedOrders[EffectiveQty],T_PlannedOrders[Part Name],$A1149,T_PlannedOrders[WeekIndex],104)&amp;" ("&amp;TEXT(SUMPRODUCT(MAX((T_PlannedOrders[Part Name]=$A1149)*(T_PlannedOrders[WeekIndex]=104)*(T_PlannedOrders[EffectiveQty]&gt;0)*T_PlannedOrders[Order_Month])),"m月")&amp;"発注)")</f>
        <v/>
      </c>
    </row>
    <row r="1162">
      <c r="B1162" s="5" t="inlineStr">
        <is>
          <t>合計在庫(週末時点,kg)</t>
        </is>
      </c>
      <c r="D1162">
        <f>'Grid_Stock'!B30</f>
        <v/>
      </c>
      <c r="E1162">
        <f>'Grid_Stock'!C30</f>
        <v/>
      </c>
      <c r="F1162">
        <f>'Grid_Stock'!D30</f>
        <v/>
      </c>
      <c r="G1162">
        <f>'Grid_Stock'!E30</f>
        <v/>
      </c>
      <c r="H1162">
        <f>'Grid_Stock'!F30</f>
        <v/>
      </c>
      <c r="I1162">
        <f>'Grid_Stock'!G30</f>
        <v/>
      </c>
      <c r="J1162">
        <f>'Grid_Stock'!H30</f>
        <v/>
      </c>
      <c r="K1162">
        <f>'Grid_Stock'!I30</f>
        <v/>
      </c>
      <c r="L1162">
        <f>'Grid_Stock'!J30</f>
        <v/>
      </c>
      <c r="M1162">
        <f>'Grid_Stock'!K30</f>
        <v/>
      </c>
      <c r="N1162">
        <f>'Grid_Stock'!L30</f>
        <v/>
      </c>
      <c r="O1162">
        <f>'Grid_Stock'!M30</f>
        <v/>
      </c>
      <c r="P1162">
        <f>'Grid_Stock'!N30</f>
        <v/>
      </c>
      <c r="Q1162">
        <f>'Grid_Stock'!O30</f>
        <v/>
      </c>
      <c r="R1162">
        <f>'Grid_Stock'!P30</f>
        <v/>
      </c>
      <c r="S1162">
        <f>'Grid_Stock'!Q30</f>
        <v/>
      </c>
      <c r="T1162">
        <f>'Grid_Stock'!R30</f>
        <v/>
      </c>
      <c r="U1162">
        <f>'Grid_Stock'!S30</f>
        <v/>
      </c>
      <c r="V1162">
        <f>'Grid_Stock'!T30</f>
        <v/>
      </c>
      <c r="W1162">
        <f>'Grid_Stock'!U30</f>
        <v/>
      </c>
      <c r="X1162">
        <f>'Grid_Stock'!V30</f>
        <v/>
      </c>
      <c r="Y1162">
        <f>'Grid_Stock'!W30</f>
        <v/>
      </c>
      <c r="Z1162">
        <f>'Grid_Stock'!X30</f>
        <v/>
      </c>
      <c r="AA1162">
        <f>'Grid_Stock'!Y30</f>
        <v/>
      </c>
      <c r="AB1162">
        <f>'Grid_Stock'!Z30</f>
        <v/>
      </c>
      <c r="AC1162">
        <f>'Grid_Stock'!AA30</f>
        <v/>
      </c>
      <c r="AD1162">
        <f>'Grid_Stock'!AB30</f>
        <v/>
      </c>
      <c r="AE1162">
        <f>'Grid_Stock'!AC30</f>
        <v/>
      </c>
      <c r="AF1162">
        <f>'Grid_Stock'!AD30</f>
        <v/>
      </c>
      <c r="AG1162">
        <f>'Grid_Stock'!AE30</f>
        <v/>
      </c>
      <c r="AH1162">
        <f>'Grid_Stock'!AF30</f>
        <v/>
      </c>
      <c r="AI1162">
        <f>'Grid_Stock'!AG30</f>
        <v/>
      </c>
      <c r="AJ1162">
        <f>'Grid_Stock'!AH30</f>
        <v/>
      </c>
      <c r="AK1162">
        <f>'Grid_Stock'!AI30</f>
        <v/>
      </c>
      <c r="AL1162">
        <f>'Grid_Stock'!AJ30</f>
        <v/>
      </c>
      <c r="AM1162">
        <f>'Grid_Stock'!AK30</f>
        <v/>
      </c>
      <c r="AN1162">
        <f>'Grid_Stock'!AL30</f>
        <v/>
      </c>
      <c r="AO1162">
        <f>'Grid_Stock'!AM30</f>
        <v/>
      </c>
      <c r="AP1162">
        <f>'Grid_Stock'!AN30</f>
        <v/>
      </c>
      <c r="AQ1162">
        <f>'Grid_Stock'!AO30</f>
        <v/>
      </c>
      <c r="AR1162">
        <f>'Grid_Stock'!AP30</f>
        <v/>
      </c>
      <c r="AS1162">
        <f>'Grid_Stock'!AQ30</f>
        <v/>
      </c>
      <c r="AT1162">
        <f>'Grid_Stock'!AR30</f>
        <v/>
      </c>
      <c r="AU1162">
        <f>'Grid_Stock'!AS30</f>
        <v/>
      </c>
      <c r="AV1162">
        <f>'Grid_Stock'!AT30</f>
        <v/>
      </c>
      <c r="AW1162">
        <f>'Grid_Stock'!AU30</f>
        <v/>
      </c>
      <c r="AX1162">
        <f>'Grid_Stock'!AV30</f>
        <v/>
      </c>
      <c r="AY1162">
        <f>'Grid_Stock'!AW30</f>
        <v/>
      </c>
      <c r="AZ1162">
        <f>'Grid_Stock'!AX30</f>
        <v/>
      </c>
      <c r="BA1162">
        <f>'Grid_Stock'!AY30</f>
        <v/>
      </c>
      <c r="BB1162">
        <f>'Grid_Stock'!AZ30</f>
        <v/>
      </c>
      <c r="BC1162">
        <f>'Grid_Stock'!BA30</f>
        <v/>
      </c>
      <c r="BD1162">
        <f>'Grid_Stock'!BB30</f>
        <v/>
      </c>
      <c r="BE1162">
        <f>'Grid_Stock'!BC30</f>
        <v/>
      </c>
      <c r="BF1162">
        <f>'Grid_Stock'!BD30</f>
        <v/>
      </c>
      <c r="BG1162">
        <f>'Grid_Stock'!BE30</f>
        <v/>
      </c>
      <c r="BH1162">
        <f>'Grid_Stock'!BF30</f>
        <v/>
      </c>
      <c r="BI1162">
        <f>'Grid_Stock'!BG30</f>
        <v/>
      </c>
      <c r="BJ1162">
        <f>'Grid_Stock'!BH30</f>
        <v/>
      </c>
      <c r="BK1162">
        <f>'Grid_Stock'!BI30</f>
        <v/>
      </c>
      <c r="BL1162">
        <f>'Grid_Stock'!BJ30</f>
        <v/>
      </c>
      <c r="BM1162">
        <f>'Grid_Stock'!BK30</f>
        <v/>
      </c>
      <c r="BN1162">
        <f>'Grid_Stock'!BL30</f>
        <v/>
      </c>
      <c r="BO1162">
        <f>'Grid_Stock'!BM30</f>
        <v/>
      </c>
      <c r="BP1162">
        <f>'Grid_Stock'!BN30</f>
        <v/>
      </c>
      <c r="BQ1162">
        <f>'Grid_Stock'!BO30</f>
        <v/>
      </c>
      <c r="BR1162">
        <f>'Grid_Stock'!BP30</f>
        <v/>
      </c>
      <c r="BS1162">
        <f>'Grid_Stock'!BQ30</f>
        <v/>
      </c>
      <c r="BT1162">
        <f>'Grid_Stock'!BR30</f>
        <v/>
      </c>
      <c r="BU1162">
        <f>'Grid_Stock'!BS30</f>
        <v/>
      </c>
      <c r="BV1162">
        <f>'Grid_Stock'!BT30</f>
        <v/>
      </c>
      <c r="BW1162">
        <f>'Grid_Stock'!BU30</f>
        <v/>
      </c>
      <c r="BX1162">
        <f>'Grid_Stock'!BV30</f>
        <v/>
      </c>
      <c r="BY1162">
        <f>'Grid_Stock'!BW30</f>
        <v/>
      </c>
      <c r="BZ1162">
        <f>'Grid_Stock'!BX30</f>
        <v/>
      </c>
      <c r="CA1162">
        <f>'Grid_Stock'!BY30</f>
        <v/>
      </c>
      <c r="CB1162">
        <f>'Grid_Stock'!BZ30</f>
        <v/>
      </c>
      <c r="CC1162">
        <f>'Grid_Stock'!CA30</f>
        <v/>
      </c>
      <c r="CD1162">
        <f>'Grid_Stock'!CB30</f>
        <v/>
      </c>
      <c r="CE1162">
        <f>'Grid_Stock'!CC30</f>
        <v/>
      </c>
      <c r="CF1162">
        <f>'Grid_Stock'!CD30</f>
        <v/>
      </c>
      <c r="CG1162">
        <f>'Grid_Stock'!CE30</f>
        <v/>
      </c>
      <c r="CH1162">
        <f>'Grid_Stock'!CF30</f>
        <v/>
      </c>
      <c r="CI1162">
        <f>'Grid_Stock'!CG30</f>
        <v/>
      </c>
      <c r="CJ1162">
        <f>'Grid_Stock'!CH30</f>
        <v/>
      </c>
      <c r="CK1162">
        <f>'Grid_Stock'!CI30</f>
        <v/>
      </c>
      <c r="CL1162">
        <f>'Grid_Stock'!CJ30</f>
        <v/>
      </c>
      <c r="CM1162">
        <f>'Grid_Stock'!CK30</f>
        <v/>
      </c>
      <c r="CN1162">
        <f>'Grid_Stock'!CL30</f>
        <v/>
      </c>
      <c r="CO1162">
        <f>'Grid_Stock'!CM30</f>
        <v/>
      </c>
      <c r="CP1162">
        <f>'Grid_Stock'!CN30</f>
        <v/>
      </c>
      <c r="CQ1162">
        <f>'Grid_Stock'!CO30</f>
        <v/>
      </c>
      <c r="CR1162">
        <f>'Grid_Stock'!CP30</f>
        <v/>
      </c>
      <c r="CS1162">
        <f>'Grid_Stock'!CQ30</f>
        <v/>
      </c>
      <c r="CT1162">
        <f>'Grid_Stock'!CR30</f>
        <v/>
      </c>
      <c r="CU1162">
        <f>'Grid_Stock'!CS30</f>
        <v/>
      </c>
      <c r="CV1162">
        <f>'Grid_Stock'!CT30</f>
        <v/>
      </c>
      <c r="CW1162">
        <f>'Grid_Stock'!CU30</f>
        <v/>
      </c>
      <c r="CX1162">
        <f>'Grid_Stock'!CV30</f>
        <v/>
      </c>
      <c r="CY1162">
        <f>'Grid_Stock'!CW30</f>
        <v/>
      </c>
      <c r="CZ1162">
        <f>'Grid_Stock'!CX30</f>
        <v/>
      </c>
      <c r="DA1162">
        <f>'Grid_Stock'!CY30</f>
        <v/>
      </c>
      <c r="DB1162">
        <f>'Grid_Stock'!CZ30</f>
        <v/>
      </c>
      <c r="DC1162">
        <f>'Grid_Stock'!DA30</f>
        <v/>
      </c>
    </row>
    <row r="1163">
      <c r="B1163" s="23" t="inlineStr">
        <is>
          <t>（発注の目安はDashboardの基準在庫[下限/上限]と色分けを参照）</t>
        </is>
      </c>
    </row>
    <row r="1165">
      <c r="A1165" s="21" t="inlineStr">
        <is>
          <t>CHEM-1690</t>
        </is>
      </c>
      <c r="B1165" s="21" t="inlineStr">
        <is>
          <t>TPZ 560</t>
        </is>
      </c>
      <c r="C1165" s="22" t="n"/>
      <c r="D1165" s="21" t="n"/>
      <c r="E1165" s="21" t="n"/>
      <c r="F1165" s="21" t="n"/>
      <c r="G1165" s="21" t="n"/>
      <c r="H1165" s="21" t="n"/>
      <c r="I1165" s="21" t="n"/>
      <c r="J1165" s="21" t="n"/>
      <c r="K1165" s="21" t="n"/>
      <c r="L1165" s="21" t="n"/>
      <c r="M1165" s="21" t="n"/>
      <c r="N1165" s="21" t="n"/>
      <c r="O1165" s="21" t="n"/>
      <c r="P1165" s="21" t="n"/>
      <c r="Q1165" s="21" t="n"/>
      <c r="R1165" s="21" t="n"/>
      <c r="S1165" s="21" t="n"/>
      <c r="T1165" s="21" t="n"/>
      <c r="U1165" s="21" t="n"/>
      <c r="V1165" s="21" t="n"/>
      <c r="W1165" s="21" t="n"/>
      <c r="X1165" s="21" t="n"/>
      <c r="Y1165" s="21" t="n"/>
      <c r="Z1165" s="21" t="n"/>
      <c r="AA1165" s="21" t="n"/>
      <c r="AB1165" s="21" t="n"/>
      <c r="AC1165" s="21" t="n"/>
      <c r="AD1165" s="21" t="n"/>
      <c r="AE1165" s="21" t="n"/>
      <c r="AF1165" s="21" t="n"/>
      <c r="AG1165" s="21" t="n"/>
      <c r="AH1165" s="21" t="n"/>
      <c r="AI1165" s="21" t="n"/>
      <c r="AJ1165" s="21" t="n"/>
      <c r="AK1165" s="21" t="n"/>
      <c r="AL1165" s="21" t="n"/>
      <c r="AM1165" s="21" t="n"/>
      <c r="AN1165" s="21" t="n"/>
      <c r="AO1165" s="21" t="n"/>
      <c r="AP1165" s="21" t="n"/>
      <c r="AQ1165" s="21" t="n"/>
      <c r="AR1165" s="21" t="n"/>
      <c r="AS1165" s="21" t="n"/>
      <c r="AT1165" s="21" t="n"/>
      <c r="AU1165" s="21" t="n"/>
      <c r="AV1165" s="21" t="n"/>
      <c r="AW1165" s="21" t="n"/>
      <c r="AX1165" s="21" t="n"/>
      <c r="AY1165" s="21" t="n"/>
      <c r="AZ1165" s="21" t="n"/>
      <c r="BA1165" s="21" t="n"/>
      <c r="BB1165" s="21" t="n"/>
      <c r="BC1165" s="21" t="n"/>
      <c r="BD1165" s="21" t="n"/>
      <c r="BE1165" s="21" t="n"/>
      <c r="BF1165" s="21" t="n"/>
      <c r="BG1165" s="21" t="n"/>
      <c r="BH1165" s="21" t="n"/>
      <c r="BI1165" s="21" t="n"/>
      <c r="BJ1165" s="21" t="n"/>
      <c r="BK1165" s="21" t="n"/>
      <c r="BL1165" s="21" t="n"/>
      <c r="BM1165" s="21" t="n"/>
      <c r="BN1165" s="21" t="n"/>
      <c r="BO1165" s="21" t="n"/>
      <c r="BP1165" s="21" t="n"/>
      <c r="BQ1165" s="21" t="n"/>
      <c r="BR1165" s="21" t="n"/>
      <c r="BS1165" s="21" t="n"/>
      <c r="BT1165" s="21" t="n"/>
      <c r="BU1165" s="21" t="n"/>
      <c r="BV1165" s="21" t="n"/>
      <c r="BW1165" s="21" t="n"/>
      <c r="BX1165" s="21" t="n"/>
      <c r="BY1165" s="21" t="n"/>
      <c r="BZ1165" s="21" t="n"/>
      <c r="CA1165" s="21" t="n"/>
      <c r="CB1165" s="21" t="n"/>
      <c r="CC1165" s="21" t="n"/>
      <c r="CD1165" s="21" t="n"/>
      <c r="CE1165" s="21" t="n"/>
      <c r="CF1165" s="21" t="n"/>
      <c r="CG1165" s="21" t="n"/>
      <c r="CH1165" s="21" t="n"/>
      <c r="CI1165" s="21" t="n"/>
      <c r="CJ1165" s="21" t="n"/>
      <c r="CK1165" s="21" t="n"/>
      <c r="CL1165" s="21" t="n"/>
      <c r="CM1165" s="21" t="n"/>
      <c r="CN1165" s="21" t="n"/>
      <c r="CO1165" s="21" t="n"/>
      <c r="CP1165" s="21" t="n"/>
      <c r="CQ1165" s="21" t="n"/>
      <c r="CR1165" s="21" t="n"/>
      <c r="CS1165" s="21" t="n"/>
      <c r="CT1165" s="21" t="n"/>
      <c r="CU1165" s="21" t="n"/>
      <c r="CV1165" s="21" t="n"/>
      <c r="CW1165" s="21" t="n"/>
      <c r="CX1165" s="21" t="n"/>
      <c r="CY1165" s="21" t="n"/>
      <c r="CZ1165" s="21" t="n"/>
      <c r="DA1165" s="21" t="n"/>
      <c r="DB1165" s="21" t="n"/>
      <c r="DC1165" s="21" t="n"/>
    </row>
    <row r="1166">
      <c r="B1166" t="inlineStr">
        <is>
          <t>TSP-618</t>
        </is>
      </c>
      <c r="C1166" t="inlineStr">
        <is>
          <t>No. of batches</t>
        </is>
      </c>
      <c r="D1166">
        <f>IFERROR(INDEX(PP_Grid[#Data],$DD1166,2),0)</f>
        <v/>
      </c>
      <c r="E1166">
        <f>IFERROR(INDEX(PP_Grid[#Data],$DD1166,3),0)</f>
        <v/>
      </c>
      <c r="F1166">
        <f>IFERROR(INDEX(PP_Grid[#Data],$DD1166,4),0)</f>
        <v/>
      </c>
      <c r="G1166">
        <f>IFERROR(INDEX(PP_Grid[#Data],$DD1166,5),0)</f>
        <v/>
      </c>
      <c r="H1166">
        <f>IFERROR(INDEX(PP_Grid[#Data],$DD1166,6),0)</f>
        <v/>
      </c>
      <c r="I1166">
        <f>IFERROR(INDEX(PP_Grid[#Data],$DD1166,7),0)</f>
        <v/>
      </c>
      <c r="J1166">
        <f>IFERROR(INDEX(PP_Grid[#Data],$DD1166,8),0)</f>
        <v/>
      </c>
      <c r="K1166">
        <f>IFERROR(INDEX(PP_Grid[#Data],$DD1166,9),0)</f>
        <v/>
      </c>
      <c r="L1166">
        <f>IFERROR(INDEX(PP_Grid[#Data],$DD1166,10),0)</f>
        <v/>
      </c>
      <c r="M1166">
        <f>IFERROR(INDEX(PP_Grid[#Data],$DD1166,11),0)</f>
        <v/>
      </c>
      <c r="N1166">
        <f>IFERROR(INDEX(PP_Grid[#Data],$DD1166,12),0)</f>
        <v/>
      </c>
      <c r="O1166">
        <f>IFERROR(INDEX(PP_Grid[#Data],$DD1166,13),0)</f>
        <v/>
      </c>
      <c r="P1166">
        <f>IFERROR(INDEX(PP_Grid[#Data],$DD1166,14),0)</f>
        <v/>
      </c>
      <c r="Q1166">
        <f>IFERROR(INDEX(PP_Grid[#Data],$DD1166,15),0)</f>
        <v/>
      </c>
      <c r="R1166">
        <f>IFERROR(INDEX(PP_Grid[#Data],$DD1166,16),0)</f>
        <v/>
      </c>
      <c r="S1166">
        <f>IFERROR(INDEX(PP_Grid[#Data],$DD1166,17),0)</f>
        <v/>
      </c>
      <c r="T1166">
        <f>IFERROR(INDEX(PP_Grid[#Data],$DD1166,18),0)</f>
        <v/>
      </c>
      <c r="U1166">
        <f>IFERROR(INDEX(PP_Grid[#Data],$DD1166,19),0)</f>
        <v/>
      </c>
      <c r="V1166">
        <f>IFERROR(INDEX(PP_Grid[#Data],$DD1166,20),0)</f>
        <v/>
      </c>
      <c r="W1166">
        <f>IFERROR(INDEX(PP_Grid[#Data],$DD1166,21),0)</f>
        <v/>
      </c>
      <c r="X1166">
        <f>IFERROR(INDEX(PP_Grid[#Data],$DD1166,22),0)</f>
        <v/>
      </c>
      <c r="Y1166">
        <f>IFERROR(INDEX(PP_Grid[#Data],$DD1166,23),0)</f>
        <v/>
      </c>
      <c r="Z1166">
        <f>IFERROR(INDEX(PP_Grid[#Data],$DD1166,24),0)</f>
        <v/>
      </c>
      <c r="AA1166">
        <f>IFERROR(INDEX(PP_Grid[#Data],$DD1166,25),0)</f>
        <v/>
      </c>
      <c r="AB1166">
        <f>IFERROR(INDEX(PP_Grid[#Data],$DD1166,26),0)</f>
        <v/>
      </c>
      <c r="AC1166">
        <f>IFERROR(INDEX(PP_Grid[#Data],$DD1166,27),0)</f>
        <v/>
      </c>
      <c r="AD1166">
        <f>IFERROR(INDEX(PP_Grid[#Data],$DD1166,28),0)</f>
        <v/>
      </c>
      <c r="AE1166">
        <f>IFERROR(INDEX(PP_Grid[#Data],$DD1166,29),0)</f>
        <v/>
      </c>
      <c r="AF1166">
        <f>IFERROR(INDEX(PP_Grid[#Data],$DD1166,30),0)</f>
        <v/>
      </c>
      <c r="AG1166">
        <f>IFERROR(INDEX(PP_Grid[#Data],$DD1166,31),0)</f>
        <v/>
      </c>
      <c r="AH1166">
        <f>IFERROR(INDEX(PP_Grid[#Data],$DD1166,32),0)</f>
        <v/>
      </c>
      <c r="AI1166">
        <f>IFERROR(INDEX(PP_Grid[#Data],$DD1166,33),0)</f>
        <v/>
      </c>
      <c r="AJ1166">
        <f>IFERROR(INDEX(PP_Grid[#Data],$DD1166,34),0)</f>
        <v/>
      </c>
      <c r="AK1166">
        <f>IFERROR(INDEX(PP_Grid[#Data],$DD1166,35),0)</f>
        <v/>
      </c>
      <c r="AL1166">
        <f>IFERROR(INDEX(PP_Grid[#Data],$DD1166,36),0)</f>
        <v/>
      </c>
      <c r="AM1166">
        <f>IFERROR(INDEX(PP_Grid[#Data],$DD1166,37),0)</f>
        <v/>
      </c>
      <c r="AN1166">
        <f>IFERROR(INDEX(PP_Grid[#Data],$DD1166,38),0)</f>
        <v/>
      </c>
      <c r="AO1166">
        <f>IFERROR(INDEX(PP_Grid[#Data],$DD1166,39),0)</f>
        <v/>
      </c>
      <c r="AP1166">
        <f>IFERROR(INDEX(PP_Grid[#Data],$DD1166,40),0)</f>
        <v/>
      </c>
      <c r="AQ1166">
        <f>IFERROR(INDEX(PP_Grid[#Data],$DD1166,41),0)</f>
        <v/>
      </c>
      <c r="AR1166">
        <f>IFERROR(INDEX(PP_Grid[#Data],$DD1166,42),0)</f>
        <v/>
      </c>
      <c r="AS1166">
        <f>IFERROR(INDEX(PP_Grid[#Data],$DD1166,43),0)</f>
        <v/>
      </c>
      <c r="AT1166">
        <f>IFERROR(INDEX(PP_Grid[#Data],$DD1166,44),0)</f>
        <v/>
      </c>
      <c r="AU1166">
        <f>IFERROR(INDEX(PP_Grid[#Data],$DD1166,45),0)</f>
        <v/>
      </c>
      <c r="AV1166">
        <f>IFERROR(INDEX(PP_Grid[#Data],$DD1166,46),0)</f>
        <v/>
      </c>
      <c r="AW1166">
        <f>IFERROR(INDEX(PP_Grid[#Data],$DD1166,47),0)</f>
        <v/>
      </c>
      <c r="AX1166">
        <f>IFERROR(INDEX(PP_Grid[#Data],$DD1166,48),0)</f>
        <v/>
      </c>
      <c r="AY1166">
        <f>IFERROR(INDEX(PP_Grid[#Data],$DD1166,49),0)</f>
        <v/>
      </c>
      <c r="AZ1166">
        <f>IFERROR(INDEX(PP_Grid[#Data],$DD1166,50),0)</f>
        <v/>
      </c>
      <c r="BA1166">
        <f>IFERROR(INDEX(PP_Grid[#Data],$DD1166,51),0)</f>
        <v/>
      </c>
      <c r="BB1166">
        <f>IFERROR(INDEX(PP_Grid[#Data],$DD1166,52),0)</f>
        <v/>
      </c>
      <c r="BC1166">
        <f>IFERROR(INDEX(PP_Grid[#Data],$DD1166,53),0)</f>
        <v/>
      </c>
      <c r="BD1166">
        <f>IFERROR(INDEX(PP_Grid[#Data],$DD1166,54),0)</f>
        <v/>
      </c>
      <c r="BE1166">
        <f>IFERROR(INDEX(PP_Grid[#Data],$DD1166,55),0)</f>
        <v/>
      </c>
      <c r="BF1166">
        <f>IFERROR(INDEX(PP_Grid[#Data],$DD1166,56),0)</f>
        <v/>
      </c>
      <c r="BG1166">
        <f>IFERROR(INDEX(PP_Grid[#Data],$DD1166,57),0)</f>
        <v/>
      </c>
      <c r="BH1166">
        <f>IFERROR(INDEX(PP_Grid[#Data],$DD1166,58),0)</f>
        <v/>
      </c>
      <c r="BI1166">
        <f>IFERROR(INDEX(PP_Grid[#Data],$DD1166,59),0)</f>
        <v/>
      </c>
      <c r="BJ1166">
        <f>IFERROR(INDEX(PP_Grid[#Data],$DD1166,60),0)</f>
        <v/>
      </c>
      <c r="BK1166">
        <f>IFERROR(INDEX(PP_Grid[#Data],$DD1166,61),0)</f>
        <v/>
      </c>
      <c r="BL1166">
        <f>IFERROR(INDEX(PP_Grid[#Data],$DD1166,62),0)</f>
        <v/>
      </c>
      <c r="BM1166">
        <f>IFERROR(INDEX(PP_Grid[#Data],$DD1166,63),0)</f>
        <v/>
      </c>
      <c r="BN1166">
        <f>IFERROR(INDEX(PP_Grid[#Data],$DD1166,64),0)</f>
        <v/>
      </c>
      <c r="BO1166">
        <f>IFERROR(INDEX(PP_Grid[#Data],$DD1166,65),0)</f>
        <v/>
      </c>
      <c r="BP1166">
        <f>IFERROR(INDEX(PP_Grid[#Data],$DD1166,66),0)</f>
        <v/>
      </c>
      <c r="BQ1166">
        <f>IFERROR(INDEX(PP_Grid[#Data],$DD1166,67),0)</f>
        <v/>
      </c>
      <c r="BR1166">
        <f>IFERROR(INDEX(PP_Grid[#Data],$DD1166,68),0)</f>
        <v/>
      </c>
      <c r="BS1166">
        <f>IFERROR(INDEX(PP_Grid[#Data],$DD1166,69),0)</f>
        <v/>
      </c>
      <c r="BT1166">
        <f>IFERROR(INDEX(PP_Grid[#Data],$DD1166,70),0)</f>
        <v/>
      </c>
      <c r="BU1166">
        <f>IFERROR(INDEX(PP_Grid[#Data],$DD1166,71),0)</f>
        <v/>
      </c>
      <c r="BV1166">
        <f>IFERROR(INDEX(PP_Grid[#Data],$DD1166,72),0)</f>
        <v/>
      </c>
      <c r="BW1166">
        <f>IFERROR(INDEX(PP_Grid[#Data],$DD1166,73),0)</f>
        <v/>
      </c>
      <c r="BX1166">
        <f>IFERROR(INDEX(PP_Grid[#Data],$DD1166,74),0)</f>
        <v/>
      </c>
      <c r="BY1166">
        <f>IFERROR(INDEX(PP_Grid[#Data],$DD1166,75),0)</f>
        <v/>
      </c>
      <c r="BZ1166">
        <f>IFERROR(INDEX(PP_Grid[#Data],$DD1166,76),0)</f>
        <v/>
      </c>
      <c r="CA1166">
        <f>IFERROR(INDEX(PP_Grid[#Data],$DD1166,77),0)</f>
        <v/>
      </c>
      <c r="CB1166">
        <f>IFERROR(INDEX(PP_Grid[#Data],$DD1166,78),0)</f>
        <v/>
      </c>
      <c r="CC1166">
        <f>IFERROR(INDEX(PP_Grid[#Data],$DD1166,79),0)</f>
        <v/>
      </c>
      <c r="CD1166">
        <f>IFERROR(INDEX(PP_Grid[#Data],$DD1166,80),0)</f>
        <v/>
      </c>
      <c r="CE1166">
        <f>IFERROR(INDEX(PP_Grid[#Data],$DD1166,81),0)</f>
        <v/>
      </c>
      <c r="CF1166">
        <f>IFERROR(INDEX(PP_Grid[#Data],$DD1166,82),0)</f>
        <v/>
      </c>
      <c r="CG1166">
        <f>IFERROR(INDEX(PP_Grid[#Data],$DD1166,83),0)</f>
        <v/>
      </c>
      <c r="CH1166">
        <f>IFERROR(INDEX(PP_Grid[#Data],$DD1166,84),0)</f>
        <v/>
      </c>
      <c r="CI1166">
        <f>IFERROR(INDEX(PP_Grid[#Data],$DD1166,85),0)</f>
        <v/>
      </c>
      <c r="CJ1166">
        <f>IFERROR(INDEX(PP_Grid[#Data],$DD1166,86),0)</f>
        <v/>
      </c>
      <c r="CK1166">
        <f>IFERROR(INDEX(PP_Grid[#Data],$DD1166,87),0)</f>
        <v/>
      </c>
      <c r="CL1166">
        <f>IFERROR(INDEX(PP_Grid[#Data],$DD1166,88),0)</f>
        <v/>
      </c>
      <c r="CM1166">
        <f>IFERROR(INDEX(PP_Grid[#Data],$DD1166,89),0)</f>
        <v/>
      </c>
      <c r="CN1166">
        <f>IFERROR(INDEX(PP_Grid[#Data],$DD1166,90),0)</f>
        <v/>
      </c>
      <c r="CO1166">
        <f>IFERROR(INDEX(PP_Grid[#Data],$DD1166,91),0)</f>
        <v/>
      </c>
      <c r="CP1166">
        <f>IFERROR(INDEX(PP_Grid[#Data],$DD1166,92),0)</f>
        <v/>
      </c>
      <c r="CQ1166">
        <f>IFERROR(INDEX(PP_Grid[#Data],$DD1166,93),0)</f>
        <v/>
      </c>
      <c r="CR1166">
        <f>IFERROR(INDEX(PP_Grid[#Data],$DD1166,94),0)</f>
        <v/>
      </c>
      <c r="CS1166">
        <f>IFERROR(INDEX(PP_Grid[#Data],$DD1166,95),0)</f>
        <v/>
      </c>
      <c r="CT1166">
        <f>IFERROR(INDEX(PP_Grid[#Data],$DD1166,96),0)</f>
        <v/>
      </c>
      <c r="CU1166">
        <f>IFERROR(INDEX(PP_Grid[#Data],$DD1166,97),0)</f>
        <v/>
      </c>
      <c r="CV1166">
        <f>IFERROR(INDEX(PP_Grid[#Data],$DD1166,98),0)</f>
        <v/>
      </c>
      <c r="CW1166">
        <f>IFERROR(INDEX(PP_Grid[#Data],$DD1166,99),0)</f>
        <v/>
      </c>
      <c r="CX1166">
        <f>IFERROR(INDEX(PP_Grid[#Data],$DD1166,100),0)</f>
        <v/>
      </c>
      <c r="CY1166">
        <f>IFERROR(INDEX(PP_Grid[#Data],$DD1166,101),0)</f>
        <v/>
      </c>
      <c r="CZ1166">
        <f>IFERROR(INDEX(PP_Grid[#Data],$DD1166,102),0)</f>
        <v/>
      </c>
      <c r="DA1166">
        <f>IFERROR(INDEX(PP_Grid[#Data],$DD1166,103),0)</f>
        <v/>
      </c>
      <c r="DB1166">
        <f>IFERROR(INDEX(PP_Grid[#Data],$DD1166,104),0)</f>
        <v/>
      </c>
      <c r="DC1166">
        <f>IFERROR(INDEX(PP_Grid[#Data],$DD1166,105),0)</f>
        <v/>
      </c>
      <c r="DD1166" s="12">
        <f>IFERROR(MATCH($B1166,PP_Grid[Intermediate],0),99999)</f>
        <v/>
      </c>
    </row>
    <row r="1167">
      <c r="B1167" t="inlineStr">
        <is>
          <t>使用量(kg)</t>
        </is>
      </c>
      <c r="C1167">
        <f>SUMIFS(M_BOM[RM_Qty_Per_Batch],M_BOM[Intermediate],$B1166,M_BOM[Part Name],$A1165)</f>
        <v/>
      </c>
      <c r="D1167">
        <f>$C1167*D1166</f>
        <v/>
      </c>
      <c r="E1167">
        <f>$C1167*E1166</f>
        <v/>
      </c>
      <c r="F1167">
        <f>$C1167*F1166</f>
        <v/>
      </c>
      <c r="G1167">
        <f>$C1167*G1166</f>
        <v/>
      </c>
      <c r="H1167">
        <f>$C1167*H1166</f>
        <v/>
      </c>
      <c r="I1167">
        <f>$C1167*I1166</f>
        <v/>
      </c>
      <c r="J1167">
        <f>$C1167*J1166</f>
        <v/>
      </c>
      <c r="K1167">
        <f>$C1167*K1166</f>
        <v/>
      </c>
      <c r="L1167">
        <f>$C1167*L1166</f>
        <v/>
      </c>
      <c r="M1167">
        <f>$C1167*M1166</f>
        <v/>
      </c>
      <c r="N1167">
        <f>$C1167*N1166</f>
        <v/>
      </c>
      <c r="O1167">
        <f>$C1167*O1166</f>
        <v/>
      </c>
      <c r="P1167">
        <f>$C1167*P1166</f>
        <v/>
      </c>
      <c r="Q1167">
        <f>$C1167*Q1166</f>
        <v/>
      </c>
      <c r="R1167">
        <f>$C1167*R1166</f>
        <v/>
      </c>
      <c r="S1167">
        <f>$C1167*S1166</f>
        <v/>
      </c>
      <c r="T1167">
        <f>$C1167*T1166</f>
        <v/>
      </c>
      <c r="U1167">
        <f>$C1167*U1166</f>
        <v/>
      </c>
      <c r="V1167">
        <f>$C1167*V1166</f>
        <v/>
      </c>
      <c r="W1167">
        <f>$C1167*W1166</f>
        <v/>
      </c>
      <c r="X1167">
        <f>$C1167*X1166</f>
        <v/>
      </c>
      <c r="Y1167">
        <f>$C1167*Y1166</f>
        <v/>
      </c>
      <c r="Z1167">
        <f>$C1167*Z1166</f>
        <v/>
      </c>
      <c r="AA1167">
        <f>$C1167*AA1166</f>
        <v/>
      </c>
      <c r="AB1167">
        <f>$C1167*AB1166</f>
        <v/>
      </c>
      <c r="AC1167">
        <f>$C1167*AC1166</f>
        <v/>
      </c>
      <c r="AD1167">
        <f>$C1167*AD1166</f>
        <v/>
      </c>
      <c r="AE1167">
        <f>$C1167*AE1166</f>
        <v/>
      </c>
      <c r="AF1167">
        <f>$C1167*AF1166</f>
        <v/>
      </c>
      <c r="AG1167">
        <f>$C1167*AG1166</f>
        <v/>
      </c>
      <c r="AH1167">
        <f>$C1167*AH1166</f>
        <v/>
      </c>
      <c r="AI1167">
        <f>$C1167*AI1166</f>
        <v/>
      </c>
      <c r="AJ1167">
        <f>$C1167*AJ1166</f>
        <v/>
      </c>
      <c r="AK1167">
        <f>$C1167*AK1166</f>
        <v/>
      </c>
      <c r="AL1167">
        <f>$C1167*AL1166</f>
        <v/>
      </c>
      <c r="AM1167">
        <f>$C1167*AM1166</f>
        <v/>
      </c>
      <c r="AN1167">
        <f>$C1167*AN1166</f>
        <v/>
      </c>
      <c r="AO1167">
        <f>$C1167*AO1166</f>
        <v/>
      </c>
      <c r="AP1167">
        <f>$C1167*AP1166</f>
        <v/>
      </c>
      <c r="AQ1167">
        <f>$C1167*AQ1166</f>
        <v/>
      </c>
      <c r="AR1167">
        <f>$C1167*AR1166</f>
        <v/>
      </c>
      <c r="AS1167">
        <f>$C1167*AS1166</f>
        <v/>
      </c>
      <c r="AT1167">
        <f>$C1167*AT1166</f>
        <v/>
      </c>
      <c r="AU1167">
        <f>$C1167*AU1166</f>
        <v/>
      </c>
      <c r="AV1167">
        <f>$C1167*AV1166</f>
        <v/>
      </c>
      <c r="AW1167">
        <f>$C1167*AW1166</f>
        <v/>
      </c>
      <c r="AX1167">
        <f>$C1167*AX1166</f>
        <v/>
      </c>
      <c r="AY1167">
        <f>$C1167*AY1166</f>
        <v/>
      </c>
      <c r="AZ1167">
        <f>$C1167*AZ1166</f>
        <v/>
      </c>
      <c r="BA1167">
        <f>$C1167*BA1166</f>
        <v/>
      </c>
      <c r="BB1167">
        <f>$C1167*BB1166</f>
        <v/>
      </c>
      <c r="BC1167">
        <f>$C1167*BC1166</f>
        <v/>
      </c>
      <c r="BD1167">
        <f>$C1167*BD1166</f>
        <v/>
      </c>
      <c r="BE1167">
        <f>$C1167*BE1166</f>
        <v/>
      </c>
      <c r="BF1167">
        <f>$C1167*BF1166</f>
        <v/>
      </c>
      <c r="BG1167">
        <f>$C1167*BG1166</f>
        <v/>
      </c>
      <c r="BH1167">
        <f>$C1167*BH1166</f>
        <v/>
      </c>
      <c r="BI1167">
        <f>$C1167*BI1166</f>
        <v/>
      </c>
      <c r="BJ1167">
        <f>$C1167*BJ1166</f>
        <v/>
      </c>
      <c r="BK1167">
        <f>$C1167*BK1166</f>
        <v/>
      </c>
      <c r="BL1167">
        <f>$C1167*BL1166</f>
        <v/>
      </c>
      <c r="BM1167">
        <f>$C1167*BM1166</f>
        <v/>
      </c>
      <c r="BN1167">
        <f>$C1167*BN1166</f>
        <v/>
      </c>
      <c r="BO1167">
        <f>$C1167*BO1166</f>
        <v/>
      </c>
      <c r="BP1167">
        <f>$C1167*BP1166</f>
        <v/>
      </c>
      <c r="BQ1167">
        <f>$C1167*BQ1166</f>
        <v/>
      </c>
      <c r="BR1167">
        <f>$C1167*BR1166</f>
        <v/>
      </c>
      <c r="BS1167">
        <f>$C1167*BS1166</f>
        <v/>
      </c>
      <c r="BT1167">
        <f>$C1167*BT1166</f>
        <v/>
      </c>
      <c r="BU1167">
        <f>$C1167*BU1166</f>
        <v/>
      </c>
      <c r="BV1167">
        <f>$C1167*BV1166</f>
        <v/>
      </c>
      <c r="BW1167">
        <f>$C1167*BW1166</f>
        <v/>
      </c>
      <c r="BX1167">
        <f>$C1167*BX1166</f>
        <v/>
      </c>
      <c r="BY1167">
        <f>$C1167*BY1166</f>
        <v/>
      </c>
      <c r="BZ1167">
        <f>$C1167*BZ1166</f>
        <v/>
      </c>
      <c r="CA1167">
        <f>$C1167*CA1166</f>
        <v/>
      </c>
      <c r="CB1167">
        <f>$C1167*CB1166</f>
        <v/>
      </c>
      <c r="CC1167">
        <f>$C1167*CC1166</f>
        <v/>
      </c>
      <c r="CD1167">
        <f>$C1167*CD1166</f>
        <v/>
      </c>
      <c r="CE1167">
        <f>$C1167*CE1166</f>
        <v/>
      </c>
      <c r="CF1167">
        <f>$C1167*CF1166</f>
        <v/>
      </c>
      <c r="CG1167">
        <f>$C1167*CG1166</f>
        <v/>
      </c>
      <c r="CH1167">
        <f>$C1167*CH1166</f>
        <v/>
      </c>
      <c r="CI1167">
        <f>$C1167*CI1166</f>
        <v/>
      </c>
      <c r="CJ1167">
        <f>$C1167*CJ1166</f>
        <v/>
      </c>
      <c r="CK1167">
        <f>$C1167*CK1166</f>
        <v/>
      </c>
      <c r="CL1167">
        <f>$C1167*CL1166</f>
        <v/>
      </c>
      <c r="CM1167">
        <f>$C1167*CM1166</f>
        <v/>
      </c>
      <c r="CN1167">
        <f>$C1167*CN1166</f>
        <v/>
      </c>
      <c r="CO1167">
        <f>$C1167*CO1166</f>
        <v/>
      </c>
      <c r="CP1167">
        <f>$C1167*CP1166</f>
        <v/>
      </c>
      <c r="CQ1167">
        <f>$C1167*CQ1166</f>
        <v/>
      </c>
      <c r="CR1167">
        <f>$C1167*CR1166</f>
        <v/>
      </c>
      <c r="CS1167">
        <f>$C1167*CS1166</f>
        <v/>
      </c>
      <c r="CT1167">
        <f>$C1167*CT1166</f>
        <v/>
      </c>
      <c r="CU1167">
        <f>$C1167*CU1166</f>
        <v/>
      </c>
      <c r="CV1167">
        <f>$C1167*CV1166</f>
        <v/>
      </c>
      <c r="CW1167">
        <f>$C1167*CW1166</f>
        <v/>
      </c>
      <c r="CX1167">
        <f>$C1167*CX1166</f>
        <v/>
      </c>
      <c r="CY1167">
        <f>$C1167*CY1166</f>
        <v/>
      </c>
      <c r="CZ1167">
        <f>$C1167*CZ1166</f>
        <v/>
      </c>
      <c r="DA1167">
        <f>$C1167*DA1166</f>
        <v/>
      </c>
      <c r="DB1167">
        <f>$C1167*DB1166</f>
        <v/>
      </c>
      <c r="DC1167">
        <f>$C1167*DC1166</f>
        <v/>
      </c>
    </row>
    <row r="1168">
      <c r="B1168" t="inlineStr">
        <is>
          <t>TSP-903</t>
        </is>
      </c>
      <c r="C1168" t="inlineStr">
        <is>
          <t>No. of batches</t>
        </is>
      </c>
      <c r="D1168">
        <f>IFERROR(INDEX(PP_Grid[#Data],$DD1168,2),0)</f>
        <v/>
      </c>
      <c r="E1168">
        <f>IFERROR(INDEX(PP_Grid[#Data],$DD1168,3),0)</f>
        <v/>
      </c>
      <c r="F1168">
        <f>IFERROR(INDEX(PP_Grid[#Data],$DD1168,4),0)</f>
        <v/>
      </c>
      <c r="G1168">
        <f>IFERROR(INDEX(PP_Grid[#Data],$DD1168,5),0)</f>
        <v/>
      </c>
      <c r="H1168">
        <f>IFERROR(INDEX(PP_Grid[#Data],$DD1168,6),0)</f>
        <v/>
      </c>
      <c r="I1168">
        <f>IFERROR(INDEX(PP_Grid[#Data],$DD1168,7),0)</f>
        <v/>
      </c>
      <c r="J1168">
        <f>IFERROR(INDEX(PP_Grid[#Data],$DD1168,8),0)</f>
        <v/>
      </c>
      <c r="K1168">
        <f>IFERROR(INDEX(PP_Grid[#Data],$DD1168,9),0)</f>
        <v/>
      </c>
      <c r="L1168">
        <f>IFERROR(INDEX(PP_Grid[#Data],$DD1168,10),0)</f>
        <v/>
      </c>
      <c r="M1168">
        <f>IFERROR(INDEX(PP_Grid[#Data],$DD1168,11),0)</f>
        <v/>
      </c>
      <c r="N1168">
        <f>IFERROR(INDEX(PP_Grid[#Data],$DD1168,12),0)</f>
        <v/>
      </c>
      <c r="O1168">
        <f>IFERROR(INDEX(PP_Grid[#Data],$DD1168,13),0)</f>
        <v/>
      </c>
      <c r="P1168">
        <f>IFERROR(INDEX(PP_Grid[#Data],$DD1168,14),0)</f>
        <v/>
      </c>
      <c r="Q1168">
        <f>IFERROR(INDEX(PP_Grid[#Data],$DD1168,15),0)</f>
        <v/>
      </c>
      <c r="R1168">
        <f>IFERROR(INDEX(PP_Grid[#Data],$DD1168,16),0)</f>
        <v/>
      </c>
      <c r="S1168">
        <f>IFERROR(INDEX(PP_Grid[#Data],$DD1168,17),0)</f>
        <v/>
      </c>
      <c r="T1168">
        <f>IFERROR(INDEX(PP_Grid[#Data],$DD1168,18),0)</f>
        <v/>
      </c>
      <c r="U1168">
        <f>IFERROR(INDEX(PP_Grid[#Data],$DD1168,19),0)</f>
        <v/>
      </c>
      <c r="V1168">
        <f>IFERROR(INDEX(PP_Grid[#Data],$DD1168,20),0)</f>
        <v/>
      </c>
      <c r="W1168">
        <f>IFERROR(INDEX(PP_Grid[#Data],$DD1168,21),0)</f>
        <v/>
      </c>
      <c r="X1168">
        <f>IFERROR(INDEX(PP_Grid[#Data],$DD1168,22),0)</f>
        <v/>
      </c>
      <c r="Y1168">
        <f>IFERROR(INDEX(PP_Grid[#Data],$DD1168,23),0)</f>
        <v/>
      </c>
      <c r="Z1168">
        <f>IFERROR(INDEX(PP_Grid[#Data],$DD1168,24),0)</f>
        <v/>
      </c>
      <c r="AA1168">
        <f>IFERROR(INDEX(PP_Grid[#Data],$DD1168,25),0)</f>
        <v/>
      </c>
      <c r="AB1168">
        <f>IFERROR(INDEX(PP_Grid[#Data],$DD1168,26),0)</f>
        <v/>
      </c>
      <c r="AC1168">
        <f>IFERROR(INDEX(PP_Grid[#Data],$DD1168,27),0)</f>
        <v/>
      </c>
      <c r="AD1168">
        <f>IFERROR(INDEX(PP_Grid[#Data],$DD1168,28),0)</f>
        <v/>
      </c>
      <c r="AE1168">
        <f>IFERROR(INDEX(PP_Grid[#Data],$DD1168,29),0)</f>
        <v/>
      </c>
      <c r="AF1168">
        <f>IFERROR(INDEX(PP_Grid[#Data],$DD1168,30),0)</f>
        <v/>
      </c>
      <c r="AG1168">
        <f>IFERROR(INDEX(PP_Grid[#Data],$DD1168,31),0)</f>
        <v/>
      </c>
      <c r="AH1168">
        <f>IFERROR(INDEX(PP_Grid[#Data],$DD1168,32),0)</f>
        <v/>
      </c>
      <c r="AI1168">
        <f>IFERROR(INDEX(PP_Grid[#Data],$DD1168,33),0)</f>
        <v/>
      </c>
      <c r="AJ1168">
        <f>IFERROR(INDEX(PP_Grid[#Data],$DD1168,34),0)</f>
        <v/>
      </c>
      <c r="AK1168">
        <f>IFERROR(INDEX(PP_Grid[#Data],$DD1168,35),0)</f>
        <v/>
      </c>
      <c r="AL1168">
        <f>IFERROR(INDEX(PP_Grid[#Data],$DD1168,36),0)</f>
        <v/>
      </c>
      <c r="AM1168">
        <f>IFERROR(INDEX(PP_Grid[#Data],$DD1168,37),0)</f>
        <v/>
      </c>
      <c r="AN1168">
        <f>IFERROR(INDEX(PP_Grid[#Data],$DD1168,38),0)</f>
        <v/>
      </c>
      <c r="AO1168">
        <f>IFERROR(INDEX(PP_Grid[#Data],$DD1168,39),0)</f>
        <v/>
      </c>
      <c r="AP1168">
        <f>IFERROR(INDEX(PP_Grid[#Data],$DD1168,40),0)</f>
        <v/>
      </c>
      <c r="AQ1168">
        <f>IFERROR(INDEX(PP_Grid[#Data],$DD1168,41),0)</f>
        <v/>
      </c>
      <c r="AR1168">
        <f>IFERROR(INDEX(PP_Grid[#Data],$DD1168,42),0)</f>
        <v/>
      </c>
      <c r="AS1168">
        <f>IFERROR(INDEX(PP_Grid[#Data],$DD1168,43),0)</f>
        <v/>
      </c>
      <c r="AT1168">
        <f>IFERROR(INDEX(PP_Grid[#Data],$DD1168,44),0)</f>
        <v/>
      </c>
      <c r="AU1168">
        <f>IFERROR(INDEX(PP_Grid[#Data],$DD1168,45),0)</f>
        <v/>
      </c>
      <c r="AV1168">
        <f>IFERROR(INDEX(PP_Grid[#Data],$DD1168,46),0)</f>
        <v/>
      </c>
      <c r="AW1168">
        <f>IFERROR(INDEX(PP_Grid[#Data],$DD1168,47),0)</f>
        <v/>
      </c>
      <c r="AX1168">
        <f>IFERROR(INDEX(PP_Grid[#Data],$DD1168,48),0)</f>
        <v/>
      </c>
      <c r="AY1168">
        <f>IFERROR(INDEX(PP_Grid[#Data],$DD1168,49),0)</f>
        <v/>
      </c>
      <c r="AZ1168">
        <f>IFERROR(INDEX(PP_Grid[#Data],$DD1168,50),0)</f>
        <v/>
      </c>
      <c r="BA1168">
        <f>IFERROR(INDEX(PP_Grid[#Data],$DD1168,51),0)</f>
        <v/>
      </c>
      <c r="BB1168">
        <f>IFERROR(INDEX(PP_Grid[#Data],$DD1168,52),0)</f>
        <v/>
      </c>
      <c r="BC1168">
        <f>IFERROR(INDEX(PP_Grid[#Data],$DD1168,53),0)</f>
        <v/>
      </c>
      <c r="BD1168">
        <f>IFERROR(INDEX(PP_Grid[#Data],$DD1168,54),0)</f>
        <v/>
      </c>
      <c r="BE1168">
        <f>IFERROR(INDEX(PP_Grid[#Data],$DD1168,55),0)</f>
        <v/>
      </c>
      <c r="BF1168">
        <f>IFERROR(INDEX(PP_Grid[#Data],$DD1168,56),0)</f>
        <v/>
      </c>
      <c r="BG1168">
        <f>IFERROR(INDEX(PP_Grid[#Data],$DD1168,57),0)</f>
        <v/>
      </c>
      <c r="BH1168">
        <f>IFERROR(INDEX(PP_Grid[#Data],$DD1168,58),0)</f>
        <v/>
      </c>
      <c r="BI1168">
        <f>IFERROR(INDEX(PP_Grid[#Data],$DD1168,59),0)</f>
        <v/>
      </c>
      <c r="BJ1168">
        <f>IFERROR(INDEX(PP_Grid[#Data],$DD1168,60),0)</f>
        <v/>
      </c>
      <c r="BK1168">
        <f>IFERROR(INDEX(PP_Grid[#Data],$DD1168,61),0)</f>
        <v/>
      </c>
      <c r="BL1168">
        <f>IFERROR(INDEX(PP_Grid[#Data],$DD1168,62),0)</f>
        <v/>
      </c>
      <c r="BM1168">
        <f>IFERROR(INDEX(PP_Grid[#Data],$DD1168,63),0)</f>
        <v/>
      </c>
      <c r="BN1168">
        <f>IFERROR(INDEX(PP_Grid[#Data],$DD1168,64),0)</f>
        <v/>
      </c>
      <c r="BO1168">
        <f>IFERROR(INDEX(PP_Grid[#Data],$DD1168,65),0)</f>
        <v/>
      </c>
      <c r="BP1168">
        <f>IFERROR(INDEX(PP_Grid[#Data],$DD1168,66),0)</f>
        <v/>
      </c>
      <c r="BQ1168">
        <f>IFERROR(INDEX(PP_Grid[#Data],$DD1168,67),0)</f>
        <v/>
      </c>
      <c r="BR1168">
        <f>IFERROR(INDEX(PP_Grid[#Data],$DD1168,68),0)</f>
        <v/>
      </c>
      <c r="BS1168">
        <f>IFERROR(INDEX(PP_Grid[#Data],$DD1168,69),0)</f>
        <v/>
      </c>
      <c r="BT1168">
        <f>IFERROR(INDEX(PP_Grid[#Data],$DD1168,70),0)</f>
        <v/>
      </c>
      <c r="BU1168">
        <f>IFERROR(INDEX(PP_Grid[#Data],$DD1168,71),0)</f>
        <v/>
      </c>
      <c r="BV1168">
        <f>IFERROR(INDEX(PP_Grid[#Data],$DD1168,72),0)</f>
        <v/>
      </c>
      <c r="BW1168">
        <f>IFERROR(INDEX(PP_Grid[#Data],$DD1168,73),0)</f>
        <v/>
      </c>
      <c r="BX1168">
        <f>IFERROR(INDEX(PP_Grid[#Data],$DD1168,74),0)</f>
        <v/>
      </c>
      <c r="BY1168">
        <f>IFERROR(INDEX(PP_Grid[#Data],$DD1168,75),0)</f>
        <v/>
      </c>
      <c r="BZ1168">
        <f>IFERROR(INDEX(PP_Grid[#Data],$DD1168,76),0)</f>
        <v/>
      </c>
      <c r="CA1168">
        <f>IFERROR(INDEX(PP_Grid[#Data],$DD1168,77),0)</f>
        <v/>
      </c>
      <c r="CB1168">
        <f>IFERROR(INDEX(PP_Grid[#Data],$DD1168,78),0)</f>
        <v/>
      </c>
      <c r="CC1168">
        <f>IFERROR(INDEX(PP_Grid[#Data],$DD1168,79),0)</f>
        <v/>
      </c>
      <c r="CD1168">
        <f>IFERROR(INDEX(PP_Grid[#Data],$DD1168,80),0)</f>
        <v/>
      </c>
      <c r="CE1168">
        <f>IFERROR(INDEX(PP_Grid[#Data],$DD1168,81),0)</f>
        <v/>
      </c>
      <c r="CF1168">
        <f>IFERROR(INDEX(PP_Grid[#Data],$DD1168,82),0)</f>
        <v/>
      </c>
      <c r="CG1168">
        <f>IFERROR(INDEX(PP_Grid[#Data],$DD1168,83),0)</f>
        <v/>
      </c>
      <c r="CH1168">
        <f>IFERROR(INDEX(PP_Grid[#Data],$DD1168,84),0)</f>
        <v/>
      </c>
      <c r="CI1168">
        <f>IFERROR(INDEX(PP_Grid[#Data],$DD1168,85),0)</f>
        <v/>
      </c>
      <c r="CJ1168">
        <f>IFERROR(INDEX(PP_Grid[#Data],$DD1168,86),0)</f>
        <v/>
      </c>
      <c r="CK1168">
        <f>IFERROR(INDEX(PP_Grid[#Data],$DD1168,87),0)</f>
        <v/>
      </c>
      <c r="CL1168">
        <f>IFERROR(INDEX(PP_Grid[#Data],$DD1168,88),0)</f>
        <v/>
      </c>
      <c r="CM1168">
        <f>IFERROR(INDEX(PP_Grid[#Data],$DD1168,89),0)</f>
        <v/>
      </c>
      <c r="CN1168">
        <f>IFERROR(INDEX(PP_Grid[#Data],$DD1168,90),0)</f>
        <v/>
      </c>
      <c r="CO1168">
        <f>IFERROR(INDEX(PP_Grid[#Data],$DD1168,91),0)</f>
        <v/>
      </c>
      <c r="CP1168">
        <f>IFERROR(INDEX(PP_Grid[#Data],$DD1168,92),0)</f>
        <v/>
      </c>
      <c r="CQ1168">
        <f>IFERROR(INDEX(PP_Grid[#Data],$DD1168,93),0)</f>
        <v/>
      </c>
      <c r="CR1168">
        <f>IFERROR(INDEX(PP_Grid[#Data],$DD1168,94),0)</f>
        <v/>
      </c>
      <c r="CS1168">
        <f>IFERROR(INDEX(PP_Grid[#Data],$DD1168,95),0)</f>
        <v/>
      </c>
      <c r="CT1168">
        <f>IFERROR(INDEX(PP_Grid[#Data],$DD1168,96),0)</f>
        <v/>
      </c>
      <c r="CU1168">
        <f>IFERROR(INDEX(PP_Grid[#Data],$DD1168,97),0)</f>
        <v/>
      </c>
      <c r="CV1168">
        <f>IFERROR(INDEX(PP_Grid[#Data],$DD1168,98),0)</f>
        <v/>
      </c>
      <c r="CW1168">
        <f>IFERROR(INDEX(PP_Grid[#Data],$DD1168,99),0)</f>
        <v/>
      </c>
      <c r="CX1168">
        <f>IFERROR(INDEX(PP_Grid[#Data],$DD1168,100),0)</f>
        <v/>
      </c>
      <c r="CY1168">
        <f>IFERROR(INDEX(PP_Grid[#Data],$DD1168,101),0)</f>
        <v/>
      </c>
      <c r="CZ1168">
        <f>IFERROR(INDEX(PP_Grid[#Data],$DD1168,102),0)</f>
        <v/>
      </c>
      <c r="DA1168">
        <f>IFERROR(INDEX(PP_Grid[#Data],$DD1168,103),0)</f>
        <v/>
      </c>
      <c r="DB1168">
        <f>IFERROR(INDEX(PP_Grid[#Data],$DD1168,104),0)</f>
        <v/>
      </c>
      <c r="DC1168">
        <f>IFERROR(INDEX(PP_Grid[#Data],$DD1168,105),0)</f>
        <v/>
      </c>
      <c r="DD1168" s="12">
        <f>IFERROR(MATCH($B1168,PP_Grid[Intermediate],0),99999)</f>
        <v/>
      </c>
    </row>
    <row r="1169">
      <c r="B1169" t="inlineStr">
        <is>
          <t>使用量(kg)</t>
        </is>
      </c>
      <c r="C1169">
        <f>SUMIFS(M_BOM[RM_Qty_Per_Batch],M_BOM[Intermediate],$B1168,M_BOM[Part Name],$A1165)</f>
        <v/>
      </c>
      <c r="D1169">
        <f>$C1169*D1168</f>
        <v/>
      </c>
      <c r="E1169">
        <f>$C1169*E1168</f>
        <v/>
      </c>
      <c r="F1169">
        <f>$C1169*F1168</f>
        <v/>
      </c>
      <c r="G1169">
        <f>$C1169*G1168</f>
        <v/>
      </c>
      <c r="H1169">
        <f>$C1169*H1168</f>
        <v/>
      </c>
      <c r="I1169">
        <f>$C1169*I1168</f>
        <v/>
      </c>
      <c r="J1169">
        <f>$C1169*J1168</f>
        <v/>
      </c>
      <c r="K1169">
        <f>$C1169*K1168</f>
        <v/>
      </c>
      <c r="L1169">
        <f>$C1169*L1168</f>
        <v/>
      </c>
      <c r="M1169">
        <f>$C1169*M1168</f>
        <v/>
      </c>
      <c r="N1169">
        <f>$C1169*N1168</f>
        <v/>
      </c>
      <c r="O1169">
        <f>$C1169*O1168</f>
        <v/>
      </c>
      <c r="P1169">
        <f>$C1169*P1168</f>
        <v/>
      </c>
      <c r="Q1169">
        <f>$C1169*Q1168</f>
        <v/>
      </c>
      <c r="R1169">
        <f>$C1169*R1168</f>
        <v/>
      </c>
      <c r="S1169">
        <f>$C1169*S1168</f>
        <v/>
      </c>
      <c r="T1169">
        <f>$C1169*T1168</f>
        <v/>
      </c>
      <c r="U1169">
        <f>$C1169*U1168</f>
        <v/>
      </c>
      <c r="V1169">
        <f>$C1169*V1168</f>
        <v/>
      </c>
      <c r="W1169">
        <f>$C1169*W1168</f>
        <v/>
      </c>
      <c r="X1169">
        <f>$C1169*X1168</f>
        <v/>
      </c>
      <c r="Y1169">
        <f>$C1169*Y1168</f>
        <v/>
      </c>
      <c r="Z1169">
        <f>$C1169*Z1168</f>
        <v/>
      </c>
      <c r="AA1169">
        <f>$C1169*AA1168</f>
        <v/>
      </c>
      <c r="AB1169">
        <f>$C1169*AB1168</f>
        <v/>
      </c>
      <c r="AC1169">
        <f>$C1169*AC1168</f>
        <v/>
      </c>
      <c r="AD1169">
        <f>$C1169*AD1168</f>
        <v/>
      </c>
      <c r="AE1169">
        <f>$C1169*AE1168</f>
        <v/>
      </c>
      <c r="AF1169">
        <f>$C1169*AF1168</f>
        <v/>
      </c>
      <c r="AG1169">
        <f>$C1169*AG1168</f>
        <v/>
      </c>
      <c r="AH1169">
        <f>$C1169*AH1168</f>
        <v/>
      </c>
      <c r="AI1169">
        <f>$C1169*AI1168</f>
        <v/>
      </c>
      <c r="AJ1169">
        <f>$C1169*AJ1168</f>
        <v/>
      </c>
      <c r="AK1169">
        <f>$C1169*AK1168</f>
        <v/>
      </c>
      <c r="AL1169">
        <f>$C1169*AL1168</f>
        <v/>
      </c>
      <c r="AM1169">
        <f>$C1169*AM1168</f>
        <v/>
      </c>
      <c r="AN1169">
        <f>$C1169*AN1168</f>
        <v/>
      </c>
      <c r="AO1169">
        <f>$C1169*AO1168</f>
        <v/>
      </c>
      <c r="AP1169">
        <f>$C1169*AP1168</f>
        <v/>
      </c>
      <c r="AQ1169">
        <f>$C1169*AQ1168</f>
        <v/>
      </c>
      <c r="AR1169">
        <f>$C1169*AR1168</f>
        <v/>
      </c>
      <c r="AS1169">
        <f>$C1169*AS1168</f>
        <v/>
      </c>
      <c r="AT1169">
        <f>$C1169*AT1168</f>
        <v/>
      </c>
      <c r="AU1169">
        <f>$C1169*AU1168</f>
        <v/>
      </c>
      <c r="AV1169">
        <f>$C1169*AV1168</f>
        <v/>
      </c>
      <c r="AW1169">
        <f>$C1169*AW1168</f>
        <v/>
      </c>
      <c r="AX1169">
        <f>$C1169*AX1168</f>
        <v/>
      </c>
      <c r="AY1169">
        <f>$C1169*AY1168</f>
        <v/>
      </c>
      <c r="AZ1169">
        <f>$C1169*AZ1168</f>
        <v/>
      </c>
      <c r="BA1169">
        <f>$C1169*BA1168</f>
        <v/>
      </c>
      <c r="BB1169">
        <f>$C1169*BB1168</f>
        <v/>
      </c>
      <c r="BC1169">
        <f>$C1169*BC1168</f>
        <v/>
      </c>
      <c r="BD1169">
        <f>$C1169*BD1168</f>
        <v/>
      </c>
      <c r="BE1169">
        <f>$C1169*BE1168</f>
        <v/>
      </c>
      <c r="BF1169">
        <f>$C1169*BF1168</f>
        <v/>
      </c>
      <c r="BG1169">
        <f>$C1169*BG1168</f>
        <v/>
      </c>
      <c r="BH1169">
        <f>$C1169*BH1168</f>
        <v/>
      </c>
      <c r="BI1169">
        <f>$C1169*BI1168</f>
        <v/>
      </c>
      <c r="BJ1169">
        <f>$C1169*BJ1168</f>
        <v/>
      </c>
      <c r="BK1169">
        <f>$C1169*BK1168</f>
        <v/>
      </c>
      <c r="BL1169">
        <f>$C1169*BL1168</f>
        <v/>
      </c>
      <c r="BM1169">
        <f>$C1169*BM1168</f>
        <v/>
      </c>
      <c r="BN1169">
        <f>$C1169*BN1168</f>
        <v/>
      </c>
      <c r="BO1169">
        <f>$C1169*BO1168</f>
        <v/>
      </c>
      <c r="BP1169">
        <f>$C1169*BP1168</f>
        <v/>
      </c>
      <c r="BQ1169">
        <f>$C1169*BQ1168</f>
        <v/>
      </c>
      <c r="BR1169">
        <f>$C1169*BR1168</f>
        <v/>
      </c>
      <c r="BS1169">
        <f>$C1169*BS1168</f>
        <v/>
      </c>
      <c r="BT1169">
        <f>$C1169*BT1168</f>
        <v/>
      </c>
      <c r="BU1169">
        <f>$C1169*BU1168</f>
        <v/>
      </c>
      <c r="BV1169">
        <f>$C1169*BV1168</f>
        <v/>
      </c>
      <c r="BW1169">
        <f>$C1169*BW1168</f>
        <v/>
      </c>
      <c r="BX1169">
        <f>$C1169*BX1168</f>
        <v/>
      </c>
      <c r="BY1169">
        <f>$C1169*BY1168</f>
        <v/>
      </c>
      <c r="BZ1169">
        <f>$C1169*BZ1168</f>
        <v/>
      </c>
      <c r="CA1169">
        <f>$C1169*CA1168</f>
        <v/>
      </c>
      <c r="CB1169">
        <f>$C1169*CB1168</f>
        <v/>
      </c>
      <c r="CC1169">
        <f>$C1169*CC1168</f>
        <v/>
      </c>
      <c r="CD1169">
        <f>$C1169*CD1168</f>
        <v/>
      </c>
      <c r="CE1169">
        <f>$C1169*CE1168</f>
        <v/>
      </c>
      <c r="CF1169">
        <f>$C1169*CF1168</f>
        <v/>
      </c>
      <c r="CG1169">
        <f>$C1169*CG1168</f>
        <v/>
      </c>
      <c r="CH1169">
        <f>$C1169*CH1168</f>
        <v/>
      </c>
      <c r="CI1169">
        <f>$C1169*CI1168</f>
        <v/>
      </c>
      <c r="CJ1169">
        <f>$C1169*CJ1168</f>
        <v/>
      </c>
      <c r="CK1169">
        <f>$C1169*CK1168</f>
        <v/>
      </c>
      <c r="CL1169">
        <f>$C1169*CL1168</f>
        <v/>
      </c>
      <c r="CM1169">
        <f>$C1169*CM1168</f>
        <v/>
      </c>
      <c r="CN1169">
        <f>$C1169*CN1168</f>
        <v/>
      </c>
      <c r="CO1169">
        <f>$C1169*CO1168</f>
        <v/>
      </c>
      <c r="CP1169">
        <f>$C1169*CP1168</f>
        <v/>
      </c>
      <c r="CQ1169">
        <f>$C1169*CQ1168</f>
        <v/>
      </c>
      <c r="CR1169">
        <f>$C1169*CR1168</f>
        <v/>
      </c>
      <c r="CS1169">
        <f>$C1169*CS1168</f>
        <v/>
      </c>
      <c r="CT1169">
        <f>$C1169*CT1168</f>
        <v/>
      </c>
      <c r="CU1169">
        <f>$C1169*CU1168</f>
        <v/>
      </c>
      <c r="CV1169">
        <f>$C1169*CV1168</f>
        <v/>
      </c>
      <c r="CW1169">
        <f>$C1169*CW1168</f>
        <v/>
      </c>
      <c r="CX1169">
        <f>$C1169*CX1168</f>
        <v/>
      </c>
      <c r="CY1169">
        <f>$C1169*CY1168</f>
        <v/>
      </c>
      <c r="CZ1169">
        <f>$C1169*CZ1168</f>
        <v/>
      </c>
      <c r="DA1169">
        <f>$C1169*DA1168</f>
        <v/>
      </c>
      <c r="DB1169">
        <f>$C1169*DB1168</f>
        <v/>
      </c>
      <c r="DC1169">
        <f>$C1169*DC1168</f>
        <v/>
      </c>
    </row>
    <row r="1170">
      <c r="B1170" t="inlineStr">
        <is>
          <t>TSP-966</t>
        </is>
      </c>
      <c r="C1170" t="inlineStr">
        <is>
          <t>No. of batches</t>
        </is>
      </c>
      <c r="D1170">
        <f>IFERROR(INDEX(PP_Grid[#Data],$DD1170,2),0)</f>
        <v/>
      </c>
      <c r="E1170">
        <f>IFERROR(INDEX(PP_Grid[#Data],$DD1170,3),0)</f>
        <v/>
      </c>
      <c r="F1170">
        <f>IFERROR(INDEX(PP_Grid[#Data],$DD1170,4),0)</f>
        <v/>
      </c>
      <c r="G1170">
        <f>IFERROR(INDEX(PP_Grid[#Data],$DD1170,5),0)</f>
        <v/>
      </c>
      <c r="H1170">
        <f>IFERROR(INDEX(PP_Grid[#Data],$DD1170,6),0)</f>
        <v/>
      </c>
      <c r="I1170">
        <f>IFERROR(INDEX(PP_Grid[#Data],$DD1170,7),0)</f>
        <v/>
      </c>
      <c r="J1170">
        <f>IFERROR(INDEX(PP_Grid[#Data],$DD1170,8),0)</f>
        <v/>
      </c>
      <c r="K1170">
        <f>IFERROR(INDEX(PP_Grid[#Data],$DD1170,9),0)</f>
        <v/>
      </c>
      <c r="L1170">
        <f>IFERROR(INDEX(PP_Grid[#Data],$DD1170,10),0)</f>
        <v/>
      </c>
      <c r="M1170">
        <f>IFERROR(INDEX(PP_Grid[#Data],$DD1170,11),0)</f>
        <v/>
      </c>
      <c r="N1170">
        <f>IFERROR(INDEX(PP_Grid[#Data],$DD1170,12),0)</f>
        <v/>
      </c>
      <c r="O1170">
        <f>IFERROR(INDEX(PP_Grid[#Data],$DD1170,13),0)</f>
        <v/>
      </c>
      <c r="P1170">
        <f>IFERROR(INDEX(PP_Grid[#Data],$DD1170,14),0)</f>
        <v/>
      </c>
      <c r="Q1170">
        <f>IFERROR(INDEX(PP_Grid[#Data],$DD1170,15),0)</f>
        <v/>
      </c>
      <c r="R1170">
        <f>IFERROR(INDEX(PP_Grid[#Data],$DD1170,16),0)</f>
        <v/>
      </c>
      <c r="S1170">
        <f>IFERROR(INDEX(PP_Grid[#Data],$DD1170,17),0)</f>
        <v/>
      </c>
      <c r="T1170">
        <f>IFERROR(INDEX(PP_Grid[#Data],$DD1170,18),0)</f>
        <v/>
      </c>
      <c r="U1170">
        <f>IFERROR(INDEX(PP_Grid[#Data],$DD1170,19),0)</f>
        <v/>
      </c>
      <c r="V1170">
        <f>IFERROR(INDEX(PP_Grid[#Data],$DD1170,20),0)</f>
        <v/>
      </c>
      <c r="W1170">
        <f>IFERROR(INDEX(PP_Grid[#Data],$DD1170,21),0)</f>
        <v/>
      </c>
      <c r="X1170">
        <f>IFERROR(INDEX(PP_Grid[#Data],$DD1170,22),0)</f>
        <v/>
      </c>
      <c r="Y1170">
        <f>IFERROR(INDEX(PP_Grid[#Data],$DD1170,23),0)</f>
        <v/>
      </c>
      <c r="Z1170">
        <f>IFERROR(INDEX(PP_Grid[#Data],$DD1170,24),0)</f>
        <v/>
      </c>
      <c r="AA1170">
        <f>IFERROR(INDEX(PP_Grid[#Data],$DD1170,25),0)</f>
        <v/>
      </c>
      <c r="AB1170">
        <f>IFERROR(INDEX(PP_Grid[#Data],$DD1170,26),0)</f>
        <v/>
      </c>
      <c r="AC1170">
        <f>IFERROR(INDEX(PP_Grid[#Data],$DD1170,27),0)</f>
        <v/>
      </c>
      <c r="AD1170">
        <f>IFERROR(INDEX(PP_Grid[#Data],$DD1170,28),0)</f>
        <v/>
      </c>
      <c r="AE1170">
        <f>IFERROR(INDEX(PP_Grid[#Data],$DD1170,29),0)</f>
        <v/>
      </c>
      <c r="AF1170">
        <f>IFERROR(INDEX(PP_Grid[#Data],$DD1170,30),0)</f>
        <v/>
      </c>
      <c r="AG1170">
        <f>IFERROR(INDEX(PP_Grid[#Data],$DD1170,31),0)</f>
        <v/>
      </c>
      <c r="AH1170">
        <f>IFERROR(INDEX(PP_Grid[#Data],$DD1170,32),0)</f>
        <v/>
      </c>
      <c r="AI1170">
        <f>IFERROR(INDEX(PP_Grid[#Data],$DD1170,33),0)</f>
        <v/>
      </c>
      <c r="AJ1170">
        <f>IFERROR(INDEX(PP_Grid[#Data],$DD1170,34),0)</f>
        <v/>
      </c>
      <c r="AK1170">
        <f>IFERROR(INDEX(PP_Grid[#Data],$DD1170,35),0)</f>
        <v/>
      </c>
      <c r="AL1170">
        <f>IFERROR(INDEX(PP_Grid[#Data],$DD1170,36),0)</f>
        <v/>
      </c>
      <c r="AM1170">
        <f>IFERROR(INDEX(PP_Grid[#Data],$DD1170,37),0)</f>
        <v/>
      </c>
      <c r="AN1170">
        <f>IFERROR(INDEX(PP_Grid[#Data],$DD1170,38),0)</f>
        <v/>
      </c>
      <c r="AO1170">
        <f>IFERROR(INDEX(PP_Grid[#Data],$DD1170,39),0)</f>
        <v/>
      </c>
      <c r="AP1170">
        <f>IFERROR(INDEX(PP_Grid[#Data],$DD1170,40),0)</f>
        <v/>
      </c>
      <c r="AQ1170">
        <f>IFERROR(INDEX(PP_Grid[#Data],$DD1170,41),0)</f>
        <v/>
      </c>
      <c r="AR1170">
        <f>IFERROR(INDEX(PP_Grid[#Data],$DD1170,42),0)</f>
        <v/>
      </c>
      <c r="AS1170">
        <f>IFERROR(INDEX(PP_Grid[#Data],$DD1170,43),0)</f>
        <v/>
      </c>
      <c r="AT1170">
        <f>IFERROR(INDEX(PP_Grid[#Data],$DD1170,44),0)</f>
        <v/>
      </c>
      <c r="AU1170">
        <f>IFERROR(INDEX(PP_Grid[#Data],$DD1170,45),0)</f>
        <v/>
      </c>
      <c r="AV1170">
        <f>IFERROR(INDEX(PP_Grid[#Data],$DD1170,46),0)</f>
        <v/>
      </c>
      <c r="AW1170">
        <f>IFERROR(INDEX(PP_Grid[#Data],$DD1170,47),0)</f>
        <v/>
      </c>
      <c r="AX1170">
        <f>IFERROR(INDEX(PP_Grid[#Data],$DD1170,48),0)</f>
        <v/>
      </c>
      <c r="AY1170">
        <f>IFERROR(INDEX(PP_Grid[#Data],$DD1170,49),0)</f>
        <v/>
      </c>
      <c r="AZ1170">
        <f>IFERROR(INDEX(PP_Grid[#Data],$DD1170,50),0)</f>
        <v/>
      </c>
      <c r="BA1170">
        <f>IFERROR(INDEX(PP_Grid[#Data],$DD1170,51),0)</f>
        <v/>
      </c>
      <c r="BB1170">
        <f>IFERROR(INDEX(PP_Grid[#Data],$DD1170,52),0)</f>
        <v/>
      </c>
      <c r="BC1170">
        <f>IFERROR(INDEX(PP_Grid[#Data],$DD1170,53),0)</f>
        <v/>
      </c>
      <c r="BD1170">
        <f>IFERROR(INDEX(PP_Grid[#Data],$DD1170,54),0)</f>
        <v/>
      </c>
      <c r="BE1170">
        <f>IFERROR(INDEX(PP_Grid[#Data],$DD1170,55),0)</f>
        <v/>
      </c>
      <c r="BF1170">
        <f>IFERROR(INDEX(PP_Grid[#Data],$DD1170,56),0)</f>
        <v/>
      </c>
      <c r="BG1170">
        <f>IFERROR(INDEX(PP_Grid[#Data],$DD1170,57),0)</f>
        <v/>
      </c>
      <c r="BH1170">
        <f>IFERROR(INDEX(PP_Grid[#Data],$DD1170,58),0)</f>
        <v/>
      </c>
      <c r="BI1170">
        <f>IFERROR(INDEX(PP_Grid[#Data],$DD1170,59),0)</f>
        <v/>
      </c>
      <c r="BJ1170">
        <f>IFERROR(INDEX(PP_Grid[#Data],$DD1170,60),0)</f>
        <v/>
      </c>
      <c r="BK1170">
        <f>IFERROR(INDEX(PP_Grid[#Data],$DD1170,61),0)</f>
        <v/>
      </c>
      <c r="BL1170">
        <f>IFERROR(INDEX(PP_Grid[#Data],$DD1170,62),0)</f>
        <v/>
      </c>
      <c r="BM1170">
        <f>IFERROR(INDEX(PP_Grid[#Data],$DD1170,63),0)</f>
        <v/>
      </c>
      <c r="BN1170">
        <f>IFERROR(INDEX(PP_Grid[#Data],$DD1170,64),0)</f>
        <v/>
      </c>
      <c r="BO1170">
        <f>IFERROR(INDEX(PP_Grid[#Data],$DD1170,65),0)</f>
        <v/>
      </c>
      <c r="BP1170">
        <f>IFERROR(INDEX(PP_Grid[#Data],$DD1170,66),0)</f>
        <v/>
      </c>
      <c r="BQ1170">
        <f>IFERROR(INDEX(PP_Grid[#Data],$DD1170,67),0)</f>
        <v/>
      </c>
      <c r="BR1170">
        <f>IFERROR(INDEX(PP_Grid[#Data],$DD1170,68),0)</f>
        <v/>
      </c>
      <c r="BS1170">
        <f>IFERROR(INDEX(PP_Grid[#Data],$DD1170,69),0)</f>
        <v/>
      </c>
      <c r="BT1170">
        <f>IFERROR(INDEX(PP_Grid[#Data],$DD1170,70),0)</f>
        <v/>
      </c>
      <c r="BU1170">
        <f>IFERROR(INDEX(PP_Grid[#Data],$DD1170,71),0)</f>
        <v/>
      </c>
      <c r="BV1170">
        <f>IFERROR(INDEX(PP_Grid[#Data],$DD1170,72),0)</f>
        <v/>
      </c>
      <c r="BW1170">
        <f>IFERROR(INDEX(PP_Grid[#Data],$DD1170,73),0)</f>
        <v/>
      </c>
      <c r="BX1170">
        <f>IFERROR(INDEX(PP_Grid[#Data],$DD1170,74),0)</f>
        <v/>
      </c>
      <c r="BY1170">
        <f>IFERROR(INDEX(PP_Grid[#Data],$DD1170,75),0)</f>
        <v/>
      </c>
      <c r="BZ1170">
        <f>IFERROR(INDEX(PP_Grid[#Data],$DD1170,76),0)</f>
        <v/>
      </c>
      <c r="CA1170">
        <f>IFERROR(INDEX(PP_Grid[#Data],$DD1170,77),0)</f>
        <v/>
      </c>
      <c r="CB1170">
        <f>IFERROR(INDEX(PP_Grid[#Data],$DD1170,78),0)</f>
        <v/>
      </c>
      <c r="CC1170">
        <f>IFERROR(INDEX(PP_Grid[#Data],$DD1170,79),0)</f>
        <v/>
      </c>
      <c r="CD1170">
        <f>IFERROR(INDEX(PP_Grid[#Data],$DD1170,80),0)</f>
        <v/>
      </c>
      <c r="CE1170">
        <f>IFERROR(INDEX(PP_Grid[#Data],$DD1170,81),0)</f>
        <v/>
      </c>
      <c r="CF1170">
        <f>IFERROR(INDEX(PP_Grid[#Data],$DD1170,82),0)</f>
        <v/>
      </c>
      <c r="CG1170">
        <f>IFERROR(INDEX(PP_Grid[#Data],$DD1170,83),0)</f>
        <v/>
      </c>
      <c r="CH1170">
        <f>IFERROR(INDEX(PP_Grid[#Data],$DD1170,84),0)</f>
        <v/>
      </c>
      <c r="CI1170">
        <f>IFERROR(INDEX(PP_Grid[#Data],$DD1170,85),0)</f>
        <v/>
      </c>
      <c r="CJ1170">
        <f>IFERROR(INDEX(PP_Grid[#Data],$DD1170,86),0)</f>
        <v/>
      </c>
      <c r="CK1170">
        <f>IFERROR(INDEX(PP_Grid[#Data],$DD1170,87),0)</f>
        <v/>
      </c>
      <c r="CL1170">
        <f>IFERROR(INDEX(PP_Grid[#Data],$DD1170,88),0)</f>
        <v/>
      </c>
      <c r="CM1170">
        <f>IFERROR(INDEX(PP_Grid[#Data],$DD1170,89),0)</f>
        <v/>
      </c>
      <c r="CN1170">
        <f>IFERROR(INDEX(PP_Grid[#Data],$DD1170,90),0)</f>
        <v/>
      </c>
      <c r="CO1170">
        <f>IFERROR(INDEX(PP_Grid[#Data],$DD1170,91),0)</f>
        <v/>
      </c>
      <c r="CP1170">
        <f>IFERROR(INDEX(PP_Grid[#Data],$DD1170,92),0)</f>
        <v/>
      </c>
      <c r="CQ1170">
        <f>IFERROR(INDEX(PP_Grid[#Data],$DD1170,93),0)</f>
        <v/>
      </c>
      <c r="CR1170">
        <f>IFERROR(INDEX(PP_Grid[#Data],$DD1170,94),0)</f>
        <v/>
      </c>
      <c r="CS1170">
        <f>IFERROR(INDEX(PP_Grid[#Data],$DD1170,95),0)</f>
        <v/>
      </c>
      <c r="CT1170">
        <f>IFERROR(INDEX(PP_Grid[#Data],$DD1170,96),0)</f>
        <v/>
      </c>
      <c r="CU1170">
        <f>IFERROR(INDEX(PP_Grid[#Data],$DD1170,97),0)</f>
        <v/>
      </c>
      <c r="CV1170">
        <f>IFERROR(INDEX(PP_Grid[#Data],$DD1170,98),0)</f>
        <v/>
      </c>
      <c r="CW1170">
        <f>IFERROR(INDEX(PP_Grid[#Data],$DD1170,99),0)</f>
        <v/>
      </c>
      <c r="CX1170">
        <f>IFERROR(INDEX(PP_Grid[#Data],$DD1170,100),0)</f>
        <v/>
      </c>
      <c r="CY1170">
        <f>IFERROR(INDEX(PP_Grid[#Data],$DD1170,101),0)</f>
        <v/>
      </c>
      <c r="CZ1170">
        <f>IFERROR(INDEX(PP_Grid[#Data],$DD1170,102),0)</f>
        <v/>
      </c>
      <c r="DA1170">
        <f>IFERROR(INDEX(PP_Grid[#Data],$DD1170,103),0)</f>
        <v/>
      </c>
      <c r="DB1170">
        <f>IFERROR(INDEX(PP_Grid[#Data],$DD1170,104),0)</f>
        <v/>
      </c>
      <c r="DC1170">
        <f>IFERROR(INDEX(PP_Grid[#Data],$DD1170,105),0)</f>
        <v/>
      </c>
      <c r="DD1170" s="12">
        <f>IFERROR(MATCH($B1170,PP_Grid[Intermediate],0),99999)</f>
        <v/>
      </c>
    </row>
    <row r="1171">
      <c r="B1171" t="inlineStr">
        <is>
          <t>使用量(kg)</t>
        </is>
      </c>
      <c r="C1171">
        <f>SUMIFS(M_BOM[RM_Qty_Per_Batch],M_BOM[Intermediate],$B1170,M_BOM[Part Name],$A1165)</f>
        <v/>
      </c>
      <c r="D1171">
        <f>$C1171*D1170</f>
        <v/>
      </c>
      <c r="E1171">
        <f>$C1171*E1170</f>
        <v/>
      </c>
      <c r="F1171">
        <f>$C1171*F1170</f>
        <v/>
      </c>
      <c r="G1171">
        <f>$C1171*G1170</f>
        <v/>
      </c>
      <c r="H1171">
        <f>$C1171*H1170</f>
        <v/>
      </c>
      <c r="I1171">
        <f>$C1171*I1170</f>
        <v/>
      </c>
      <c r="J1171">
        <f>$C1171*J1170</f>
        <v/>
      </c>
      <c r="K1171">
        <f>$C1171*K1170</f>
        <v/>
      </c>
      <c r="L1171">
        <f>$C1171*L1170</f>
        <v/>
      </c>
      <c r="M1171">
        <f>$C1171*M1170</f>
        <v/>
      </c>
      <c r="N1171">
        <f>$C1171*N1170</f>
        <v/>
      </c>
      <c r="O1171">
        <f>$C1171*O1170</f>
        <v/>
      </c>
      <c r="P1171">
        <f>$C1171*P1170</f>
        <v/>
      </c>
      <c r="Q1171">
        <f>$C1171*Q1170</f>
        <v/>
      </c>
      <c r="R1171">
        <f>$C1171*R1170</f>
        <v/>
      </c>
      <c r="S1171">
        <f>$C1171*S1170</f>
        <v/>
      </c>
      <c r="T1171">
        <f>$C1171*T1170</f>
        <v/>
      </c>
      <c r="U1171">
        <f>$C1171*U1170</f>
        <v/>
      </c>
      <c r="V1171">
        <f>$C1171*V1170</f>
        <v/>
      </c>
      <c r="W1171">
        <f>$C1171*W1170</f>
        <v/>
      </c>
      <c r="X1171">
        <f>$C1171*X1170</f>
        <v/>
      </c>
      <c r="Y1171">
        <f>$C1171*Y1170</f>
        <v/>
      </c>
      <c r="Z1171">
        <f>$C1171*Z1170</f>
        <v/>
      </c>
      <c r="AA1171">
        <f>$C1171*AA1170</f>
        <v/>
      </c>
      <c r="AB1171">
        <f>$C1171*AB1170</f>
        <v/>
      </c>
      <c r="AC1171">
        <f>$C1171*AC1170</f>
        <v/>
      </c>
      <c r="AD1171">
        <f>$C1171*AD1170</f>
        <v/>
      </c>
      <c r="AE1171">
        <f>$C1171*AE1170</f>
        <v/>
      </c>
      <c r="AF1171">
        <f>$C1171*AF1170</f>
        <v/>
      </c>
      <c r="AG1171">
        <f>$C1171*AG1170</f>
        <v/>
      </c>
      <c r="AH1171">
        <f>$C1171*AH1170</f>
        <v/>
      </c>
      <c r="AI1171">
        <f>$C1171*AI1170</f>
        <v/>
      </c>
      <c r="AJ1171">
        <f>$C1171*AJ1170</f>
        <v/>
      </c>
      <c r="AK1171">
        <f>$C1171*AK1170</f>
        <v/>
      </c>
      <c r="AL1171">
        <f>$C1171*AL1170</f>
        <v/>
      </c>
      <c r="AM1171">
        <f>$C1171*AM1170</f>
        <v/>
      </c>
      <c r="AN1171">
        <f>$C1171*AN1170</f>
        <v/>
      </c>
      <c r="AO1171">
        <f>$C1171*AO1170</f>
        <v/>
      </c>
      <c r="AP1171">
        <f>$C1171*AP1170</f>
        <v/>
      </c>
      <c r="AQ1171">
        <f>$C1171*AQ1170</f>
        <v/>
      </c>
      <c r="AR1171">
        <f>$C1171*AR1170</f>
        <v/>
      </c>
      <c r="AS1171">
        <f>$C1171*AS1170</f>
        <v/>
      </c>
      <c r="AT1171">
        <f>$C1171*AT1170</f>
        <v/>
      </c>
      <c r="AU1171">
        <f>$C1171*AU1170</f>
        <v/>
      </c>
      <c r="AV1171">
        <f>$C1171*AV1170</f>
        <v/>
      </c>
      <c r="AW1171">
        <f>$C1171*AW1170</f>
        <v/>
      </c>
      <c r="AX1171">
        <f>$C1171*AX1170</f>
        <v/>
      </c>
      <c r="AY1171">
        <f>$C1171*AY1170</f>
        <v/>
      </c>
      <c r="AZ1171">
        <f>$C1171*AZ1170</f>
        <v/>
      </c>
      <c r="BA1171">
        <f>$C1171*BA1170</f>
        <v/>
      </c>
      <c r="BB1171">
        <f>$C1171*BB1170</f>
        <v/>
      </c>
      <c r="BC1171">
        <f>$C1171*BC1170</f>
        <v/>
      </c>
      <c r="BD1171">
        <f>$C1171*BD1170</f>
        <v/>
      </c>
      <c r="BE1171">
        <f>$C1171*BE1170</f>
        <v/>
      </c>
      <c r="BF1171">
        <f>$C1171*BF1170</f>
        <v/>
      </c>
      <c r="BG1171">
        <f>$C1171*BG1170</f>
        <v/>
      </c>
      <c r="BH1171">
        <f>$C1171*BH1170</f>
        <v/>
      </c>
      <c r="BI1171">
        <f>$C1171*BI1170</f>
        <v/>
      </c>
      <c r="BJ1171">
        <f>$C1171*BJ1170</f>
        <v/>
      </c>
      <c r="BK1171">
        <f>$C1171*BK1170</f>
        <v/>
      </c>
      <c r="BL1171">
        <f>$C1171*BL1170</f>
        <v/>
      </c>
      <c r="BM1171">
        <f>$C1171*BM1170</f>
        <v/>
      </c>
      <c r="BN1171">
        <f>$C1171*BN1170</f>
        <v/>
      </c>
      <c r="BO1171">
        <f>$C1171*BO1170</f>
        <v/>
      </c>
      <c r="BP1171">
        <f>$C1171*BP1170</f>
        <v/>
      </c>
      <c r="BQ1171">
        <f>$C1171*BQ1170</f>
        <v/>
      </c>
      <c r="BR1171">
        <f>$C1171*BR1170</f>
        <v/>
      </c>
      <c r="BS1171">
        <f>$C1171*BS1170</f>
        <v/>
      </c>
      <c r="BT1171">
        <f>$C1171*BT1170</f>
        <v/>
      </c>
      <c r="BU1171">
        <f>$C1171*BU1170</f>
        <v/>
      </c>
      <c r="BV1171">
        <f>$C1171*BV1170</f>
        <v/>
      </c>
      <c r="BW1171">
        <f>$C1171*BW1170</f>
        <v/>
      </c>
      <c r="BX1171">
        <f>$C1171*BX1170</f>
        <v/>
      </c>
      <c r="BY1171">
        <f>$C1171*BY1170</f>
        <v/>
      </c>
      <c r="BZ1171">
        <f>$C1171*BZ1170</f>
        <v/>
      </c>
      <c r="CA1171">
        <f>$C1171*CA1170</f>
        <v/>
      </c>
      <c r="CB1171">
        <f>$C1171*CB1170</f>
        <v/>
      </c>
      <c r="CC1171">
        <f>$C1171*CC1170</f>
        <v/>
      </c>
      <c r="CD1171">
        <f>$C1171*CD1170</f>
        <v/>
      </c>
      <c r="CE1171">
        <f>$C1171*CE1170</f>
        <v/>
      </c>
      <c r="CF1171">
        <f>$C1171*CF1170</f>
        <v/>
      </c>
      <c r="CG1171">
        <f>$C1171*CG1170</f>
        <v/>
      </c>
      <c r="CH1171">
        <f>$C1171*CH1170</f>
        <v/>
      </c>
      <c r="CI1171">
        <f>$C1171*CI1170</f>
        <v/>
      </c>
      <c r="CJ1171">
        <f>$C1171*CJ1170</f>
        <v/>
      </c>
      <c r="CK1171">
        <f>$C1171*CK1170</f>
        <v/>
      </c>
      <c r="CL1171">
        <f>$C1171*CL1170</f>
        <v/>
      </c>
      <c r="CM1171">
        <f>$C1171*CM1170</f>
        <v/>
      </c>
      <c r="CN1171">
        <f>$C1171*CN1170</f>
        <v/>
      </c>
      <c r="CO1171">
        <f>$C1171*CO1170</f>
        <v/>
      </c>
      <c r="CP1171">
        <f>$C1171*CP1170</f>
        <v/>
      </c>
      <c r="CQ1171">
        <f>$C1171*CQ1170</f>
        <v/>
      </c>
      <c r="CR1171">
        <f>$C1171*CR1170</f>
        <v/>
      </c>
      <c r="CS1171">
        <f>$C1171*CS1170</f>
        <v/>
      </c>
      <c r="CT1171">
        <f>$C1171*CT1170</f>
        <v/>
      </c>
      <c r="CU1171">
        <f>$C1171*CU1170</f>
        <v/>
      </c>
      <c r="CV1171">
        <f>$C1171*CV1170</f>
        <v/>
      </c>
      <c r="CW1171">
        <f>$C1171*CW1170</f>
        <v/>
      </c>
      <c r="CX1171">
        <f>$C1171*CX1170</f>
        <v/>
      </c>
      <c r="CY1171">
        <f>$C1171*CY1170</f>
        <v/>
      </c>
      <c r="CZ1171">
        <f>$C1171*CZ1170</f>
        <v/>
      </c>
      <c r="DA1171">
        <f>$C1171*DA1170</f>
        <v/>
      </c>
      <c r="DB1171">
        <f>$C1171*DB1170</f>
        <v/>
      </c>
      <c r="DC1171">
        <f>$C1171*DC1170</f>
        <v/>
      </c>
    </row>
    <row r="1172">
      <c r="B1172" s="5" t="inlineStr">
        <is>
          <t>合計使用量(kg)/週</t>
        </is>
      </c>
      <c r="D1172">
        <f>'Grid_Requirement'!B56</f>
        <v/>
      </c>
      <c r="E1172">
        <f>'Grid_Requirement'!C56</f>
        <v/>
      </c>
      <c r="F1172">
        <f>'Grid_Requirement'!D56</f>
        <v/>
      </c>
      <c r="G1172">
        <f>'Grid_Requirement'!E56</f>
        <v/>
      </c>
      <c r="H1172">
        <f>'Grid_Requirement'!F56</f>
        <v/>
      </c>
      <c r="I1172">
        <f>'Grid_Requirement'!G56</f>
        <v/>
      </c>
      <c r="J1172">
        <f>'Grid_Requirement'!H56</f>
        <v/>
      </c>
      <c r="K1172">
        <f>'Grid_Requirement'!I56</f>
        <v/>
      </c>
      <c r="L1172">
        <f>'Grid_Requirement'!J56</f>
        <v/>
      </c>
      <c r="M1172">
        <f>'Grid_Requirement'!K56</f>
        <v/>
      </c>
      <c r="N1172">
        <f>'Grid_Requirement'!L56</f>
        <v/>
      </c>
      <c r="O1172">
        <f>'Grid_Requirement'!M56</f>
        <v/>
      </c>
      <c r="P1172">
        <f>'Grid_Requirement'!N56</f>
        <v/>
      </c>
      <c r="Q1172">
        <f>'Grid_Requirement'!O56</f>
        <v/>
      </c>
      <c r="R1172">
        <f>'Grid_Requirement'!P56</f>
        <v/>
      </c>
      <c r="S1172">
        <f>'Grid_Requirement'!Q56</f>
        <v/>
      </c>
      <c r="T1172">
        <f>'Grid_Requirement'!R56</f>
        <v/>
      </c>
      <c r="U1172">
        <f>'Grid_Requirement'!S56</f>
        <v/>
      </c>
      <c r="V1172">
        <f>'Grid_Requirement'!T56</f>
        <v/>
      </c>
      <c r="W1172">
        <f>'Grid_Requirement'!U56</f>
        <v/>
      </c>
      <c r="X1172">
        <f>'Grid_Requirement'!V56</f>
        <v/>
      </c>
      <c r="Y1172">
        <f>'Grid_Requirement'!W56</f>
        <v/>
      </c>
      <c r="Z1172">
        <f>'Grid_Requirement'!X56</f>
        <v/>
      </c>
      <c r="AA1172">
        <f>'Grid_Requirement'!Y56</f>
        <v/>
      </c>
      <c r="AB1172">
        <f>'Grid_Requirement'!Z56</f>
        <v/>
      </c>
      <c r="AC1172">
        <f>'Grid_Requirement'!AA56</f>
        <v/>
      </c>
      <c r="AD1172">
        <f>'Grid_Requirement'!AB56</f>
        <v/>
      </c>
      <c r="AE1172">
        <f>'Grid_Requirement'!AC56</f>
        <v/>
      </c>
      <c r="AF1172">
        <f>'Grid_Requirement'!AD56</f>
        <v/>
      </c>
      <c r="AG1172">
        <f>'Grid_Requirement'!AE56</f>
        <v/>
      </c>
      <c r="AH1172">
        <f>'Grid_Requirement'!AF56</f>
        <v/>
      </c>
      <c r="AI1172">
        <f>'Grid_Requirement'!AG56</f>
        <v/>
      </c>
      <c r="AJ1172">
        <f>'Grid_Requirement'!AH56</f>
        <v/>
      </c>
      <c r="AK1172">
        <f>'Grid_Requirement'!AI56</f>
        <v/>
      </c>
      <c r="AL1172">
        <f>'Grid_Requirement'!AJ56</f>
        <v/>
      </c>
      <c r="AM1172">
        <f>'Grid_Requirement'!AK56</f>
        <v/>
      </c>
      <c r="AN1172">
        <f>'Grid_Requirement'!AL56</f>
        <v/>
      </c>
      <c r="AO1172">
        <f>'Grid_Requirement'!AM56</f>
        <v/>
      </c>
      <c r="AP1172">
        <f>'Grid_Requirement'!AN56</f>
        <v/>
      </c>
      <c r="AQ1172">
        <f>'Grid_Requirement'!AO56</f>
        <v/>
      </c>
      <c r="AR1172">
        <f>'Grid_Requirement'!AP56</f>
        <v/>
      </c>
      <c r="AS1172">
        <f>'Grid_Requirement'!AQ56</f>
        <v/>
      </c>
      <c r="AT1172">
        <f>'Grid_Requirement'!AR56</f>
        <v/>
      </c>
      <c r="AU1172">
        <f>'Grid_Requirement'!AS56</f>
        <v/>
      </c>
      <c r="AV1172">
        <f>'Grid_Requirement'!AT56</f>
        <v/>
      </c>
      <c r="AW1172">
        <f>'Grid_Requirement'!AU56</f>
        <v/>
      </c>
      <c r="AX1172">
        <f>'Grid_Requirement'!AV56</f>
        <v/>
      </c>
      <c r="AY1172">
        <f>'Grid_Requirement'!AW56</f>
        <v/>
      </c>
      <c r="AZ1172">
        <f>'Grid_Requirement'!AX56</f>
        <v/>
      </c>
      <c r="BA1172">
        <f>'Grid_Requirement'!AY56</f>
        <v/>
      </c>
      <c r="BB1172">
        <f>'Grid_Requirement'!AZ56</f>
        <v/>
      </c>
      <c r="BC1172">
        <f>'Grid_Requirement'!BA56</f>
        <v/>
      </c>
      <c r="BD1172">
        <f>'Grid_Requirement'!BB56</f>
        <v/>
      </c>
      <c r="BE1172">
        <f>'Grid_Requirement'!BC56</f>
        <v/>
      </c>
      <c r="BF1172">
        <f>'Grid_Requirement'!BD56</f>
        <v/>
      </c>
      <c r="BG1172">
        <f>'Grid_Requirement'!BE56</f>
        <v/>
      </c>
      <c r="BH1172">
        <f>'Grid_Requirement'!BF56</f>
        <v/>
      </c>
      <c r="BI1172">
        <f>'Grid_Requirement'!BG56</f>
        <v/>
      </c>
      <c r="BJ1172">
        <f>'Grid_Requirement'!BH56</f>
        <v/>
      </c>
      <c r="BK1172">
        <f>'Grid_Requirement'!BI56</f>
        <v/>
      </c>
      <c r="BL1172">
        <f>'Grid_Requirement'!BJ56</f>
        <v/>
      </c>
      <c r="BM1172">
        <f>'Grid_Requirement'!BK56</f>
        <v/>
      </c>
      <c r="BN1172">
        <f>'Grid_Requirement'!BL56</f>
        <v/>
      </c>
      <c r="BO1172">
        <f>'Grid_Requirement'!BM56</f>
        <v/>
      </c>
      <c r="BP1172">
        <f>'Grid_Requirement'!BN56</f>
        <v/>
      </c>
      <c r="BQ1172">
        <f>'Grid_Requirement'!BO56</f>
        <v/>
      </c>
      <c r="BR1172">
        <f>'Grid_Requirement'!BP56</f>
        <v/>
      </c>
      <c r="BS1172">
        <f>'Grid_Requirement'!BQ56</f>
        <v/>
      </c>
      <c r="BT1172">
        <f>'Grid_Requirement'!BR56</f>
        <v/>
      </c>
      <c r="BU1172">
        <f>'Grid_Requirement'!BS56</f>
        <v/>
      </c>
      <c r="BV1172">
        <f>'Grid_Requirement'!BT56</f>
        <v/>
      </c>
      <c r="BW1172">
        <f>'Grid_Requirement'!BU56</f>
        <v/>
      </c>
      <c r="BX1172">
        <f>'Grid_Requirement'!BV56</f>
        <v/>
      </c>
      <c r="BY1172">
        <f>'Grid_Requirement'!BW56</f>
        <v/>
      </c>
      <c r="BZ1172">
        <f>'Grid_Requirement'!BX56</f>
        <v/>
      </c>
      <c r="CA1172">
        <f>'Grid_Requirement'!BY56</f>
        <v/>
      </c>
      <c r="CB1172">
        <f>'Grid_Requirement'!BZ56</f>
        <v/>
      </c>
      <c r="CC1172">
        <f>'Grid_Requirement'!CA56</f>
        <v/>
      </c>
      <c r="CD1172">
        <f>'Grid_Requirement'!CB56</f>
        <v/>
      </c>
      <c r="CE1172">
        <f>'Grid_Requirement'!CC56</f>
        <v/>
      </c>
      <c r="CF1172">
        <f>'Grid_Requirement'!CD56</f>
        <v/>
      </c>
      <c r="CG1172">
        <f>'Grid_Requirement'!CE56</f>
        <v/>
      </c>
      <c r="CH1172">
        <f>'Grid_Requirement'!CF56</f>
        <v/>
      </c>
      <c r="CI1172">
        <f>'Grid_Requirement'!CG56</f>
        <v/>
      </c>
      <c r="CJ1172">
        <f>'Grid_Requirement'!CH56</f>
        <v/>
      </c>
      <c r="CK1172">
        <f>'Grid_Requirement'!CI56</f>
        <v/>
      </c>
      <c r="CL1172">
        <f>'Grid_Requirement'!CJ56</f>
        <v/>
      </c>
      <c r="CM1172">
        <f>'Grid_Requirement'!CK56</f>
        <v/>
      </c>
      <c r="CN1172">
        <f>'Grid_Requirement'!CL56</f>
        <v/>
      </c>
      <c r="CO1172">
        <f>'Grid_Requirement'!CM56</f>
        <v/>
      </c>
      <c r="CP1172">
        <f>'Grid_Requirement'!CN56</f>
        <v/>
      </c>
      <c r="CQ1172">
        <f>'Grid_Requirement'!CO56</f>
        <v/>
      </c>
      <c r="CR1172">
        <f>'Grid_Requirement'!CP56</f>
        <v/>
      </c>
      <c r="CS1172">
        <f>'Grid_Requirement'!CQ56</f>
        <v/>
      </c>
      <c r="CT1172">
        <f>'Grid_Requirement'!CR56</f>
        <v/>
      </c>
      <c r="CU1172">
        <f>'Grid_Requirement'!CS56</f>
        <v/>
      </c>
      <c r="CV1172">
        <f>'Grid_Requirement'!CT56</f>
        <v/>
      </c>
      <c r="CW1172">
        <f>'Grid_Requirement'!CU56</f>
        <v/>
      </c>
      <c r="CX1172">
        <f>'Grid_Requirement'!CV56</f>
        <v/>
      </c>
      <c r="CY1172">
        <f>'Grid_Requirement'!CW56</f>
        <v/>
      </c>
      <c r="CZ1172">
        <f>'Grid_Requirement'!CX56</f>
        <v/>
      </c>
      <c r="DA1172">
        <f>'Grid_Requirement'!CY56</f>
        <v/>
      </c>
      <c r="DB1172">
        <f>'Grid_Requirement'!CZ56</f>
        <v/>
      </c>
      <c r="DC1172">
        <f>'Grid_Requirement'!DA56</f>
        <v/>
      </c>
    </row>
    <row r="1173">
      <c r="B1173" t="inlineStr">
        <is>
          <t>TTAF在庫(実績,kg)</t>
        </is>
      </c>
      <c r="D1173">
        <f>'T_TTAFStock'!B60</f>
        <v/>
      </c>
      <c r="E1173">
        <f>'T_TTAFStock'!C60</f>
        <v/>
      </c>
      <c r="F1173">
        <f>'T_TTAFStock'!D60</f>
        <v/>
      </c>
      <c r="G1173">
        <f>'T_TTAFStock'!E60</f>
        <v/>
      </c>
      <c r="H1173">
        <f>'T_TTAFStock'!F60</f>
        <v/>
      </c>
      <c r="I1173">
        <f>'T_TTAFStock'!G60</f>
        <v/>
      </c>
      <c r="J1173">
        <f>'T_TTAFStock'!H60</f>
        <v/>
      </c>
      <c r="K1173">
        <f>'T_TTAFStock'!I60</f>
        <v/>
      </c>
      <c r="L1173">
        <f>'T_TTAFStock'!J60</f>
        <v/>
      </c>
      <c r="M1173">
        <f>'T_TTAFStock'!K60</f>
        <v/>
      </c>
      <c r="N1173">
        <f>'T_TTAFStock'!L60</f>
        <v/>
      </c>
      <c r="O1173">
        <f>'T_TTAFStock'!M60</f>
        <v/>
      </c>
      <c r="P1173">
        <f>'T_TTAFStock'!N60</f>
        <v/>
      </c>
      <c r="Q1173">
        <f>'T_TTAFStock'!O60</f>
        <v/>
      </c>
      <c r="R1173">
        <f>'T_TTAFStock'!P60</f>
        <v/>
      </c>
      <c r="S1173">
        <f>'T_TTAFStock'!Q60</f>
        <v/>
      </c>
      <c r="T1173">
        <f>'T_TTAFStock'!R60</f>
        <v/>
      </c>
      <c r="U1173">
        <f>'T_TTAFStock'!S60</f>
        <v/>
      </c>
      <c r="V1173">
        <f>'T_TTAFStock'!T60</f>
        <v/>
      </c>
      <c r="W1173">
        <f>'T_TTAFStock'!U60</f>
        <v/>
      </c>
      <c r="X1173">
        <f>'T_TTAFStock'!V60</f>
        <v/>
      </c>
      <c r="Y1173">
        <f>'T_TTAFStock'!W60</f>
        <v/>
      </c>
      <c r="Z1173">
        <f>'T_TTAFStock'!X60</f>
        <v/>
      </c>
      <c r="AA1173">
        <f>'T_TTAFStock'!Y60</f>
        <v/>
      </c>
      <c r="AB1173">
        <f>'T_TTAFStock'!Z60</f>
        <v/>
      </c>
      <c r="AC1173">
        <f>'T_TTAFStock'!AA60</f>
        <v/>
      </c>
      <c r="AD1173">
        <f>'T_TTAFStock'!AB60</f>
        <v/>
      </c>
      <c r="AE1173">
        <f>'T_TTAFStock'!AC60</f>
        <v/>
      </c>
      <c r="AF1173">
        <f>'T_TTAFStock'!AD60</f>
        <v/>
      </c>
      <c r="AG1173">
        <f>'T_TTAFStock'!AE60</f>
        <v/>
      </c>
      <c r="AH1173">
        <f>'T_TTAFStock'!AF60</f>
        <v/>
      </c>
      <c r="AI1173">
        <f>'T_TTAFStock'!AG60</f>
        <v/>
      </c>
      <c r="AJ1173">
        <f>'T_TTAFStock'!AH60</f>
        <v/>
      </c>
      <c r="AK1173">
        <f>'T_TTAFStock'!AI60</f>
        <v/>
      </c>
      <c r="AL1173">
        <f>'T_TTAFStock'!AJ60</f>
        <v/>
      </c>
      <c r="AM1173">
        <f>'T_TTAFStock'!AK60</f>
        <v/>
      </c>
      <c r="AN1173">
        <f>'T_TTAFStock'!AL60</f>
        <v/>
      </c>
      <c r="AO1173">
        <f>'T_TTAFStock'!AM60</f>
        <v/>
      </c>
      <c r="AP1173">
        <f>'T_TTAFStock'!AN60</f>
        <v/>
      </c>
      <c r="AQ1173">
        <f>'T_TTAFStock'!AO60</f>
        <v/>
      </c>
      <c r="AR1173">
        <f>'T_TTAFStock'!AP60</f>
        <v/>
      </c>
      <c r="AS1173">
        <f>'T_TTAFStock'!AQ60</f>
        <v/>
      </c>
      <c r="AT1173">
        <f>'T_TTAFStock'!AR60</f>
        <v/>
      </c>
      <c r="AU1173">
        <f>'T_TTAFStock'!AS60</f>
        <v/>
      </c>
      <c r="AV1173">
        <f>'T_TTAFStock'!AT60</f>
        <v/>
      </c>
      <c r="AW1173">
        <f>'T_TTAFStock'!AU60</f>
        <v/>
      </c>
      <c r="AX1173">
        <f>'T_TTAFStock'!AV60</f>
        <v/>
      </c>
      <c r="AY1173">
        <f>'T_TTAFStock'!AW60</f>
        <v/>
      </c>
      <c r="AZ1173">
        <f>'T_TTAFStock'!AX60</f>
        <v/>
      </c>
      <c r="BA1173">
        <f>'T_TTAFStock'!AY60</f>
        <v/>
      </c>
      <c r="BB1173">
        <f>'T_TTAFStock'!AZ60</f>
        <v/>
      </c>
      <c r="BC1173">
        <f>'T_TTAFStock'!BA60</f>
        <v/>
      </c>
      <c r="BD1173">
        <f>'T_TTAFStock'!BB60</f>
        <v/>
      </c>
      <c r="BE1173">
        <f>'T_TTAFStock'!BC60</f>
        <v/>
      </c>
      <c r="BF1173">
        <f>'T_TTAFStock'!BD60</f>
        <v/>
      </c>
      <c r="BG1173">
        <f>'T_TTAFStock'!BE60</f>
        <v/>
      </c>
      <c r="BH1173">
        <f>'T_TTAFStock'!BF60</f>
        <v/>
      </c>
      <c r="BI1173">
        <f>'T_TTAFStock'!BG60</f>
        <v/>
      </c>
      <c r="BJ1173">
        <f>'T_TTAFStock'!BH60</f>
        <v/>
      </c>
      <c r="BK1173">
        <f>'T_TTAFStock'!BI60</f>
        <v/>
      </c>
      <c r="BL1173">
        <f>'T_TTAFStock'!BJ60</f>
        <v/>
      </c>
      <c r="BM1173">
        <f>'T_TTAFStock'!BK60</f>
        <v/>
      </c>
      <c r="BN1173">
        <f>'T_TTAFStock'!BL60</f>
        <v/>
      </c>
      <c r="BO1173">
        <f>'T_TTAFStock'!BM60</f>
        <v/>
      </c>
      <c r="BP1173">
        <f>'T_TTAFStock'!BN60</f>
        <v/>
      </c>
      <c r="BQ1173">
        <f>'T_TTAFStock'!BO60</f>
        <v/>
      </c>
      <c r="BR1173">
        <f>'T_TTAFStock'!BP60</f>
        <v/>
      </c>
      <c r="BS1173">
        <f>'T_TTAFStock'!BQ60</f>
        <v/>
      </c>
      <c r="BT1173">
        <f>'T_TTAFStock'!BR60</f>
        <v/>
      </c>
      <c r="BU1173">
        <f>'T_TTAFStock'!BS60</f>
        <v/>
      </c>
      <c r="BV1173">
        <f>'T_TTAFStock'!BT60</f>
        <v/>
      </c>
      <c r="BW1173">
        <f>'T_TTAFStock'!BU60</f>
        <v/>
      </c>
      <c r="BX1173">
        <f>'T_TTAFStock'!BV60</f>
        <v/>
      </c>
      <c r="BY1173">
        <f>'T_TTAFStock'!BW60</f>
        <v/>
      </c>
      <c r="BZ1173">
        <f>'T_TTAFStock'!BX60</f>
        <v/>
      </c>
      <c r="CA1173">
        <f>'T_TTAFStock'!BY60</f>
        <v/>
      </c>
      <c r="CB1173">
        <f>'T_TTAFStock'!BZ60</f>
        <v/>
      </c>
      <c r="CC1173">
        <f>'T_TTAFStock'!CA60</f>
        <v/>
      </c>
      <c r="CD1173">
        <f>'T_TTAFStock'!CB60</f>
        <v/>
      </c>
      <c r="CE1173">
        <f>'T_TTAFStock'!CC60</f>
        <v/>
      </c>
      <c r="CF1173">
        <f>'T_TTAFStock'!CD60</f>
        <v/>
      </c>
      <c r="CG1173">
        <f>'T_TTAFStock'!CE60</f>
        <v/>
      </c>
      <c r="CH1173">
        <f>'T_TTAFStock'!CF60</f>
        <v/>
      </c>
      <c r="CI1173">
        <f>'T_TTAFStock'!CG60</f>
        <v/>
      </c>
      <c r="CJ1173">
        <f>'T_TTAFStock'!CH60</f>
        <v/>
      </c>
      <c r="CK1173">
        <f>'T_TTAFStock'!CI60</f>
        <v/>
      </c>
      <c r="CL1173">
        <f>'T_TTAFStock'!CJ60</f>
        <v/>
      </c>
      <c r="CM1173">
        <f>'T_TTAFStock'!CK60</f>
        <v/>
      </c>
      <c r="CN1173">
        <f>'T_TTAFStock'!CL60</f>
        <v/>
      </c>
      <c r="CO1173">
        <f>'T_TTAFStock'!CM60</f>
        <v/>
      </c>
      <c r="CP1173">
        <f>'T_TTAFStock'!CN60</f>
        <v/>
      </c>
      <c r="CQ1173">
        <f>'T_TTAFStock'!CO60</f>
        <v/>
      </c>
      <c r="CR1173">
        <f>'T_TTAFStock'!CP60</f>
        <v/>
      </c>
      <c r="CS1173">
        <f>'T_TTAFStock'!CQ60</f>
        <v/>
      </c>
      <c r="CT1173">
        <f>'T_TTAFStock'!CR60</f>
        <v/>
      </c>
      <c r="CU1173">
        <f>'T_TTAFStock'!CS60</f>
        <v/>
      </c>
      <c r="CV1173">
        <f>'T_TTAFStock'!CT60</f>
        <v/>
      </c>
      <c r="CW1173">
        <f>'T_TTAFStock'!CU60</f>
        <v/>
      </c>
      <c r="CX1173">
        <f>'T_TTAFStock'!CV60</f>
        <v/>
      </c>
      <c r="CY1173">
        <f>'T_TTAFStock'!CW60</f>
        <v/>
      </c>
      <c r="CZ1173">
        <f>'T_TTAFStock'!CX60</f>
        <v/>
      </c>
      <c r="DA1173">
        <f>'T_TTAFStock'!CY60</f>
        <v/>
      </c>
      <c r="DB1173">
        <f>'T_TTAFStock'!CZ60</f>
        <v/>
      </c>
      <c r="DC1173">
        <f>'T_TTAFStock'!DA60</f>
        <v/>
      </c>
    </row>
    <row r="1174">
      <c r="B1174" t="inlineStr">
        <is>
          <t>自社在庫(実績,kg)</t>
        </is>
      </c>
      <c r="D1174">
        <f>'T_SelfStock'!B60</f>
        <v/>
      </c>
      <c r="E1174">
        <f>'T_SelfStock'!C60</f>
        <v/>
      </c>
      <c r="F1174">
        <f>'T_SelfStock'!D60</f>
        <v/>
      </c>
      <c r="G1174">
        <f>'T_SelfStock'!E60</f>
        <v/>
      </c>
      <c r="H1174">
        <f>'T_SelfStock'!F60</f>
        <v/>
      </c>
      <c r="I1174">
        <f>'T_SelfStock'!G60</f>
        <v/>
      </c>
      <c r="J1174">
        <f>'T_SelfStock'!H60</f>
        <v/>
      </c>
      <c r="K1174">
        <f>'T_SelfStock'!I60</f>
        <v/>
      </c>
      <c r="L1174">
        <f>'T_SelfStock'!J60</f>
        <v/>
      </c>
      <c r="M1174">
        <f>'T_SelfStock'!K60</f>
        <v/>
      </c>
      <c r="N1174">
        <f>'T_SelfStock'!L60</f>
        <v/>
      </c>
      <c r="O1174">
        <f>'T_SelfStock'!M60</f>
        <v/>
      </c>
      <c r="P1174">
        <f>'T_SelfStock'!N60</f>
        <v/>
      </c>
      <c r="Q1174">
        <f>'T_SelfStock'!O60</f>
        <v/>
      </c>
      <c r="R1174">
        <f>'T_SelfStock'!P60</f>
        <v/>
      </c>
      <c r="S1174">
        <f>'T_SelfStock'!Q60</f>
        <v/>
      </c>
      <c r="T1174">
        <f>'T_SelfStock'!R60</f>
        <v/>
      </c>
      <c r="U1174">
        <f>'T_SelfStock'!S60</f>
        <v/>
      </c>
      <c r="V1174">
        <f>'T_SelfStock'!T60</f>
        <v/>
      </c>
      <c r="W1174">
        <f>'T_SelfStock'!U60</f>
        <v/>
      </c>
      <c r="X1174">
        <f>'T_SelfStock'!V60</f>
        <v/>
      </c>
      <c r="Y1174">
        <f>'T_SelfStock'!W60</f>
        <v/>
      </c>
      <c r="Z1174">
        <f>'T_SelfStock'!X60</f>
        <v/>
      </c>
      <c r="AA1174">
        <f>'T_SelfStock'!Y60</f>
        <v/>
      </c>
      <c r="AB1174">
        <f>'T_SelfStock'!Z60</f>
        <v/>
      </c>
      <c r="AC1174">
        <f>'T_SelfStock'!AA60</f>
        <v/>
      </c>
      <c r="AD1174">
        <f>'T_SelfStock'!AB60</f>
        <v/>
      </c>
      <c r="AE1174">
        <f>'T_SelfStock'!AC60</f>
        <v/>
      </c>
      <c r="AF1174">
        <f>'T_SelfStock'!AD60</f>
        <v/>
      </c>
      <c r="AG1174">
        <f>'T_SelfStock'!AE60</f>
        <v/>
      </c>
      <c r="AH1174">
        <f>'T_SelfStock'!AF60</f>
        <v/>
      </c>
      <c r="AI1174">
        <f>'T_SelfStock'!AG60</f>
        <v/>
      </c>
      <c r="AJ1174">
        <f>'T_SelfStock'!AH60</f>
        <v/>
      </c>
      <c r="AK1174">
        <f>'T_SelfStock'!AI60</f>
        <v/>
      </c>
      <c r="AL1174">
        <f>'T_SelfStock'!AJ60</f>
        <v/>
      </c>
      <c r="AM1174">
        <f>'T_SelfStock'!AK60</f>
        <v/>
      </c>
      <c r="AN1174">
        <f>'T_SelfStock'!AL60</f>
        <v/>
      </c>
      <c r="AO1174">
        <f>'T_SelfStock'!AM60</f>
        <v/>
      </c>
      <c r="AP1174">
        <f>'T_SelfStock'!AN60</f>
        <v/>
      </c>
      <c r="AQ1174">
        <f>'T_SelfStock'!AO60</f>
        <v/>
      </c>
      <c r="AR1174">
        <f>'T_SelfStock'!AP60</f>
        <v/>
      </c>
      <c r="AS1174">
        <f>'T_SelfStock'!AQ60</f>
        <v/>
      </c>
      <c r="AT1174">
        <f>'T_SelfStock'!AR60</f>
        <v/>
      </c>
      <c r="AU1174">
        <f>'T_SelfStock'!AS60</f>
        <v/>
      </c>
      <c r="AV1174">
        <f>'T_SelfStock'!AT60</f>
        <v/>
      </c>
      <c r="AW1174">
        <f>'T_SelfStock'!AU60</f>
        <v/>
      </c>
      <c r="AX1174">
        <f>'T_SelfStock'!AV60</f>
        <v/>
      </c>
      <c r="AY1174">
        <f>'T_SelfStock'!AW60</f>
        <v/>
      </c>
      <c r="AZ1174">
        <f>'T_SelfStock'!AX60</f>
        <v/>
      </c>
      <c r="BA1174">
        <f>'T_SelfStock'!AY60</f>
        <v/>
      </c>
      <c r="BB1174">
        <f>'T_SelfStock'!AZ60</f>
        <v/>
      </c>
      <c r="BC1174">
        <f>'T_SelfStock'!BA60</f>
        <v/>
      </c>
      <c r="BD1174">
        <f>'T_SelfStock'!BB60</f>
        <v/>
      </c>
      <c r="BE1174">
        <f>'T_SelfStock'!BC60</f>
        <v/>
      </c>
      <c r="BF1174">
        <f>'T_SelfStock'!BD60</f>
        <v/>
      </c>
      <c r="BG1174">
        <f>'T_SelfStock'!BE60</f>
        <v/>
      </c>
      <c r="BH1174">
        <f>'T_SelfStock'!BF60</f>
        <v/>
      </c>
      <c r="BI1174">
        <f>'T_SelfStock'!BG60</f>
        <v/>
      </c>
      <c r="BJ1174">
        <f>'T_SelfStock'!BH60</f>
        <v/>
      </c>
      <c r="BK1174">
        <f>'T_SelfStock'!BI60</f>
        <v/>
      </c>
      <c r="BL1174">
        <f>'T_SelfStock'!BJ60</f>
        <v/>
      </c>
      <c r="BM1174">
        <f>'T_SelfStock'!BK60</f>
        <v/>
      </c>
      <c r="BN1174">
        <f>'T_SelfStock'!BL60</f>
        <v/>
      </c>
      <c r="BO1174">
        <f>'T_SelfStock'!BM60</f>
        <v/>
      </c>
      <c r="BP1174">
        <f>'T_SelfStock'!BN60</f>
        <v/>
      </c>
      <c r="BQ1174">
        <f>'T_SelfStock'!BO60</f>
        <v/>
      </c>
      <c r="BR1174">
        <f>'T_SelfStock'!BP60</f>
        <v/>
      </c>
      <c r="BS1174">
        <f>'T_SelfStock'!BQ60</f>
        <v/>
      </c>
      <c r="BT1174">
        <f>'T_SelfStock'!BR60</f>
        <v/>
      </c>
      <c r="BU1174">
        <f>'T_SelfStock'!BS60</f>
        <v/>
      </c>
      <c r="BV1174">
        <f>'T_SelfStock'!BT60</f>
        <v/>
      </c>
      <c r="BW1174">
        <f>'T_SelfStock'!BU60</f>
        <v/>
      </c>
      <c r="BX1174">
        <f>'T_SelfStock'!BV60</f>
        <v/>
      </c>
      <c r="BY1174">
        <f>'T_SelfStock'!BW60</f>
        <v/>
      </c>
      <c r="BZ1174">
        <f>'T_SelfStock'!BX60</f>
        <v/>
      </c>
      <c r="CA1174">
        <f>'T_SelfStock'!BY60</f>
        <v/>
      </c>
      <c r="CB1174">
        <f>'T_SelfStock'!BZ60</f>
        <v/>
      </c>
      <c r="CC1174">
        <f>'T_SelfStock'!CA60</f>
        <v/>
      </c>
      <c r="CD1174">
        <f>'T_SelfStock'!CB60</f>
        <v/>
      </c>
      <c r="CE1174">
        <f>'T_SelfStock'!CC60</f>
        <v/>
      </c>
      <c r="CF1174">
        <f>'T_SelfStock'!CD60</f>
        <v/>
      </c>
      <c r="CG1174">
        <f>'T_SelfStock'!CE60</f>
        <v/>
      </c>
      <c r="CH1174">
        <f>'T_SelfStock'!CF60</f>
        <v/>
      </c>
      <c r="CI1174">
        <f>'T_SelfStock'!CG60</f>
        <v/>
      </c>
      <c r="CJ1174">
        <f>'T_SelfStock'!CH60</f>
        <v/>
      </c>
      <c r="CK1174">
        <f>'T_SelfStock'!CI60</f>
        <v/>
      </c>
      <c r="CL1174">
        <f>'T_SelfStock'!CJ60</f>
        <v/>
      </c>
      <c r="CM1174">
        <f>'T_SelfStock'!CK60</f>
        <v/>
      </c>
      <c r="CN1174">
        <f>'T_SelfStock'!CL60</f>
        <v/>
      </c>
      <c r="CO1174">
        <f>'T_SelfStock'!CM60</f>
        <v/>
      </c>
      <c r="CP1174">
        <f>'T_SelfStock'!CN60</f>
        <v/>
      </c>
      <c r="CQ1174">
        <f>'T_SelfStock'!CO60</f>
        <v/>
      </c>
      <c r="CR1174">
        <f>'T_SelfStock'!CP60</f>
        <v/>
      </c>
      <c r="CS1174">
        <f>'T_SelfStock'!CQ60</f>
        <v/>
      </c>
      <c r="CT1174">
        <f>'T_SelfStock'!CR60</f>
        <v/>
      </c>
      <c r="CU1174">
        <f>'T_SelfStock'!CS60</f>
        <v/>
      </c>
      <c r="CV1174">
        <f>'T_SelfStock'!CT60</f>
        <v/>
      </c>
      <c r="CW1174">
        <f>'T_SelfStock'!CU60</f>
        <v/>
      </c>
      <c r="CX1174">
        <f>'T_SelfStock'!CV60</f>
        <v/>
      </c>
      <c r="CY1174">
        <f>'T_SelfStock'!CW60</f>
        <v/>
      </c>
      <c r="CZ1174">
        <f>'T_SelfStock'!CX60</f>
        <v/>
      </c>
      <c r="DA1174">
        <f>'T_SelfStock'!CY60</f>
        <v/>
      </c>
      <c r="DB1174">
        <f>'T_SelfStock'!CZ60</f>
        <v/>
      </c>
      <c r="DC1174">
        <f>'T_SelfStock'!DA60</f>
        <v/>
      </c>
    </row>
    <row r="1175">
      <c r="B1175" t="inlineStr">
        <is>
          <t>Order(発注予定,kg)</t>
        </is>
      </c>
      <c r="D1175">
        <f>IF(SUMIFS(T_PlannedOrders[EffectiveQty],T_PlannedOrders[Part Name],$A1165,T_PlannedOrders[WeekIndex],1)=0,"",SUMIFS(T_PlannedOrders[EffectiveQty],T_PlannedOrders[Part Name],$A1165,T_PlannedOrders[WeekIndex],1)&amp;" ("&amp;TEXT(SUMPRODUCT(MAX((T_PlannedOrders[Part Name]=$A1165)*(T_PlannedOrders[WeekIndex]=1)*(T_PlannedOrders[EffectiveQty]&gt;0)*T_PlannedOrders[Order_Month])),"m月")&amp;"発注)")</f>
        <v/>
      </c>
      <c r="E1175">
        <f>IF(SUMIFS(T_PlannedOrders[EffectiveQty],T_PlannedOrders[Part Name],$A1165,T_PlannedOrders[WeekIndex],2)=0,"",SUMIFS(T_PlannedOrders[EffectiveQty],T_PlannedOrders[Part Name],$A1165,T_PlannedOrders[WeekIndex],2)&amp;" ("&amp;TEXT(SUMPRODUCT(MAX((T_PlannedOrders[Part Name]=$A1165)*(T_PlannedOrders[WeekIndex]=2)*(T_PlannedOrders[EffectiveQty]&gt;0)*T_PlannedOrders[Order_Month])),"m月")&amp;"発注)")</f>
        <v/>
      </c>
      <c r="F1175">
        <f>IF(SUMIFS(T_PlannedOrders[EffectiveQty],T_PlannedOrders[Part Name],$A1165,T_PlannedOrders[WeekIndex],3)=0,"",SUMIFS(T_PlannedOrders[EffectiveQty],T_PlannedOrders[Part Name],$A1165,T_PlannedOrders[WeekIndex],3)&amp;" ("&amp;TEXT(SUMPRODUCT(MAX((T_PlannedOrders[Part Name]=$A1165)*(T_PlannedOrders[WeekIndex]=3)*(T_PlannedOrders[EffectiveQty]&gt;0)*T_PlannedOrders[Order_Month])),"m月")&amp;"発注)")</f>
        <v/>
      </c>
      <c r="G1175">
        <f>IF(SUMIFS(T_PlannedOrders[EffectiveQty],T_PlannedOrders[Part Name],$A1165,T_PlannedOrders[WeekIndex],4)=0,"",SUMIFS(T_PlannedOrders[EffectiveQty],T_PlannedOrders[Part Name],$A1165,T_PlannedOrders[WeekIndex],4)&amp;" ("&amp;TEXT(SUMPRODUCT(MAX((T_PlannedOrders[Part Name]=$A1165)*(T_PlannedOrders[WeekIndex]=4)*(T_PlannedOrders[EffectiveQty]&gt;0)*T_PlannedOrders[Order_Month])),"m月")&amp;"発注)")</f>
        <v/>
      </c>
      <c r="H1175">
        <f>IF(SUMIFS(T_PlannedOrders[EffectiveQty],T_PlannedOrders[Part Name],$A1165,T_PlannedOrders[WeekIndex],5)=0,"",SUMIFS(T_PlannedOrders[EffectiveQty],T_PlannedOrders[Part Name],$A1165,T_PlannedOrders[WeekIndex],5)&amp;" ("&amp;TEXT(SUMPRODUCT(MAX((T_PlannedOrders[Part Name]=$A1165)*(T_PlannedOrders[WeekIndex]=5)*(T_PlannedOrders[EffectiveQty]&gt;0)*T_PlannedOrders[Order_Month])),"m月")&amp;"発注)")</f>
        <v/>
      </c>
      <c r="I1175">
        <f>IF(SUMIFS(T_PlannedOrders[EffectiveQty],T_PlannedOrders[Part Name],$A1165,T_PlannedOrders[WeekIndex],6)=0,"",SUMIFS(T_PlannedOrders[EffectiveQty],T_PlannedOrders[Part Name],$A1165,T_PlannedOrders[WeekIndex],6)&amp;" ("&amp;TEXT(SUMPRODUCT(MAX((T_PlannedOrders[Part Name]=$A1165)*(T_PlannedOrders[WeekIndex]=6)*(T_PlannedOrders[EffectiveQty]&gt;0)*T_PlannedOrders[Order_Month])),"m月")&amp;"発注)")</f>
        <v/>
      </c>
      <c r="J1175">
        <f>IF(SUMIFS(T_PlannedOrders[EffectiveQty],T_PlannedOrders[Part Name],$A1165,T_PlannedOrders[WeekIndex],7)=0,"",SUMIFS(T_PlannedOrders[EffectiveQty],T_PlannedOrders[Part Name],$A1165,T_PlannedOrders[WeekIndex],7)&amp;" ("&amp;TEXT(SUMPRODUCT(MAX((T_PlannedOrders[Part Name]=$A1165)*(T_PlannedOrders[WeekIndex]=7)*(T_PlannedOrders[EffectiveQty]&gt;0)*T_PlannedOrders[Order_Month])),"m月")&amp;"発注)")</f>
        <v/>
      </c>
      <c r="K1175">
        <f>IF(SUMIFS(T_PlannedOrders[EffectiveQty],T_PlannedOrders[Part Name],$A1165,T_PlannedOrders[WeekIndex],8)=0,"",SUMIFS(T_PlannedOrders[EffectiveQty],T_PlannedOrders[Part Name],$A1165,T_PlannedOrders[WeekIndex],8)&amp;" ("&amp;TEXT(SUMPRODUCT(MAX((T_PlannedOrders[Part Name]=$A1165)*(T_PlannedOrders[WeekIndex]=8)*(T_PlannedOrders[EffectiveQty]&gt;0)*T_PlannedOrders[Order_Month])),"m月")&amp;"発注)")</f>
        <v/>
      </c>
      <c r="L1175">
        <f>IF(SUMIFS(T_PlannedOrders[EffectiveQty],T_PlannedOrders[Part Name],$A1165,T_PlannedOrders[WeekIndex],9)=0,"",SUMIFS(T_PlannedOrders[EffectiveQty],T_PlannedOrders[Part Name],$A1165,T_PlannedOrders[WeekIndex],9)&amp;" ("&amp;TEXT(SUMPRODUCT(MAX((T_PlannedOrders[Part Name]=$A1165)*(T_PlannedOrders[WeekIndex]=9)*(T_PlannedOrders[EffectiveQty]&gt;0)*T_PlannedOrders[Order_Month])),"m月")&amp;"発注)")</f>
        <v/>
      </c>
      <c r="M1175">
        <f>IF(SUMIFS(T_PlannedOrders[EffectiveQty],T_PlannedOrders[Part Name],$A1165,T_PlannedOrders[WeekIndex],10)=0,"",SUMIFS(T_PlannedOrders[EffectiveQty],T_PlannedOrders[Part Name],$A1165,T_PlannedOrders[WeekIndex],10)&amp;" ("&amp;TEXT(SUMPRODUCT(MAX((T_PlannedOrders[Part Name]=$A1165)*(T_PlannedOrders[WeekIndex]=10)*(T_PlannedOrders[EffectiveQty]&gt;0)*T_PlannedOrders[Order_Month])),"m月")&amp;"発注)")</f>
        <v/>
      </c>
      <c r="N1175">
        <f>IF(SUMIFS(T_PlannedOrders[EffectiveQty],T_PlannedOrders[Part Name],$A1165,T_PlannedOrders[WeekIndex],11)=0,"",SUMIFS(T_PlannedOrders[EffectiveQty],T_PlannedOrders[Part Name],$A1165,T_PlannedOrders[WeekIndex],11)&amp;" ("&amp;TEXT(SUMPRODUCT(MAX((T_PlannedOrders[Part Name]=$A1165)*(T_PlannedOrders[WeekIndex]=11)*(T_PlannedOrders[EffectiveQty]&gt;0)*T_PlannedOrders[Order_Month])),"m月")&amp;"発注)")</f>
        <v/>
      </c>
      <c r="O1175">
        <f>IF(SUMIFS(T_PlannedOrders[EffectiveQty],T_PlannedOrders[Part Name],$A1165,T_PlannedOrders[WeekIndex],12)=0,"",SUMIFS(T_PlannedOrders[EffectiveQty],T_PlannedOrders[Part Name],$A1165,T_PlannedOrders[WeekIndex],12)&amp;" ("&amp;TEXT(SUMPRODUCT(MAX((T_PlannedOrders[Part Name]=$A1165)*(T_PlannedOrders[WeekIndex]=12)*(T_PlannedOrders[EffectiveQty]&gt;0)*T_PlannedOrders[Order_Month])),"m月")&amp;"発注)")</f>
        <v/>
      </c>
      <c r="P1175">
        <f>IF(SUMIFS(T_PlannedOrders[EffectiveQty],T_PlannedOrders[Part Name],$A1165,T_PlannedOrders[WeekIndex],13)=0,"",SUMIFS(T_PlannedOrders[EffectiveQty],T_PlannedOrders[Part Name],$A1165,T_PlannedOrders[WeekIndex],13)&amp;" ("&amp;TEXT(SUMPRODUCT(MAX((T_PlannedOrders[Part Name]=$A1165)*(T_PlannedOrders[WeekIndex]=13)*(T_PlannedOrders[EffectiveQty]&gt;0)*T_PlannedOrders[Order_Month])),"m月")&amp;"発注)")</f>
        <v/>
      </c>
      <c r="Q1175">
        <f>IF(SUMIFS(T_PlannedOrders[EffectiveQty],T_PlannedOrders[Part Name],$A1165,T_PlannedOrders[WeekIndex],14)=0,"",SUMIFS(T_PlannedOrders[EffectiveQty],T_PlannedOrders[Part Name],$A1165,T_PlannedOrders[WeekIndex],14)&amp;" ("&amp;TEXT(SUMPRODUCT(MAX((T_PlannedOrders[Part Name]=$A1165)*(T_PlannedOrders[WeekIndex]=14)*(T_PlannedOrders[EffectiveQty]&gt;0)*T_PlannedOrders[Order_Month])),"m月")&amp;"発注)")</f>
        <v/>
      </c>
      <c r="R1175">
        <f>IF(SUMIFS(T_PlannedOrders[EffectiveQty],T_PlannedOrders[Part Name],$A1165,T_PlannedOrders[WeekIndex],15)=0,"",SUMIFS(T_PlannedOrders[EffectiveQty],T_PlannedOrders[Part Name],$A1165,T_PlannedOrders[WeekIndex],15)&amp;" ("&amp;TEXT(SUMPRODUCT(MAX((T_PlannedOrders[Part Name]=$A1165)*(T_PlannedOrders[WeekIndex]=15)*(T_PlannedOrders[EffectiveQty]&gt;0)*T_PlannedOrders[Order_Month])),"m月")&amp;"発注)")</f>
        <v/>
      </c>
      <c r="S1175">
        <f>IF(SUMIFS(T_PlannedOrders[EffectiveQty],T_PlannedOrders[Part Name],$A1165,T_PlannedOrders[WeekIndex],16)=0,"",SUMIFS(T_PlannedOrders[EffectiveQty],T_PlannedOrders[Part Name],$A1165,T_PlannedOrders[WeekIndex],16)&amp;" ("&amp;TEXT(SUMPRODUCT(MAX((T_PlannedOrders[Part Name]=$A1165)*(T_PlannedOrders[WeekIndex]=16)*(T_PlannedOrders[EffectiveQty]&gt;0)*T_PlannedOrders[Order_Month])),"m月")&amp;"発注)")</f>
        <v/>
      </c>
      <c r="T1175">
        <f>IF(SUMIFS(T_PlannedOrders[EffectiveQty],T_PlannedOrders[Part Name],$A1165,T_PlannedOrders[WeekIndex],17)=0,"",SUMIFS(T_PlannedOrders[EffectiveQty],T_PlannedOrders[Part Name],$A1165,T_PlannedOrders[WeekIndex],17)&amp;" ("&amp;TEXT(SUMPRODUCT(MAX((T_PlannedOrders[Part Name]=$A1165)*(T_PlannedOrders[WeekIndex]=17)*(T_PlannedOrders[EffectiveQty]&gt;0)*T_PlannedOrders[Order_Month])),"m月")&amp;"発注)")</f>
        <v/>
      </c>
      <c r="U1175">
        <f>IF(SUMIFS(T_PlannedOrders[EffectiveQty],T_PlannedOrders[Part Name],$A1165,T_PlannedOrders[WeekIndex],18)=0,"",SUMIFS(T_PlannedOrders[EffectiveQty],T_PlannedOrders[Part Name],$A1165,T_PlannedOrders[WeekIndex],18)&amp;" ("&amp;TEXT(SUMPRODUCT(MAX((T_PlannedOrders[Part Name]=$A1165)*(T_PlannedOrders[WeekIndex]=18)*(T_PlannedOrders[EffectiveQty]&gt;0)*T_PlannedOrders[Order_Month])),"m月")&amp;"発注)")</f>
        <v/>
      </c>
      <c r="V1175">
        <f>IF(SUMIFS(T_PlannedOrders[EffectiveQty],T_PlannedOrders[Part Name],$A1165,T_PlannedOrders[WeekIndex],19)=0,"",SUMIFS(T_PlannedOrders[EffectiveQty],T_PlannedOrders[Part Name],$A1165,T_PlannedOrders[WeekIndex],19)&amp;" ("&amp;TEXT(SUMPRODUCT(MAX((T_PlannedOrders[Part Name]=$A1165)*(T_PlannedOrders[WeekIndex]=19)*(T_PlannedOrders[EffectiveQty]&gt;0)*T_PlannedOrders[Order_Month])),"m月")&amp;"発注)")</f>
        <v/>
      </c>
      <c r="W1175">
        <f>IF(SUMIFS(T_PlannedOrders[EffectiveQty],T_PlannedOrders[Part Name],$A1165,T_PlannedOrders[WeekIndex],20)=0,"",SUMIFS(T_PlannedOrders[EffectiveQty],T_PlannedOrders[Part Name],$A1165,T_PlannedOrders[WeekIndex],20)&amp;" ("&amp;TEXT(SUMPRODUCT(MAX((T_PlannedOrders[Part Name]=$A1165)*(T_PlannedOrders[WeekIndex]=20)*(T_PlannedOrders[EffectiveQty]&gt;0)*T_PlannedOrders[Order_Month])),"m月")&amp;"発注)")</f>
        <v/>
      </c>
      <c r="X1175">
        <f>IF(SUMIFS(T_PlannedOrders[EffectiveQty],T_PlannedOrders[Part Name],$A1165,T_PlannedOrders[WeekIndex],21)=0,"",SUMIFS(T_PlannedOrders[EffectiveQty],T_PlannedOrders[Part Name],$A1165,T_PlannedOrders[WeekIndex],21)&amp;" ("&amp;TEXT(SUMPRODUCT(MAX((T_PlannedOrders[Part Name]=$A1165)*(T_PlannedOrders[WeekIndex]=21)*(T_PlannedOrders[EffectiveQty]&gt;0)*T_PlannedOrders[Order_Month])),"m月")&amp;"発注)")</f>
        <v/>
      </c>
      <c r="Y1175">
        <f>IF(SUMIFS(T_PlannedOrders[EffectiveQty],T_PlannedOrders[Part Name],$A1165,T_PlannedOrders[WeekIndex],22)=0,"",SUMIFS(T_PlannedOrders[EffectiveQty],T_PlannedOrders[Part Name],$A1165,T_PlannedOrders[WeekIndex],22)&amp;" ("&amp;TEXT(SUMPRODUCT(MAX((T_PlannedOrders[Part Name]=$A1165)*(T_PlannedOrders[WeekIndex]=22)*(T_PlannedOrders[EffectiveQty]&gt;0)*T_PlannedOrders[Order_Month])),"m月")&amp;"発注)")</f>
        <v/>
      </c>
      <c r="Z1175">
        <f>IF(SUMIFS(T_PlannedOrders[EffectiveQty],T_PlannedOrders[Part Name],$A1165,T_PlannedOrders[WeekIndex],23)=0,"",SUMIFS(T_PlannedOrders[EffectiveQty],T_PlannedOrders[Part Name],$A1165,T_PlannedOrders[WeekIndex],23)&amp;" ("&amp;TEXT(SUMPRODUCT(MAX((T_PlannedOrders[Part Name]=$A1165)*(T_PlannedOrders[WeekIndex]=23)*(T_PlannedOrders[EffectiveQty]&gt;0)*T_PlannedOrders[Order_Month])),"m月")&amp;"発注)")</f>
        <v/>
      </c>
      <c r="AA1175">
        <f>IF(SUMIFS(T_PlannedOrders[EffectiveQty],T_PlannedOrders[Part Name],$A1165,T_PlannedOrders[WeekIndex],24)=0,"",SUMIFS(T_PlannedOrders[EffectiveQty],T_PlannedOrders[Part Name],$A1165,T_PlannedOrders[WeekIndex],24)&amp;" ("&amp;TEXT(SUMPRODUCT(MAX((T_PlannedOrders[Part Name]=$A1165)*(T_PlannedOrders[WeekIndex]=24)*(T_PlannedOrders[EffectiveQty]&gt;0)*T_PlannedOrders[Order_Month])),"m月")&amp;"発注)")</f>
        <v/>
      </c>
      <c r="AB1175">
        <f>IF(SUMIFS(T_PlannedOrders[EffectiveQty],T_PlannedOrders[Part Name],$A1165,T_PlannedOrders[WeekIndex],25)=0,"",SUMIFS(T_PlannedOrders[EffectiveQty],T_PlannedOrders[Part Name],$A1165,T_PlannedOrders[WeekIndex],25)&amp;" ("&amp;TEXT(SUMPRODUCT(MAX((T_PlannedOrders[Part Name]=$A1165)*(T_PlannedOrders[WeekIndex]=25)*(T_PlannedOrders[EffectiveQty]&gt;0)*T_PlannedOrders[Order_Month])),"m月")&amp;"発注)")</f>
        <v/>
      </c>
      <c r="AC1175">
        <f>IF(SUMIFS(T_PlannedOrders[EffectiveQty],T_PlannedOrders[Part Name],$A1165,T_PlannedOrders[WeekIndex],26)=0,"",SUMIFS(T_PlannedOrders[EffectiveQty],T_PlannedOrders[Part Name],$A1165,T_PlannedOrders[WeekIndex],26)&amp;" ("&amp;TEXT(SUMPRODUCT(MAX((T_PlannedOrders[Part Name]=$A1165)*(T_PlannedOrders[WeekIndex]=26)*(T_PlannedOrders[EffectiveQty]&gt;0)*T_PlannedOrders[Order_Month])),"m月")&amp;"発注)")</f>
        <v/>
      </c>
      <c r="AD1175">
        <f>IF(SUMIFS(T_PlannedOrders[EffectiveQty],T_PlannedOrders[Part Name],$A1165,T_PlannedOrders[WeekIndex],27)=0,"",SUMIFS(T_PlannedOrders[EffectiveQty],T_PlannedOrders[Part Name],$A1165,T_PlannedOrders[WeekIndex],27)&amp;" ("&amp;TEXT(SUMPRODUCT(MAX((T_PlannedOrders[Part Name]=$A1165)*(T_PlannedOrders[WeekIndex]=27)*(T_PlannedOrders[EffectiveQty]&gt;0)*T_PlannedOrders[Order_Month])),"m月")&amp;"発注)")</f>
        <v/>
      </c>
      <c r="AE1175">
        <f>IF(SUMIFS(T_PlannedOrders[EffectiveQty],T_PlannedOrders[Part Name],$A1165,T_PlannedOrders[WeekIndex],28)=0,"",SUMIFS(T_PlannedOrders[EffectiveQty],T_PlannedOrders[Part Name],$A1165,T_PlannedOrders[WeekIndex],28)&amp;" ("&amp;TEXT(SUMPRODUCT(MAX((T_PlannedOrders[Part Name]=$A1165)*(T_PlannedOrders[WeekIndex]=28)*(T_PlannedOrders[EffectiveQty]&gt;0)*T_PlannedOrders[Order_Month])),"m月")&amp;"発注)")</f>
        <v/>
      </c>
      <c r="AF1175">
        <f>IF(SUMIFS(T_PlannedOrders[EffectiveQty],T_PlannedOrders[Part Name],$A1165,T_PlannedOrders[WeekIndex],29)=0,"",SUMIFS(T_PlannedOrders[EffectiveQty],T_PlannedOrders[Part Name],$A1165,T_PlannedOrders[WeekIndex],29)&amp;" ("&amp;TEXT(SUMPRODUCT(MAX((T_PlannedOrders[Part Name]=$A1165)*(T_PlannedOrders[WeekIndex]=29)*(T_PlannedOrders[EffectiveQty]&gt;0)*T_PlannedOrders[Order_Month])),"m月")&amp;"発注)")</f>
        <v/>
      </c>
      <c r="AG1175">
        <f>IF(SUMIFS(T_PlannedOrders[EffectiveQty],T_PlannedOrders[Part Name],$A1165,T_PlannedOrders[WeekIndex],30)=0,"",SUMIFS(T_PlannedOrders[EffectiveQty],T_PlannedOrders[Part Name],$A1165,T_PlannedOrders[WeekIndex],30)&amp;" ("&amp;TEXT(SUMPRODUCT(MAX((T_PlannedOrders[Part Name]=$A1165)*(T_PlannedOrders[WeekIndex]=30)*(T_PlannedOrders[EffectiveQty]&gt;0)*T_PlannedOrders[Order_Month])),"m月")&amp;"発注)")</f>
        <v/>
      </c>
      <c r="AH1175">
        <f>IF(SUMIFS(T_PlannedOrders[EffectiveQty],T_PlannedOrders[Part Name],$A1165,T_PlannedOrders[WeekIndex],31)=0,"",SUMIFS(T_PlannedOrders[EffectiveQty],T_PlannedOrders[Part Name],$A1165,T_PlannedOrders[WeekIndex],31)&amp;" ("&amp;TEXT(SUMPRODUCT(MAX((T_PlannedOrders[Part Name]=$A1165)*(T_PlannedOrders[WeekIndex]=31)*(T_PlannedOrders[EffectiveQty]&gt;0)*T_PlannedOrders[Order_Month])),"m月")&amp;"発注)")</f>
        <v/>
      </c>
      <c r="AI1175">
        <f>IF(SUMIFS(T_PlannedOrders[EffectiveQty],T_PlannedOrders[Part Name],$A1165,T_PlannedOrders[WeekIndex],32)=0,"",SUMIFS(T_PlannedOrders[EffectiveQty],T_PlannedOrders[Part Name],$A1165,T_PlannedOrders[WeekIndex],32)&amp;" ("&amp;TEXT(SUMPRODUCT(MAX((T_PlannedOrders[Part Name]=$A1165)*(T_PlannedOrders[WeekIndex]=32)*(T_PlannedOrders[EffectiveQty]&gt;0)*T_PlannedOrders[Order_Month])),"m月")&amp;"発注)")</f>
        <v/>
      </c>
      <c r="AJ1175">
        <f>IF(SUMIFS(T_PlannedOrders[EffectiveQty],T_PlannedOrders[Part Name],$A1165,T_PlannedOrders[WeekIndex],33)=0,"",SUMIFS(T_PlannedOrders[EffectiveQty],T_PlannedOrders[Part Name],$A1165,T_PlannedOrders[WeekIndex],33)&amp;" ("&amp;TEXT(SUMPRODUCT(MAX((T_PlannedOrders[Part Name]=$A1165)*(T_PlannedOrders[WeekIndex]=33)*(T_PlannedOrders[EffectiveQty]&gt;0)*T_PlannedOrders[Order_Month])),"m月")&amp;"発注)")</f>
        <v/>
      </c>
      <c r="AK1175">
        <f>IF(SUMIFS(T_PlannedOrders[EffectiveQty],T_PlannedOrders[Part Name],$A1165,T_PlannedOrders[WeekIndex],34)=0,"",SUMIFS(T_PlannedOrders[EffectiveQty],T_PlannedOrders[Part Name],$A1165,T_PlannedOrders[WeekIndex],34)&amp;" ("&amp;TEXT(SUMPRODUCT(MAX((T_PlannedOrders[Part Name]=$A1165)*(T_PlannedOrders[WeekIndex]=34)*(T_PlannedOrders[EffectiveQty]&gt;0)*T_PlannedOrders[Order_Month])),"m月")&amp;"発注)")</f>
        <v/>
      </c>
      <c r="AL1175">
        <f>IF(SUMIFS(T_PlannedOrders[EffectiveQty],T_PlannedOrders[Part Name],$A1165,T_PlannedOrders[WeekIndex],35)=0,"",SUMIFS(T_PlannedOrders[EffectiveQty],T_PlannedOrders[Part Name],$A1165,T_PlannedOrders[WeekIndex],35)&amp;" ("&amp;TEXT(SUMPRODUCT(MAX((T_PlannedOrders[Part Name]=$A1165)*(T_PlannedOrders[WeekIndex]=35)*(T_PlannedOrders[EffectiveQty]&gt;0)*T_PlannedOrders[Order_Month])),"m月")&amp;"発注)")</f>
        <v/>
      </c>
      <c r="AM1175">
        <f>IF(SUMIFS(T_PlannedOrders[EffectiveQty],T_PlannedOrders[Part Name],$A1165,T_PlannedOrders[WeekIndex],36)=0,"",SUMIFS(T_PlannedOrders[EffectiveQty],T_PlannedOrders[Part Name],$A1165,T_PlannedOrders[WeekIndex],36)&amp;" ("&amp;TEXT(SUMPRODUCT(MAX((T_PlannedOrders[Part Name]=$A1165)*(T_PlannedOrders[WeekIndex]=36)*(T_PlannedOrders[EffectiveQty]&gt;0)*T_PlannedOrders[Order_Month])),"m月")&amp;"発注)")</f>
        <v/>
      </c>
      <c r="AN1175">
        <f>IF(SUMIFS(T_PlannedOrders[EffectiveQty],T_PlannedOrders[Part Name],$A1165,T_PlannedOrders[WeekIndex],37)=0,"",SUMIFS(T_PlannedOrders[EffectiveQty],T_PlannedOrders[Part Name],$A1165,T_PlannedOrders[WeekIndex],37)&amp;" ("&amp;TEXT(SUMPRODUCT(MAX((T_PlannedOrders[Part Name]=$A1165)*(T_PlannedOrders[WeekIndex]=37)*(T_PlannedOrders[EffectiveQty]&gt;0)*T_PlannedOrders[Order_Month])),"m月")&amp;"発注)")</f>
        <v/>
      </c>
      <c r="AO1175">
        <f>IF(SUMIFS(T_PlannedOrders[EffectiveQty],T_PlannedOrders[Part Name],$A1165,T_PlannedOrders[WeekIndex],38)=0,"",SUMIFS(T_PlannedOrders[EffectiveQty],T_PlannedOrders[Part Name],$A1165,T_PlannedOrders[WeekIndex],38)&amp;" ("&amp;TEXT(SUMPRODUCT(MAX((T_PlannedOrders[Part Name]=$A1165)*(T_PlannedOrders[WeekIndex]=38)*(T_PlannedOrders[EffectiveQty]&gt;0)*T_PlannedOrders[Order_Month])),"m月")&amp;"発注)")</f>
        <v/>
      </c>
      <c r="AP1175">
        <f>IF(SUMIFS(T_PlannedOrders[EffectiveQty],T_PlannedOrders[Part Name],$A1165,T_PlannedOrders[WeekIndex],39)=0,"",SUMIFS(T_PlannedOrders[EffectiveQty],T_PlannedOrders[Part Name],$A1165,T_PlannedOrders[WeekIndex],39)&amp;" ("&amp;TEXT(SUMPRODUCT(MAX((T_PlannedOrders[Part Name]=$A1165)*(T_PlannedOrders[WeekIndex]=39)*(T_PlannedOrders[EffectiveQty]&gt;0)*T_PlannedOrders[Order_Month])),"m月")&amp;"発注)")</f>
        <v/>
      </c>
      <c r="AQ1175">
        <f>IF(SUMIFS(T_PlannedOrders[EffectiveQty],T_PlannedOrders[Part Name],$A1165,T_PlannedOrders[WeekIndex],40)=0,"",SUMIFS(T_PlannedOrders[EffectiveQty],T_PlannedOrders[Part Name],$A1165,T_PlannedOrders[WeekIndex],40)&amp;" ("&amp;TEXT(SUMPRODUCT(MAX((T_PlannedOrders[Part Name]=$A1165)*(T_PlannedOrders[WeekIndex]=40)*(T_PlannedOrders[EffectiveQty]&gt;0)*T_PlannedOrders[Order_Month])),"m月")&amp;"発注)")</f>
        <v/>
      </c>
      <c r="AR1175">
        <f>IF(SUMIFS(T_PlannedOrders[EffectiveQty],T_PlannedOrders[Part Name],$A1165,T_PlannedOrders[WeekIndex],41)=0,"",SUMIFS(T_PlannedOrders[EffectiveQty],T_PlannedOrders[Part Name],$A1165,T_PlannedOrders[WeekIndex],41)&amp;" ("&amp;TEXT(SUMPRODUCT(MAX((T_PlannedOrders[Part Name]=$A1165)*(T_PlannedOrders[WeekIndex]=41)*(T_PlannedOrders[EffectiveQty]&gt;0)*T_PlannedOrders[Order_Month])),"m月")&amp;"発注)")</f>
        <v/>
      </c>
      <c r="AS1175">
        <f>IF(SUMIFS(T_PlannedOrders[EffectiveQty],T_PlannedOrders[Part Name],$A1165,T_PlannedOrders[WeekIndex],42)=0,"",SUMIFS(T_PlannedOrders[EffectiveQty],T_PlannedOrders[Part Name],$A1165,T_PlannedOrders[WeekIndex],42)&amp;" ("&amp;TEXT(SUMPRODUCT(MAX((T_PlannedOrders[Part Name]=$A1165)*(T_PlannedOrders[WeekIndex]=42)*(T_PlannedOrders[EffectiveQty]&gt;0)*T_PlannedOrders[Order_Month])),"m月")&amp;"発注)")</f>
        <v/>
      </c>
      <c r="AT1175">
        <f>IF(SUMIFS(T_PlannedOrders[EffectiveQty],T_PlannedOrders[Part Name],$A1165,T_PlannedOrders[WeekIndex],43)=0,"",SUMIFS(T_PlannedOrders[EffectiveQty],T_PlannedOrders[Part Name],$A1165,T_PlannedOrders[WeekIndex],43)&amp;" ("&amp;TEXT(SUMPRODUCT(MAX((T_PlannedOrders[Part Name]=$A1165)*(T_PlannedOrders[WeekIndex]=43)*(T_PlannedOrders[EffectiveQty]&gt;0)*T_PlannedOrders[Order_Month])),"m月")&amp;"発注)")</f>
        <v/>
      </c>
      <c r="AU1175">
        <f>IF(SUMIFS(T_PlannedOrders[EffectiveQty],T_PlannedOrders[Part Name],$A1165,T_PlannedOrders[WeekIndex],44)=0,"",SUMIFS(T_PlannedOrders[EffectiveQty],T_PlannedOrders[Part Name],$A1165,T_PlannedOrders[WeekIndex],44)&amp;" ("&amp;TEXT(SUMPRODUCT(MAX((T_PlannedOrders[Part Name]=$A1165)*(T_PlannedOrders[WeekIndex]=44)*(T_PlannedOrders[EffectiveQty]&gt;0)*T_PlannedOrders[Order_Month])),"m月")&amp;"発注)")</f>
        <v/>
      </c>
      <c r="AV1175">
        <f>IF(SUMIFS(T_PlannedOrders[EffectiveQty],T_PlannedOrders[Part Name],$A1165,T_PlannedOrders[WeekIndex],45)=0,"",SUMIFS(T_PlannedOrders[EffectiveQty],T_PlannedOrders[Part Name],$A1165,T_PlannedOrders[WeekIndex],45)&amp;" ("&amp;TEXT(SUMPRODUCT(MAX((T_PlannedOrders[Part Name]=$A1165)*(T_PlannedOrders[WeekIndex]=45)*(T_PlannedOrders[EffectiveQty]&gt;0)*T_PlannedOrders[Order_Month])),"m月")&amp;"発注)")</f>
        <v/>
      </c>
      <c r="AW1175">
        <f>IF(SUMIFS(T_PlannedOrders[EffectiveQty],T_PlannedOrders[Part Name],$A1165,T_PlannedOrders[WeekIndex],46)=0,"",SUMIFS(T_PlannedOrders[EffectiveQty],T_PlannedOrders[Part Name],$A1165,T_PlannedOrders[WeekIndex],46)&amp;" ("&amp;TEXT(SUMPRODUCT(MAX((T_PlannedOrders[Part Name]=$A1165)*(T_PlannedOrders[WeekIndex]=46)*(T_PlannedOrders[EffectiveQty]&gt;0)*T_PlannedOrders[Order_Month])),"m月")&amp;"発注)")</f>
        <v/>
      </c>
      <c r="AX1175">
        <f>IF(SUMIFS(T_PlannedOrders[EffectiveQty],T_PlannedOrders[Part Name],$A1165,T_PlannedOrders[WeekIndex],47)=0,"",SUMIFS(T_PlannedOrders[EffectiveQty],T_PlannedOrders[Part Name],$A1165,T_PlannedOrders[WeekIndex],47)&amp;" ("&amp;TEXT(SUMPRODUCT(MAX((T_PlannedOrders[Part Name]=$A1165)*(T_PlannedOrders[WeekIndex]=47)*(T_PlannedOrders[EffectiveQty]&gt;0)*T_PlannedOrders[Order_Month])),"m月")&amp;"発注)")</f>
        <v/>
      </c>
      <c r="AY1175">
        <f>IF(SUMIFS(T_PlannedOrders[EffectiveQty],T_PlannedOrders[Part Name],$A1165,T_PlannedOrders[WeekIndex],48)=0,"",SUMIFS(T_PlannedOrders[EffectiveQty],T_PlannedOrders[Part Name],$A1165,T_PlannedOrders[WeekIndex],48)&amp;" ("&amp;TEXT(SUMPRODUCT(MAX((T_PlannedOrders[Part Name]=$A1165)*(T_PlannedOrders[WeekIndex]=48)*(T_PlannedOrders[EffectiveQty]&gt;0)*T_PlannedOrders[Order_Month])),"m月")&amp;"発注)")</f>
        <v/>
      </c>
      <c r="AZ1175">
        <f>IF(SUMIFS(T_PlannedOrders[EffectiveQty],T_PlannedOrders[Part Name],$A1165,T_PlannedOrders[WeekIndex],49)=0,"",SUMIFS(T_PlannedOrders[EffectiveQty],T_PlannedOrders[Part Name],$A1165,T_PlannedOrders[WeekIndex],49)&amp;" ("&amp;TEXT(SUMPRODUCT(MAX((T_PlannedOrders[Part Name]=$A1165)*(T_PlannedOrders[WeekIndex]=49)*(T_PlannedOrders[EffectiveQty]&gt;0)*T_PlannedOrders[Order_Month])),"m月")&amp;"発注)")</f>
        <v/>
      </c>
      <c r="BA1175">
        <f>IF(SUMIFS(T_PlannedOrders[EffectiveQty],T_PlannedOrders[Part Name],$A1165,T_PlannedOrders[WeekIndex],50)=0,"",SUMIFS(T_PlannedOrders[EffectiveQty],T_PlannedOrders[Part Name],$A1165,T_PlannedOrders[WeekIndex],50)&amp;" ("&amp;TEXT(SUMPRODUCT(MAX((T_PlannedOrders[Part Name]=$A1165)*(T_PlannedOrders[WeekIndex]=50)*(T_PlannedOrders[EffectiveQty]&gt;0)*T_PlannedOrders[Order_Month])),"m月")&amp;"発注)")</f>
        <v/>
      </c>
      <c r="BB1175">
        <f>IF(SUMIFS(T_PlannedOrders[EffectiveQty],T_PlannedOrders[Part Name],$A1165,T_PlannedOrders[WeekIndex],51)=0,"",SUMIFS(T_PlannedOrders[EffectiveQty],T_PlannedOrders[Part Name],$A1165,T_PlannedOrders[WeekIndex],51)&amp;" ("&amp;TEXT(SUMPRODUCT(MAX((T_PlannedOrders[Part Name]=$A1165)*(T_PlannedOrders[WeekIndex]=51)*(T_PlannedOrders[EffectiveQty]&gt;0)*T_PlannedOrders[Order_Month])),"m月")&amp;"発注)")</f>
        <v/>
      </c>
      <c r="BC1175">
        <f>IF(SUMIFS(T_PlannedOrders[EffectiveQty],T_PlannedOrders[Part Name],$A1165,T_PlannedOrders[WeekIndex],52)=0,"",SUMIFS(T_PlannedOrders[EffectiveQty],T_PlannedOrders[Part Name],$A1165,T_PlannedOrders[WeekIndex],52)&amp;" ("&amp;TEXT(SUMPRODUCT(MAX((T_PlannedOrders[Part Name]=$A1165)*(T_PlannedOrders[WeekIndex]=52)*(T_PlannedOrders[EffectiveQty]&gt;0)*T_PlannedOrders[Order_Month])),"m月")&amp;"発注)")</f>
        <v/>
      </c>
      <c r="BD1175">
        <f>IF(SUMIFS(T_PlannedOrders[EffectiveQty],T_PlannedOrders[Part Name],$A1165,T_PlannedOrders[WeekIndex],53)=0,"",SUMIFS(T_PlannedOrders[EffectiveQty],T_PlannedOrders[Part Name],$A1165,T_PlannedOrders[WeekIndex],53)&amp;" ("&amp;TEXT(SUMPRODUCT(MAX((T_PlannedOrders[Part Name]=$A1165)*(T_PlannedOrders[WeekIndex]=53)*(T_PlannedOrders[EffectiveQty]&gt;0)*T_PlannedOrders[Order_Month])),"m月")&amp;"発注)")</f>
        <v/>
      </c>
      <c r="BE1175">
        <f>IF(SUMIFS(T_PlannedOrders[EffectiveQty],T_PlannedOrders[Part Name],$A1165,T_PlannedOrders[WeekIndex],54)=0,"",SUMIFS(T_PlannedOrders[EffectiveQty],T_PlannedOrders[Part Name],$A1165,T_PlannedOrders[WeekIndex],54)&amp;" ("&amp;TEXT(SUMPRODUCT(MAX((T_PlannedOrders[Part Name]=$A1165)*(T_PlannedOrders[WeekIndex]=54)*(T_PlannedOrders[EffectiveQty]&gt;0)*T_PlannedOrders[Order_Month])),"m月")&amp;"発注)")</f>
        <v/>
      </c>
      <c r="BF1175">
        <f>IF(SUMIFS(T_PlannedOrders[EffectiveQty],T_PlannedOrders[Part Name],$A1165,T_PlannedOrders[WeekIndex],55)=0,"",SUMIFS(T_PlannedOrders[EffectiveQty],T_PlannedOrders[Part Name],$A1165,T_PlannedOrders[WeekIndex],55)&amp;" ("&amp;TEXT(SUMPRODUCT(MAX((T_PlannedOrders[Part Name]=$A1165)*(T_PlannedOrders[WeekIndex]=55)*(T_PlannedOrders[EffectiveQty]&gt;0)*T_PlannedOrders[Order_Month])),"m月")&amp;"発注)")</f>
        <v/>
      </c>
      <c r="BG1175">
        <f>IF(SUMIFS(T_PlannedOrders[EffectiveQty],T_PlannedOrders[Part Name],$A1165,T_PlannedOrders[WeekIndex],56)=0,"",SUMIFS(T_PlannedOrders[EffectiveQty],T_PlannedOrders[Part Name],$A1165,T_PlannedOrders[WeekIndex],56)&amp;" ("&amp;TEXT(SUMPRODUCT(MAX((T_PlannedOrders[Part Name]=$A1165)*(T_PlannedOrders[WeekIndex]=56)*(T_PlannedOrders[EffectiveQty]&gt;0)*T_PlannedOrders[Order_Month])),"m月")&amp;"発注)")</f>
        <v/>
      </c>
      <c r="BH1175">
        <f>IF(SUMIFS(T_PlannedOrders[EffectiveQty],T_PlannedOrders[Part Name],$A1165,T_PlannedOrders[WeekIndex],57)=0,"",SUMIFS(T_PlannedOrders[EffectiveQty],T_PlannedOrders[Part Name],$A1165,T_PlannedOrders[WeekIndex],57)&amp;" ("&amp;TEXT(SUMPRODUCT(MAX((T_PlannedOrders[Part Name]=$A1165)*(T_PlannedOrders[WeekIndex]=57)*(T_PlannedOrders[EffectiveQty]&gt;0)*T_PlannedOrders[Order_Month])),"m月")&amp;"発注)")</f>
        <v/>
      </c>
      <c r="BI1175">
        <f>IF(SUMIFS(T_PlannedOrders[EffectiveQty],T_PlannedOrders[Part Name],$A1165,T_PlannedOrders[WeekIndex],58)=0,"",SUMIFS(T_PlannedOrders[EffectiveQty],T_PlannedOrders[Part Name],$A1165,T_PlannedOrders[WeekIndex],58)&amp;" ("&amp;TEXT(SUMPRODUCT(MAX((T_PlannedOrders[Part Name]=$A1165)*(T_PlannedOrders[WeekIndex]=58)*(T_PlannedOrders[EffectiveQty]&gt;0)*T_PlannedOrders[Order_Month])),"m月")&amp;"発注)")</f>
        <v/>
      </c>
      <c r="BJ1175">
        <f>IF(SUMIFS(T_PlannedOrders[EffectiveQty],T_PlannedOrders[Part Name],$A1165,T_PlannedOrders[WeekIndex],59)=0,"",SUMIFS(T_PlannedOrders[EffectiveQty],T_PlannedOrders[Part Name],$A1165,T_PlannedOrders[WeekIndex],59)&amp;" ("&amp;TEXT(SUMPRODUCT(MAX((T_PlannedOrders[Part Name]=$A1165)*(T_PlannedOrders[WeekIndex]=59)*(T_PlannedOrders[EffectiveQty]&gt;0)*T_PlannedOrders[Order_Month])),"m月")&amp;"発注)")</f>
        <v/>
      </c>
      <c r="BK1175">
        <f>IF(SUMIFS(T_PlannedOrders[EffectiveQty],T_PlannedOrders[Part Name],$A1165,T_PlannedOrders[WeekIndex],60)=0,"",SUMIFS(T_PlannedOrders[EffectiveQty],T_PlannedOrders[Part Name],$A1165,T_PlannedOrders[WeekIndex],60)&amp;" ("&amp;TEXT(SUMPRODUCT(MAX((T_PlannedOrders[Part Name]=$A1165)*(T_PlannedOrders[WeekIndex]=60)*(T_PlannedOrders[EffectiveQty]&gt;0)*T_PlannedOrders[Order_Month])),"m月")&amp;"発注)")</f>
        <v/>
      </c>
      <c r="BL1175">
        <f>IF(SUMIFS(T_PlannedOrders[EffectiveQty],T_PlannedOrders[Part Name],$A1165,T_PlannedOrders[WeekIndex],61)=0,"",SUMIFS(T_PlannedOrders[EffectiveQty],T_PlannedOrders[Part Name],$A1165,T_PlannedOrders[WeekIndex],61)&amp;" ("&amp;TEXT(SUMPRODUCT(MAX((T_PlannedOrders[Part Name]=$A1165)*(T_PlannedOrders[WeekIndex]=61)*(T_PlannedOrders[EffectiveQty]&gt;0)*T_PlannedOrders[Order_Month])),"m月")&amp;"発注)")</f>
        <v/>
      </c>
      <c r="BM1175">
        <f>IF(SUMIFS(T_PlannedOrders[EffectiveQty],T_PlannedOrders[Part Name],$A1165,T_PlannedOrders[WeekIndex],62)=0,"",SUMIFS(T_PlannedOrders[EffectiveQty],T_PlannedOrders[Part Name],$A1165,T_PlannedOrders[WeekIndex],62)&amp;" ("&amp;TEXT(SUMPRODUCT(MAX((T_PlannedOrders[Part Name]=$A1165)*(T_PlannedOrders[WeekIndex]=62)*(T_PlannedOrders[EffectiveQty]&gt;0)*T_PlannedOrders[Order_Month])),"m月")&amp;"発注)")</f>
        <v/>
      </c>
      <c r="BN1175">
        <f>IF(SUMIFS(T_PlannedOrders[EffectiveQty],T_PlannedOrders[Part Name],$A1165,T_PlannedOrders[WeekIndex],63)=0,"",SUMIFS(T_PlannedOrders[EffectiveQty],T_PlannedOrders[Part Name],$A1165,T_PlannedOrders[WeekIndex],63)&amp;" ("&amp;TEXT(SUMPRODUCT(MAX((T_PlannedOrders[Part Name]=$A1165)*(T_PlannedOrders[WeekIndex]=63)*(T_PlannedOrders[EffectiveQty]&gt;0)*T_PlannedOrders[Order_Month])),"m月")&amp;"発注)")</f>
        <v/>
      </c>
      <c r="BO1175">
        <f>IF(SUMIFS(T_PlannedOrders[EffectiveQty],T_PlannedOrders[Part Name],$A1165,T_PlannedOrders[WeekIndex],64)=0,"",SUMIFS(T_PlannedOrders[EffectiveQty],T_PlannedOrders[Part Name],$A1165,T_PlannedOrders[WeekIndex],64)&amp;" ("&amp;TEXT(SUMPRODUCT(MAX((T_PlannedOrders[Part Name]=$A1165)*(T_PlannedOrders[WeekIndex]=64)*(T_PlannedOrders[EffectiveQty]&gt;0)*T_PlannedOrders[Order_Month])),"m月")&amp;"発注)")</f>
        <v/>
      </c>
      <c r="BP1175">
        <f>IF(SUMIFS(T_PlannedOrders[EffectiveQty],T_PlannedOrders[Part Name],$A1165,T_PlannedOrders[WeekIndex],65)=0,"",SUMIFS(T_PlannedOrders[EffectiveQty],T_PlannedOrders[Part Name],$A1165,T_PlannedOrders[WeekIndex],65)&amp;" ("&amp;TEXT(SUMPRODUCT(MAX((T_PlannedOrders[Part Name]=$A1165)*(T_PlannedOrders[WeekIndex]=65)*(T_PlannedOrders[EffectiveQty]&gt;0)*T_PlannedOrders[Order_Month])),"m月")&amp;"発注)")</f>
        <v/>
      </c>
      <c r="BQ1175">
        <f>IF(SUMIFS(T_PlannedOrders[EffectiveQty],T_PlannedOrders[Part Name],$A1165,T_PlannedOrders[WeekIndex],66)=0,"",SUMIFS(T_PlannedOrders[EffectiveQty],T_PlannedOrders[Part Name],$A1165,T_PlannedOrders[WeekIndex],66)&amp;" ("&amp;TEXT(SUMPRODUCT(MAX((T_PlannedOrders[Part Name]=$A1165)*(T_PlannedOrders[WeekIndex]=66)*(T_PlannedOrders[EffectiveQty]&gt;0)*T_PlannedOrders[Order_Month])),"m月")&amp;"発注)")</f>
        <v/>
      </c>
      <c r="BR1175">
        <f>IF(SUMIFS(T_PlannedOrders[EffectiveQty],T_PlannedOrders[Part Name],$A1165,T_PlannedOrders[WeekIndex],67)=0,"",SUMIFS(T_PlannedOrders[EffectiveQty],T_PlannedOrders[Part Name],$A1165,T_PlannedOrders[WeekIndex],67)&amp;" ("&amp;TEXT(SUMPRODUCT(MAX((T_PlannedOrders[Part Name]=$A1165)*(T_PlannedOrders[WeekIndex]=67)*(T_PlannedOrders[EffectiveQty]&gt;0)*T_PlannedOrders[Order_Month])),"m月")&amp;"発注)")</f>
        <v/>
      </c>
      <c r="BS1175">
        <f>IF(SUMIFS(T_PlannedOrders[EffectiveQty],T_PlannedOrders[Part Name],$A1165,T_PlannedOrders[WeekIndex],68)=0,"",SUMIFS(T_PlannedOrders[EffectiveQty],T_PlannedOrders[Part Name],$A1165,T_PlannedOrders[WeekIndex],68)&amp;" ("&amp;TEXT(SUMPRODUCT(MAX((T_PlannedOrders[Part Name]=$A1165)*(T_PlannedOrders[WeekIndex]=68)*(T_PlannedOrders[EffectiveQty]&gt;0)*T_PlannedOrders[Order_Month])),"m月")&amp;"発注)")</f>
        <v/>
      </c>
      <c r="BT1175">
        <f>IF(SUMIFS(T_PlannedOrders[EffectiveQty],T_PlannedOrders[Part Name],$A1165,T_PlannedOrders[WeekIndex],69)=0,"",SUMIFS(T_PlannedOrders[EffectiveQty],T_PlannedOrders[Part Name],$A1165,T_PlannedOrders[WeekIndex],69)&amp;" ("&amp;TEXT(SUMPRODUCT(MAX((T_PlannedOrders[Part Name]=$A1165)*(T_PlannedOrders[WeekIndex]=69)*(T_PlannedOrders[EffectiveQty]&gt;0)*T_PlannedOrders[Order_Month])),"m月")&amp;"発注)")</f>
        <v/>
      </c>
      <c r="BU1175">
        <f>IF(SUMIFS(T_PlannedOrders[EffectiveQty],T_PlannedOrders[Part Name],$A1165,T_PlannedOrders[WeekIndex],70)=0,"",SUMIFS(T_PlannedOrders[EffectiveQty],T_PlannedOrders[Part Name],$A1165,T_PlannedOrders[WeekIndex],70)&amp;" ("&amp;TEXT(SUMPRODUCT(MAX((T_PlannedOrders[Part Name]=$A1165)*(T_PlannedOrders[WeekIndex]=70)*(T_PlannedOrders[EffectiveQty]&gt;0)*T_PlannedOrders[Order_Month])),"m月")&amp;"発注)")</f>
        <v/>
      </c>
      <c r="BV1175">
        <f>IF(SUMIFS(T_PlannedOrders[EffectiveQty],T_PlannedOrders[Part Name],$A1165,T_PlannedOrders[WeekIndex],71)=0,"",SUMIFS(T_PlannedOrders[EffectiveQty],T_PlannedOrders[Part Name],$A1165,T_PlannedOrders[WeekIndex],71)&amp;" ("&amp;TEXT(SUMPRODUCT(MAX((T_PlannedOrders[Part Name]=$A1165)*(T_PlannedOrders[WeekIndex]=71)*(T_PlannedOrders[EffectiveQty]&gt;0)*T_PlannedOrders[Order_Month])),"m月")&amp;"発注)")</f>
        <v/>
      </c>
      <c r="BW1175">
        <f>IF(SUMIFS(T_PlannedOrders[EffectiveQty],T_PlannedOrders[Part Name],$A1165,T_PlannedOrders[WeekIndex],72)=0,"",SUMIFS(T_PlannedOrders[EffectiveQty],T_PlannedOrders[Part Name],$A1165,T_PlannedOrders[WeekIndex],72)&amp;" ("&amp;TEXT(SUMPRODUCT(MAX((T_PlannedOrders[Part Name]=$A1165)*(T_PlannedOrders[WeekIndex]=72)*(T_PlannedOrders[EffectiveQty]&gt;0)*T_PlannedOrders[Order_Month])),"m月")&amp;"発注)")</f>
        <v/>
      </c>
      <c r="BX1175">
        <f>IF(SUMIFS(T_PlannedOrders[EffectiveQty],T_PlannedOrders[Part Name],$A1165,T_PlannedOrders[WeekIndex],73)=0,"",SUMIFS(T_PlannedOrders[EffectiveQty],T_PlannedOrders[Part Name],$A1165,T_PlannedOrders[WeekIndex],73)&amp;" ("&amp;TEXT(SUMPRODUCT(MAX((T_PlannedOrders[Part Name]=$A1165)*(T_PlannedOrders[WeekIndex]=73)*(T_PlannedOrders[EffectiveQty]&gt;0)*T_PlannedOrders[Order_Month])),"m月")&amp;"発注)")</f>
        <v/>
      </c>
      <c r="BY1175">
        <f>IF(SUMIFS(T_PlannedOrders[EffectiveQty],T_PlannedOrders[Part Name],$A1165,T_PlannedOrders[WeekIndex],74)=0,"",SUMIFS(T_PlannedOrders[EffectiveQty],T_PlannedOrders[Part Name],$A1165,T_PlannedOrders[WeekIndex],74)&amp;" ("&amp;TEXT(SUMPRODUCT(MAX((T_PlannedOrders[Part Name]=$A1165)*(T_PlannedOrders[WeekIndex]=74)*(T_PlannedOrders[EffectiveQty]&gt;0)*T_PlannedOrders[Order_Month])),"m月")&amp;"発注)")</f>
        <v/>
      </c>
      <c r="BZ1175">
        <f>IF(SUMIFS(T_PlannedOrders[EffectiveQty],T_PlannedOrders[Part Name],$A1165,T_PlannedOrders[WeekIndex],75)=0,"",SUMIFS(T_PlannedOrders[EffectiveQty],T_PlannedOrders[Part Name],$A1165,T_PlannedOrders[WeekIndex],75)&amp;" ("&amp;TEXT(SUMPRODUCT(MAX((T_PlannedOrders[Part Name]=$A1165)*(T_PlannedOrders[WeekIndex]=75)*(T_PlannedOrders[EffectiveQty]&gt;0)*T_PlannedOrders[Order_Month])),"m月")&amp;"発注)")</f>
        <v/>
      </c>
      <c r="CA1175">
        <f>IF(SUMIFS(T_PlannedOrders[EffectiveQty],T_PlannedOrders[Part Name],$A1165,T_PlannedOrders[WeekIndex],76)=0,"",SUMIFS(T_PlannedOrders[EffectiveQty],T_PlannedOrders[Part Name],$A1165,T_PlannedOrders[WeekIndex],76)&amp;" ("&amp;TEXT(SUMPRODUCT(MAX((T_PlannedOrders[Part Name]=$A1165)*(T_PlannedOrders[WeekIndex]=76)*(T_PlannedOrders[EffectiveQty]&gt;0)*T_PlannedOrders[Order_Month])),"m月")&amp;"発注)")</f>
        <v/>
      </c>
      <c r="CB1175">
        <f>IF(SUMIFS(T_PlannedOrders[EffectiveQty],T_PlannedOrders[Part Name],$A1165,T_PlannedOrders[WeekIndex],77)=0,"",SUMIFS(T_PlannedOrders[EffectiveQty],T_PlannedOrders[Part Name],$A1165,T_PlannedOrders[WeekIndex],77)&amp;" ("&amp;TEXT(SUMPRODUCT(MAX((T_PlannedOrders[Part Name]=$A1165)*(T_PlannedOrders[WeekIndex]=77)*(T_PlannedOrders[EffectiveQty]&gt;0)*T_PlannedOrders[Order_Month])),"m月")&amp;"発注)")</f>
        <v/>
      </c>
      <c r="CC1175">
        <f>IF(SUMIFS(T_PlannedOrders[EffectiveQty],T_PlannedOrders[Part Name],$A1165,T_PlannedOrders[WeekIndex],78)=0,"",SUMIFS(T_PlannedOrders[EffectiveQty],T_PlannedOrders[Part Name],$A1165,T_PlannedOrders[WeekIndex],78)&amp;" ("&amp;TEXT(SUMPRODUCT(MAX((T_PlannedOrders[Part Name]=$A1165)*(T_PlannedOrders[WeekIndex]=78)*(T_PlannedOrders[EffectiveQty]&gt;0)*T_PlannedOrders[Order_Month])),"m月")&amp;"発注)")</f>
        <v/>
      </c>
      <c r="CD1175">
        <f>IF(SUMIFS(T_PlannedOrders[EffectiveQty],T_PlannedOrders[Part Name],$A1165,T_PlannedOrders[WeekIndex],79)=0,"",SUMIFS(T_PlannedOrders[EffectiveQty],T_PlannedOrders[Part Name],$A1165,T_PlannedOrders[WeekIndex],79)&amp;" ("&amp;TEXT(SUMPRODUCT(MAX((T_PlannedOrders[Part Name]=$A1165)*(T_PlannedOrders[WeekIndex]=79)*(T_PlannedOrders[EffectiveQty]&gt;0)*T_PlannedOrders[Order_Month])),"m月")&amp;"発注)")</f>
        <v/>
      </c>
      <c r="CE1175">
        <f>IF(SUMIFS(T_PlannedOrders[EffectiveQty],T_PlannedOrders[Part Name],$A1165,T_PlannedOrders[WeekIndex],80)=0,"",SUMIFS(T_PlannedOrders[EffectiveQty],T_PlannedOrders[Part Name],$A1165,T_PlannedOrders[WeekIndex],80)&amp;" ("&amp;TEXT(SUMPRODUCT(MAX((T_PlannedOrders[Part Name]=$A1165)*(T_PlannedOrders[WeekIndex]=80)*(T_PlannedOrders[EffectiveQty]&gt;0)*T_PlannedOrders[Order_Month])),"m月")&amp;"発注)")</f>
        <v/>
      </c>
      <c r="CF1175">
        <f>IF(SUMIFS(T_PlannedOrders[EffectiveQty],T_PlannedOrders[Part Name],$A1165,T_PlannedOrders[WeekIndex],81)=0,"",SUMIFS(T_PlannedOrders[EffectiveQty],T_PlannedOrders[Part Name],$A1165,T_PlannedOrders[WeekIndex],81)&amp;" ("&amp;TEXT(SUMPRODUCT(MAX((T_PlannedOrders[Part Name]=$A1165)*(T_PlannedOrders[WeekIndex]=81)*(T_PlannedOrders[EffectiveQty]&gt;0)*T_PlannedOrders[Order_Month])),"m月")&amp;"発注)")</f>
        <v/>
      </c>
      <c r="CG1175">
        <f>IF(SUMIFS(T_PlannedOrders[EffectiveQty],T_PlannedOrders[Part Name],$A1165,T_PlannedOrders[WeekIndex],82)=0,"",SUMIFS(T_PlannedOrders[EffectiveQty],T_PlannedOrders[Part Name],$A1165,T_PlannedOrders[WeekIndex],82)&amp;" ("&amp;TEXT(SUMPRODUCT(MAX((T_PlannedOrders[Part Name]=$A1165)*(T_PlannedOrders[WeekIndex]=82)*(T_PlannedOrders[EffectiveQty]&gt;0)*T_PlannedOrders[Order_Month])),"m月")&amp;"発注)")</f>
        <v/>
      </c>
      <c r="CH1175">
        <f>IF(SUMIFS(T_PlannedOrders[EffectiveQty],T_PlannedOrders[Part Name],$A1165,T_PlannedOrders[WeekIndex],83)=0,"",SUMIFS(T_PlannedOrders[EffectiveQty],T_PlannedOrders[Part Name],$A1165,T_PlannedOrders[WeekIndex],83)&amp;" ("&amp;TEXT(SUMPRODUCT(MAX((T_PlannedOrders[Part Name]=$A1165)*(T_PlannedOrders[WeekIndex]=83)*(T_PlannedOrders[EffectiveQty]&gt;0)*T_PlannedOrders[Order_Month])),"m月")&amp;"発注)")</f>
        <v/>
      </c>
      <c r="CI1175">
        <f>IF(SUMIFS(T_PlannedOrders[EffectiveQty],T_PlannedOrders[Part Name],$A1165,T_PlannedOrders[WeekIndex],84)=0,"",SUMIFS(T_PlannedOrders[EffectiveQty],T_PlannedOrders[Part Name],$A1165,T_PlannedOrders[WeekIndex],84)&amp;" ("&amp;TEXT(SUMPRODUCT(MAX((T_PlannedOrders[Part Name]=$A1165)*(T_PlannedOrders[WeekIndex]=84)*(T_PlannedOrders[EffectiveQty]&gt;0)*T_PlannedOrders[Order_Month])),"m月")&amp;"発注)")</f>
        <v/>
      </c>
      <c r="CJ1175">
        <f>IF(SUMIFS(T_PlannedOrders[EffectiveQty],T_PlannedOrders[Part Name],$A1165,T_PlannedOrders[WeekIndex],85)=0,"",SUMIFS(T_PlannedOrders[EffectiveQty],T_PlannedOrders[Part Name],$A1165,T_PlannedOrders[WeekIndex],85)&amp;" ("&amp;TEXT(SUMPRODUCT(MAX((T_PlannedOrders[Part Name]=$A1165)*(T_PlannedOrders[WeekIndex]=85)*(T_PlannedOrders[EffectiveQty]&gt;0)*T_PlannedOrders[Order_Month])),"m月")&amp;"発注)")</f>
        <v/>
      </c>
      <c r="CK1175">
        <f>IF(SUMIFS(T_PlannedOrders[EffectiveQty],T_PlannedOrders[Part Name],$A1165,T_PlannedOrders[WeekIndex],86)=0,"",SUMIFS(T_PlannedOrders[EffectiveQty],T_PlannedOrders[Part Name],$A1165,T_PlannedOrders[WeekIndex],86)&amp;" ("&amp;TEXT(SUMPRODUCT(MAX((T_PlannedOrders[Part Name]=$A1165)*(T_PlannedOrders[WeekIndex]=86)*(T_PlannedOrders[EffectiveQty]&gt;0)*T_PlannedOrders[Order_Month])),"m月")&amp;"発注)")</f>
        <v/>
      </c>
      <c r="CL1175">
        <f>IF(SUMIFS(T_PlannedOrders[EffectiveQty],T_PlannedOrders[Part Name],$A1165,T_PlannedOrders[WeekIndex],87)=0,"",SUMIFS(T_PlannedOrders[EffectiveQty],T_PlannedOrders[Part Name],$A1165,T_PlannedOrders[WeekIndex],87)&amp;" ("&amp;TEXT(SUMPRODUCT(MAX((T_PlannedOrders[Part Name]=$A1165)*(T_PlannedOrders[WeekIndex]=87)*(T_PlannedOrders[EffectiveQty]&gt;0)*T_PlannedOrders[Order_Month])),"m月")&amp;"発注)")</f>
        <v/>
      </c>
      <c r="CM1175">
        <f>IF(SUMIFS(T_PlannedOrders[EffectiveQty],T_PlannedOrders[Part Name],$A1165,T_PlannedOrders[WeekIndex],88)=0,"",SUMIFS(T_PlannedOrders[EffectiveQty],T_PlannedOrders[Part Name],$A1165,T_PlannedOrders[WeekIndex],88)&amp;" ("&amp;TEXT(SUMPRODUCT(MAX((T_PlannedOrders[Part Name]=$A1165)*(T_PlannedOrders[WeekIndex]=88)*(T_PlannedOrders[EffectiveQty]&gt;0)*T_PlannedOrders[Order_Month])),"m月")&amp;"発注)")</f>
        <v/>
      </c>
      <c r="CN1175">
        <f>IF(SUMIFS(T_PlannedOrders[EffectiveQty],T_PlannedOrders[Part Name],$A1165,T_PlannedOrders[WeekIndex],89)=0,"",SUMIFS(T_PlannedOrders[EffectiveQty],T_PlannedOrders[Part Name],$A1165,T_PlannedOrders[WeekIndex],89)&amp;" ("&amp;TEXT(SUMPRODUCT(MAX((T_PlannedOrders[Part Name]=$A1165)*(T_PlannedOrders[WeekIndex]=89)*(T_PlannedOrders[EffectiveQty]&gt;0)*T_PlannedOrders[Order_Month])),"m月")&amp;"発注)")</f>
        <v/>
      </c>
      <c r="CO1175">
        <f>IF(SUMIFS(T_PlannedOrders[EffectiveQty],T_PlannedOrders[Part Name],$A1165,T_PlannedOrders[WeekIndex],90)=0,"",SUMIFS(T_PlannedOrders[EffectiveQty],T_PlannedOrders[Part Name],$A1165,T_PlannedOrders[WeekIndex],90)&amp;" ("&amp;TEXT(SUMPRODUCT(MAX((T_PlannedOrders[Part Name]=$A1165)*(T_PlannedOrders[WeekIndex]=90)*(T_PlannedOrders[EffectiveQty]&gt;0)*T_PlannedOrders[Order_Month])),"m月")&amp;"発注)")</f>
        <v/>
      </c>
      <c r="CP1175">
        <f>IF(SUMIFS(T_PlannedOrders[EffectiveQty],T_PlannedOrders[Part Name],$A1165,T_PlannedOrders[WeekIndex],91)=0,"",SUMIFS(T_PlannedOrders[EffectiveQty],T_PlannedOrders[Part Name],$A1165,T_PlannedOrders[WeekIndex],91)&amp;" ("&amp;TEXT(SUMPRODUCT(MAX((T_PlannedOrders[Part Name]=$A1165)*(T_PlannedOrders[WeekIndex]=91)*(T_PlannedOrders[EffectiveQty]&gt;0)*T_PlannedOrders[Order_Month])),"m月")&amp;"発注)")</f>
        <v/>
      </c>
      <c r="CQ1175">
        <f>IF(SUMIFS(T_PlannedOrders[EffectiveQty],T_PlannedOrders[Part Name],$A1165,T_PlannedOrders[WeekIndex],92)=0,"",SUMIFS(T_PlannedOrders[EffectiveQty],T_PlannedOrders[Part Name],$A1165,T_PlannedOrders[WeekIndex],92)&amp;" ("&amp;TEXT(SUMPRODUCT(MAX((T_PlannedOrders[Part Name]=$A1165)*(T_PlannedOrders[WeekIndex]=92)*(T_PlannedOrders[EffectiveQty]&gt;0)*T_PlannedOrders[Order_Month])),"m月")&amp;"発注)")</f>
        <v/>
      </c>
      <c r="CR1175">
        <f>IF(SUMIFS(T_PlannedOrders[EffectiveQty],T_PlannedOrders[Part Name],$A1165,T_PlannedOrders[WeekIndex],93)=0,"",SUMIFS(T_PlannedOrders[EffectiveQty],T_PlannedOrders[Part Name],$A1165,T_PlannedOrders[WeekIndex],93)&amp;" ("&amp;TEXT(SUMPRODUCT(MAX((T_PlannedOrders[Part Name]=$A1165)*(T_PlannedOrders[WeekIndex]=93)*(T_PlannedOrders[EffectiveQty]&gt;0)*T_PlannedOrders[Order_Month])),"m月")&amp;"発注)")</f>
        <v/>
      </c>
      <c r="CS1175">
        <f>IF(SUMIFS(T_PlannedOrders[EffectiveQty],T_PlannedOrders[Part Name],$A1165,T_PlannedOrders[WeekIndex],94)=0,"",SUMIFS(T_PlannedOrders[EffectiveQty],T_PlannedOrders[Part Name],$A1165,T_PlannedOrders[WeekIndex],94)&amp;" ("&amp;TEXT(SUMPRODUCT(MAX((T_PlannedOrders[Part Name]=$A1165)*(T_PlannedOrders[WeekIndex]=94)*(T_PlannedOrders[EffectiveQty]&gt;0)*T_PlannedOrders[Order_Month])),"m月")&amp;"発注)")</f>
        <v/>
      </c>
      <c r="CT1175">
        <f>IF(SUMIFS(T_PlannedOrders[EffectiveQty],T_PlannedOrders[Part Name],$A1165,T_PlannedOrders[WeekIndex],95)=0,"",SUMIFS(T_PlannedOrders[EffectiveQty],T_PlannedOrders[Part Name],$A1165,T_PlannedOrders[WeekIndex],95)&amp;" ("&amp;TEXT(SUMPRODUCT(MAX((T_PlannedOrders[Part Name]=$A1165)*(T_PlannedOrders[WeekIndex]=95)*(T_PlannedOrders[EffectiveQty]&gt;0)*T_PlannedOrders[Order_Month])),"m月")&amp;"発注)")</f>
        <v/>
      </c>
      <c r="CU1175">
        <f>IF(SUMIFS(T_PlannedOrders[EffectiveQty],T_PlannedOrders[Part Name],$A1165,T_PlannedOrders[WeekIndex],96)=0,"",SUMIFS(T_PlannedOrders[EffectiveQty],T_PlannedOrders[Part Name],$A1165,T_PlannedOrders[WeekIndex],96)&amp;" ("&amp;TEXT(SUMPRODUCT(MAX((T_PlannedOrders[Part Name]=$A1165)*(T_PlannedOrders[WeekIndex]=96)*(T_PlannedOrders[EffectiveQty]&gt;0)*T_PlannedOrders[Order_Month])),"m月")&amp;"発注)")</f>
        <v/>
      </c>
      <c r="CV1175">
        <f>IF(SUMIFS(T_PlannedOrders[EffectiveQty],T_PlannedOrders[Part Name],$A1165,T_PlannedOrders[WeekIndex],97)=0,"",SUMIFS(T_PlannedOrders[EffectiveQty],T_PlannedOrders[Part Name],$A1165,T_PlannedOrders[WeekIndex],97)&amp;" ("&amp;TEXT(SUMPRODUCT(MAX((T_PlannedOrders[Part Name]=$A1165)*(T_PlannedOrders[WeekIndex]=97)*(T_PlannedOrders[EffectiveQty]&gt;0)*T_PlannedOrders[Order_Month])),"m月")&amp;"発注)")</f>
        <v/>
      </c>
      <c r="CW1175">
        <f>IF(SUMIFS(T_PlannedOrders[EffectiveQty],T_PlannedOrders[Part Name],$A1165,T_PlannedOrders[WeekIndex],98)=0,"",SUMIFS(T_PlannedOrders[EffectiveQty],T_PlannedOrders[Part Name],$A1165,T_PlannedOrders[WeekIndex],98)&amp;" ("&amp;TEXT(SUMPRODUCT(MAX((T_PlannedOrders[Part Name]=$A1165)*(T_PlannedOrders[WeekIndex]=98)*(T_PlannedOrders[EffectiveQty]&gt;0)*T_PlannedOrders[Order_Month])),"m月")&amp;"発注)")</f>
        <v/>
      </c>
      <c r="CX1175">
        <f>IF(SUMIFS(T_PlannedOrders[EffectiveQty],T_PlannedOrders[Part Name],$A1165,T_PlannedOrders[WeekIndex],99)=0,"",SUMIFS(T_PlannedOrders[EffectiveQty],T_PlannedOrders[Part Name],$A1165,T_PlannedOrders[WeekIndex],99)&amp;" ("&amp;TEXT(SUMPRODUCT(MAX((T_PlannedOrders[Part Name]=$A1165)*(T_PlannedOrders[WeekIndex]=99)*(T_PlannedOrders[EffectiveQty]&gt;0)*T_PlannedOrders[Order_Month])),"m月")&amp;"発注)")</f>
        <v/>
      </c>
      <c r="CY1175">
        <f>IF(SUMIFS(T_PlannedOrders[EffectiveQty],T_PlannedOrders[Part Name],$A1165,T_PlannedOrders[WeekIndex],100)=0,"",SUMIFS(T_PlannedOrders[EffectiveQty],T_PlannedOrders[Part Name],$A1165,T_PlannedOrders[WeekIndex],100)&amp;" ("&amp;TEXT(SUMPRODUCT(MAX((T_PlannedOrders[Part Name]=$A1165)*(T_PlannedOrders[WeekIndex]=100)*(T_PlannedOrders[EffectiveQty]&gt;0)*T_PlannedOrders[Order_Month])),"m月")&amp;"発注)")</f>
        <v/>
      </c>
      <c r="CZ1175">
        <f>IF(SUMIFS(T_PlannedOrders[EffectiveQty],T_PlannedOrders[Part Name],$A1165,T_PlannedOrders[WeekIndex],101)=0,"",SUMIFS(T_PlannedOrders[EffectiveQty],T_PlannedOrders[Part Name],$A1165,T_PlannedOrders[WeekIndex],101)&amp;" ("&amp;TEXT(SUMPRODUCT(MAX((T_PlannedOrders[Part Name]=$A1165)*(T_PlannedOrders[WeekIndex]=101)*(T_PlannedOrders[EffectiveQty]&gt;0)*T_PlannedOrders[Order_Month])),"m月")&amp;"発注)")</f>
        <v/>
      </c>
      <c r="DA1175">
        <f>IF(SUMIFS(T_PlannedOrders[EffectiveQty],T_PlannedOrders[Part Name],$A1165,T_PlannedOrders[WeekIndex],102)=0,"",SUMIFS(T_PlannedOrders[EffectiveQty],T_PlannedOrders[Part Name],$A1165,T_PlannedOrders[WeekIndex],102)&amp;" ("&amp;TEXT(SUMPRODUCT(MAX((T_PlannedOrders[Part Name]=$A1165)*(T_PlannedOrders[WeekIndex]=102)*(T_PlannedOrders[EffectiveQty]&gt;0)*T_PlannedOrders[Order_Month])),"m月")&amp;"発注)")</f>
        <v/>
      </c>
      <c r="DB1175">
        <f>IF(SUMIFS(T_PlannedOrders[EffectiveQty],T_PlannedOrders[Part Name],$A1165,T_PlannedOrders[WeekIndex],103)=0,"",SUMIFS(T_PlannedOrders[EffectiveQty],T_PlannedOrders[Part Name],$A1165,T_PlannedOrders[WeekIndex],103)&amp;" ("&amp;TEXT(SUMPRODUCT(MAX((T_PlannedOrders[Part Name]=$A1165)*(T_PlannedOrders[WeekIndex]=103)*(T_PlannedOrders[EffectiveQty]&gt;0)*T_PlannedOrders[Order_Month])),"m月")&amp;"発注)")</f>
        <v/>
      </c>
      <c r="DC1175">
        <f>IF(SUMIFS(T_PlannedOrders[EffectiveQty],T_PlannedOrders[Part Name],$A1165,T_PlannedOrders[WeekIndex],104)=0,"",SUMIFS(T_PlannedOrders[EffectiveQty],T_PlannedOrders[Part Name],$A1165,T_PlannedOrders[WeekIndex],104)&amp;" ("&amp;TEXT(SUMPRODUCT(MAX((T_PlannedOrders[Part Name]=$A1165)*(T_PlannedOrders[WeekIndex]=104)*(T_PlannedOrders[EffectiveQty]&gt;0)*T_PlannedOrders[Order_Month])),"m月")&amp;"発注)")</f>
        <v/>
      </c>
    </row>
    <row r="1176">
      <c r="B1176" s="5" t="inlineStr">
        <is>
          <t>合計在庫(週末時点,kg)</t>
        </is>
      </c>
      <c r="D1176">
        <f>'Grid_Stock'!B56</f>
        <v/>
      </c>
      <c r="E1176">
        <f>'Grid_Stock'!C56</f>
        <v/>
      </c>
      <c r="F1176">
        <f>'Grid_Stock'!D56</f>
        <v/>
      </c>
      <c r="G1176">
        <f>'Grid_Stock'!E56</f>
        <v/>
      </c>
      <c r="H1176">
        <f>'Grid_Stock'!F56</f>
        <v/>
      </c>
      <c r="I1176">
        <f>'Grid_Stock'!G56</f>
        <v/>
      </c>
      <c r="J1176">
        <f>'Grid_Stock'!H56</f>
        <v/>
      </c>
      <c r="K1176">
        <f>'Grid_Stock'!I56</f>
        <v/>
      </c>
      <c r="L1176">
        <f>'Grid_Stock'!J56</f>
        <v/>
      </c>
      <c r="M1176">
        <f>'Grid_Stock'!K56</f>
        <v/>
      </c>
      <c r="N1176">
        <f>'Grid_Stock'!L56</f>
        <v/>
      </c>
      <c r="O1176">
        <f>'Grid_Stock'!M56</f>
        <v/>
      </c>
      <c r="P1176">
        <f>'Grid_Stock'!N56</f>
        <v/>
      </c>
      <c r="Q1176">
        <f>'Grid_Stock'!O56</f>
        <v/>
      </c>
      <c r="R1176">
        <f>'Grid_Stock'!P56</f>
        <v/>
      </c>
      <c r="S1176">
        <f>'Grid_Stock'!Q56</f>
        <v/>
      </c>
      <c r="T1176">
        <f>'Grid_Stock'!R56</f>
        <v/>
      </c>
      <c r="U1176">
        <f>'Grid_Stock'!S56</f>
        <v/>
      </c>
      <c r="V1176">
        <f>'Grid_Stock'!T56</f>
        <v/>
      </c>
      <c r="W1176">
        <f>'Grid_Stock'!U56</f>
        <v/>
      </c>
      <c r="X1176">
        <f>'Grid_Stock'!V56</f>
        <v/>
      </c>
      <c r="Y1176">
        <f>'Grid_Stock'!W56</f>
        <v/>
      </c>
      <c r="Z1176">
        <f>'Grid_Stock'!X56</f>
        <v/>
      </c>
      <c r="AA1176">
        <f>'Grid_Stock'!Y56</f>
        <v/>
      </c>
      <c r="AB1176">
        <f>'Grid_Stock'!Z56</f>
        <v/>
      </c>
      <c r="AC1176">
        <f>'Grid_Stock'!AA56</f>
        <v/>
      </c>
      <c r="AD1176">
        <f>'Grid_Stock'!AB56</f>
        <v/>
      </c>
      <c r="AE1176">
        <f>'Grid_Stock'!AC56</f>
        <v/>
      </c>
      <c r="AF1176">
        <f>'Grid_Stock'!AD56</f>
        <v/>
      </c>
      <c r="AG1176">
        <f>'Grid_Stock'!AE56</f>
        <v/>
      </c>
      <c r="AH1176">
        <f>'Grid_Stock'!AF56</f>
        <v/>
      </c>
      <c r="AI1176">
        <f>'Grid_Stock'!AG56</f>
        <v/>
      </c>
      <c r="AJ1176">
        <f>'Grid_Stock'!AH56</f>
        <v/>
      </c>
      <c r="AK1176">
        <f>'Grid_Stock'!AI56</f>
        <v/>
      </c>
      <c r="AL1176">
        <f>'Grid_Stock'!AJ56</f>
        <v/>
      </c>
      <c r="AM1176">
        <f>'Grid_Stock'!AK56</f>
        <v/>
      </c>
      <c r="AN1176">
        <f>'Grid_Stock'!AL56</f>
        <v/>
      </c>
      <c r="AO1176">
        <f>'Grid_Stock'!AM56</f>
        <v/>
      </c>
      <c r="AP1176">
        <f>'Grid_Stock'!AN56</f>
        <v/>
      </c>
      <c r="AQ1176">
        <f>'Grid_Stock'!AO56</f>
        <v/>
      </c>
      <c r="AR1176">
        <f>'Grid_Stock'!AP56</f>
        <v/>
      </c>
      <c r="AS1176">
        <f>'Grid_Stock'!AQ56</f>
        <v/>
      </c>
      <c r="AT1176">
        <f>'Grid_Stock'!AR56</f>
        <v/>
      </c>
      <c r="AU1176">
        <f>'Grid_Stock'!AS56</f>
        <v/>
      </c>
      <c r="AV1176">
        <f>'Grid_Stock'!AT56</f>
        <v/>
      </c>
      <c r="AW1176">
        <f>'Grid_Stock'!AU56</f>
        <v/>
      </c>
      <c r="AX1176">
        <f>'Grid_Stock'!AV56</f>
        <v/>
      </c>
      <c r="AY1176">
        <f>'Grid_Stock'!AW56</f>
        <v/>
      </c>
      <c r="AZ1176">
        <f>'Grid_Stock'!AX56</f>
        <v/>
      </c>
      <c r="BA1176">
        <f>'Grid_Stock'!AY56</f>
        <v/>
      </c>
      <c r="BB1176">
        <f>'Grid_Stock'!AZ56</f>
        <v/>
      </c>
      <c r="BC1176">
        <f>'Grid_Stock'!BA56</f>
        <v/>
      </c>
      <c r="BD1176">
        <f>'Grid_Stock'!BB56</f>
        <v/>
      </c>
      <c r="BE1176">
        <f>'Grid_Stock'!BC56</f>
        <v/>
      </c>
      <c r="BF1176">
        <f>'Grid_Stock'!BD56</f>
        <v/>
      </c>
      <c r="BG1176">
        <f>'Grid_Stock'!BE56</f>
        <v/>
      </c>
      <c r="BH1176">
        <f>'Grid_Stock'!BF56</f>
        <v/>
      </c>
      <c r="BI1176">
        <f>'Grid_Stock'!BG56</f>
        <v/>
      </c>
      <c r="BJ1176">
        <f>'Grid_Stock'!BH56</f>
        <v/>
      </c>
      <c r="BK1176">
        <f>'Grid_Stock'!BI56</f>
        <v/>
      </c>
      <c r="BL1176">
        <f>'Grid_Stock'!BJ56</f>
        <v/>
      </c>
      <c r="BM1176">
        <f>'Grid_Stock'!BK56</f>
        <v/>
      </c>
      <c r="BN1176">
        <f>'Grid_Stock'!BL56</f>
        <v/>
      </c>
      <c r="BO1176">
        <f>'Grid_Stock'!BM56</f>
        <v/>
      </c>
      <c r="BP1176">
        <f>'Grid_Stock'!BN56</f>
        <v/>
      </c>
      <c r="BQ1176">
        <f>'Grid_Stock'!BO56</f>
        <v/>
      </c>
      <c r="BR1176">
        <f>'Grid_Stock'!BP56</f>
        <v/>
      </c>
      <c r="BS1176">
        <f>'Grid_Stock'!BQ56</f>
        <v/>
      </c>
      <c r="BT1176">
        <f>'Grid_Stock'!BR56</f>
        <v/>
      </c>
      <c r="BU1176">
        <f>'Grid_Stock'!BS56</f>
        <v/>
      </c>
      <c r="BV1176">
        <f>'Grid_Stock'!BT56</f>
        <v/>
      </c>
      <c r="BW1176">
        <f>'Grid_Stock'!BU56</f>
        <v/>
      </c>
      <c r="BX1176">
        <f>'Grid_Stock'!BV56</f>
        <v/>
      </c>
      <c r="BY1176">
        <f>'Grid_Stock'!BW56</f>
        <v/>
      </c>
      <c r="BZ1176">
        <f>'Grid_Stock'!BX56</f>
        <v/>
      </c>
      <c r="CA1176">
        <f>'Grid_Stock'!BY56</f>
        <v/>
      </c>
      <c r="CB1176">
        <f>'Grid_Stock'!BZ56</f>
        <v/>
      </c>
      <c r="CC1176">
        <f>'Grid_Stock'!CA56</f>
        <v/>
      </c>
      <c r="CD1176">
        <f>'Grid_Stock'!CB56</f>
        <v/>
      </c>
      <c r="CE1176">
        <f>'Grid_Stock'!CC56</f>
        <v/>
      </c>
      <c r="CF1176">
        <f>'Grid_Stock'!CD56</f>
        <v/>
      </c>
      <c r="CG1176">
        <f>'Grid_Stock'!CE56</f>
        <v/>
      </c>
      <c r="CH1176">
        <f>'Grid_Stock'!CF56</f>
        <v/>
      </c>
      <c r="CI1176">
        <f>'Grid_Stock'!CG56</f>
        <v/>
      </c>
      <c r="CJ1176">
        <f>'Grid_Stock'!CH56</f>
        <v/>
      </c>
      <c r="CK1176">
        <f>'Grid_Stock'!CI56</f>
        <v/>
      </c>
      <c r="CL1176">
        <f>'Grid_Stock'!CJ56</f>
        <v/>
      </c>
      <c r="CM1176">
        <f>'Grid_Stock'!CK56</f>
        <v/>
      </c>
      <c r="CN1176">
        <f>'Grid_Stock'!CL56</f>
        <v/>
      </c>
      <c r="CO1176">
        <f>'Grid_Stock'!CM56</f>
        <v/>
      </c>
      <c r="CP1176">
        <f>'Grid_Stock'!CN56</f>
        <v/>
      </c>
      <c r="CQ1176">
        <f>'Grid_Stock'!CO56</f>
        <v/>
      </c>
      <c r="CR1176">
        <f>'Grid_Stock'!CP56</f>
        <v/>
      </c>
      <c r="CS1176">
        <f>'Grid_Stock'!CQ56</f>
        <v/>
      </c>
      <c r="CT1176">
        <f>'Grid_Stock'!CR56</f>
        <v/>
      </c>
      <c r="CU1176">
        <f>'Grid_Stock'!CS56</f>
        <v/>
      </c>
      <c r="CV1176">
        <f>'Grid_Stock'!CT56</f>
        <v/>
      </c>
      <c r="CW1176">
        <f>'Grid_Stock'!CU56</f>
        <v/>
      </c>
      <c r="CX1176">
        <f>'Grid_Stock'!CV56</f>
        <v/>
      </c>
      <c r="CY1176">
        <f>'Grid_Stock'!CW56</f>
        <v/>
      </c>
      <c r="CZ1176">
        <f>'Grid_Stock'!CX56</f>
        <v/>
      </c>
      <c r="DA1176">
        <f>'Grid_Stock'!CY56</f>
        <v/>
      </c>
      <c r="DB1176">
        <f>'Grid_Stock'!CZ56</f>
        <v/>
      </c>
      <c r="DC1176">
        <f>'Grid_Stock'!DA56</f>
        <v/>
      </c>
    </row>
    <row r="1177">
      <c r="B1177" s="23" t="inlineStr">
        <is>
          <t>（発注の目安はDashboardの基準在庫[下限/上限]と色分けを参照）</t>
        </is>
      </c>
    </row>
    <row r="1179">
      <c r="A1179" s="21" t="inlineStr">
        <is>
          <t>CHEM-1660</t>
        </is>
      </c>
      <c r="B1179" s="21" t="inlineStr">
        <is>
          <t>GW-3394</t>
        </is>
      </c>
      <c r="C1179" s="22" t="n"/>
      <c r="D1179" s="21" t="n"/>
      <c r="E1179" s="21" t="n"/>
      <c r="F1179" s="21" t="n"/>
      <c r="G1179" s="21" t="n"/>
      <c r="H1179" s="21" t="n"/>
      <c r="I1179" s="21" t="n"/>
      <c r="J1179" s="21" t="n"/>
      <c r="K1179" s="21" t="n"/>
      <c r="L1179" s="21" t="n"/>
      <c r="M1179" s="21" t="n"/>
      <c r="N1179" s="21" t="n"/>
      <c r="O1179" s="21" t="n"/>
      <c r="P1179" s="21" t="n"/>
      <c r="Q1179" s="21" t="n"/>
      <c r="R1179" s="21" t="n"/>
      <c r="S1179" s="21" t="n"/>
      <c r="T1179" s="21" t="n"/>
      <c r="U1179" s="21" t="n"/>
      <c r="V1179" s="21" t="n"/>
      <c r="W1179" s="21" t="n"/>
      <c r="X1179" s="21" t="n"/>
      <c r="Y1179" s="21" t="n"/>
      <c r="Z1179" s="21" t="n"/>
      <c r="AA1179" s="21" t="n"/>
      <c r="AB1179" s="21" t="n"/>
      <c r="AC1179" s="21" t="n"/>
      <c r="AD1179" s="21" t="n"/>
      <c r="AE1179" s="21" t="n"/>
      <c r="AF1179" s="21" t="n"/>
      <c r="AG1179" s="21" t="n"/>
      <c r="AH1179" s="21" t="n"/>
      <c r="AI1179" s="21" t="n"/>
      <c r="AJ1179" s="21" t="n"/>
      <c r="AK1179" s="21" t="n"/>
      <c r="AL1179" s="21" t="n"/>
      <c r="AM1179" s="21" t="n"/>
      <c r="AN1179" s="21" t="n"/>
      <c r="AO1179" s="21" t="n"/>
      <c r="AP1179" s="21" t="n"/>
      <c r="AQ1179" s="21" t="n"/>
      <c r="AR1179" s="21" t="n"/>
      <c r="AS1179" s="21" t="n"/>
      <c r="AT1179" s="21" t="n"/>
      <c r="AU1179" s="21" t="n"/>
      <c r="AV1179" s="21" t="n"/>
      <c r="AW1179" s="21" t="n"/>
      <c r="AX1179" s="21" t="n"/>
      <c r="AY1179" s="21" t="n"/>
      <c r="AZ1179" s="21" t="n"/>
      <c r="BA1179" s="21" t="n"/>
      <c r="BB1179" s="21" t="n"/>
      <c r="BC1179" s="21" t="n"/>
      <c r="BD1179" s="21" t="n"/>
      <c r="BE1179" s="21" t="n"/>
      <c r="BF1179" s="21" t="n"/>
      <c r="BG1179" s="21" t="n"/>
      <c r="BH1179" s="21" t="n"/>
      <c r="BI1179" s="21" t="n"/>
      <c r="BJ1179" s="21" t="n"/>
      <c r="BK1179" s="21" t="n"/>
      <c r="BL1179" s="21" t="n"/>
      <c r="BM1179" s="21" t="n"/>
      <c r="BN1179" s="21" t="n"/>
      <c r="BO1179" s="21" t="n"/>
      <c r="BP1179" s="21" t="n"/>
      <c r="BQ1179" s="21" t="n"/>
      <c r="BR1179" s="21" t="n"/>
      <c r="BS1179" s="21" t="n"/>
      <c r="BT1179" s="21" t="n"/>
      <c r="BU1179" s="21" t="n"/>
      <c r="BV1179" s="21" t="n"/>
      <c r="BW1179" s="21" t="n"/>
      <c r="BX1179" s="21" t="n"/>
      <c r="BY1179" s="21" t="n"/>
      <c r="BZ1179" s="21" t="n"/>
      <c r="CA1179" s="21" t="n"/>
      <c r="CB1179" s="21" t="n"/>
      <c r="CC1179" s="21" t="n"/>
      <c r="CD1179" s="21" t="n"/>
      <c r="CE1179" s="21" t="n"/>
      <c r="CF1179" s="21" t="n"/>
      <c r="CG1179" s="21" t="n"/>
      <c r="CH1179" s="21" t="n"/>
      <c r="CI1179" s="21" t="n"/>
      <c r="CJ1179" s="21" t="n"/>
      <c r="CK1179" s="21" t="n"/>
      <c r="CL1179" s="21" t="n"/>
      <c r="CM1179" s="21" t="n"/>
      <c r="CN1179" s="21" t="n"/>
      <c r="CO1179" s="21" t="n"/>
      <c r="CP1179" s="21" t="n"/>
      <c r="CQ1179" s="21" t="n"/>
      <c r="CR1179" s="21" t="n"/>
      <c r="CS1179" s="21" t="n"/>
      <c r="CT1179" s="21" t="n"/>
      <c r="CU1179" s="21" t="n"/>
      <c r="CV1179" s="21" t="n"/>
      <c r="CW1179" s="21" t="n"/>
      <c r="CX1179" s="21" t="n"/>
      <c r="CY1179" s="21" t="n"/>
      <c r="CZ1179" s="21" t="n"/>
      <c r="DA1179" s="21" t="n"/>
      <c r="DB1179" s="21" t="n"/>
      <c r="DC1179" s="21" t="n"/>
    </row>
    <row r="1180">
      <c r="B1180" t="inlineStr">
        <is>
          <t>TSP-655</t>
        </is>
      </c>
      <c r="C1180" t="inlineStr">
        <is>
          <t>No. of batches</t>
        </is>
      </c>
      <c r="D1180">
        <f>IFERROR(INDEX(PP_Grid[#Data],$DD1180,2),0)</f>
        <v/>
      </c>
      <c r="E1180">
        <f>IFERROR(INDEX(PP_Grid[#Data],$DD1180,3),0)</f>
        <v/>
      </c>
      <c r="F1180">
        <f>IFERROR(INDEX(PP_Grid[#Data],$DD1180,4),0)</f>
        <v/>
      </c>
      <c r="G1180">
        <f>IFERROR(INDEX(PP_Grid[#Data],$DD1180,5),0)</f>
        <v/>
      </c>
      <c r="H1180">
        <f>IFERROR(INDEX(PP_Grid[#Data],$DD1180,6),0)</f>
        <v/>
      </c>
      <c r="I1180">
        <f>IFERROR(INDEX(PP_Grid[#Data],$DD1180,7),0)</f>
        <v/>
      </c>
      <c r="J1180">
        <f>IFERROR(INDEX(PP_Grid[#Data],$DD1180,8),0)</f>
        <v/>
      </c>
      <c r="K1180">
        <f>IFERROR(INDEX(PP_Grid[#Data],$DD1180,9),0)</f>
        <v/>
      </c>
      <c r="L1180">
        <f>IFERROR(INDEX(PP_Grid[#Data],$DD1180,10),0)</f>
        <v/>
      </c>
      <c r="M1180">
        <f>IFERROR(INDEX(PP_Grid[#Data],$DD1180,11),0)</f>
        <v/>
      </c>
      <c r="N1180">
        <f>IFERROR(INDEX(PP_Grid[#Data],$DD1180,12),0)</f>
        <v/>
      </c>
      <c r="O1180">
        <f>IFERROR(INDEX(PP_Grid[#Data],$DD1180,13),0)</f>
        <v/>
      </c>
      <c r="P1180">
        <f>IFERROR(INDEX(PP_Grid[#Data],$DD1180,14),0)</f>
        <v/>
      </c>
      <c r="Q1180">
        <f>IFERROR(INDEX(PP_Grid[#Data],$DD1180,15),0)</f>
        <v/>
      </c>
      <c r="R1180">
        <f>IFERROR(INDEX(PP_Grid[#Data],$DD1180,16),0)</f>
        <v/>
      </c>
      <c r="S1180">
        <f>IFERROR(INDEX(PP_Grid[#Data],$DD1180,17),0)</f>
        <v/>
      </c>
      <c r="T1180">
        <f>IFERROR(INDEX(PP_Grid[#Data],$DD1180,18),0)</f>
        <v/>
      </c>
      <c r="U1180">
        <f>IFERROR(INDEX(PP_Grid[#Data],$DD1180,19),0)</f>
        <v/>
      </c>
      <c r="V1180">
        <f>IFERROR(INDEX(PP_Grid[#Data],$DD1180,20),0)</f>
        <v/>
      </c>
      <c r="W1180">
        <f>IFERROR(INDEX(PP_Grid[#Data],$DD1180,21),0)</f>
        <v/>
      </c>
      <c r="X1180">
        <f>IFERROR(INDEX(PP_Grid[#Data],$DD1180,22),0)</f>
        <v/>
      </c>
      <c r="Y1180">
        <f>IFERROR(INDEX(PP_Grid[#Data],$DD1180,23),0)</f>
        <v/>
      </c>
      <c r="Z1180">
        <f>IFERROR(INDEX(PP_Grid[#Data],$DD1180,24),0)</f>
        <v/>
      </c>
      <c r="AA1180">
        <f>IFERROR(INDEX(PP_Grid[#Data],$DD1180,25),0)</f>
        <v/>
      </c>
      <c r="AB1180">
        <f>IFERROR(INDEX(PP_Grid[#Data],$DD1180,26),0)</f>
        <v/>
      </c>
      <c r="AC1180">
        <f>IFERROR(INDEX(PP_Grid[#Data],$DD1180,27),0)</f>
        <v/>
      </c>
      <c r="AD1180">
        <f>IFERROR(INDEX(PP_Grid[#Data],$DD1180,28),0)</f>
        <v/>
      </c>
      <c r="AE1180">
        <f>IFERROR(INDEX(PP_Grid[#Data],$DD1180,29),0)</f>
        <v/>
      </c>
      <c r="AF1180">
        <f>IFERROR(INDEX(PP_Grid[#Data],$DD1180,30),0)</f>
        <v/>
      </c>
      <c r="AG1180">
        <f>IFERROR(INDEX(PP_Grid[#Data],$DD1180,31),0)</f>
        <v/>
      </c>
      <c r="AH1180">
        <f>IFERROR(INDEX(PP_Grid[#Data],$DD1180,32),0)</f>
        <v/>
      </c>
      <c r="AI1180">
        <f>IFERROR(INDEX(PP_Grid[#Data],$DD1180,33),0)</f>
        <v/>
      </c>
      <c r="AJ1180">
        <f>IFERROR(INDEX(PP_Grid[#Data],$DD1180,34),0)</f>
        <v/>
      </c>
      <c r="AK1180">
        <f>IFERROR(INDEX(PP_Grid[#Data],$DD1180,35),0)</f>
        <v/>
      </c>
      <c r="AL1180">
        <f>IFERROR(INDEX(PP_Grid[#Data],$DD1180,36),0)</f>
        <v/>
      </c>
      <c r="AM1180">
        <f>IFERROR(INDEX(PP_Grid[#Data],$DD1180,37),0)</f>
        <v/>
      </c>
      <c r="AN1180">
        <f>IFERROR(INDEX(PP_Grid[#Data],$DD1180,38),0)</f>
        <v/>
      </c>
      <c r="AO1180">
        <f>IFERROR(INDEX(PP_Grid[#Data],$DD1180,39),0)</f>
        <v/>
      </c>
      <c r="AP1180">
        <f>IFERROR(INDEX(PP_Grid[#Data],$DD1180,40),0)</f>
        <v/>
      </c>
      <c r="AQ1180">
        <f>IFERROR(INDEX(PP_Grid[#Data],$DD1180,41),0)</f>
        <v/>
      </c>
      <c r="AR1180">
        <f>IFERROR(INDEX(PP_Grid[#Data],$DD1180,42),0)</f>
        <v/>
      </c>
      <c r="AS1180">
        <f>IFERROR(INDEX(PP_Grid[#Data],$DD1180,43),0)</f>
        <v/>
      </c>
      <c r="AT1180">
        <f>IFERROR(INDEX(PP_Grid[#Data],$DD1180,44),0)</f>
        <v/>
      </c>
      <c r="AU1180">
        <f>IFERROR(INDEX(PP_Grid[#Data],$DD1180,45),0)</f>
        <v/>
      </c>
      <c r="AV1180">
        <f>IFERROR(INDEX(PP_Grid[#Data],$DD1180,46),0)</f>
        <v/>
      </c>
      <c r="AW1180">
        <f>IFERROR(INDEX(PP_Grid[#Data],$DD1180,47),0)</f>
        <v/>
      </c>
      <c r="AX1180">
        <f>IFERROR(INDEX(PP_Grid[#Data],$DD1180,48),0)</f>
        <v/>
      </c>
      <c r="AY1180">
        <f>IFERROR(INDEX(PP_Grid[#Data],$DD1180,49),0)</f>
        <v/>
      </c>
      <c r="AZ1180">
        <f>IFERROR(INDEX(PP_Grid[#Data],$DD1180,50),0)</f>
        <v/>
      </c>
      <c r="BA1180">
        <f>IFERROR(INDEX(PP_Grid[#Data],$DD1180,51),0)</f>
        <v/>
      </c>
      <c r="BB1180">
        <f>IFERROR(INDEX(PP_Grid[#Data],$DD1180,52),0)</f>
        <v/>
      </c>
      <c r="BC1180">
        <f>IFERROR(INDEX(PP_Grid[#Data],$DD1180,53),0)</f>
        <v/>
      </c>
      <c r="BD1180">
        <f>IFERROR(INDEX(PP_Grid[#Data],$DD1180,54),0)</f>
        <v/>
      </c>
      <c r="BE1180">
        <f>IFERROR(INDEX(PP_Grid[#Data],$DD1180,55),0)</f>
        <v/>
      </c>
      <c r="BF1180">
        <f>IFERROR(INDEX(PP_Grid[#Data],$DD1180,56),0)</f>
        <v/>
      </c>
      <c r="BG1180">
        <f>IFERROR(INDEX(PP_Grid[#Data],$DD1180,57),0)</f>
        <v/>
      </c>
      <c r="BH1180">
        <f>IFERROR(INDEX(PP_Grid[#Data],$DD1180,58),0)</f>
        <v/>
      </c>
      <c r="BI1180">
        <f>IFERROR(INDEX(PP_Grid[#Data],$DD1180,59),0)</f>
        <v/>
      </c>
      <c r="BJ1180">
        <f>IFERROR(INDEX(PP_Grid[#Data],$DD1180,60),0)</f>
        <v/>
      </c>
      <c r="BK1180">
        <f>IFERROR(INDEX(PP_Grid[#Data],$DD1180,61),0)</f>
        <v/>
      </c>
      <c r="BL1180">
        <f>IFERROR(INDEX(PP_Grid[#Data],$DD1180,62),0)</f>
        <v/>
      </c>
      <c r="BM1180">
        <f>IFERROR(INDEX(PP_Grid[#Data],$DD1180,63),0)</f>
        <v/>
      </c>
      <c r="BN1180">
        <f>IFERROR(INDEX(PP_Grid[#Data],$DD1180,64),0)</f>
        <v/>
      </c>
      <c r="BO1180">
        <f>IFERROR(INDEX(PP_Grid[#Data],$DD1180,65),0)</f>
        <v/>
      </c>
      <c r="BP1180">
        <f>IFERROR(INDEX(PP_Grid[#Data],$DD1180,66),0)</f>
        <v/>
      </c>
      <c r="BQ1180">
        <f>IFERROR(INDEX(PP_Grid[#Data],$DD1180,67),0)</f>
        <v/>
      </c>
      <c r="BR1180">
        <f>IFERROR(INDEX(PP_Grid[#Data],$DD1180,68),0)</f>
        <v/>
      </c>
      <c r="BS1180">
        <f>IFERROR(INDEX(PP_Grid[#Data],$DD1180,69),0)</f>
        <v/>
      </c>
      <c r="BT1180">
        <f>IFERROR(INDEX(PP_Grid[#Data],$DD1180,70),0)</f>
        <v/>
      </c>
      <c r="BU1180">
        <f>IFERROR(INDEX(PP_Grid[#Data],$DD1180,71),0)</f>
        <v/>
      </c>
      <c r="BV1180">
        <f>IFERROR(INDEX(PP_Grid[#Data],$DD1180,72),0)</f>
        <v/>
      </c>
      <c r="BW1180">
        <f>IFERROR(INDEX(PP_Grid[#Data],$DD1180,73),0)</f>
        <v/>
      </c>
      <c r="BX1180">
        <f>IFERROR(INDEX(PP_Grid[#Data],$DD1180,74),0)</f>
        <v/>
      </c>
      <c r="BY1180">
        <f>IFERROR(INDEX(PP_Grid[#Data],$DD1180,75),0)</f>
        <v/>
      </c>
      <c r="BZ1180">
        <f>IFERROR(INDEX(PP_Grid[#Data],$DD1180,76),0)</f>
        <v/>
      </c>
      <c r="CA1180">
        <f>IFERROR(INDEX(PP_Grid[#Data],$DD1180,77),0)</f>
        <v/>
      </c>
      <c r="CB1180">
        <f>IFERROR(INDEX(PP_Grid[#Data],$DD1180,78),0)</f>
        <v/>
      </c>
      <c r="CC1180">
        <f>IFERROR(INDEX(PP_Grid[#Data],$DD1180,79),0)</f>
        <v/>
      </c>
      <c r="CD1180">
        <f>IFERROR(INDEX(PP_Grid[#Data],$DD1180,80),0)</f>
        <v/>
      </c>
      <c r="CE1180">
        <f>IFERROR(INDEX(PP_Grid[#Data],$DD1180,81),0)</f>
        <v/>
      </c>
      <c r="CF1180">
        <f>IFERROR(INDEX(PP_Grid[#Data],$DD1180,82),0)</f>
        <v/>
      </c>
      <c r="CG1180">
        <f>IFERROR(INDEX(PP_Grid[#Data],$DD1180,83),0)</f>
        <v/>
      </c>
      <c r="CH1180">
        <f>IFERROR(INDEX(PP_Grid[#Data],$DD1180,84),0)</f>
        <v/>
      </c>
      <c r="CI1180">
        <f>IFERROR(INDEX(PP_Grid[#Data],$DD1180,85),0)</f>
        <v/>
      </c>
      <c r="CJ1180">
        <f>IFERROR(INDEX(PP_Grid[#Data],$DD1180,86),0)</f>
        <v/>
      </c>
      <c r="CK1180">
        <f>IFERROR(INDEX(PP_Grid[#Data],$DD1180,87),0)</f>
        <v/>
      </c>
      <c r="CL1180">
        <f>IFERROR(INDEX(PP_Grid[#Data],$DD1180,88),0)</f>
        <v/>
      </c>
      <c r="CM1180">
        <f>IFERROR(INDEX(PP_Grid[#Data],$DD1180,89),0)</f>
        <v/>
      </c>
      <c r="CN1180">
        <f>IFERROR(INDEX(PP_Grid[#Data],$DD1180,90),0)</f>
        <v/>
      </c>
      <c r="CO1180">
        <f>IFERROR(INDEX(PP_Grid[#Data],$DD1180,91),0)</f>
        <v/>
      </c>
      <c r="CP1180">
        <f>IFERROR(INDEX(PP_Grid[#Data],$DD1180,92),0)</f>
        <v/>
      </c>
      <c r="CQ1180">
        <f>IFERROR(INDEX(PP_Grid[#Data],$DD1180,93),0)</f>
        <v/>
      </c>
      <c r="CR1180">
        <f>IFERROR(INDEX(PP_Grid[#Data],$DD1180,94),0)</f>
        <v/>
      </c>
      <c r="CS1180">
        <f>IFERROR(INDEX(PP_Grid[#Data],$DD1180,95),0)</f>
        <v/>
      </c>
      <c r="CT1180">
        <f>IFERROR(INDEX(PP_Grid[#Data],$DD1180,96),0)</f>
        <v/>
      </c>
      <c r="CU1180">
        <f>IFERROR(INDEX(PP_Grid[#Data],$DD1180,97),0)</f>
        <v/>
      </c>
      <c r="CV1180">
        <f>IFERROR(INDEX(PP_Grid[#Data],$DD1180,98),0)</f>
        <v/>
      </c>
      <c r="CW1180">
        <f>IFERROR(INDEX(PP_Grid[#Data],$DD1180,99),0)</f>
        <v/>
      </c>
      <c r="CX1180">
        <f>IFERROR(INDEX(PP_Grid[#Data],$DD1180,100),0)</f>
        <v/>
      </c>
      <c r="CY1180">
        <f>IFERROR(INDEX(PP_Grid[#Data],$DD1180,101),0)</f>
        <v/>
      </c>
      <c r="CZ1180">
        <f>IFERROR(INDEX(PP_Grid[#Data],$DD1180,102),0)</f>
        <v/>
      </c>
      <c r="DA1180">
        <f>IFERROR(INDEX(PP_Grid[#Data],$DD1180,103),0)</f>
        <v/>
      </c>
      <c r="DB1180">
        <f>IFERROR(INDEX(PP_Grid[#Data],$DD1180,104),0)</f>
        <v/>
      </c>
      <c r="DC1180">
        <f>IFERROR(INDEX(PP_Grid[#Data],$DD1180,105),0)</f>
        <v/>
      </c>
      <c r="DD1180" s="12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SUMIFS(M_BOM[RM_Qty_Per_Batch],M_BOM[Intermediate],$B1180,M_BOM[Part Name],$A1179)</f>
        <v/>
      </c>
      <c r="D1181">
        <f>$C1181*D1180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</row>
    <row r="1182">
      <c r="B1182" t="inlineStr">
        <is>
          <t>TSP-656</t>
        </is>
      </c>
      <c r="C1182" t="inlineStr">
        <is>
          <t>No. of batches</t>
        </is>
      </c>
      <c r="D1182">
        <f>IFERROR(INDEX(PP_Grid[#Data],$DD1182,2),0)</f>
        <v/>
      </c>
      <c r="E1182">
        <f>IFERROR(INDEX(PP_Grid[#Data],$DD1182,3),0)</f>
        <v/>
      </c>
      <c r="F1182">
        <f>IFERROR(INDEX(PP_Grid[#Data],$DD1182,4),0)</f>
        <v/>
      </c>
      <c r="G1182">
        <f>IFERROR(INDEX(PP_Grid[#Data],$DD1182,5),0)</f>
        <v/>
      </c>
      <c r="H1182">
        <f>IFERROR(INDEX(PP_Grid[#Data],$DD1182,6),0)</f>
        <v/>
      </c>
      <c r="I1182">
        <f>IFERROR(INDEX(PP_Grid[#Data],$DD1182,7),0)</f>
        <v/>
      </c>
      <c r="J1182">
        <f>IFERROR(INDEX(PP_Grid[#Data],$DD1182,8),0)</f>
        <v/>
      </c>
      <c r="K1182">
        <f>IFERROR(INDEX(PP_Grid[#Data],$DD1182,9),0)</f>
        <v/>
      </c>
      <c r="L1182">
        <f>IFERROR(INDEX(PP_Grid[#Data],$DD1182,10),0)</f>
        <v/>
      </c>
      <c r="M1182">
        <f>IFERROR(INDEX(PP_Grid[#Data],$DD1182,11),0)</f>
        <v/>
      </c>
      <c r="N1182">
        <f>IFERROR(INDEX(PP_Grid[#Data],$DD1182,12),0)</f>
        <v/>
      </c>
      <c r="O1182">
        <f>IFERROR(INDEX(PP_Grid[#Data],$DD1182,13),0)</f>
        <v/>
      </c>
      <c r="P1182">
        <f>IFERROR(INDEX(PP_Grid[#Data],$DD1182,14),0)</f>
        <v/>
      </c>
      <c r="Q1182">
        <f>IFERROR(INDEX(PP_Grid[#Data],$DD1182,15),0)</f>
        <v/>
      </c>
      <c r="R1182">
        <f>IFERROR(INDEX(PP_Grid[#Data],$DD1182,16),0)</f>
        <v/>
      </c>
      <c r="S1182">
        <f>IFERROR(INDEX(PP_Grid[#Data],$DD1182,17),0)</f>
        <v/>
      </c>
      <c r="T1182">
        <f>IFERROR(INDEX(PP_Grid[#Data],$DD1182,18),0)</f>
        <v/>
      </c>
      <c r="U1182">
        <f>IFERROR(INDEX(PP_Grid[#Data],$DD1182,19),0)</f>
        <v/>
      </c>
      <c r="V1182">
        <f>IFERROR(INDEX(PP_Grid[#Data],$DD1182,20),0)</f>
        <v/>
      </c>
      <c r="W1182">
        <f>IFERROR(INDEX(PP_Grid[#Data],$DD1182,21),0)</f>
        <v/>
      </c>
      <c r="X1182">
        <f>IFERROR(INDEX(PP_Grid[#Data],$DD1182,22),0)</f>
        <v/>
      </c>
      <c r="Y1182">
        <f>IFERROR(INDEX(PP_Grid[#Data],$DD1182,23),0)</f>
        <v/>
      </c>
      <c r="Z1182">
        <f>IFERROR(INDEX(PP_Grid[#Data],$DD1182,24),0)</f>
        <v/>
      </c>
      <c r="AA1182">
        <f>IFERROR(INDEX(PP_Grid[#Data],$DD1182,25),0)</f>
        <v/>
      </c>
      <c r="AB1182">
        <f>IFERROR(INDEX(PP_Grid[#Data],$DD1182,26),0)</f>
        <v/>
      </c>
      <c r="AC1182">
        <f>IFERROR(INDEX(PP_Grid[#Data],$DD1182,27),0)</f>
        <v/>
      </c>
      <c r="AD1182">
        <f>IFERROR(INDEX(PP_Grid[#Data],$DD1182,28),0)</f>
        <v/>
      </c>
      <c r="AE1182">
        <f>IFERROR(INDEX(PP_Grid[#Data],$DD1182,29),0)</f>
        <v/>
      </c>
      <c r="AF1182">
        <f>IFERROR(INDEX(PP_Grid[#Data],$DD1182,30),0)</f>
        <v/>
      </c>
      <c r="AG1182">
        <f>IFERROR(INDEX(PP_Grid[#Data],$DD1182,31),0)</f>
        <v/>
      </c>
      <c r="AH1182">
        <f>IFERROR(INDEX(PP_Grid[#Data],$DD1182,32),0)</f>
        <v/>
      </c>
      <c r="AI1182">
        <f>IFERROR(INDEX(PP_Grid[#Data],$DD1182,33),0)</f>
        <v/>
      </c>
      <c r="AJ1182">
        <f>IFERROR(INDEX(PP_Grid[#Data],$DD1182,34),0)</f>
        <v/>
      </c>
      <c r="AK1182">
        <f>IFERROR(INDEX(PP_Grid[#Data],$DD1182,35),0)</f>
        <v/>
      </c>
      <c r="AL1182">
        <f>IFERROR(INDEX(PP_Grid[#Data],$DD1182,36),0)</f>
        <v/>
      </c>
      <c r="AM1182">
        <f>IFERROR(INDEX(PP_Grid[#Data],$DD1182,37),0)</f>
        <v/>
      </c>
      <c r="AN1182">
        <f>IFERROR(INDEX(PP_Grid[#Data],$DD1182,38),0)</f>
        <v/>
      </c>
      <c r="AO1182">
        <f>IFERROR(INDEX(PP_Grid[#Data],$DD1182,39),0)</f>
        <v/>
      </c>
      <c r="AP1182">
        <f>IFERROR(INDEX(PP_Grid[#Data],$DD1182,40),0)</f>
        <v/>
      </c>
      <c r="AQ1182">
        <f>IFERROR(INDEX(PP_Grid[#Data],$DD1182,41),0)</f>
        <v/>
      </c>
      <c r="AR1182">
        <f>IFERROR(INDEX(PP_Grid[#Data],$DD1182,42),0)</f>
        <v/>
      </c>
      <c r="AS1182">
        <f>IFERROR(INDEX(PP_Grid[#Data],$DD1182,43),0)</f>
        <v/>
      </c>
      <c r="AT1182">
        <f>IFERROR(INDEX(PP_Grid[#Data],$DD1182,44),0)</f>
        <v/>
      </c>
      <c r="AU1182">
        <f>IFERROR(INDEX(PP_Grid[#Data],$DD1182,45),0)</f>
        <v/>
      </c>
      <c r="AV1182">
        <f>IFERROR(INDEX(PP_Grid[#Data],$DD1182,46),0)</f>
        <v/>
      </c>
      <c r="AW1182">
        <f>IFERROR(INDEX(PP_Grid[#Data],$DD1182,47),0)</f>
        <v/>
      </c>
      <c r="AX1182">
        <f>IFERROR(INDEX(PP_Grid[#Data],$DD1182,48),0)</f>
        <v/>
      </c>
      <c r="AY1182">
        <f>IFERROR(INDEX(PP_Grid[#Data],$DD1182,49),0)</f>
        <v/>
      </c>
      <c r="AZ1182">
        <f>IFERROR(INDEX(PP_Grid[#Data],$DD1182,50),0)</f>
        <v/>
      </c>
      <c r="BA1182">
        <f>IFERROR(INDEX(PP_Grid[#Data],$DD1182,51),0)</f>
        <v/>
      </c>
      <c r="BB1182">
        <f>IFERROR(INDEX(PP_Grid[#Data],$DD1182,52),0)</f>
        <v/>
      </c>
      <c r="BC1182">
        <f>IFERROR(INDEX(PP_Grid[#Data],$DD1182,53),0)</f>
        <v/>
      </c>
      <c r="BD1182">
        <f>IFERROR(INDEX(PP_Grid[#Data],$DD1182,54),0)</f>
        <v/>
      </c>
      <c r="BE1182">
        <f>IFERROR(INDEX(PP_Grid[#Data],$DD1182,55),0)</f>
        <v/>
      </c>
      <c r="BF1182">
        <f>IFERROR(INDEX(PP_Grid[#Data],$DD1182,56),0)</f>
        <v/>
      </c>
      <c r="BG1182">
        <f>IFERROR(INDEX(PP_Grid[#Data],$DD1182,57),0)</f>
        <v/>
      </c>
      <c r="BH1182">
        <f>IFERROR(INDEX(PP_Grid[#Data],$DD1182,58),0)</f>
        <v/>
      </c>
      <c r="BI1182">
        <f>IFERROR(INDEX(PP_Grid[#Data],$DD1182,59),0)</f>
        <v/>
      </c>
      <c r="BJ1182">
        <f>IFERROR(INDEX(PP_Grid[#Data],$DD1182,60),0)</f>
        <v/>
      </c>
      <c r="BK1182">
        <f>IFERROR(INDEX(PP_Grid[#Data],$DD1182,61),0)</f>
        <v/>
      </c>
      <c r="BL1182">
        <f>IFERROR(INDEX(PP_Grid[#Data],$DD1182,62),0)</f>
        <v/>
      </c>
      <c r="BM1182">
        <f>IFERROR(INDEX(PP_Grid[#Data],$DD1182,63),0)</f>
        <v/>
      </c>
      <c r="BN1182">
        <f>IFERROR(INDEX(PP_Grid[#Data],$DD1182,64),0)</f>
        <v/>
      </c>
      <c r="BO1182">
        <f>IFERROR(INDEX(PP_Grid[#Data],$DD1182,65),0)</f>
        <v/>
      </c>
      <c r="BP1182">
        <f>IFERROR(INDEX(PP_Grid[#Data],$DD1182,66),0)</f>
        <v/>
      </c>
      <c r="BQ1182">
        <f>IFERROR(INDEX(PP_Grid[#Data],$DD1182,67),0)</f>
        <v/>
      </c>
      <c r="BR1182">
        <f>IFERROR(INDEX(PP_Grid[#Data],$DD1182,68),0)</f>
        <v/>
      </c>
      <c r="BS1182">
        <f>IFERROR(INDEX(PP_Grid[#Data],$DD1182,69),0)</f>
        <v/>
      </c>
      <c r="BT1182">
        <f>IFERROR(INDEX(PP_Grid[#Data],$DD1182,70),0)</f>
        <v/>
      </c>
      <c r="BU1182">
        <f>IFERROR(INDEX(PP_Grid[#Data],$DD1182,71),0)</f>
        <v/>
      </c>
      <c r="BV1182">
        <f>IFERROR(INDEX(PP_Grid[#Data],$DD1182,72),0)</f>
        <v/>
      </c>
      <c r="BW1182">
        <f>IFERROR(INDEX(PP_Grid[#Data],$DD1182,73),0)</f>
        <v/>
      </c>
      <c r="BX1182">
        <f>IFERROR(INDEX(PP_Grid[#Data],$DD1182,74),0)</f>
        <v/>
      </c>
      <c r="BY1182">
        <f>IFERROR(INDEX(PP_Grid[#Data],$DD1182,75),0)</f>
        <v/>
      </c>
      <c r="BZ1182">
        <f>IFERROR(INDEX(PP_Grid[#Data],$DD1182,76),0)</f>
        <v/>
      </c>
      <c r="CA1182">
        <f>IFERROR(INDEX(PP_Grid[#Data],$DD1182,77),0)</f>
        <v/>
      </c>
      <c r="CB1182">
        <f>IFERROR(INDEX(PP_Grid[#Data],$DD1182,78),0)</f>
        <v/>
      </c>
      <c r="CC1182">
        <f>IFERROR(INDEX(PP_Grid[#Data],$DD1182,79),0)</f>
        <v/>
      </c>
      <c r="CD1182">
        <f>IFERROR(INDEX(PP_Grid[#Data],$DD1182,80),0)</f>
        <v/>
      </c>
      <c r="CE1182">
        <f>IFERROR(INDEX(PP_Grid[#Data],$DD1182,81),0)</f>
        <v/>
      </c>
      <c r="CF1182">
        <f>IFERROR(INDEX(PP_Grid[#Data],$DD1182,82),0)</f>
        <v/>
      </c>
      <c r="CG1182">
        <f>IFERROR(INDEX(PP_Grid[#Data],$DD1182,83),0)</f>
        <v/>
      </c>
      <c r="CH1182">
        <f>IFERROR(INDEX(PP_Grid[#Data],$DD1182,84),0)</f>
        <v/>
      </c>
      <c r="CI1182">
        <f>IFERROR(INDEX(PP_Grid[#Data],$DD1182,85),0)</f>
        <v/>
      </c>
      <c r="CJ1182">
        <f>IFERROR(INDEX(PP_Grid[#Data],$DD1182,86),0)</f>
        <v/>
      </c>
      <c r="CK1182">
        <f>IFERROR(INDEX(PP_Grid[#Data],$DD1182,87),0)</f>
        <v/>
      </c>
      <c r="CL1182">
        <f>IFERROR(INDEX(PP_Grid[#Data],$DD1182,88),0)</f>
        <v/>
      </c>
      <c r="CM1182">
        <f>IFERROR(INDEX(PP_Grid[#Data],$DD1182,89),0)</f>
        <v/>
      </c>
      <c r="CN1182">
        <f>IFERROR(INDEX(PP_Grid[#Data],$DD1182,90),0)</f>
        <v/>
      </c>
      <c r="CO1182">
        <f>IFERROR(INDEX(PP_Grid[#Data],$DD1182,91),0)</f>
        <v/>
      </c>
      <c r="CP1182">
        <f>IFERROR(INDEX(PP_Grid[#Data],$DD1182,92),0)</f>
        <v/>
      </c>
      <c r="CQ1182">
        <f>IFERROR(INDEX(PP_Grid[#Data],$DD1182,93),0)</f>
        <v/>
      </c>
      <c r="CR1182">
        <f>IFERROR(INDEX(PP_Grid[#Data],$DD1182,94),0)</f>
        <v/>
      </c>
      <c r="CS1182">
        <f>IFERROR(INDEX(PP_Grid[#Data],$DD1182,95),0)</f>
        <v/>
      </c>
      <c r="CT1182">
        <f>IFERROR(INDEX(PP_Grid[#Data],$DD1182,96),0)</f>
        <v/>
      </c>
      <c r="CU1182">
        <f>IFERROR(INDEX(PP_Grid[#Data],$DD1182,97),0)</f>
        <v/>
      </c>
      <c r="CV1182">
        <f>IFERROR(INDEX(PP_Grid[#Data],$DD1182,98),0)</f>
        <v/>
      </c>
      <c r="CW1182">
        <f>IFERROR(INDEX(PP_Grid[#Data],$DD1182,99),0)</f>
        <v/>
      </c>
      <c r="CX1182">
        <f>IFERROR(INDEX(PP_Grid[#Data],$DD1182,100),0)</f>
        <v/>
      </c>
      <c r="CY1182">
        <f>IFERROR(INDEX(PP_Grid[#Data],$DD1182,101),0)</f>
        <v/>
      </c>
      <c r="CZ1182">
        <f>IFERROR(INDEX(PP_Grid[#Data],$DD1182,102),0)</f>
        <v/>
      </c>
      <c r="DA1182">
        <f>IFERROR(INDEX(PP_Grid[#Data],$DD1182,103),0)</f>
        <v/>
      </c>
      <c r="DB1182">
        <f>IFERROR(INDEX(PP_Grid[#Data],$DD1182,104),0)</f>
        <v/>
      </c>
      <c r="DC1182">
        <f>IFERROR(INDEX(PP_Grid[#Data],$DD1182,105),0)</f>
        <v/>
      </c>
      <c r="DD1182" s="12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SUMIFS(M_BOM[RM_Qty_Per_Batch],M_BOM[Intermediate],$B1182,M_BOM[Part Name],$A1179)</f>
        <v/>
      </c>
      <c r="D1183">
        <f>$C1183*D1182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</row>
    <row r="1184">
      <c r="B1184" t="inlineStr">
        <is>
          <t>VSP-820</t>
        </is>
      </c>
      <c r="C1184" t="inlineStr">
        <is>
          <t>No. of batches</t>
        </is>
      </c>
      <c r="D1184">
        <f>IFERROR(INDEX(PP_Grid[#Data],$DD1184,2),0)</f>
        <v/>
      </c>
      <c r="E1184">
        <f>IFERROR(INDEX(PP_Grid[#Data],$DD1184,3),0)</f>
        <v/>
      </c>
      <c r="F1184">
        <f>IFERROR(INDEX(PP_Grid[#Data],$DD1184,4),0)</f>
        <v/>
      </c>
      <c r="G1184">
        <f>IFERROR(INDEX(PP_Grid[#Data],$DD1184,5),0)</f>
        <v/>
      </c>
      <c r="H1184">
        <f>IFERROR(INDEX(PP_Grid[#Data],$DD1184,6),0)</f>
        <v/>
      </c>
      <c r="I1184">
        <f>IFERROR(INDEX(PP_Grid[#Data],$DD1184,7),0)</f>
        <v/>
      </c>
      <c r="J1184">
        <f>IFERROR(INDEX(PP_Grid[#Data],$DD1184,8),0)</f>
        <v/>
      </c>
      <c r="K1184">
        <f>IFERROR(INDEX(PP_Grid[#Data],$DD1184,9),0)</f>
        <v/>
      </c>
      <c r="L1184">
        <f>IFERROR(INDEX(PP_Grid[#Data],$DD1184,10),0)</f>
        <v/>
      </c>
      <c r="M1184">
        <f>IFERROR(INDEX(PP_Grid[#Data],$DD1184,11),0)</f>
        <v/>
      </c>
      <c r="N1184">
        <f>IFERROR(INDEX(PP_Grid[#Data],$DD1184,12),0)</f>
        <v/>
      </c>
      <c r="O1184">
        <f>IFERROR(INDEX(PP_Grid[#Data],$DD1184,13),0)</f>
        <v/>
      </c>
      <c r="P1184">
        <f>IFERROR(INDEX(PP_Grid[#Data],$DD1184,14),0)</f>
        <v/>
      </c>
      <c r="Q1184">
        <f>IFERROR(INDEX(PP_Grid[#Data],$DD1184,15),0)</f>
        <v/>
      </c>
      <c r="R1184">
        <f>IFERROR(INDEX(PP_Grid[#Data],$DD1184,16),0)</f>
        <v/>
      </c>
      <c r="S1184">
        <f>IFERROR(INDEX(PP_Grid[#Data],$DD1184,17),0)</f>
        <v/>
      </c>
      <c r="T1184">
        <f>IFERROR(INDEX(PP_Grid[#Data],$DD1184,18),0)</f>
        <v/>
      </c>
      <c r="U1184">
        <f>IFERROR(INDEX(PP_Grid[#Data],$DD1184,19),0)</f>
        <v/>
      </c>
      <c r="V1184">
        <f>IFERROR(INDEX(PP_Grid[#Data],$DD1184,20),0)</f>
        <v/>
      </c>
      <c r="W1184">
        <f>IFERROR(INDEX(PP_Grid[#Data],$DD1184,21),0)</f>
        <v/>
      </c>
      <c r="X1184">
        <f>IFERROR(INDEX(PP_Grid[#Data],$DD1184,22),0)</f>
        <v/>
      </c>
      <c r="Y1184">
        <f>IFERROR(INDEX(PP_Grid[#Data],$DD1184,23),0)</f>
        <v/>
      </c>
      <c r="Z1184">
        <f>IFERROR(INDEX(PP_Grid[#Data],$DD1184,24),0)</f>
        <v/>
      </c>
      <c r="AA1184">
        <f>IFERROR(INDEX(PP_Grid[#Data],$DD1184,25),0)</f>
        <v/>
      </c>
      <c r="AB1184">
        <f>IFERROR(INDEX(PP_Grid[#Data],$DD1184,26),0)</f>
        <v/>
      </c>
      <c r="AC1184">
        <f>IFERROR(INDEX(PP_Grid[#Data],$DD1184,27),0)</f>
        <v/>
      </c>
      <c r="AD1184">
        <f>IFERROR(INDEX(PP_Grid[#Data],$DD1184,28),0)</f>
        <v/>
      </c>
      <c r="AE1184">
        <f>IFERROR(INDEX(PP_Grid[#Data],$DD1184,29),0)</f>
        <v/>
      </c>
      <c r="AF1184">
        <f>IFERROR(INDEX(PP_Grid[#Data],$DD1184,30),0)</f>
        <v/>
      </c>
      <c r="AG1184">
        <f>IFERROR(INDEX(PP_Grid[#Data],$DD1184,31),0)</f>
        <v/>
      </c>
      <c r="AH1184">
        <f>IFERROR(INDEX(PP_Grid[#Data],$DD1184,32),0)</f>
        <v/>
      </c>
      <c r="AI1184">
        <f>IFERROR(INDEX(PP_Grid[#Data],$DD1184,33),0)</f>
        <v/>
      </c>
      <c r="AJ1184">
        <f>IFERROR(INDEX(PP_Grid[#Data],$DD1184,34),0)</f>
        <v/>
      </c>
      <c r="AK1184">
        <f>IFERROR(INDEX(PP_Grid[#Data],$DD1184,35),0)</f>
        <v/>
      </c>
      <c r="AL1184">
        <f>IFERROR(INDEX(PP_Grid[#Data],$DD1184,36),0)</f>
        <v/>
      </c>
      <c r="AM1184">
        <f>IFERROR(INDEX(PP_Grid[#Data],$DD1184,37),0)</f>
        <v/>
      </c>
      <c r="AN1184">
        <f>IFERROR(INDEX(PP_Grid[#Data],$DD1184,38),0)</f>
        <v/>
      </c>
      <c r="AO1184">
        <f>IFERROR(INDEX(PP_Grid[#Data],$DD1184,39),0)</f>
        <v/>
      </c>
      <c r="AP1184">
        <f>IFERROR(INDEX(PP_Grid[#Data],$DD1184,40),0)</f>
        <v/>
      </c>
      <c r="AQ1184">
        <f>IFERROR(INDEX(PP_Grid[#Data],$DD1184,41),0)</f>
        <v/>
      </c>
      <c r="AR1184">
        <f>IFERROR(INDEX(PP_Grid[#Data],$DD1184,42),0)</f>
        <v/>
      </c>
      <c r="AS1184">
        <f>IFERROR(INDEX(PP_Grid[#Data],$DD1184,43),0)</f>
        <v/>
      </c>
      <c r="AT1184">
        <f>IFERROR(INDEX(PP_Grid[#Data],$DD1184,44),0)</f>
        <v/>
      </c>
      <c r="AU1184">
        <f>IFERROR(INDEX(PP_Grid[#Data],$DD1184,45),0)</f>
        <v/>
      </c>
      <c r="AV1184">
        <f>IFERROR(INDEX(PP_Grid[#Data],$DD1184,46),0)</f>
        <v/>
      </c>
      <c r="AW1184">
        <f>IFERROR(INDEX(PP_Grid[#Data],$DD1184,47),0)</f>
        <v/>
      </c>
      <c r="AX1184">
        <f>IFERROR(INDEX(PP_Grid[#Data],$DD1184,48),0)</f>
        <v/>
      </c>
      <c r="AY1184">
        <f>IFERROR(INDEX(PP_Grid[#Data],$DD1184,49),0)</f>
        <v/>
      </c>
      <c r="AZ1184">
        <f>IFERROR(INDEX(PP_Grid[#Data],$DD1184,50),0)</f>
        <v/>
      </c>
      <c r="BA1184">
        <f>IFERROR(INDEX(PP_Grid[#Data],$DD1184,51),0)</f>
        <v/>
      </c>
      <c r="BB1184">
        <f>IFERROR(INDEX(PP_Grid[#Data],$DD1184,52),0)</f>
        <v/>
      </c>
      <c r="BC1184">
        <f>IFERROR(INDEX(PP_Grid[#Data],$DD1184,53),0)</f>
        <v/>
      </c>
      <c r="BD1184">
        <f>IFERROR(INDEX(PP_Grid[#Data],$DD1184,54),0)</f>
        <v/>
      </c>
      <c r="BE1184">
        <f>IFERROR(INDEX(PP_Grid[#Data],$DD1184,55),0)</f>
        <v/>
      </c>
      <c r="BF1184">
        <f>IFERROR(INDEX(PP_Grid[#Data],$DD1184,56),0)</f>
        <v/>
      </c>
      <c r="BG1184">
        <f>IFERROR(INDEX(PP_Grid[#Data],$DD1184,57),0)</f>
        <v/>
      </c>
      <c r="BH1184">
        <f>IFERROR(INDEX(PP_Grid[#Data],$DD1184,58),0)</f>
        <v/>
      </c>
      <c r="BI1184">
        <f>IFERROR(INDEX(PP_Grid[#Data],$DD1184,59),0)</f>
        <v/>
      </c>
      <c r="BJ1184">
        <f>IFERROR(INDEX(PP_Grid[#Data],$DD1184,60),0)</f>
        <v/>
      </c>
      <c r="BK1184">
        <f>IFERROR(INDEX(PP_Grid[#Data],$DD1184,61),0)</f>
        <v/>
      </c>
      <c r="BL1184">
        <f>IFERROR(INDEX(PP_Grid[#Data],$DD1184,62),0)</f>
        <v/>
      </c>
      <c r="BM1184">
        <f>IFERROR(INDEX(PP_Grid[#Data],$DD1184,63),0)</f>
        <v/>
      </c>
      <c r="BN1184">
        <f>IFERROR(INDEX(PP_Grid[#Data],$DD1184,64),0)</f>
        <v/>
      </c>
      <c r="BO1184">
        <f>IFERROR(INDEX(PP_Grid[#Data],$DD1184,65),0)</f>
        <v/>
      </c>
      <c r="BP1184">
        <f>IFERROR(INDEX(PP_Grid[#Data],$DD1184,66),0)</f>
        <v/>
      </c>
      <c r="BQ1184">
        <f>IFERROR(INDEX(PP_Grid[#Data],$DD1184,67),0)</f>
        <v/>
      </c>
      <c r="BR1184">
        <f>IFERROR(INDEX(PP_Grid[#Data],$DD1184,68),0)</f>
        <v/>
      </c>
      <c r="BS1184">
        <f>IFERROR(INDEX(PP_Grid[#Data],$DD1184,69),0)</f>
        <v/>
      </c>
      <c r="BT1184">
        <f>IFERROR(INDEX(PP_Grid[#Data],$DD1184,70),0)</f>
        <v/>
      </c>
      <c r="BU1184">
        <f>IFERROR(INDEX(PP_Grid[#Data],$DD1184,71),0)</f>
        <v/>
      </c>
      <c r="BV1184">
        <f>IFERROR(INDEX(PP_Grid[#Data],$DD1184,72),0)</f>
        <v/>
      </c>
      <c r="BW1184">
        <f>IFERROR(INDEX(PP_Grid[#Data],$DD1184,73),0)</f>
        <v/>
      </c>
      <c r="BX1184">
        <f>IFERROR(INDEX(PP_Grid[#Data],$DD1184,74),0)</f>
        <v/>
      </c>
      <c r="BY1184">
        <f>IFERROR(INDEX(PP_Grid[#Data],$DD1184,75),0)</f>
        <v/>
      </c>
      <c r="BZ1184">
        <f>IFERROR(INDEX(PP_Grid[#Data],$DD1184,76),0)</f>
        <v/>
      </c>
      <c r="CA1184">
        <f>IFERROR(INDEX(PP_Grid[#Data],$DD1184,77),0)</f>
        <v/>
      </c>
      <c r="CB1184">
        <f>IFERROR(INDEX(PP_Grid[#Data],$DD1184,78),0)</f>
        <v/>
      </c>
      <c r="CC1184">
        <f>IFERROR(INDEX(PP_Grid[#Data],$DD1184,79),0)</f>
        <v/>
      </c>
      <c r="CD1184">
        <f>IFERROR(INDEX(PP_Grid[#Data],$DD1184,80),0)</f>
        <v/>
      </c>
      <c r="CE1184">
        <f>IFERROR(INDEX(PP_Grid[#Data],$DD1184,81),0)</f>
        <v/>
      </c>
      <c r="CF1184">
        <f>IFERROR(INDEX(PP_Grid[#Data],$DD1184,82),0)</f>
        <v/>
      </c>
      <c r="CG1184">
        <f>IFERROR(INDEX(PP_Grid[#Data],$DD1184,83),0)</f>
        <v/>
      </c>
      <c r="CH1184">
        <f>IFERROR(INDEX(PP_Grid[#Data],$DD1184,84),0)</f>
        <v/>
      </c>
      <c r="CI1184">
        <f>IFERROR(INDEX(PP_Grid[#Data],$DD1184,85),0)</f>
        <v/>
      </c>
      <c r="CJ1184">
        <f>IFERROR(INDEX(PP_Grid[#Data],$DD1184,86),0)</f>
        <v/>
      </c>
      <c r="CK1184">
        <f>IFERROR(INDEX(PP_Grid[#Data],$DD1184,87),0)</f>
        <v/>
      </c>
      <c r="CL1184">
        <f>IFERROR(INDEX(PP_Grid[#Data],$DD1184,88),0)</f>
        <v/>
      </c>
      <c r="CM1184">
        <f>IFERROR(INDEX(PP_Grid[#Data],$DD1184,89),0)</f>
        <v/>
      </c>
      <c r="CN1184">
        <f>IFERROR(INDEX(PP_Grid[#Data],$DD1184,90),0)</f>
        <v/>
      </c>
      <c r="CO1184">
        <f>IFERROR(INDEX(PP_Grid[#Data],$DD1184,91),0)</f>
        <v/>
      </c>
      <c r="CP1184">
        <f>IFERROR(INDEX(PP_Grid[#Data],$DD1184,92),0)</f>
        <v/>
      </c>
      <c r="CQ1184">
        <f>IFERROR(INDEX(PP_Grid[#Data],$DD1184,93),0)</f>
        <v/>
      </c>
      <c r="CR1184">
        <f>IFERROR(INDEX(PP_Grid[#Data],$DD1184,94),0)</f>
        <v/>
      </c>
      <c r="CS1184">
        <f>IFERROR(INDEX(PP_Grid[#Data],$DD1184,95),0)</f>
        <v/>
      </c>
      <c r="CT1184">
        <f>IFERROR(INDEX(PP_Grid[#Data],$DD1184,96),0)</f>
        <v/>
      </c>
      <c r="CU1184">
        <f>IFERROR(INDEX(PP_Grid[#Data],$DD1184,97),0)</f>
        <v/>
      </c>
      <c r="CV1184">
        <f>IFERROR(INDEX(PP_Grid[#Data],$DD1184,98),0)</f>
        <v/>
      </c>
      <c r="CW1184">
        <f>IFERROR(INDEX(PP_Grid[#Data],$DD1184,99),0)</f>
        <v/>
      </c>
      <c r="CX1184">
        <f>IFERROR(INDEX(PP_Grid[#Data],$DD1184,100),0)</f>
        <v/>
      </c>
      <c r="CY1184">
        <f>IFERROR(INDEX(PP_Grid[#Data],$DD1184,101),0)</f>
        <v/>
      </c>
      <c r="CZ1184">
        <f>IFERROR(INDEX(PP_Grid[#Data],$DD1184,102),0)</f>
        <v/>
      </c>
      <c r="DA1184">
        <f>IFERROR(INDEX(PP_Grid[#Data],$DD1184,103),0)</f>
        <v/>
      </c>
      <c r="DB1184">
        <f>IFERROR(INDEX(PP_Grid[#Data],$DD1184,104),0)</f>
        <v/>
      </c>
      <c r="DC1184">
        <f>IFERROR(INDEX(PP_Grid[#Data],$DD1184,105),0)</f>
        <v/>
      </c>
      <c r="DD1184" s="12">
        <f>IFERROR(MATCH($B1184,PP_Grid[Intermediate],0),99999)</f>
        <v/>
      </c>
    </row>
    <row r="1185">
      <c r="B1185" t="inlineStr">
        <is>
          <t>使用量(kg)</t>
        </is>
      </c>
      <c r="C1185">
        <f>SUMIFS(M_BOM[RM_Qty_Per_Batch],M_BOM[Intermediate],$B1184,M_BOM[Part Name],$A1179)</f>
        <v/>
      </c>
      <c r="D1185">
        <f>$C1185*D1184</f>
        <v/>
      </c>
      <c r="E1185">
        <f>$C1185*E1184</f>
        <v/>
      </c>
      <c r="F1185">
        <f>$C1185*F1184</f>
        <v/>
      </c>
      <c r="G1185">
        <f>$C1185*G1184</f>
        <v/>
      </c>
      <c r="H1185">
        <f>$C1185*H1184</f>
        <v/>
      </c>
      <c r="I1185">
        <f>$C1185*I1184</f>
        <v/>
      </c>
      <c r="J1185">
        <f>$C1185*J1184</f>
        <v/>
      </c>
      <c r="K1185">
        <f>$C1185*K1184</f>
        <v/>
      </c>
      <c r="L1185">
        <f>$C1185*L1184</f>
        <v/>
      </c>
      <c r="M1185">
        <f>$C1185*M1184</f>
        <v/>
      </c>
      <c r="N1185">
        <f>$C1185*N1184</f>
        <v/>
      </c>
      <c r="O1185">
        <f>$C1185*O1184</f>
        <v/>
      </c>
      <c r="P1185">
        <f>$C1185*P1184</f>
        <v/>
      </c>
      <c r="Q1185">
        <f>$C1185*Q1184</f>
        <v/>
      </c>
      <c r="R1185">
        <f>$C1185*R1184</f>
        <v/>
      </c>
      <c r="S1185">
        <f>$C1185*S1184</f>
        <v/>
      </c>
      <c r="T1185">
        <f>$C1185*T1184</f>
        <v/>
      </c>
      <c r="U1185">
        <f>$C1185*U1184</f>
        <v/>
      </c>
      <c r="V1185">
        <f>$C1185*V1184</f>
        <v/>
      </c>
      <c r="W1185">
        <f>$C1185*W1184</f>
        <v/>
      </c>
      <c r="X1185">
        <f>$C1185*X1184</f>
        <v/>
      </c>
      <c r="Y1185">
        <f>$C1185*Y1184</f>
        <v/>
      </c>
      <c r="Z1185">
        <f>$C1185*Z1184</f>
        <v/>
      </c>
      <c r="AA1185">
        <f>$C1185*AA1184</f>
        <v/>
      </c>
      <c r="AB1185">
        <f>$C1185*AB1184</f>
        <v/>
      </c>
      <c r="AC1185">
        <f>$C1185*AC1184</f>
        <v/>
      </c>
      <c r="AD1185">
        <f>$C1185*AD1184</f>
        <v/>
      </c>
      <c r="AE1185">
        <f>$C1185*AE1184</f>
        <v/>
      </c>
      <c r="AF1185">
        <f>$C1185*AF1184</f>
        <v/>
      </c>
      <c r="AG1185">
        <f>$C1185*AG1184</f>
        <v/>
      </c>
      <c r="AH1185">
        <f>$C1185*AH1184</f>
        <v/>
      </c>
      <c r="AI1185">
        <f>$C1185*AI1184</f>
        <v/>
      </c>
      <c r="AJ1185">
        <f>$C1185*AJ1184</f>
        <v/>
      </c>
      <c r="AK1185">
        <f>$C1185*AK1184</f>
        <v/>
      </c>
      <c r="AL1185">
        <f>$C1185*AL1184</f>
        <v/>
      </c>
      <c r="AM1185">
        <f>$C1185*AM1184</f>
        <v/>
      </c>
      <c r="AN1185">
        <f>$C1185*AN1184</f>
        <v/>
      </c>
      <c r="AO1185">
        <f>$C1185*AO1184</f>
        <v/>
      </c>
      <c r="AP1185">
        <f>$C1185*AP1184</f>
        <v/>
      </c>
      <c r="AQ1185">
        <f>$C1185*AQ1184</f>
        <v/>
      </c>
      <c r="AR1185">
        <f>$C1185*AR1184</f>
        <v/>
      </c>
      <c r="AS1185">
        <f>$C1185*AS1184</f>
        <v/>
      </c>
      <c r="AT1185">
        <f>$C1185*AT1184</f>
        <v/>
      </c>
      <c r="AU1185">
        <f>$C1185*AU1184</f>
        <v/>
      </c>
      <c r="AV1185">
        <f>$C1185*AV1184</f>
        <v/>
      </c>
      <c r="AW1185">
        <f>$C1185*AW1184</f>
        <v/>
      </c>
      <c r="AX1185">
        <f>$C1185*AX1184</f>
        <v/>
      </c>
      <c r="AY1185">
        <f>$C1185*AY1184</f>
        <v/>
      </c>
      <c r="AZ1185">
        <f>$C1185*AZ1184</f>
        <v/>
      </c>
      <c r="BA1185">
        <f>$C1185*BA1184</f>
        <v/>
      </c>
      <c r="BB1185">
        <f>$C1185*BB1184</f>
        <v/>
      </c>
      <c r="BC1185">
        <f>$C1185*BC1184</f>
        <v/>
      </c>
      <c r="BD1185">
        <f>$C1185*BD1184</f>
        <v/>
      </c>
      <c r="BE1185">
        <f>$C1185*BE1184</f>
        <v/>
      </c>
      <c r="BF1185">
        <f>$C1185*BF1184</f>
        <v/>
      </c>
      <c r="BG1185">
        <f>$C1185*BG1184</f>
        <v/>
      </c>
      <c r="BH1185">
        <f>$C1185*BH1184</f>
        <v/>
      </c>
      <c r="BI1185">
        <f>$C1185*BI1184</f>
        <v/>
      </c>
      <c r="BJ1185">
        <f>$C1185*BJ1184</f>
        <v/>
      </c>
      <c r="BK1185">
        <f>$C1185*BK1184</f>
        <v/>
      </c>
      <c r="BL1185">
        <f>$C1185*BL1184</f>
        <v/>
      </c>
      <c r="BM1185">
        <f>$C1185*BM1184</f>
        <v/>
      </c>
      <c r="BN1185">
        <f>$C1185*BN1184</f>
        <v/>
      </c>
      <c r="BO1185">
        <f>$C1185*BO1184</f>
        <v/>
      </c>
      <c r="BP1185">
        <f>$C1185*BP1184</f>
        <v/>
      </c>
      <c r="BQ1185">
        <f>$C1185*BQ1184</f>
        <v/>
      </c>
      <c r="BR1185">
        <f>$C1185*BR1184</f>
        <v/>
      </c>
      <c r="BS1185">
        <f>$C1185*BS1184</f>
        <v/>
      </c>
      <c r="BT1185">
        <f>$C1185*BT1184</f>
        <v/>
      </c>
      <c r="BU1185">
        <f>$C1185*BU1184</f>
        <v/>
      </c>
      <c r="BV1185">
        <f>$C1185*BV1184</f>
        <v/>
      </c>
      <c r="BW1185">
        <f>$C1185*BW1184</f>
        <v/>
      </c>
      <c r="BX1185">
        <f>$C1185*BX1184</f>
        <v/>
      </c>
      <c r="BY1185">
        <f>$C1185*BY1184</f>
        <v/>
      </c>
      <c r="BZ1185">
        <f>$C1185*BZ1184</f>
        <v/>
      </c>
      <c r="CA1185">
        <f>$C1185*CA1184</f>
        <v/>
      </c>
      <c r="CB1185">
        <f>$C1185*CB1184</f>
        <v/>
      </c>
      <c r="CC1185">
        <f>$C1185*CC1184</f>
        <v/>
      </c>
      <c r="CD1185">
        <f>$C1185*CD1184</f>
        <v/>
      </c>
      <c r="CE1185">
        <f>$C1185*CE1184</f>
        <v/>
      </c>
      <c r="CF1185">
        <f>$C1185*CF1184</f>
        <v/>
      </c>
      <c r="CG1185">
        <f>$C1185*CG1184</f>
        <v/>
      </c>
      <c r="CH1185">
        <f>$C1185*CH1184</f>
        <v/>
      </c>
      <c r="CI1185">
        <f>$C1185*CI1184</f>
        <v/>
      </c>
      <c r="CJ1185">
        <f>$C1185*CJ1184</f>
        <v/>
      </c>
      <c r="CK1185">
        <f>$C1185*CK1184</f>
        <v/>
      </c>
      <c r="CL1185">
        <f>$C1185*CL1184</f>
        <v/>
      </c>
      <c r="CM1185">
        <f>$C1185*CM1184</f>
        <v/>
      </c>
      <c r="CN1185">
        <f>$C1185*CN1184</f>
        <v/>
      </c>
      <c r="CO1185">
        <f>$C1185*CO1184</f>
        <v/>
      </c>
      <c r="CP1185">
        <f>$C1185*CP1184</f>
        <v/>
      </c>
      <c r="CQ1185">
        <f>$C1185*CQ1184</f>
        <v/>
      </c>
      <c r="CR1185">
        <f>$C1185*CR1184</f>
        <v/>
      </c>
      <c r="CS1185">
        <f>$C1185*CS1184</f>
        <v/>
      </c>
      <c r="CT1185">
        <f>$C1185*CT1184</f>
        <v/>
      </c>
      <c r="CU1185">
        <f>$C1185*CU1184</f>
        <v/>
      </c>
      <c r="CV1185">
        <f>$C1185*CV1184</f>
        <v/>
      </c>
      <c r="CW1185">
        <f>$C1185*CW1184</f>
        <v/>
      </c>
      <c r="CX1185">
        <f>$C1185*CX1184</f>
        <v/>
      </c>
      <c r="CY1185">
        <f>$C1185*CY1184</f>
        <v/>
      </c>
      <c r="CZ1185">
        <f>$C1185*CZ1184</f>
        <v/>
      </c>
      <c r="DA1185">
        <f>$C1185*DA1184</f>
        <v/>
      </c>
      <c r="DB1185">
        <f>$C1185*DB1184</f>
        <v/>
      </c>
      <c r="DC1185">
        <f>$C1185*DC1184</f>
        <v/>
      </c>
    </row>
    <row r="1186">
      <c r="B1186" t="inlineStr">
        <is>
          <t>VSP-822</t>
        </is>
      </c>
      <c r="C1186" t="inlineStr">
        <is>
          <t>No. of batches</t>
        </is>
      </c>
      <c r="D1186">
        <f>IFERROR(INDEX(PP_Grid[#Data],$DD1186,2),0)</f>
        <v/>
      </c>
      <c r="E1186">
        <f>IFERROR(INDEX(PP_Grid[#Data],$DD1186,3),0)</f>
        <v/>
      </c>
      <c r="F1186">
        <f>IFERROR(INDEX(PP_Grid[#Data],$DD1186,4),0)</f>
        <v/>
      </c>
      <c r="G1186">
        <f>IFERROR(INDEX(PP_Grid[#Data],$DD1186,5),0)</f>
        <v/>
      </c>
      <c r="H1186">
        <f>IFERROR(INDEX(PP_Grid[#Data],$DD1186,6),0)</f>
        <v/>
      </c>
      <c r="I1186">
        <f>IFERROR(INDEX(PP_Grid[#Data],$DD1186,7),0)</f>
        <v/>
      </c>
      <c r="J1186">
        <f>IFERROR(INDEX(PP_Grid[#Data],$DD1186,8),0)</f>
        <v/>
      </c>
      <c r="K1186">
        <f>IFERROR(INDEX(PP_Grid[#Data],$DD1186,9),0)</f>
        <v/>
      </c>
      <c r="L1186">
        <f>IFERROR(INDEX(PP_Grid[#Data],$DD1186,10),0)</f>
        <v/>
      </c>
      <c r="M1186">
        <f>IFERROR(INDEX(PP_Grid[#Data],$DD1186,11),0)</f>
        <v/>
      </c>
      <c r="N1186">
        <f>IFERROR(INDEX(PP_Grid[#Data],$DD1186,12),0)</f>
        <v/>
      </c>
      <c r="O1186">
        <f>IFERROR(INDEX(PP_Grid[#Data],$DD1186,13),0)</f>
        <v/>
      </c>
      <c r="P1186">
        <f>IFERROR(INDEX(PP_Grid[#Data],$DD1186,14),0)</f>
        <v/>
      </c>
      <c r="Q1186">
        <f>IFERROR(INDEX(PP_Grid[#Data],$DD1186,15),0)</f>
        <v/>
      </c>
      <c r="R1186">
        <f>IFERROR(INDEX(PP_Grid[#Data],$DD1186,16),0)</f>
        <v/>
      </c>
      <c r="S1186">
        <f>IFERROR(INDEX(PP_Grid[#Data],$DD1186,17),0)</f>
        <v/>
      </c>
      <c r="T1186">
        <f>IFERROR(INDEX(PP_Grid[#Data],$DD1186,18),0)</f>
        <v/>
      </c>
      <c r="U1186">
        <f>IFERROR(INDEX(PP_Grid[#Data],$DD1186,19),0)</f>
        <v/>
      </c>
      <c r="V1186">
        <f>IFERROR(INDEX(PP_Grid[#Data],$DD1186,20),0)</f>
        <v/>
      </c>
      <c r="W1186">
        <f>IFERROR(INDEX(PP_Grid[#Data],$DD1186,21),0)</f>
        <v/>
      </c>
      <c r="X1186">
        <f>IFERROR(INDEX(PP_Grid[#Data],$DD1186,22),0)</f>
        <v/>
      </c>
      <c r="Y1186">
        <f>IFERROR(INDEX(PP_Grid[#Data],$DD1186,23),0)</f>
        <v/>
      </c>
      <c r="Z1186">
        <f>IFERROR(INDEX(PP_Grid[#Data],$DD1186,24),0)</f>
        <v/>
      </c>
      <c r="AA1186">
        <f>IFERROR(INDEX(PP_Grid[#Data],$DD1186,25),0)</f>
        <v/>
      </c>
      <c r="AB1186">
        <f>IFERROR(INDEX(PP_Grid[#Data],$DD1186,26),0)</f>
        <v/>
      </c>
      <c r="AC1186">
        <f>IFERROR(INDEX(PP_Grid[#Data],$DD1186,27),0)</f>
        <v/>
      </c>
      <c r="AD1186">
        <f>IFERROR(INDEX(PP_Grid[#Data],$DD1186,28),0)</f>
        <v/>
      </c>
      <c r="AE1186">
        <f>IFERROR(INDEX(PP_Grid[#Data],$DD1186,29),0)</f>
        <v/>
      </c>
      <c r="AF1186">
        <f>IFERROR(INDEX(PP_Grid[#Data],$DD1186,30),0)</f>
        <v/>
      </c>
      <c r="AG1186">
        <f>IFERROR(INDEX(PP_Grid[#Data],$DD1186,31),0)</f>
        <v/>
      </c>
      <c r="AH1186">
        <f>IFERROR(INDEX(PP_Grid[#Data],$DD1186,32),0)</f>
        <v/>
      </c>
      <c r="AI1186">
        <f>IFERROR(INDEX(PP_Grid[#Data],$DD1186,33),0)</f>
        <v/>
      </c>
      <c r="AJ1186">
        <f>IFERROR(INDEX(PP_Grid[#Data],$DD1186,34),0)</f>
        <v/>
      </c>
      <c r="AK1186">
        <f>IFERROR(INDEX(PP_Grid[#Data],$DD1186,35),0)</f>
        <v/>
      </c>
      <c r="AL1186">
        <f>IFERROR(INDEX(PP_Grid[#Data],$DD1186,36),0)</f>
        <v/>
      </c>
      <c r="AM1186">
        <f>IFERROR(INDEX(PP_Grid[#Data],$DD1186,37),0)</f>
        <v/>
      </c>
      <c r="AN1186">
        <f>IFERROR(INDEX(PP_Grid[#Data],$DD1186,38),0)</f>
        <v/>
      </c>
      <c r="AO1186">
        <f>IFERROR(INDEX(PP_Grid[#Data],$DD1186,39),0)</f>
        <v/>
      </c>
      <c r="AP1186">
        <f>IFERROR(INDEX(PP_Grid[#Data],$DD1186,40),0)</f>
        <v/>
      </c>
      <c r="AQ1186">
        <f>IFERROR(INDEX(PP_Grid[#Data],$DD1186,41),0)</f>
        <v/>
      </c>
      <c r="AR1186">
        <f>IFERROR(INDEX(PP_Grid[#Data],$DD1186,42),0)</f>
        <v/>
      </c>
      <c r="AS1186">
        <f>IFERROR(INDEX(PP_Grid[#Data],$DD1186,43),0)</f>
        <v/>
      </c>
      <c r="AT1186">
        <f>IFERROR(INDEX(PP_Grid[#Data],$DD1186,44),0)</f>
        <v/>
      </c>
      <c r="AU1186">
        <f>IFERROR(INDEX(PP_Grid[#Data],$DD1186,45),0)</f>
        <v/>
      </c>
      <c r="AV1186">
        <f>IFERROR(INDEX(PP_Grid[#Data],$DD1186,46),0)</f>
        <v/>
      </c>
      <c r="AW1186">
        <f>IFERROR(INDEX(PP_Grid[#Data],$DD1186,47),0)</f>
        <v/>
      </c>
      <c r="AX1186">
        <f>IFERROR(INDEX(PP_Grid[#Data],$DD1186,48),0)</f>
        <v/>
      </c>
      <c r="AY1186">
        <f>IFERROR(INDEX(PP_Grid[#Data],$DD1186,49),0)</f>
        <v/>
      </c>
      <c r="AZ1186">
        <f>IFERROR(INDEX(PP_Grid[#Data],$DD1186,50),0)</f>
        <v/>
      </c>
      <c r="BA1186">
        <f>IFERROR(INDEX(PP_Grid[#Data],$DD1186,51),0)</f>
        <v/>
      </c>
      <c r="BB1186">
        <f>IFERROR(INDEX(PP_Grid[#Data],$DD1186,52),0)</f>
        <v/>
      </c>
      <c r="BC1186">
        <f>IFERROR(INDEX(PP_Grid[#Data],$DD1186,53),0)</f>
        <v/>
      </c>
      <c r="BD1186">
        <f>IFERROR(INDEX(PP_Grid[#Data],$DD1186,54),0)</f>
        <v/>
      </c>
      <c r="BE1186">
        <f>IFERROR(INDEX(PP_Grid[#Data],$DD1186,55),0)</f>
        <v/>
      </c>
      <c r="BF1186">
        <f>IFERROR(INDEX(PP_Grid[#Data],$DD1186,56),0)</f>
        <v/>
      </c>
      <c r="BG1186">
        <f>IFERROR(INDEX(PP_Grid[#Data],$DD1186,57),0)</f>
        <v/>
      </c>
      <c r="BH1186">
        <f>IFERROR(INDEX(PP_Grid[#Data],$DD1186,58),0)</f>
        <v/>
      </c>
      <c r="BI1186">
        <f>IFERROR(INDEX(PP_Grid[#Data],$DD1186,59),0)</f>
        <v/>
      </c>
      <c r="BJ1186">
        <f>IFERROR(INDEX(PP_Grid[#Data],$DD1186,60),0)</f>
        <v/>
      </c>
      <c r="BK1186">
        <f>IFERROR(INDEX(PP_Grid[#Data],$DD1186,61),0)</f>
        <v/>
      </c>
      <c r="BL1186">
        <f>IFERROR(INDEX(PP_Grid[#Data],$DD1186,62),0)</f>
        <v/>
      </c>
      <c r="BM1186">
        <f>IFERROR(INDEX(PP_Grid[#Data],$DD1186,63),0)</f>
        <v/>
      </c>
      <c r="BN1186">
        <f>IFERROR(INDEX(PP_Grid[#Data],$DD1186,64),0)</f>
        <v/>
      </c>
      <c r="BO1186">
        <f>IFERROR(INDEX(PP_Grid[#Data],$DD1186,65),0)</f>
        <v/>
      </c>
      <c r="BP1186">
        <f>IFERROR(INDEX(PP_Grid[#Data],$DD1186,66),0)</f>
        <v/>
      </c>
      <c r="BQ1186">
        <f>IFERROR(INDEX(PP_Grid[#Data],$DD1186,67),0)</f>
        <v/>
      </c>
      <c r="BR1186">
        <f>IFERROR(INDEX(PP_Grid[#Data],$DD1186,68),0)</f>
        <v/>
      </c>
      <c r="BS1186">
        <f>IFERROR(INDEX(PP_Grid[#Data],$DD1186,69),0)</f>
        <v/>
      </c>
      <c r="BT1186">
        <f>IFERROR(INDEX(PP_Grid[#Data],$DD1186,70),0)</f>
        <v/>
      </c>
      <c r="BU1186">
        <f>IFERROR(INDEX(PP_Grid[#Data],$DD1186,71),0)</f>
        <v/>
      </c>
      <c r="BV1186">
        <f>IFERROR(INDEX(PP_Grid[#Data],$DD1186,72),0)</f>
        <v/>
      </c>
      <c r="BW1186">
        <f>IFERROR(INDEX(PP_Grid[#Data],$DD1186,73),0)</f>
        <v/>
      </c>
      <c r="BX1186">
        <f>IFERROR(INDEX(PP_Grid[#Data],$DD1186,74),0)</f>
        <v/>
      </c>
      <c r="BY1186">
        <f>IFERROR(INDEX(PP_Grid[#Data],$DD1186,75),0)</f>
        <v/>
      </c>
      <c r="BZ1186">
        <f>IFERROR(INDEX(PP_Grid[#Data],$DD1186,76),0)</f>
        <v/>
      </c>
      <c r="CA1186">
        <f>IFERROR(INDEX(PP_Grid[#Data],$DD1186,77),0)</f>
        <v/>
      </c>
      <c r="CB1186">
        <f>IFERROR(INDEX(PP_Grid[#Data],$DD1186,78),0)</f>
        <v/>
      </c>
      <c r="CC1186">
        <f>IFERROR(INDEX(PP_Grid[#Data],$DD1186,79),0)</f>
        <v/>
      </c>
      <c r="CD1186">
        <f>IFERROR(INDEX(PP_Grid[#Data],$DD1186,80),0)</f>
        <v/>
      </c>
      <c r="CE1186">
        <f>IFERROR(INDEX(PP_Grid[#Data],$DD1186,81),0)</f>
        <v/>
      </c>
      <c r="CF1186">
        <f>IFERROR(INDEX(PP_Grid[#Data],$DD1186,82),0)</f>
        <v/>
      </c>
      <c r="CG1186">
        <f>IFERROR(INDEX(PP_Grid[#Data],$DD1186,83),0)</f>
        <v/>
      </c>
      <c r="CH1186">
        <f>IFERROR(INDEX(PP_Grid[#Data],$DD1186,84),0)</f>
        <v/>
      </c>
      <c r="CI1186">
        <f>IFERROR(INDEX(PP_Grid[#Data],$DD1186,85),0)</f>
        <v/>
      </c>
      <c r="CJ1186">
        <f>IFERROR(INDEX(PP_Grid[#Data],$DD1186,86),0)</f>
        <v/>
      </c>
      <c r="CK1186">
        <f>IFERROR(INDEX(PP_Grid[#Data],$DD1186,87),0)</f>
        <v/>
      </c>
      <c r="CL1186">
        <f>IFERROR(INDEX(PP_Grid[#Data],$DD1186,88),0)</f>
        <v/>
      </c>
      <c r="CM1186">
        <f>IFERROR(INDEX(PP_Grid[#Data],$DD1186,89),0)</f>
        <v/>
      </c>
      <c r="CN1186">
        <f>IFERROR(INDEX(PP_Grid[#Data],$DD1186,90),0)</f>
        <v/>
      </c>
      <c r="CO1186">
        <f>IFERROR(INDEX(PP_Grid[#Data],$DD1186,91),0)</f>
        <v/>
      </c>
      <c r="CP1186">
        <f>IFERROR(INDEX(PP_Grid[#Data],$DD1186,92),0)</f>
        <v/>
      </c>
      <c r="CQ1186">
        <f>IFERROR(INDEX(PP_Grid[#Data],$DD1186,93),0)</f>
        <v/>
      </c>
      <c r="CR1186">
        <f>IFERROR(INDEX(PP_Grid[#Data],$DD1186,94),0)</f>
        <v/>
      </c>
      <c r="CS1186">
        <f>IFERROR(INDEX(PP_Grid[#Data],$DD1186,95),0)</f>
        <v/>
      </c>
      <c r="CT1186">
        <f>IFERROR(INDEX(PP_Grid[#Data],$DD1186,96),0)</f>
        <v/>
      </c>
      <c r="CU1186">
        <f>IFERROR(INDEX(PP_Grid[#Data],$DD1186,97),0)</f>
        <v/>
      </c>
      <c r="CV1186">
        <f>IFERROR(INDEX(PP_Grid[#Data],$DD1186,98),0)</f>
        <v/>
      </c>
      <c r="CW1186">
        <f>IFERROR(INDEX(PP_Grid[#Data],$DD1186,99),0)</f>
        <v/>
      </c>
      <c r="CX1186">
        <f>IFERROR(INDEX(PP_Grid[#Data],$DD1186,100),0)</f>
        <v/>
      </c>
      <c r="CY1186">
        <f>IFERROR(INDEX(PP_Grid[#Data],$DD1186,101),0)</f>
        <v/>
      </c>
      <c r="CZ1186">
        <f>IFERROR(INDEX(PP_Grid[#Data],$DD1186,102),0)</f>
        <v/>
      </c>
      <c r="DA1186">
        <f>IFERROR(INDEX(PP_Grid[#Data],$DD1186,103),0)</f>
        <v/>
      </c>
      <c r="DB1186">
        <f>IFERROR(INDEX(PP_Grid[#Data],$DD1186,104),0)</f>
        <v/>
      </c>
      <c r="DC1186">
        <f>IFERROR(INDEX(PP_Grid[#Data],$DD1186,105),0)</f>
        <v/>
      </c>
      <c r="DD1186" s="12">
        <f>IFERROR(MATCH($B1186,PP_Grid[Intermediate],0),99999)</f>
        <v/>
      </c>
    </row>
    <row r="1187">
      <c r="B1187" t="inlineStr">
        <is>
          <t>使用量(kg)</t>
        </is>
      </c>
      <c r="C1187">
        <f>SUMIFS(M_BOM[RM_Qty_Per_Batch],M_BOM[Intermediate],$B1186,M_BOM[Part Name],$A1179)</f>
        <v/>
      </c>
      <c r="D1187">
        <f>$C1187*D1186</f>
        <v/>
      </c>
      <c r="E1187">
        <f>$C1187*E1186</f>
        <v/>
      </c>
      <c r="F1187">
        <f>$C1187*F1186</f>
        <v/>
      </c>
      <c r="G1187">
        <f>$C1187*G1186</f>
        <v/>
      </c>
      <c r="H1187">
        <f>$C1187*H1186</f>
        <v/>
      </c>
      <c r="I1187">
        <f>$C1187*I1186</f>
        <v/>
      </c>
      <c r="J1187">
        <f>$C1187*J1186</f>
        <v/>
      </c>
      <c r="K1187">
        <f>$C1187*K1186</f>
        <v/>
      </c>
      <c r="L1187">
        <f>$C1187*L1186</f>
        <v/>
      </c>
      <c r="M1187">
        <f>$C1187*M1186</f>
        <v/>
      </c>
      <c r="N1187">
        <f>$C1187*N1186</f>
        <v/>
      </c>
      <c r="O1187">
        <f>$C1187*O1186</f>
        <v/>
      </c>
      <c r="P1187">
        <f>$C1187*P1186</f>
        <v/>
      </c>
      <c r="Q1187">
        <f>$C1187*Q1186</f>
        <v/>
      </c>
      <c r="R1187">
        <f>$C1187*R1186</f>
        <v/>
      </c>
      <c r="S1187">
        <f>$C1187*S1186</f>
        <v/>
      </c>
      <c r="T1187">
        <f>$C1187*T1186</f>
        <v/>
      </c>
      <c r="U1187">
        <f>$C1187*U1186</f>
        <v/>
      </c>
      <c r="V1187">
        <f>$C1187*V1186</f>
        <v/>
      </c>
      <c r="W1187">
        <f>$C1187*W1186</f>
        <v/>
      </c>
      <c r="X1187">
        <f>$C1187*X1186</f>
        <v/>
      </c>
      <c r="Y1187">
        <f>$C1187*Y1186</f>
        <v/>
      </c>
      <c r="Z1187">
        <f>$C1187*Z1186</f>
        <v/>
      </c>
      <c r="AA1187">
        <f>$C1187*AA1186</f>
        <v/>
      </c>
      <c r="AB1187">
        <f>$C1187*AB1186</f>
        <v/>
      </c>
      <c r="AC1187">
        <f>$C1187*AC1186</f>
        <v/>
      </c>
      <c r="AD1187">
        <f>$C1187*AD1186</f>
        <v/>
      </c>
      <c r="AE1187">
        <f>$C1187*AE1186</f>
        <v/>
      </c>
      <c r="AF1187">
        <f>$C1187*AF1186</f>
        <v/>
      </c>
      <c r="AG1187">
        <f>$C1187*AG1186</f>
        <v/>
      </c>
      <c r="AH1187">
        <f>$C1187*AH1186</f>
        <v/>
      </c>
      <c r="AI1187">
        <f>$C1187*AI1186</f>
        <v/>
      </c>
      <c r="AJ1187">
        <f>$C1187*AJ1186</f>
        <v/>
      </c>
      <c r="AK1187">
        <f>$C1187*AK1186</f>
        <v/>
      </c>
      <c r="AL1187">
        <f>$C1187*AL1186</f>
        <v/>
      </c>
      <c r="AM1187">
        <f>$C1187*AM1186</f>
        <v/>
      </c>
      <c r="AN1187">
        <f>$C1187*AN1186</f>
        <v/>
      </c>
      <c r="AO1187">
        <f>$C1187*AO1186</f>
        <v/>
      </c>
      <c r="AP1187">
        <f>$C1187*AP1186</f>
        <v/>
      </c>
      <c r="AQ1187">
        <f>$C1187*AQ1186</f>
        <v/>
      </c>
      <c r="AR1187">
        <f>$C1187*AR1186</f>
        <v/>
      </c>
      <c r="AS1187">
        <f>$C1187*AS1186</f>
        <v/>
      </c>
      <c r="AT1187">
        <f>$C1187*AT1186</f>
        <v/>
      </c>
      <c r="AU1187">
        <f>$C1187*AU1186</f>
        <v/>
      </c>
      <c r="AV1187">
        <f>$C1187*AV1186</f>
        <v/>
      </c>
      <c r="AW1187">
        <f>$C1187*AW1186</f>
        <v/>
      </c>
      <c r="AX1187">
        <f>$C1187*AX1186</f>
        <v/>
      </c>
      <c r="AY1187">
        <f>$C1187*AY1186</f>
        <v/>
      </c>
      <c r="AZ1187">
        <f>$C1187*AZ1186</f>
        <v/>
      </c>
      <c r="BA1187">
        <f>$C1187*BA1186</f>
        <v/>
      </c>
      <c r="BB1187">
        <f>$C1187*BB1186</f>
        <v/>
      </c>
      <c r="BC1187">
        <f>$C1187*BC1186</f>
        <v/>
      </c>
      <c r="BD1187">
        <f>$C1187*BD1186</f>
        <v/>
      </c>
      <c r="BE1187">
        <f>$C1187*BE1186</f>
        <v/>
      </c>
      <c r="BF1187">
        <f>$C1187*BF1186</f>
        <v/>
      </c>
      <c r="BG1187">
        <f>$C1187*BG1186</f>
        <v/>
      </c>
      <c r="BH1187">
        <f>$C1187*BH1186</f>
        <v/>
      </c>
      <c r="BI1187">
        <f>$C1187*BI1186</f>
        <v/>
      </c>
      <c r="BJ1187">
        <f>$C1187*BJ1186</f>
        <v/>
      </c>
      <c r="BK1187">
        <f>$C1187*BK1186</f>
        <v/>
      </c>
      <c r="BL1187">
        <f>$C1187*BL1186</f>
        <v/>
      </c>
      <c r="BM1187">
        <f>$C1187*BM1186</f>
        <v/>
      </c>
      <c r="BN1187">
        <f>$C1187*BN1186</f>
        <v/>
      </c>
      <c r="BO1187">
        <f>$C1187*BO1186</f>
        <v/>
      </c>
      <c r="BP1187">
        <f>$C1187*BP1186</f>
        <v/>
      </c>
      <c r="BQ1187">
        <f>$C1187*BQ1186</f>
        <v/>
      </c>
      <c r="BR1187">
        <f>$C1187*BR1186</f>
        <v/>
      </c>
      <c r="BS1187">
        <f>$C1187*BS1186</f>
        <v/>
      </c>
      <c r="BT1187">
        <f>$C1187*BT1186</f>
        <v/>
      </c>
      <c r="BU1187">
        <f>$C1187*BU1186</f>
        <v/>
      </c>
      <c r="BV1187">
        <f>$C1187*BV1186</f>
        <v/>
      </c>
      <c r="BW1187">
        <f>$C1187*BW1186</f>
        <v/>
      </c>
      <c r="BX1187">
        <f>$C1187*BX1186</f>
        <v/>
      </c>
      <c r="BY1187">
        <f>$C1187*BY1186</f>
        <v/>
      </c>
      <c r="BZ1187">
        <f>$C1187*BZ1186</f>
        <v/>
      </c>
      <c r="CA1187">
        <f>$C1187*CA1186</f>
        <v/>
      </c>
      <c r="CB1187">
        <f>$C1187*CB1186</f>
        <v/>
      </c>
      <c r="CC1187">
        <f>$C1187*CC1186</f>
        <v/>
      </c>
      <c r="CD1187">
        <f>$C1187*CD1186</f>
        <v/>
      </c>
      <c r="CE1187">
        <f>$C1187*CE1186</f>
        <v/>
      </c>
      <c r="CF1187">
        <f>$C1187*CF1186</f>
        <v/>
      </c>
      <c r="CG1187">
        <f>$C1187*CG1186</f>
        <v/>
      </c>
      <c r="CH1187">
        <f>$C1187*CH1186</f>
        <v/>
      </c>
      <c r="CI1187">
        <f>$C1187*CI1186</f>
        <v/>
      </c>
      <c r="CJ1187">
        <f>$C1187*CJ1186</f>
        <v/>
      </c>
      <c r="CK1187">
        <f>$C1187*CK1186</f>
        <v/>
      </c>
      <c r="CL1187">
        <f>$C1187*CL1186</f>
        <v/>
      </c>
      <c r="CM1187">
        <f>$C1187*CM1186</f>
        <v/>
      </c>
      <c r="CN1187">
        <f>$C1187*CN1186</f>
        <v/>
      </c>
      <c r="CO1187">
        <f>$C1187*CO1186</f>
        <v/>
      </c>
      <c r="CP1187">
        <f>$C1187*CP1186</f>
        <v/>
      </c>
      <c r="CQ1187">
        <f>$C1187*CQ1186</f>
        <v/>
      </c>
      <c r="CR1187">
        <f>$C1187*CR1186</f>
        <v/>
      </c>
      <c r="CS1187">
        <f>$C1187*CS1186</f>
        <v/>
      </c>
      <c r="CT1187">
        <f>$C1187*CT1186</f>
        <v/>
      </c>
      <c r="CU1187">
        <f>$C1187*CU1186</f>
        <v/>
      </c>
      <c r="CV1187">
        <f>$C1187*CV1186</f>
        <v/>
      </c>
      <c r="CW1187">
        <f>$C1187*CW1186</f>
        <v/>
      </c>
      <c r="CX1187">
        <f>$C1187*CX1186</f>
        <v/>
      </c>
      <c r="CY1187">
        <f>$C1187*CY1186</f>
        <v/>
      </c>
      <c r="CZ1187">
        <f>$C1187*CZ1186</f>
        <v/>
      </c>
      <c r="DA1187">
        <f>$C1187*DA1186</f>
        <v/>
      </c>
      <c r="DB1187">
        <f>$C1187*DB1186</f>
        <v/>
      </c>
      <c r="DC1187">
        <f>$C1187*DC1186</f>
        <v/>
      </c>
    </row>
    <row r="1188">
      <c r="B1188" t="inlineStr">
        <is>
          <t>VSP-910</t>
        </is>
      </c>
      <c r="C1188" t="inlineStr">
        <is>
          <t>No. of batches</t>
        </is>
      </c>
      <c r="D1188">
        <f>IFERROR(INDEX(PP_Grid[#Data],$DD1188,2),0)</f>
        <v/>
      </c>
      <c r="E1188">
        <f>IFERROR(INDEX(PP_Grid[#Data],$DD1188,3),0)</f>
        <v/>
      </c>
      <c r="F1188">
        <f>IFERROR(INDEX(PP_Grid[#Data],$DD1188,4),0)</f>
        <v/>
      </c>
      <c r="G1188">
        <f>IFERROR(INDEX(PP_Grid[#Data],$DD1188,5),0)</f>
        <v/>
      </c>
      <c r="H1188">
        <f>IFERROR(INDEX(PP_Grid[#Data],$DD1188,6),0)</f>
        <v/>
      </c>
      <c r="I1188">
        <f>IFERROR(INDEX(PP_Grid[#Data],$DD1188,7),0)</f>
        <v/>
      </c>
      <c r="J1188">
        <f>IFERROR(INDEX(PP_Grid[#Data],$DD1188,8),0)</f>
        <v/>
      </c>
      <c r="K1188">
        <f>IFERROR(INDEX(PP_Grid[#Data],$DD1188,9),0)</f>
        <v/>
      </c>
      <c r="L1188">
        <f>IFERROR(INDEX(PP_Grid[#Data],$DD1188,10),0)</f>
        <v/>
      </c>
      <c r="M1188">
        <f>IFERROR(INDEX(PP_Grid[#Data],$DD1188,11),0)</f>
        <v/>
      </c>
      <c r="N1188">
        <f>IFERROR(INDEX(PP_Grid[#Data],$DD1188,12),0)</f>
        <v/>
      </c>
      <c r="O1188">
        <f>IFERROR(INDEX(PP_Grid[#Data],$DD1188,13),0)</f>
        <v/>
      </c>
      <c r="P1188">
        <f>IFERROR(INDEX(PP_Grid[#Data],$DD1188,14),0)</f>
        <v/>
      </c>
      <c r="Q1188">
        <f>IFERROR(INDEX(PP_Grid[#Data],$DD1188,15),0)</f>
        <v/>
      </c>
      <c r="R1188">
        <f>IFERROR(INDEX(PP_Grid[#Data],$DD1188,16),0)</f>
        <v/>
      </c>
      <c r="S1188">
        <f>IFERROR(INDEX(PP_Grid[#Data],$DD1188,17),0)</f>
        <v/>
      </c>
      <c r="T1188">
        <f>IFERROR(INDEX(PP_Grid[#Data],$DD1188,18),0)</f>
        <v/>
      </c>
      <c r="U1188">
        <f>IFERROR(INDEX(PP_Grid[#Data],$DD1188,19),0)</f>
        <v/>
      </c>
      <c r="V1188">
        <f>IFERROR(INDEX(PP_Grid[#Data],$DD1188,20),0)</f>
        <v/>
      </c>
      <c r="W1188">
        <f>IFERROR(INDEX(PP_Grid[#Data],$DD1188,21),0)</f>
        <v/>
      </c>
      <c r="X1188">
        <f>IFERROR(INDEX(PP_Grid[#Data],$DD1188,22),0)</f>
        <v/>
      </c>
      <c r="Y1188">
        <f>IFERROR(INDEX(PP_Grid[#Data],$DD1188,23),0)</f>
        <v/>
      </c>
      <c r="Z1188">
        <f>IFERROR(INDEX(PP_Grid[#Data],$DD1188,24),0)</f>
        <v/>
      </c>
      <c r="AA1188">
        <f>IFERROR(INDEX(PP_Grid[#Data],$DD1188,25),0)</f>
        <v/>
      </c>
      <c r="AB1188">
        <f>IFERROR(INDEX(PP_Grid[#Data],$DD1188,26),0)</f>
        <v/>
      </c>
      <c r="AC1188">
        <f>IFERROR(INDEX(PP_Grid[#Data],$DD1188,27),0)</f>
        <v/>
      </c>
      <c r="AD1188">
        <f>IFERROR(INDEX(PP_Grid[#Data],$DD1188,28),0)</f>
        <v/>
      </c>
      <c r="AE1188">
        <f>IFERROR(INDEX(PP_Grid[#Data],$DD1188,29),0)</f>
        <v/>
      </c>
      <c r="AF1188">
        <f>IFERROR(INDEX(PP_Grid[#Data],$DD1188,30),0)</f>
        <v/>
      </c>
      <c r="AG1188">
        <f>IFERROR(INDEX(PP_Grid[#Data],$DD1188,31),0)</f>
        <v/>
      </c>
      <c r="AH1188">
        <f>IFERROR(INDEX(PP_Grid[#Data],$DD1188,32),0)</f>
        <v/>
      </c>
      <c r="AI1188">
        <f>IFERROR(INDEX(PP_Grid[#Data],$DD1188,33),0)</f>
        <v/>
      </c>
      <c r="AJ1188">
        <f>IFERROR(INDEX(PP_Grid[#Data],$DD1188,34),0)</f>
        <v/>
      </c>
      <c r="AK1188">
        <f>IFERROR(INDEX(PP_Grid[#Data],$DD1188,35),0)</f>
        <v/>
      </c>
      <c r="AL1188">
        <f>IFERROR(INDEX(PP_Grid[#Data],$DD1188,36),0)</f>
        <v/>
      </c>
      <c r="AM1188">
        <f>IFERROR(INDEX(PP_Grid[#Data],$DD1188,37),0)</f>
        <v/>
      </c>
      <c r="AN1188">
        <f>IFERROR(INDEX(PP_Grid[#Data],$DD1188,38),0)</f>
        <v/>
      </c>
      <c r="AO1188">
        <f>IFERROR(INDEX(PP_Grid[#Data],$DD1188,39),0)</f>
        <v/>
      </c>
      <c r="AP1188">
        <f>IFERROR(INDEX(PP_Grid[#Data],$DD1188,40),0)</f>
        <v/>
      </c>
      <c r="AQ1188">
        <f>IFERROR(INDEX(PP_Grid[#Data],$DD1188,41),0)</f>
        <v/>
      </c>
      <c r="AR1188">
        <f>IFERROR(INDEX(PP_Grid[#Data],$DD1188,42),0)</f>
        <v/>
      </c>
      <c r="AS1188">
        <f>IFERROR(INDEX(PP_Grid[#Data],$DD1188,43),0)</f>
        <v/>
      </c>
      <c r="AT1188">
        <f>IFERROR(INDEX(PP_Grid[#Data],$DD1188,44),0)</f>
        <v/>
      </c>
      <c r="AU1188">
        <f>IFERROR(INDEX(PP_Grid[#Data],$DD1188,45),0)</f>
        <v/>
      </c>
      <c r="AV1188">
        <f>IFERROR(INDEX(PP_Grid[#Data],$DD1188,46),0)</f>
        <v/>
      </c>
      <c r="AW1188">
        <f>IFERROR(INDEX(PP_Grid[#Data],$DD1188,47),0)</f>
        <v/>
      </c>
      <c r="AX1188">
        <f>IFERROR(INDEX(PP_Grid[#Data],$DD1188,48),0)</f>
        <v/>
      </c>
      <c r="AY1188">
        <f>IFERROR(INDEX(PP_Grid[#Data],$DD1188,49),0)</f>
        <v/>
      </c>
      <c r="AZ1188">
        <f>IFERROR(INDEX(PP_Grid[#Data],$DD1188,50),0)</f>
        <v/>
      </c>
      <c r="BA1188">
        <f>IFERROR(INDEX(PP_Grid[#Data],$DD1188,51),0)</f>
        <v/>
      </c>
      <c r="BB1188">
        <f>IFERROR(INDEX(PP_Grid[#Data],$DD1188,52),0)</f>
        <v/>
      </c>
      <c r="BC1188">
        <f>IFERROR(INDEX(PP_Grid[#Data],$DD1188,53),0)</f>
        <v/>
      </c>
      <c r="BD1188">
        <f>IFERROR(INDEX(PP_Grid[#Data],$DD1188,54),0)</f>
        <v/>
      </c>
      <c r="BE1188">
        <f>IFERROR(INDEX(PP_Grid[#Data],$DD1188,55),0)</f>
        <v/>
      </c>
      <c r="BF1188">
        <f>IFERROR(INDEX(PP_Grid[#Data],$DD1188,56),0)</f>
        <v/>
      </c>
      <c r="BG1188">
        <f>IFERROR(INDEX(PP_Grid[#Data],$DD1188,57),0)</f>
        <v/>
      </c>
      <c r="BH1188">
        <f>IFERROR(INDEX(PP_Grid[#Data],$DD1188,58),0)</f>
        <v/>
      </c>
      <c r="BI1188">
        <f>IFERROR(INDEX(PP_Grid[#Data],$DD1188,59),0)</f>
        <v/>
      </c>
      <c r="BJ1188">
        <f>IFERROR(INDEX(PP_Grid[#Data],$DD1188,60),0)</f>
        <v/>
      </c>
      <c r="BK1188">
        <f>IFERROR(INDEX(PP_Grid[#Data],$DD1188,61),0)</f>
        <v/>
      </c>
      <c r="BL1188">
        <f>IFERROR(INDEX(PP_Grid[#Data],$DD1188,62),0)</f>
        <v/>
      </c>
      <c r="BM1188">
        <f>IFERROR(INDEX(PP_Grid[#Data],$DD1188,63),0)</f>
        <v/>
      </c>
      <c r="BN1188">
        <f>IFERROR(INDEX(PP_Grid[#Data],$DD1188,64),0)</f>
        <v/>
      </c>
      <c r="BO1188">
        <f>IFERROR(INDEX(PP_Grid[#Data],$DD1188,65),0)</f>
        <v/>
      </c>
      <c r="BP1188">
        <f>IFERROR(INDEX(PP_Grid[#Data],$DD1188,66),0)</f>
        <v/>
      </c>
      <c r="BQ1188">
        <f>IFERROR(INDEX(PP_Grid[#Data],$DD1188,67),0)</f>
        <v/>
      </c>
      <c r="BR1188">
        <f>IFERROR(INDEX(PP_Grid[#Data],$DD1188,68),0)</f>
        <v/>
      </c>
      <c r="BS1188">
        <f>IFERROR(INDEX(PP_Grid[#Data],$DD1188,69),0)</f>
        <v/>
      </c>
      <c r="BT1188">
        <f>IFERROR(INDEX(PP_Grid[#Data],$DD1188,70),0)</f>
        <v/>
      </c>
      <c r="BU1188">
        <f>IFERROR(INDEX(PP_Grid[#Data],$DD1188,71),0)</f>
        <v/>
      </c>
      <c r="BV1188">
        <f>IFERROR(INDEX(PP_Grid[#Data],$DD1188,72),0)</f>
        <v/>
      </c>
      <c r="BW1188">
        <f>IFERROR(INDEX(PP_Grid[#Data],$DD1188,73),0)</f>
        <v/>
      </c>
      <c r="BX1188">
        <f>IFERROR(INDEX(PP_Grid[#Data],$DD1188,74),0)</f>
        <v/>
      </c>
      <c r="BY1188">
        <f>IFERROR(INDEX(PP_Grid[#Data],$DD1188,75),0)</f>
        <v/>
      </c>
      <c r="BZ1188">
        <f>IFERROR(INDEX(PP_Grid[#Data],$DD1188,76),0)</f>
        <v/>
      </c>
      <c r="CA1188">
        <f>IFERROR(INDEX(PP_Grid[#Data],$DD1188,77),0)</f>
        <v/>
      </c>
      <c r="CB1188">
        <f>IFERROR(INDEX(PP_Grid[#Data],$DD1188,78),0)</f>
        <v/>
      </c>
      <c r="CC1188">
        <f>IFERROR(INDEX(PP_Grid[#Data],$DD1188,79),0)</f>
        <v/>
      </c>
      <c r="CD1188">
        <f>IFERROR(INDEX(PP_Grid[#Data],$DD1188,80),0)</f>
        <v/>
      </c>
      <c r="CE1188">
        <f>IFERROR(INDEX(PP_Grid[#Data],$DD1188,81),0)</f>
        <v/>
      </c>
      <c r="CF1188">
        <f>IFERROR(INDEX(PP_Grid[#Data],$DD1188,82),0)</f>
        <v/>
      </c>
      <c r="CG1188">
        <f>IFERROR(INDEX(PP_Grid[#Data],$DD1188,83),0)</f>
        <v/>
      </c>
      <c r="CH1188">
        <f>IFERROR(INDEX(PP_Grid[#Data],$DD1188,84),0)</f>
        <v/>
      </c>
      <c r="CI1188">
        <f>IFERROR(INDEX(PP_Grid[#Data],$DD1188,85),0)</f>
        <v/>
      </c>
      <c r="CJ1188">
        <f>IFERROR(INDEX(PP_Grid[#Data],$DD1188,86),0)</f>
        <v/>
      </c>
      <c r="CK1188">
        <f>IFERROR(INDEX(PP_Grid[#Data],$DD1188,87),0)</f>
        <v/>
      </c>
      <c r="CL1188">
        <f>IFERROR(INDEX(PP_Grid[#Data],$DD1188,88),0)</f>
        <v/>
      </c>
      <c r="CM1188">
        <f>IFERROR(INDEX(PP_Grid[#Data],$DD1188,89),0)</f>
        <v/>
      </c>
      <c r="CN1188">
        <f>IFERROR(INDEX(PP_Grid[#Data],$DD1188,90),0)</f>
        <v/>
      </c>
      <c r="CO1188">
        <f>IFERROR(INDEX(PP_Grid[#Data],$DD1188,91),0)</f>
        <v/>
      </c>
      <c r="CP1188">
        <f>IFERROR(INDEX(PP_Grid[#Data],$DD1188,92),0)</f>
        <v/>
      </c>
      <c r="CQ1188">
        <f>IFERROR(INDEX(PP_Grid[#Data],$DD1188,93),0)</f>
        <v/>
      </c>
      <c r="CR1188">
        <f>IFERROR(INDEX(PP_Grid[#Data],$DD1188,94),0)</f>
        <v/>
      </c>
      <c r="CS1188">
        <f>IFERROR(INDEX(PP_Grid[#Data],$DD1188,95),0)</f>
        <v/>
      </c>
      <c r="CT1188">
        <f>IFERROR(INDEX(PP_Grid[#Data],$DD1188,96),0)</f>
        <v/>
      </c>
      <c r="CU1188">
        <f>IFERROR(INDEX(PP_Grid[#Data],$DD1188,97),0)</f>
        <v/>
      </c>
      <c r="CV1188">
        <f>IFERROR(INDEX(PP_Grid[#Data],$DD1188,98),0)</f>
        <v/>
      </c>
      <c r="CW1188">
        <f>IFERROR(INDEX(PP_Grid[#Data],$DD1188,99),0)</f>
        <v/>
      </c>
      <c r="CX1188">
        <f>IFERROR(INDEX(PP_Grid[#Data],$DD1188,100),0)</f>
        <v/>
      </c>
      <c r="CY1188">
        <f>IFERROR(INDEX(PP_Grid[#Data],$DD1188,101),0)</f>
        <v/>
      </c>
      <c r="CZ1188">
        <f>IFERROR(INDEX(PP_Grid[#Data],$DD1188,102),0)</f>
        <v/>
      </c>
      <c r="DA1188">
        <f>IFERROR(INDEX(PP_Grid[#Data],$DD1188,103),0)</f>
        <v/>
      </c>
      <c r="DB1188">
        <f>IFERROR(INDEX(PP_Grid[#Data],$DD1188,104),0)</f>
        <v/>
      </c>
      <c r="DC1188">
        <f>IFERROR(INDEX(PP_Grid[#Data],$DD1188,105),0)</f>
        <v/>
      </c>
      <c r="DD1188" s="12">
        <f>IFERROR(MATCH($B1188,PP_Grid[Intermediate],0),99999)</f>
        <v/>
      </c>
    </row>
    <row r="1189">
      <c r="B1189" t="inlineStr">
        <is>
          <t>使用量(kg)</t>
        </is>
      </c>
      <c r="C1189">
        <f>SUMIFS(M_BOM[RM_Qty_Per_Batch],M_BOM[Intermediate],$B1188,M_BOM[Part Name],$A1179)</f>
        <v/>
      </c>
      <c r="D1189">
        <f>$C1189*D1188</f>
        <v/>
      </c>
      <c r="E1189">
        <f>$C1189*E1188</f>
        <v/>
      </c>
      <c r="F1189">
        <f>$C1189*F1188</f>
        <v/>
      </c>
      <c r="G1189">
        <f>$C1189*G1188</f>
        <v/>
      </c>
      <c r="H1189">
        <f>$C1189*H1188</f>
        <v/>
      </c>
      <c r="I1189">
        <f>$C1189*I1188</f>
        <v/>
      </c>
      <c r="J1189">
        <f>$C1189*J1188</f>
        <v/>
      </c>
      <c r="K1189">
        <f>$C1189*K1188</f>
        <v/>
      </c>
      <c r="L1189">
        <f>$C1189*L1188</f>
        <v/>
      </c>
      <c r="M1189">
        <f>$C1189*M1188</f>
        <v/>
      </c>
      <c r="N1189">
        <f>$C1189*N1188</f>
        <v/>
      </c>
      <c r="O1189">
        <f>$C1189*O1188</f>
        <v/>
      </c>
      <c r="P1189">
        <f>$C1189*P1188</f>
        <v/>
      </c>
      <c r="Q1189">
        <f>$C1189*Q1188</f>
        <v/>
      </c>
      <c r="R1189">
        <f>$C1189*R1188</f>
        <v/>
      </c>
      <c r="S1189">
        <f>$C1189*S1188</f>
        <v/>
      </c>
      <c r="T1189">
        <f>$C1189*T1188</f>
        <v/>
      </c>
      <c r="U1189">
        <f>$C1189*U1188</f>
        <v/>
      </c>
      <c r="V1189">
        <f>$C1189*V1188</f>
        <v/>
      </c>
      <c r="W1189">
        <f>$C1189*W1188</f>
        <v/>
      </c>
      <c r="X1189">
        <f>$C1189*X1188</f>
        <v/>
      </c>
      <c r="Y1189">
        <f>$C1189*Y1188</f>
        <v/>
      </c>
      <c r="Z1189">
        <f>$C1189*Z1188</f>
        <v/>
      </c>
      <c r="AA1189">
        <f>$C1189*AA1188</f>
        <v/>
      </c>
      <c r="AB1189">
        <f>$C1189*AB1188</f>
        <v/>
      </c>
      <c r="AC1189">
        <f>$C1189*AC1188</f>
        <v/>
      </c>
      <c r="AD1189">
        <f>$C1189*AD1188</f>
        <v/>
      </c>
      <c r="AE1189">
        <f>$C1189*AE1188</f>
        <v/>
      </c>
      <c r="AF1189">
        <f>$C1189*AF1188</f>
        <v/>
      </c>
      <c r="AG1189">
        <f>$C1189*AG1188</f>
        <v/>
      </c>
      <c r="AH1189">
        <f>$C1189*AH1188</f>
        <v/>
      </c>
      <c r="AI1189">
        <f>$C1189*AI1188</f>
        <v/>
      </c>
      <c r="AJ1189">
        <f>$C1189*AJ1188</f>
        <v/>
      </c>
      <c r="AK1189">
        <f>$C1189*AK1188</f>
        <v/>
      </c>
      <c r="AL1189">
        <f>$C1189*AL1188</f>
        <v/>
      </c>
      <c r="AM1189">
        <f>$C1189*AM1188</f>
        <v/>
      </c>
      <c r="AN1189">
        <f>$C1189*AN1188</f>
        <v/>
      </c>
      <c r="AO1189">
        <f>$C1189*AO1188</f>
        <v/>
      </c>
      <c r="AP1189">
        <f>$C1189*AP1188</f>
        <v/>
      </c>
      <c r="AQ1189">
        <f>$C1189*AQ1188</f>
        <v/>
      </c>
      <c r="AR1189">
        <f>$C1189*AR1188</f>
        <v/>
      </c>
      <c r="AS1189">
        <f>$C1189*AS1188</f>
        <v/>
      </c>
      <c r="AT1189">
        <f>$C1189*AT1188</f>
        <v/>
      </c>
      <c r="AU1189">
        <f>$C1189*AU1188</f>
        <v/>
      </c>
      <c r="AV1189">
        <f>$C1189*AV1188</f>
        <v/>
      </c>
      <c r="AW1189">
        <f>$C1189*AW1188</f>
        <v/>
      </c>
      <c r="AX1189">
        <f>$C1189*AX1188</f>
        <v/>
      </c>
      <c r="AY1189">
        <f>$C1189*AY1188</f>
        <v/>
      </c>
      <c r="AZ1189">
        <f>$C1189*AZ1188</f>
        <v/>
      </c>
      <c r="BA1189">
        <f>$C1189*BA1188</f>
        <v/>
      </c>
      <c r="BB1189">
        <f>$C1189*BB1188</f>
        <v/>
      </c>
      <c r="BC1189">
        <f>$C1189*BC1188</f>
        <v/>
      </c>
      <c r="BD1189">
        <f>$C1189*BD1188</f>
        <v/>
      </c>
      <c r="BE1189">
        <f>$C1189*BE1188</f>
        <v/>
      </c>
      <c r="BF1189">
        <f>$C1189*BF1188</f>
        <v/>
      </c>
      <c r="BG1189">
        <f>$C1189*BG1188</f>
        <v/>
      </c>
      <c r="BH1189">
        <f>$C1189*BH1188</f>
        <v/>
      </c>
      <c r="BI1189">
        <f>$C1189*BI1188</f>
        <v/>
      </c>
      <c r="BJ1189">
        <f>$C1189*BJ1188</f>
        <v/>
      </c>
      <c r="BK1189">
        <f>$C1189*BK1188</f>
        <v/>
      </c>
      <c r="BL1189">
        <f>$C1189*BL1188</f>
        <v/>
      </c>
      <c r="BM1189">
        <f>$C1189*BM1188</f>
        <v/>
      </c>
      <c r="BN1189">
        <f>$C1189*BN1188</f>
        <v/>
      </c>
      <c r="BO1189">
        <f>$C1189*BO1188</f>
        <v/>
      </c>
      <c r="BP1189">
        <f>$C1189*BP1188</f>
        <v/>
      </c>
      <c r="BQ1189">
        <f>$C1189*BQ1188</f>
        <v/>
      </c>
      <c r="BR1189">
        <f>$C1189*BR1188</f>
        <v/>
      </c>
      <c r="BS1189">
        <f>$C1189*BS1188</f>
        <v/>
      </c>
      <c r="BT1189">
        <f>$C1189*BT1188</f>
        <v/>
      </c>
      <c r="BU1189">
        <f>$C1189*BU1188</f>
        <v/>
      </c>
      <c r="BV1189">
        <f>$C1189*BV1188</f>
        <v/>
      </c>
      <c r="BW1189">
        <f>$C1189*BW1188</f>
        <v/>
      </c>
      <c r="BX1189">
        <f>$C1189*BX1188</f>
        <v/>
      </c>
      <c r="BY1189">
        <f>$C1189*BY1188</f>
        <v/>
      </c>
      <c r="BZ1189">
        <f>$C1189*BZ1188</f>
        <v/>
      </c>
      <c r="CA1189">
        <f>$C1189*CA1188</f>
        <v/>
      </c>
      <c r="CB1189">
        <f>$C1189*CB1188</f>
        <v/>
      </c>
      <c r="CC1189">
        <f>$C1189*CC1188</f>
        <v/>
      </c>
      <c r="CD1189">
        <f>$C1189*CD1188</f>
        <v/>
      </c>
      <c r="CE1189">
        <f>$C1189*CE1188</f>
        <v/>
      </c>
      <c r="CF1189">
        <f>$C1189*CF1188</f>
        <v/>
      </c>
      <c r="CG1189">
        <f>$C1189*CG1188</f>
        <v/>
      </c>
      <c r="CH1189">
        <f>$C1189*CH1188</f>
        <v/>
      </c>
      <c r="CI1189">
        <f>$C1189*CI1188</f>
        <v/>
      </c>
      <c r="CJ1189">
        <f>$C1189*CJ1188</f>
        <v/>
      </c>
      <c r="CK1189">
        <f>$C1189*CK1188</f>
        <v/>
      </c>
      <c r="CL1189">
        <f>$C1189*CL1188</f>
        <v/>
      </c>
      <c r="CM1189">
        <f>$C1189*CM1188</f>
        <v/>
      </c>
      <c r="CN1189">
        <f>$C1189*CN1188</f>
        <v/>
      </c>
      <c r="CO1189">
        <f>$C1189*CO1188</f>
        <v/>
      </c>
      <c r="CP1189">
        <f>$C1189*CP1188</f>
        <v/>
      </c>
      <c r="CQ1189">
        <f>$C1189*CQ1188</f>
        <v/>
      </c>
      <c r="CR1189">
        <f>$C1189*CR1188</f>
        <v/>
      </c>
      <c r="CS1189">
        <f>$C1189*CS1188</f>
        <v/>
      </c>
      <c r="CT1189">
        <f>$C1189*CT1188</f>
        <v/>
      </c>
      <c r="CU1189">
        <f>$C1189*CU1188</f>
        <v/>
      </c>
      <c r="CV1189">
        <f>$C1189*CV1188</f>
        <v/>
      </c>
      <c r="CW1189">
        <f>$C1189*CW1188</f>
        <v/>
      </c>
      <c r="CX1189">
        <f>$C1189*CX1188</f>
        <v/>
      </c>
      <c r="CY1189">
        <f>$C1189*CY1188</f>
        <v/>
      </c>
      <c r="CZ1189">
        <f>$C1189*CZ1188</f>
        <v/>
      </c>
      <c r="DA1189">
        <f>$C1189*DA1188</f>
        <v/>
      </c>
      <c r="DB1189">
        <f>$C1189*DB1188</f>
        <v/>
      </c>
      <c r="DC1189">
        <f>$C1189*DC1188</f>
        <v/>
      </c>
    </row>
    <row r="1190">
      <c r="B1190" t="inlineStr">
        <is>
          <t>VSP-989</t>
        </is>
      </c>
      <c r="C1190" t="inlineStr">
        <is>
          <t>No. of batches</t>
        </is>
      </c>
      <c r="D1190">
        <f>IFERROR(INDEX(PP_Grid[#Data],$DD1190,2),0)</f>
        <v/>
      </c>
      <c r="E1190">
        <f>IFERROR(INDEX(PP_Grid[#Data],$DD1190,3),0)</f>
        <v/>
      </c>
      <c r="F1190">
        <f>IFERROR(INDEX(PP_Grid[#Data],$DD1190,4),0)</f>
        <v/>
      </c>
      <c r="G1190">
        <f>IFERROR(INDEX(PP_Grid[#Data],$DD1190,5),0)</f>
        <v/>
      </c>
      <c r="H1190">
        <f>IFERROR(INDEX(PP_Grid[#Data],$DD1190,6),0)</f>
        <v/>
      </c>
      <c r="I1190">
        <f>IFERROR(INDEX(PP_Grid[#Data],$DD1190,7),0)</f>
        <v/>
      </c>
      <c r="J1190">
        <f>IFERROR(INDEX(PP_Grid[#Data],$DD1190,8),0)</f>
        <v/>
      </c>
      <c r="K1190">
        <f>IFERROR(INDEX(PP_Grid[#Data],$DD1190,9),0)</f>
        <v/>
      </c>
      <c r="L1190">
        <f>IFERROR(INDEX(PP_Grid[#Data],$DD1190,10),0)</f>
        <v/>
      </c>
      <c r="M1190">
        <f>IFERROR(INDEX(PP_Grid[#Data],$DD1190,11),0)</f>
        <v/>
      </c>
      <c r="N1190">
        <f>IFERROR(INDEX(PP_Grid[#Data],$DD1190,12),0)</f>
        <v/>
      </c>
      <c r="O1190">
        <f>IFERROR(INDEX(PP_Grid[#Data],$DD1190,13),0)</f>
        <v/>
      </c>
      <c r="P1190">
        <f>IFERROR(INDEX(PP_Grid[#Data],$DD1190,14),0)</f>
        <v/>
      </c>
      <c r="Q1190">
        <f>IFERROR(INDEX(PP_Grid[#Data],$DD1190,15),0)</f>
        <v/>
      </c>
      <c r="R1190">
        <f>IFERROR(INDEX(PP_Grid[#Data],$DD1190,16),0)</f>
        <v/>
      </c>
      <c r="S1190">
        <f>IFERROR(INDEX(PP_Grid[#Data],$DD1190,17),0)</f>
        <v/>
      </c>
      <c r="T1190">
        <f>IFERROR(INDEX(PP_Grid[#Data],$DD1190,18),0)</f>
        <v/>
      </c>
      <c r="U1190">
        <f>IFERROR(INDEX(PP_Grid[#Data],$DD1190,19),0)</f>
        <v/>
      </c>
      <c r="V1190">
        <f>IFERROR(INDEX(PP_Grid[#Data],$DD1190,20),0)</f>
        <v/>
      </c>
      <c r="W1190">
        <f>IFERROR(INDEX(PP_Grid[#Data],$DD1190,21),0)</f>
        <v/>
      </c>
      <c r="X1190">
        <f>IFERROR(INDEX(PP_Grid[#Data],$DD1190,22),0)</f>
        <v/>
      </c>
      <c r="Y1190">
        <f>IFERROR(INDEX(PP_Grid[#Data],$DD1190,23),0)</f>
        <v/>
      </c>
      <c r="Z1190">
        <f>IFERROR(INDEX(PP_Grid[#Data],$DD1190,24),0)</f>
        <v/>
      </c>
      <c r="AA1190">
        <f>IFERROR(INDEX(PP_Grid[#Data],$DD1190,25),0)</f>
        <v/>
      </c>
      <c r="AB1190">
        <f>IFERROR(INDEX(PP_Grid[#Data],$DD1190,26),0)</f>
        <v/>
      </c>
      <c r="AC1190">
        <f>IFERROR(INDEX(PP_Grid[#Data],$DD1190,27),0)</f>
        <v/>
      </c>
      <c r="AD1190">
        <f>IFERROR(INDEX(PP_Grid[#Data],$DD1190,28),0)</f>
        <v/>
      </c>
      <c r="AE1190">
        <f>IFERROR(INDEX(PP_Grid[#Data],$DD1190,29),0)</f>
        <v/>
      </c>
      <c r="AF1190">
        <f>IFERROR(INDEX(PP_Grid[#Data],$DD1190,30),0)</f>
        <v/>
      </c>
      <c r="AG1190">
        <f>IFERROR(INDEX(PP_Grid[#Data],$DD1190,31),0)</f>
        <v/>
      </c>
      <c r="AH1190">
        <f>IFERROR(INDEX(PP_Grid[#Data],$DD1190,32),0)</f>
        <v/>
      </c>
      <c r="AI1190">
        <f>IFERROR(INDEX(PP_Grid[#Data],$DD1190,33),0)</f>
        <v/>
      </c>
      <c r="AJ1190">
        <f>IFERROR(INDEX(PP_Grid[#Data],$DD1190,34),0)</f>
        <v/>
      </c>
      <c r="AK1190">
        <f>IFERROR(INDEX(PP_Grid[#Data],$DD1190,35),0)</f>
        <v/>
      </c>
      <c r="AL1190">
        <f>IFERROR(INDEX(PP_Grid[#Data],$DD1190,36),0)</f>
        <v/>
      </c>
      <c r="AM1190">
        <f>IFERROR(INDEX(PP_Grid[#Data],$DD1190,37),0)</f>
        <v/>
      </c>
      <c r="AN1190">
        <f>IFERROR(INDEX(PP_Grid[#Data],$DD1190,38),0)</f>
        <v/>
      </c>
      <c r="AO1190">
        <f>IFERROR(INDEX(PP_Grid[#Data],$DD1190,39),0)</f>
        <v/>
      </c>
      <c r="AP1190">
        <f>IFERROR(INDEX(PP_Grid[#Data],$DD1190,40),0)</f>
        <v/>
      </c>
      <c r="AQ1190">
        <f>IFERROR(INDEX(PP_Grid[#Data],$DD1190,41),0)</f>
        <v/>
      </c>
      <c r="AR1190">
        <f>IFERROR(INDEX(PP_Grid[#Data],$DD1190,42),0)</f>
        <v/>
      </c>
      <c r="AS1190">
        <f>IFERROR(INDEX(PP_Grid[#Data],$DD1190,43),0)</f>
        <v/>
      </c>
      <c r="AT1190">
        <f>IFERROR(INDEX(PP_Grid[#Data],$DD1190,44),0)</f>
        <v/>
      </c>
      <c r="AU1190">
        <f>IFERROR(INDEX(PP_Grid[#Data],$DD1190,45),0)</f>
        <v/>
      </c>
      <c r="AV1190">
        <f>IFERROR(INDEX(PP_Grid[#Data],$DD1190,46),0)</f>
        <v/>
      </c>
      <c r="AW1190">
        <f>IFERROR(INDEX(PP_Grid[#Data],$DD1190,47),0)</f>
        <v/>
      </c>
      <c r="AX1190">
        <f>IFERROR(INDEX(PP_Grid[#Data],$DD1190,48),0)</f>
        <v/>
      </c>
      <c r="AY1190">
        <f>IFERROR(INDEX(PP_Grid[#Data],$DD1190,49),0)</f>
        <v/>
      </c>
      <c r="AZ1190">
        <f>IFERROR(INDEX(PP_Grid[#Data],$DD1190,50),0)</f>
        <v/>
      </c>
      <c r="BA1190">
        <f>IFERROR(INDEX(PP_Grid[#Data],$DD1190,51),0)</f>
        <v/>
      </c>
      <c r="BB1190">
        <f>IFERROR(INDEX(PP_Grid[#Data],$DD1190,52),0)</f>
        <v/>
      </c>
      <c r="BC1190">
        <f>IFERROR(INDEX(PP_Grid[#Data],$DD1190,53),0)</f>
        <v/>
      </c>
      <c r="BD1190">
        <f>IFERROR(INDEX(PP_Grid[#Data],$DD1190,54),0)</f>
        <v/>
      </c>
      <c r="BE1190">
        <f>IFERROR(INDEX(PP_Grid[#Data],$DD1190,55),0)</f>
        <v/>
      </c>
      <c r="BF1190">
        <f>IFERROR(INDEX(PP_Grid[#Data],$DD1190,56),0)</f>
        <v/>
      </c>
      <c r="BG1190">
        <f>IFERROR(INDEX(PP_Grid[#Data],$DD1190,57),0)</f>
        <v/>
      </c>
      <c r="BH1190">
        <f>IFERROR(INDEX(PP_Grid[#Data],$DD1190,58),0)</f>
        <v/>
      </c>
      <c r="BI1190">
        <f>IFERROR(INDEX(PP_Grid[#Data],$DD1190,59),0)</f>
        <v/>
      </c>
      <c r="BJ1190">
        <f>IFERROR(INDEX(PP_Grid[#Data],$DD1190,60),0)</f>
        <v/>
      </c>
      <c r="BK1190">
        <f>IFERROR(INDEX(PP_Grid[#Data],$DD1190,61),0)</f>
        <v/>
      </c>
      <c r="BL1190">
        <f>IFERROR(INDEX(PP_Grid[#Data],$DD1190,62),0)</f>
        <v/>
      </c>
      <c r="BM1190">
        <f>IFERROR(INDEX(PP_Grid[#Data],$DD1190,63),0)</f>
        <v/>
      </c>
      <c r="BN1190">
        <f>IFERROR(INDEX(PP_Grid[#Data],$DD1190,64),0)</f>
        <v/>
      </c>
      <c r="BO1190">
        <f>IFERROR(INDEX(PP_Grid[#Data],$DD1190,65),0)</f>
        <v/>
      </c>
      <c r="BP1190">
        <f>IFERROR(INDEX(PP_Grid[#Data],$DD1190,66),0)</f>
        <v/>
      </c>
      <c r="BQ1190">
        <f>IFERROR(INDEX(PP_Grid[#Data],$DD1190,67),0)</f>
        <v/>
      </c>
      <c r="BR1190">
        <f>IFERROR(INDEX(PP_Grid[#Data],$DD1190,68),0)</f>
        <v/>
      </c>
      <c r="BS1190">
        <f>IFERROR(INDEX(PP_Grid[#Data],$DD1190,69),0)</f>
        <v/>
      </c>
      <c r="BT1190">
        <f>IFERROR(INDEX(PP_Grid[#Data],$DD1190,70),0)</f>
        <v/>
      </c>
      <c r="BU1190">
        <f>IFERROR(INDEX(PP_Grid[#Data],$DD1190,71),0)</f>
        <v/>
      </c>
      <c r="BV1190">
        <f>IFERROR(INDEX(PP_Grid[#Data],$DD1190,72),0)</f>
        <v/>
      </c>
      <c r="BW1190">
        <f>IFERROR(INDEX(PP_Grid[#Data],$DD1190,73),0)</f>
        <v/>
      </c>
      <c r="BX1190">
        <f>IFERROR(INDEX(PP_Grid[#Data],$DD1190,74),0)</f>
        <v/>
      </c>
      <c r="BY1190">
        <f>IFERROR(INDEX(PP_Grid[#Data],$DD1190,75),0)</f>
        <v/>
      </c>
      <c r="BZ1190">
        <f>IFERROR(INDEX(PP_Grid[#Data],$DD1190,76),0)</f>
        <v/>
      </c>
      <c r="CA1190">
        <f>IFERROR(INDEX(PP_Grid[#Data],$DD1190,77),0)</f>
        <v/>
      </c>
      <c r="CB1190">
        <f>IFERROR(INDEX(PP_Grid[#Data],$DD1190,78),0)</f>
        <v/>
      </c>
      <c r="CC1190">
        <f>IFERROR(INDEX(PP_Grid[#Data],$DD1190,79),0)</f>
        <v/>
      </c>
      <c r="CD1190">
        <f>IFERROR(INDEX(PP_Grid[#Data],$DD1190,80),0)</f>
        <v/>
      </c>
      <c r="CE1190">
        <f>IFERROR(INDEX(PP_Grid[#Data],$DD1190,81),0)</f>
        <v/>
      </c>
      <c r="CF1190">
        <f>IFERROR(INDEX(PP_Grid[#Data],$DD1190,82),0)</f>
        <v/>
      </c>
      <c r="CG1190">
        <f>IFERROR(INDEX(PP_Grid[#Data],$DD1190,83),0)</f>
        <v/>
      </c>
      <c r="CH1190">
        <f>IFERROR(INDEX(PP_Grid[#Data],$DD1190,84),0)</f>
        <v/>
      </c>
      <c r="CI1190">
        <f>IFERROR(INDEX(PP_Grid[#Data],$DD1190,85),0)</f>
        <v/>
      </c>
      <c r="CJ1190">
        <f>IFERROR(INDEX(PP_Grid[#Data],$DD1190,86),0)</f>
        <v/>
      </c>
      <c r="CK1190">
        <f>IFERROR(INDEX(PP_Grid[#Data],$DD1190,87),0)</f>
        <v/>
      </c>
      <c r="CL1190">
        <f>IFERROR(INDEX(PP_Grid[#Data],$DD1190,88),0)</f>
        <v/>
      </c>
      <c r="CM1190">
        <f>IFERROR(INDEX(PP_Grid[#Data],$DD1190,89),0)</f>
        <v/>
      </c>
      <c r="CN1190">
        <f>IFERROR(INDEX(PP_Grid[#Data],$DD1190,90),0)</f>
        <v/>
      </c>
      <c r="CO1190">
        <f>IFERROR(INDEX(PP_Grid[#Data],$DD1190,91),0)</f>
        <v/>
      </c>
      <c r="CP1190">
        <f>IFERROR(INDEX(PP_Grid[#Data],$DD1190,92),0)</f>
        <v/>
      </c>
      <c r="CQ1190">
        <f>IFERROR(INDEX(PP_Grid[#Data],$DD1190,93),0)</f>
        <v/>
      </c>
      <c r="CR1190">
        <f>IFERROR(INDEX(PP_Grid[#Data],$DD1190,94),0)</f>
        <v/>
      </c>
      <c r="CS1190">
        <f>IFERROR(INDEX(PP_Grid[#Data],$DD1190,95),0)</f>
        <v/>
      </c>
      <c r="CT1190">
        <f>IFERROR(INDEX(PP_Grid[#Data],$DD1190,96),0)</f>
        <v/>
      </c>
      <c r="CU1190">
        <f>IFERROR(INDEX(PP_Grid[#Data],$DD1190,97),0)</f>
        <v/>
      </c>
      <c r="CV1190">
        <f>IFERROR(INDEX(PP_Grid[#Data],$DD1190,98),0)</f>
        <v/>
      </c>
      <c r="CW1190">
        <f>IFERROR(INDEX(PP_Grid[#Data],$DD1190,99),0)</f>
        <v/>
      </c>
      <c r="CX1190">
        <f>IFERROR(INDEX(PP_Grid[#Data],$DD1190,100),0)</f>
        <v/>
      </c>
      <c r="CY1190">
        <f>IFERROR(INDEX(PP_Grid[#Data],$DD1190,101),0)</f>
        <v/>
      </c>
      <c r="CZ1190">
        <f>IFERROR(INDEX(PP_Grid[#Data],$DD1190,102),0)</f>
        <v/>
      </c>
      <c r="DA1190">
        <f>IFERROR(INDEX(PP_Grid[#Data],$DD1190,103),0)</f>
        <v/>
      </c>
      <c r="DB1190">
        <f>IFERROR(INDEX(PP_Grid[#Data],$DD1190,104),0)</f>
        <v/>
      </c>
      <c r="DC1190">
        <f>IFERROR(INDEX(PP_Grid[#Data],$DD1190,105),0)</f>
        <v/>
      </c>
      <c r="DD1190" s="12">
        <f>IFERROR(MATCH($B1190,PP_Grid[Intermediate],0),99999)</f>
        <v/>
      </c>
    </row>
    <row r="1191">
      <c r="B1191" t="inlineStr">
        <is>
          <t>使用量(kg)</t>
        </is>
      </c>
      <c r="C1191">
        <f>SUMIFS(M_BOM[RM_Qty_Per_Batch],M_BOM[Intermediate],$B1190,M_BOM[Part Name],$A1179)</f>
        <v/>
      </c>
      <c r="D1191">
        <f>$C1191*D1190</f>
        <v/>
      </c>
      <c r="E1191">
        <f>$C1191*E1190</f>
        <v/>
      </c>
      <c r="F1191">
        <f>$C1191*F1190</f>
        <v/>
      </c>
      <c r="G1191">
        <f>$C1191*G1190</f>
        <v/>
      </c>
      <c r="H1191">
        <f>$C1191*H1190</f>
        <v/>
      </c>
      <c r="I1191">
        <f>$C1191*I1190</f>
        <v/>
      </c>
      <c r="J1191">
        <f>$C1191*J1190</f>
        <v/>
      </c>
      <c r="K1191">
        <f>$C1191*K1190</f>
        <v/>
      </c>
      <c r="L1191">
        <f>$C1191*L1190</f>
        <v/>
      </c>
      <c r="M1191">
        <f>$C1191*M1190</f>
        <v/>
      </c>
      <c r="N1191">
        <f>$C1191*N1190</f>
        <v/>
      </c>
      <c r="O1191">
        <f>$C1191*O1190</f>
        <v/>
      </c>
      <c r="P1191">
        <f>$C1191*P1190</f>
        <v/>
      </c>
      <c r="Q1191">
        <f>$C1191*Q1190</f>
        <v/>
      </c>
      <c r="R1191">
        <f>$C1191*R1190</f>
        <v/>
      </c>
      <c r="S1191">
        <f>$C1191*S1190</f>
        <v/>
      </c>
      <c r="T1191">
        <f>$C1191*T1190</f>
        <v/>
      </c>
      <c r="U1191">
        <f>$C1191*U1190</f>
        <v/>
      </c>
      <c r="V1191">
        <f>$C1191*V1190</f>
        <v/>
      </c>
      <c r="W1191">
        <f>$C1191*W1190</f>
        <v/>
      </c>
      <c r="X1191">
        <f>$C1191*X1190</f>
        <v/>
      </c>
      <c r="Y1191">
        <f>$C1191*Y1190</f>
        <v/>
      </c>
      <c r="Z1191">
        <f>$C1191*Z1190</f>
        <v/>
      </c>
      <c r="AA1191">
        <f>$C1191*AA1190</f>
        <v/>
      </c>
      <c r="AB1191">
        <f>$C1191*AB1190</f>
        <v/>
      </c>
      <c r="AC1191">
        <f>$C1191*AC1190</f>
        <v/>
      </c>
      <c r="AD1191">
        <f>$C1191*AD1190</f>
        <v/>
      </c>
      <c r="AE1191">
        <f>$C1191*AE1190</f>
        <v/>
      </c>
      <c r="AF1191">
        <f>$C1191*AF1190</f>
        <v/>
      </c>
      <c r="AG1191">
        <f>$C1191*AG1190</f>
        <v/>
      </c>
      <c r="AH1191">
        <f>$C1191*AH1190</f>
        <v/>
      </c>
      <c r="AI1191">
        <f>$C1191*AI1190</f>
        <v/>
      </c>
      <c r="AJ1191">
        <f>$C1191*AJ1190</f>
        <v/>
      </c>
      <c r="AK1191">
        <f>$C1191*AK1190</f>
        <v/>
      </c>
      <c r="AL1191">
        <f>$C1191*AL1190</f>
        <v/>
      </c>
      <c r="AM1191">
        <f>$C1191*AM1190</f>
        <v/>
      </c>
      <c r="AN1191">
        <f>$C1191*AN1190</f>
        <v/>
      </c>
      <c r="AO1191">
        <f>$C1191*AO1190</f>
        <v/>
      </c>
      <c r="AP1191">
        <f>$C1191*AP1190</f>
        <v/>
      </c>
      <c r="AQ1191">
        <f>$C1191*AQ1190</f>
        <v/>
      </c>
      <c r="AR1191">
        <f>$C1191*AR1190</f>
        <v/>
      </c>
      <c r="AS1191">
        <f>$C1191*AS1190</f>
        <v/>
      </c>
      <c r="AT1191">
        <f>$C1191*AT1190</f>
        <v/>
      </c>
      <c r="AU1191">
        <f>$C1191*AU1190</f>
        <v/>
      </c>
      <c r="AV1191">
        <f>$C1191*AV1190</f>
        <v/>
      </c>
      <c r="AW1191">
        <f>$C1191*AW1190</f>
        <v/>
      </c>
      <c r="AX1191">
        <f>$C1191*AX1190</f>
        <v/>
      </c>
      <c r="AY1191">
        <f>$C1191*AY1190</f>
        <v/>
      </c>
      <c r="AZ1191">
        <f>$C1191*AZ1190</f>
        <v/>
      </c>
      <c r="BA1191">
        <f>$C1191*BA1190</f>
        <v/>
      </c>
      <c r="BB1191">
        <f>$C1191*BB1190</f>
        <v/>
      </c>
      <c r="BC1191">
        <f>$C1191*BC1190</f>
        <v/>
      </c>
      <c r="BD1191">
        <f>$C1191*BD1190</f>
        <v/>
      </c>
      <c r="BE1191">
        <f>$C1191*BE1190</f>
        <v/>
      </c>
      <c r="BF1191">
        <f>$C1191*BF1190</f>
        <v/>
      </c>
      <c r="BG1191">
        <f>$C1191*BG1190</f>
        <v/>
      </c>
      <c r="BH1191">
        <f>$C1191*BH1190</f>
        <v/>
      </c>
      <c r="BI1191">
        <f>$C1191*BI1190</f>
        <v/>
      </c>
      <c r="BJ1191">
        <f>$C1191*BJ1190</f>
        <v/>
      </c>
      <c r="BK1191">
        <f>$C1191*BK1190</f>
        <v/>
      </c>
      <c r="BL1191">
        <f>$C1191*BL1190</f>
        <v/>
      </c>
      <c r="BM1191">
        <f>$C1191*BM1190</f>
        <v/>
      </c>
      <c r="BN1191">
        <f>$C1191*BN1190</f>
        <v/>
      </c>
      <c r="BO1191">
        <f>$C1191*BO1190</f>
        <v/>
      </c>
      <c r="BP1191">
        <f>$C1191*BP1190</f>
        <v/>
      </c>
      <c r="BQ1191">
        <f>$C1191*BQ1190</f>
        <v/>
      </c>
      <c r="BR1191">
        <f>$C1191*BR1190</f>
        <v/>
      </c>
      <c r="BS1191">
        <f>$C1191*BS1190</f>
        <v/>
      </c>
      <c r="BT1191">
        <f>$C1191*BT1190</f>
        <v/>
      </c>
      <c r="BU1191">
        <f>$C1191*BU1190</f>
        <v/>
      </c>
      <c r="BV1191">
        <f>$C1191*BV1190</f>
        <v/>
      </c>
      <c r="BW1191">
        <f>$C1191*BW1190</f>
        <v/>
      </c>
      <c r="BX1191">
        <f>$C1191*BX1190</f>
        <v/>
      </c>
      <c r="BY1191">
        <f>$C1191*BY1190</f>
        <v/>
      </c>
      <c r="BZ1191">
        <f>$C1191*BZ1190</f>
        <v/>
      </c>
      <c r="CA1191">
        <f>$C1191*CA1190</f>
        <v/>
      </c>
      <c r="CB1191">
        <f>$C1191*CB1190</f>
        <v/>
      </c>
      <c r="CC1191">
        <f>$C1191*CC1190</f>
        <v/>
      </c>
      <c r="CD1191">
        <f>$C1191*CD1190</f>
        <v/>
      </c>
      <c r="CE1191">
        <f>$C1191*CE1190</f>
        <v/>
      </c>
      <c r="CF1191">
        <f>$C1191*CF1190</f>
        <v/>
      </c>
      <c r="CG1191">
        <f>$C1191*CG1190</f>
        <v/>
      </c>
      <c r="CH1191">
        <f>$C1191*CH1190</f>
        <v/>
      </c>
      <c r="CI1191">
        <f>$C1191*CI1190</f>
        <v/>
      </c>
      <c r="CJ1191">
        <f>$C1191*CJ1190</f>
        <v/>
      </c>
      <c r="CK1191">
        <f>$C1191*CK1190</f>
        <v/>
      </c>
      <c r="CL1191">
        <f>$C1191*CL1190</f>
        <v/>
      </c>
      <c r="CM1191">
        <f>$C1191*CM1190</f>
        <v/>
      </c>
      <c r="CN1191">
        <f>$C1191*CN1190</f>
        <v/>
      </c>
      <c r="CO1191">
        <f>$C1191*CO1190</f>
        <v/>
      </c>
      <c r="CP1191">
        <f>$C1191*CP1190</f>
        <v/>
      </c>
      <c r="CQ1191">
        <f>$C1191*CQ1190</f>
        <v/>
      </c>
      <c r="CR1191">
        <f>$C1191*CR1190</f>
        <v/>
      </c>
      <c r="CS1191">
        <f>$C1191*CS1190</f>
        <v/>
      </c>
      <c r="CT1191">
        <f>$C1191*CT1190</f>
        <v/>
      </c>
      <c r="CU1191">
        <f>$C1191*CU1190</f>
        <v/>
      </c>
      <c r="CV1191">
        <f>$C1191*CV1190</f>
        <v/>
      </c>
      <c r="CW1191">
        <f>$C1191*CW1190</f>
        <v/>
      </c>
      <c r="CX1191">
        <f>$C1191*CX1190</f>
        <v/>
      </c>
      <c r="CY1191">
        <f>$C1191*CY1190</f>
        <v/>
      </c>
      <c r="CZ1191">
        <f>$C1191*CZ1190</f>
        <v/>
      </c>
      <c r="DA1191">
        <f>$C1191*DA1190</f>
        <v/>
      </c>
      <c r="DB1191">
        <f>$C1191*DB1190</f>
        <v/>
      </c>
      <c r="DC1191">
        <f>$C1191*DC1190</f>
        <v/>
      </c>
    </row>
    <row r="1192">
      <c r="B1192" t="inlineStr">
        <is>
          <t>VSP-990</t>
        </is>
      </c>
      <c r="C1192" t="inlineStr">
        <is>
          <t>No. of batches</t>
        </is>
      </c>
      <c r="D1192">
        <f>IFERROR(INDEX(PP_Grid[#Data],$DD1192,2),0)</f>
        <v/>
      </c>
      <c r="E1192">
        <f>IFERROR(INDEX(PP_Grid[#Data],$DD1192,3),0)</f>
        <v/>
      </c>
      <c r="F1192">
        <f>IFERROR(INDEX(PP_Grid[#Data],$DD1192,4),0)</f>
        <v/>
      </c>
      <c r="G1192">
        <f>IFERROR(INDEX(PP_Grid[#Data],$DD1192,5),0)</f>
        <v/>
      </c>
      <c r="H1192">
        <f>IFERROR(INDEX(PP_Grid[#Data],$DD1192,6),0)</f>
        <v/>
      </c>
      <c r="I1192">
        <f>IFERROR(INDEX(PP_Grid[#Data],$DD1192,7),0)</f>
        <v/>
      </c>
      <c r="J1192">
        <f>IFERROR(INDEX(PP_Grid[#Data],$DD1192,8),0)</f>
        <v/>
      </c>
      <c r="K1192">
        <f>IFERROR(INDEX(PP_Grid[#Data],$DD1192,9),0)</f>
        <v/>
      </c>
      <c r="L1192">
        <f>IFERROR(INDEX(PP_Grid[#Data],$DD1192,10),0)</f>
        <v/>
      </c>
      <c r="M1192">
        <f>IFERROR(INDEX(PP_Grid[#Data],$DD1192,11),0)</f>
        <v/>
      </c>
      <c r="N1192">
        <f>IFERROR(INDEX(PP_Grid[#Data],$DD1192,12),0)</f>
        <v/>
      </c>
      <c r="O1192">
        <f>IFERROR(INDEX(PP_Grid[#Data],$DD1192,13),0)</f>
        <v/>
      </c>
      <c r="P1192">
        <f>IFERROR(INDEX(PP_Grid[#Data],$DD1192,14),0)</f>
        <v/>
      </c>
      <c r="Q1192">
        <f>IFERROR(INDEX(PP_Grid[#Data],$DD1192,15),0)</f>
        <v/>
      </c>
      <c r="R1192">
        <f>IFERROR(INDEX(PP_Grid[#Data],$DD1192,16),0)</f>
        <v/>
      </c>
      <c r="S1192">
        <f>IFERROR(INDEX(PP_Grid[#Data],$DD1192,17),0)</f>
        <v/>
      </c>
      <c r="T1192">
        <f>IFERROR(INDEX(PP_Grid[#Data],$DD1192,18),0)</f>
        <v/>
      </c>
      <c r="U1192">
        <f>IFERROR(INDEX(PP_Grid[#Data],$DD1192,19),0)</f>
        <v/>
      </c>
      <c r="V1192">
        <f>IFERROR(INDEX(PP_Grid[#Data],$DD1192,20),0)</f>
        <v/>
      </c>
      <c r="W1192">
        <f>IFERROR(INDEX(PP_Grid[#Data],$DD1192,21),0)</f>
        <v/>
      </c>
      <c r="X1192">
        <f>IFERROR(INDEX(PP_Grid[#Data],$DD1192,22),0)</f>
        <v/>
      </c>
      <c r="Y1192">
        <f>IFERROR(INDEX(PP_Grid[#Data],$DD1192,23),0)</f>
        <v/>
      </c>
      <c r="Z1192">
        <f>IFERROR(INDEX(PP_Grid[#Data],$DD1192,24),0)</f>
        <v/>
      </c>
      <c r="AA1192">
        <f>IFERROR(INDEX(PP_Grid[#Data],$DD1192,25),0)</f>
        <v/>
      </c>
      <c r="AB1192">
        <f>IFERROR(INDEX(PP_Grid[#Data],$DD1192,26),0)</f>
        <v/>
      </c>
      <c r="AC1192">
        <f>IFERROR(INDEX(PP_Grid[#Data],$DD1192,27),0)</f>
        <v/>
      </c>
      <c r="AD1192">
        <f>IFERROR(INDEX(PP_Grid[#Data],$DD1192,28),0)</f>
        <v/>
      </c>
      <c r="AE1192">
        <f>IFERROR(INDEX(PP_Grid[#Data],$DD1192,29),0)</f>
        <v/>
      </c>
      <c r="AF1192">
        <f>IFERROR(INDEX(PP_Grid[#Data],$DD1192,30),0)</f>
        <v/>
      </c>
      <c r="AG1192">
        <f>IFERROR(INDEX(PP_Grid[#Data],$DD1192,31),0)</f>
        <v/>
      </c>
      <c r="AH1192">
        <f>IFERROR(INDEX(PP_Grid[#Data],$DD1192,32),0)</f>
        <v/>
      </c>
      <c r="AI1192">
        <f>IFERROR(INDEX(PP_Grid[#Data],$DD1192,33),0)</f>
        <v/>
      </c>
      <c r="AJ1192">
        <f>IFERROR(INDEX(PP_Grid[#Data],$DD1192,34),0)</f>
        <v/>
      </c>
      <c r="AK1192">
        <f>IFERROR(INDEX(PP_Grid[#Data],$DD1192,35),0)</f>
        <v/>
      </c>
      <c r="AL1192">
        <f>IFERROR(INDEX(PP_Grid[#Data],$DD1192,36),0)</f>
        <v/>
      </c>
      <c r="AM1192">
        <f>IFERROR(INDEX(PP_Grid[#Data],$DD1192,37),0)</f>
        <v/>
      </c>
      <c r="AN1192">
        <f>IFERROR(INDEX(PP_Grid[#Data],$DD1192,38),0)</f>
        <v/>
      </c>
      <c r="AO1192">
        <f>IFERROR(INDEX(PP_Grid[#Data],$DD1192,39),0)</f>
        <v/>
      </c>
      <c r="AP1192">
        <f>IFERROR(INDEX(PP_Grid[#Data],$DD1192,40),0)</f>
        <v/>
      </c>
      <c r="AQ1192">
        <f>IFERROR(INDEX(PP_Grid[#Data],$DD1192,41),0)</f>
        <v/>
      </c>
      <c r="AR1192">
        <f>IFERROR(INDEX(PP_Grid[#Data],$DD1192,42),0)</f>
        <v/>
      </c>
      <c r="AS1192">
        <f>IFERROR(INDEX(PP_Grid[#Data],$DD1192,43),0)</f>
        <v/>
      </c>
      <c r="AT1192">
        <f>IFERROR(INDEX(PP_Grid[#Data],$DD1192,44),0)</f>
        <v/>
      </c>
      <c r="AU1192">
        <f>IFERROR(INDEX(PP_Grid[#Data],$DD1192,45),0)</f>
        <v/>
      </c>
      <c r="AV1192">
        <f>IFERROR(INDEX(PP_Grid[#Data],$DD1192,46),0)</f>
        <v/>
      </c>
      <c r="AW1192">
        <f>IFERROR(INDEX(PP_Grid[#Data],$DD1192,47),0)</f>
        <v/>
      </c>
      <c r="AX1192">
        <f>IFERROR(INDEX(PP_Grid[#Data],$DD1192,48),0)</f>
        <v/>
      </c>
      <c r="AY1192">
        <f>IFERROR(INDEX(PP_Grid[#Data],$DD1192,49),0)</f>
        <v/>
      </c>
      <c r="AZ1192">
        <f>IFERROR(INDEX(PP_Grid[#Data],$DD1192,50),0)</f>
        <v/>
      </c>
      <c r="BA1192">
        <f>IFERROR(INDEX(PP_Grid[#Data],$DD1192,51),0)</f>
        <v/>
      </c>
      <c r="BB1192">
        <f>IFERROR(INDEX(PP_Grid[#Data],$DD1192,52),0)</f>
        <v/>
      </c>
      <c r="BC1192">
        <f>IFERROR(INDEX(PP_Grid[#Data],$DD1192,53),0)</f>
        <v/>
      </c>
      <c r="BD1192">
        <f>IFERROR(INDEX(PP_Grid[#Data],$DD1192,54),0)</f>
        <v/>
      </c>
      <c r="BE1192">
        <f>IFERROR(INDEX(PP_Grid[#Data],$DD1192,55),0)</f>
        <v/>
      </c>
      <c r="BF1192">
        <f>IFERROR(INDEX(PP_Grid[#Data],$DD1192,56),0)</f>
        <v/>
      </c>
      <c r="BG1192">
        <f>IFERROR(INDEX(PP_Grid[#Data],$DD1192,57),0)</f>
        <v/>
      </c>
      <c r="BH1192">
        <f>IFERROR(INDEX(PP_Grid[#Data],$DD1192,58),0)</f>
        <v/>
      </c>
      <c r="BI1192">
        <f>IFERROR(INDEX(PP_Grid[#Data],$DD1192,59),0)</f>
        <v/>
      </c>
      <c r="BJ1192">
        <f>IFERROR(INDEX(PP_Grid[#Data],$DD1192,60),0)</f>
        <v/>
      </c>
      <c r="BK1192">
        <f>IFERROR(INDEX(PP_Grid[#Data],$DD1192,61),0)</f>
        <v/>
      </c>
      <c r="BL1192">
        <f>IFERROR(INDEX(PP_Grid[#Data],$DD1192,62),0)</f>
        <v/>
      </c>
      <c r="BM1192">
        <f>IFERROR(INDEX(PP_Grid[#Data],$DD1192,63),0)</f>
        <v/>
      </c>
      <c r="BN1192">
        <f>IFERROR(INDEX(PP_Grid[#Data],$DD1192,64),0)</f>
        <v/>
      </c>
      <c r="BO1192">
        <f>IFERROR(INDEX(PP_Grid[#Data],$DD1192,65),0)</f>
        <v/>
      </c>
      <c r="BP1192">
        <f>IFERROR(INDEX(PP_Grid[#Data],$DD1192,66),0)</f>
        <v/>
      </c>
      <c r="BQ1192">
        <f>IFERROR(INDEX(PP_Grid[#Data],$DD1192,67),0)</f>
        <v/>
      </c>
      <c r="BR1192">
        <f>IFERROR(INDEX(PP_Grid[#Data],$DD1192,68),0)</f>
        <v/>
      </c>
      <c r="BS1192">
        <f>IFERROR(INDEX(PP_Grid[#Data],$DD1192,69),0)</f>
        <v/>
      </c>
      <c r="BT1192">
        <f>IFERROR(INDEX(PP_Grid[#Data],$DD1192,70),0)</f>
        <v/>
      </c>
      <c r="BU1192">
        <f>IFERROR(INDEX(PP_Grid[#Data],$DD1192,71),0)</f>
        <v/>
      </c>
      <c r="BV1192">
        <f>IFERROR(INDEX(PP_Grid[#Data],$DD1192,72),0)</f>
        <v/>
      </c>
      <c r="BW1192">
        <f>IFERROR(INDEX(PP_Grid[#Data],$DD1192,73),0)</f>
        <v/>
      </c>
      <c r="BX1192">
        <f>IFERROR(INDEX(PP_Grid[#Data],$DD1192,74),0)</f>
        <v/>
      </c>
      <c r="BY1192">
        <f>IFERROR(INDEX(PP_Grid[#Data],$DD1192,75),0)</f>
        <v/>
      </c>
      <c r="BZ1192">
        <f>IFERROR(INDEX(PP_Grid[#Data],$DD1192,76),0)</f>
        <v/>
      </c>
      <c r="CA1192">
        <f>IFERROR(INDEX(PP_Grid[#Data],$DD1192,77),0)</f>
        <v/>
      </c>
      <c r="CB1192">
        <f>IFERROR(INDEX(PP_Grid[#Data],$DD1192,78),0)</f>
        <v/>
      </c>
      <c r="CC1192">
        <f>IFERROR(INDEX(PP_Grid[#Data],$DD1192,79),0)</f>
        <v/>
      </c>
      <c r="CD1192">
        <f>IFERROR(INDEX(PP_Grid[#Data],$DD1192,80),0)</f>
        <v/>
      </c>
      <c r="CE1192">
        <f>IFERROR(INDEX(PP_Grid[#Data],$DD1192,81),0)</f>
        <v/>
      </c>
      <c r="CF1192">
        <f>IFERROR(INDEX(PP_Grid[#Data],$DD1192,82),0)</f>
        <v/>
      </c>
      <c r="CG1192">
        <f>IFERROR(INDEX(PP_Grid[#Data],$DD1192,83),0)</f>
        <v/>
      </c>
      <c r="CH1192">
        <f>IFERROR(INDEX(PP_Grid[#Data],$DD1192,84),0)</f>
        <v/>
      </c>
      <c r="CI1192">
        <f>IFERROR(INDEX(PP_Grid[#Data],$DD1192,85),0)</f>
        <v/>
      </c>
      <c r="CJ1192">
        <f>IFERROR(INDEX(PP_Grid[#Data],$DD1192,86),0)</f>
        <v/>
      </c>
      <c r="CK1192">
        <f>IFERROR(INDEX(PP_Grid[#Data],$DD1192,87),0)</f>
        <v/>
      </c>
      <c r="CL1192">
        <f>IFERROR(INDEX(PP_Grid[#Data],$DD1192,88),0)</f>
        <v/>
      </c>
      <c r="CM1192">
        <f>IFERROR(INDEX(PP_Grid[#Data],$DD1192,89),0)</f>
        <v/>
      </c>
      <c r="CN1192">
        <f>IFERROR(INDEX(PP_Grid[#Data],$DD1192,90),0)</f>
        <v/>
      </c>
      <c r="CO1192">
        <f>IFERROR(INDEX(PP_Grid[#Data],$DD1192,91),0)</f>
        <v/>
      </c>
      <c r="CP1192">
        <f>IFERROR(INDEX(PP_Grid[#Data],$DD1192,92),0)</f>
        <v/>
      </c>
      <c r="CQ1192">
        <f>IFERROR(INDEX(PP_Grid[#Data],$DD1192,93),0)</f>
        <v/>
      </c>
      <c r="CR1192">
        <f>IFERROR(INDEX(PP_Grid[#Data],$DD1192,94),0)</f>
        <v/>
      </c>
      <c r="CS1192">
        <f>IFERROR(INDEX(PP_Grid[#Data],$DD1192,95),0)</f>
        <v/>
      </c>
      <c r="CT1192">
        <f>IFERROR(INDEX(PP_Grid[#Data],$DD1192,96),0)</f>
        <v/>
      </c>
      <c r="CU1192">
        <f>IFERROR(INDEX(PP_Grid[#Data],$DD1192,97),0)</f>
        <v/>
      </c>
      <c r="CV1192">
        <f>IFERROR(INDEX(PP_Grid[#Data],$DD1192,98),0)</f>
        <v/>
      </c>
      <c r="CW1192">
        <f>IFERROR(INDEX(PP_Grid[#Data],$DD1192,99),0)</f>
        <v/>
      </c>
      <c r="CX1192">
        <f>IFERROR(INDEX(PP_Grid[#Data],$DD1192,100),0)</f>
        <v/>
      </c>
      <c r="CY1192">
        <f>IFERROR(INDEX(PP_Grid[#Data],$DD1192,101),0)</f>
        <v/>
      </c>
      <c r="CZ1192">
        <f>IFERROR(INDEX(PP_Grid[#Data],$DD1192,102),0)</f>
        <v/>
      </c>
      <c r="DA1192">
        <f>IFERROR(INDEX(PP_Grid[#Data],$DD1192,103),0)</f>
        <v/>
      </c>
      <c r="DB1192">
        <f>IFERROR(INDEX(PP_Grid[#Data],$DD1192,104),0)</f>
        <v/>
      </c>
      <c r="DC1192">
        <f>IFERROR(INDEX(PP_Grid[#Data],$DD1192,105),0)</f>
        <v/>
      </c>
      <c r="DD1192" s="12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SUMIFS(M_BOM[RM_Qty_Per_Batch],M_BOM[Intermediate],$B1192,M_BOM[Part Name],$A1179)</f>
        <v/>
      </c>
      <c r="D1193">
        <f>$C1193*D1192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</row>
    <row r="1194">
      <c r="B1194" s="5" t="inlineStr">
        <is>
          <t>合計使用量(kg)/週</t>
        </is>
      </c>
      <c r="D1194">
        <f>'Grid_Requirement'!B35</f>
        <v/>
      </c>
      <c r="E1194">
        <f>'Grid_Requirement'!C35</f>
        <v/>
      </c>
      <c r="F1194">
        <f>'Grid_Requirement'!D35</f>
        <v/>
      </c>
      <c r="G1194">
        <f>'Grid_Requirement'!E35</f>
        <v/>
      </c>
      <c r="H1194">
        <f>'Grid_Requirement'!F35</f>
        <v/>
      </c>
      <c r="I1194">
        <f>'Grid_Requirement'!G35</f>
        <v/>
      </c>
      <c r="J1194">
        <f>'Grid_Requirement'!H35</f>
        <v/>
      </c>
      <c r="K1194">
        <f>'Grid_Requirement'!I35</f>
        <v/>
      </c>
      <c r="L1194">
        <f>'Grid_Requirement'!J35</f>
        <v/>
      </c>
      <c r="M1194">
        <f>'Grid_Requirement'!K35</f>
        <v/>
      </c>
      <c r="N1194">
        <f>'Grid_Requirement'!L35</f>
        <v/>
      </c>
      <c r="O1194">
        <f>'Grid_Requirement'!M35</f>
        <v/>
      </c>
      <c r="P1194">
        <f>'Grid_Requirement'!N35</f>
        <v/>
      </c>
      <c r="Q1194">
        <f>'Grid_Requirement'!O35</f>
        <v/>
      </c>
      <c r="R1194">
        <f>'Grid_Requirement'!P35</f>
        <v/>
      </c>
      <c r="S1194">
        <f>'Grid_Requirement'!Q35</f>
        <v/>
      </c>
      <c r="T1194">
        <f>'Grid_Requirement'!R35</f>
        <v/>
      </c>
      <c r="U1194">
        <f>'Grid_Requirement'!S35</f>
        <v/>
      </c>
      <c r="V1194">
        <f>'Grid_Requirement'!T35</f>
        <v/>
      </c>
      <c r="W1194">
        <f>'Grid_Requirement'!U35</f>
        <v/>
      </c>
      <c r="X1194">
        <f>'Grid_Requirement'!V35</f>
        <v/>
      </c>
      <c r="Y1194">
        <f>'Grid_Requirement'!W35</f>
        <v/>
      </c>
      <c r="Z1194">
        <f>'Grid_Requirement'!X35</f>
        <v/>
      </c>
      <c r="AA1194">
        <f>'Grid_Requirement'!Y35</f>
        <v/>
      </c>
      <c r="AB1194">
        <f>'Grid_Requirement'!Z35</f>
        <v/>
      </c>
      <c r="AC1194">
        <f>'Grid_Requirement'!AA35</f>
        <v/>
      </c>
      <c r="AD1194">
        <f>'Grid_Requirement'!AB35</f>
        <v/>
      </c>
      <c r="AE1194">
        <f>'Grid_Requirement'!AC35</f>
        <v/>
      </c>
      <c r="AF1194">
        <f>'Grid_Requirement'!AD35</f>
        <v/>
      </c>
      <c r="AG1194">
        <f>'Grid_Requirement'!AE35</f>
        <v/>
      </c>
      <c r="AH1194">
        <f>'Grid_Requirement'!AF35</f>
        <v/>
      </c>
      <c r="AI1194">
        <f>'Grid_Requirement'!AG35</f>
        <v/>
      </c>
      <c r="AJ1194">
        <f>'Grid_Requirement'!AH35</f>
        <v/>
      </c>
      <c r="AK1194">
        <f>'Grid_Requirement'!AI35</f>
        <v/>
      </c>
      <c r="AL1194">
        <f>'Grid_Requirement'!AJ35</f>
        <v/>
      </c>
      <c r="AM1194">
        <f>'Grid_Requirement'!AK35</f>
        <v/>
      </c>
      <c r="AN1194">
        <f>'Grid_Requirement'!AL35</f>
        <v/>
      </c>
      <c r="AO1194">
        <f>'Grid_Requirement'!AM35</f>
        <v/>
      </c>
      <c r="AP1194">
        <f>'Grid_Requirement'!AN35</f>
        <v/>
      </c>
      <c r="AQ1194">
        <f>'Grid_Requirement'!AO35</f>
        <v/>
      </c>
      <c r="AR1194">
        <f>'Grid_Requirement'!AP35</f>
        <v/>
      </c>
      <c r="AS1194">
        <f>'Grid_Requirement'!AQ35</f>
        <v/>
      </c>
      <c r="AT1194">
        <f>'Grid_Requirement'!AR35</f>
        <v/>
      </c>
      <c r="AU1194">
        <f>'Grid_Requirement'!AS35</f>
        <v/>
      </c>
      <c r="AV1194">
        <f>'Grid_Requirement'!AT35</f>
        <v/>
      </c>
      <c r="AW1194">
        <f>'Grid_Requirement'!AU35</f>
        <v/>
      </c>
      <c r="AX1194">
        <f>'Grid_Requirement'!AV35</f>
        <v/>
      </c>
      <c r="AY1194">
        <f>'Grid_Requirement'!AW35</f>
        <v/>
      </c>
      <c r="AZ1194">
        <f>'Grid_Requirement'!AX35</f>
        <v/>
      </c>
      <c r="BA1194">
        <f>'Grid_Requirement'!AY35</f>
        <v/>
      </c>
      <c r="BB1194">
        <f>'Grid_Requirement'!AZ35</f>
        <v/>
      </c>
      <c r="BC1194">
        <f>'Grid_Requirement'!BA35</f>
        <v/>
      </c>
      <c r="BD1194">
        <f>'Grid_Requirement'!BB35</f>
        <v/>
      </c>
      <c r="BE1194">
        <f>'Grid_Requirement'!BC35</f>
        <v/>
      </c>
      <c r="BF1194">
        <f>'Grid_Requirement'!BD35</f>
        <v/>
      </c>
      <c r="BG1194">
        <f>'Grid_Requirement'!BE35</f>
        <v/>
      </c>
      <c r="BH1194">
        <f>'Grid_Requirement'!BF35</f>
        <v/>
      </c>
      <c r="BI1194">
        <f>'Grid_Requirement'!BG35</f>
        <v/>
      </c>
      <c r="BJ1194">
        <f>'Grid_Requirement'!BH35</f>
        <v/>
      </c>
      <c r="BK1194">
        <f>'Grid_Requirement'!BI35</f>
        <v/>
      </c>
      <c r="BL1194">
        <f>'Grid_Requirement'!BJ35</f>
        <v/>
      </c>
      <c r="BM1194">
        <f>'Grid_Requirement'!BK35</f>
        <v/>
      </c>
      <c r="BN1194">
        <f>'Grid_Requirement'!BL35</f>
        <v/>
      </c>
      <c r="BO1194">
        <f>'Grid_Requirement'!BM35</f>
        <v/>
      </c>
      <c r="BP1194">
        <f>'Grid_Requirement'!BN35</f>
        <v/>
      </c>
      <c r="BQ1194">
        <f>'Grid_Requirement'!BO35</f>
        <v/>
      </c>
      <c r="BR1194">
        <f>'Grid_Requirement'!BP35</f>
        <v/>
      </c>
      <c r="BS1194">
        <f>'Grid_Requirement'!BQ35</f>
        <v/>
      </c>
      <c r="BT1194">
        <f>'Grid_Requirement'!BR35</f>
        <v/>
      </c>
      <c r="BU1194">
        <f>'Grid_Requirement'!BS35</f>
        <v/>
      </c>
      <c r="BV1194">
        <f>'Grid_Requirement'!BT35</f>
        <v/>
      </c>
      <c r="BW1194">
        <f>'Grid_Requirement'!BU35</f>
        <v/>
      </c>
      <c r="BX1194">
        <f>'Grid_Requirement'!BV35</f>
        <v/>
      </c>
      <c r="BY1194">
        <f>'Grid_Requirement'!BW35</f>
        <v/>
      </c>
      <c r="BZ1194">
        <f>'Grid_Requirement'!BX35</f>
        <v/>
      </c>
      <c r="CA1194">
        <f>'Grid_Requirement'!BY35</f>
        <v/>
      </c>
      <c r="CB1194">
        <f>'Grid_Requirement'!BZ35</f>
        <v/>
      </c>
      <c r="CC1194">
        <f>'Grid_Requirement'!CA35</f>
        <v/>
      </c>
      <c r="CD1194">
        <f>'Grid_Requirement'!CB35</f>
        <v/>
      </c>
      <c r="CE1194">
        <f>'Grid_Requirement'!CC35</f>
        <v/>
      </c>
      <c r="CF1194">
        <f>'Grid_Requirement'!CD35</f>
        <v/>
      </c>
      <c r="CG1194">
        <f>'Grid_Requirement'!CE35</f>
        <v/>
      </c>
      <c r="CH1194">
        <f>'Grid_Requirement'!CF35</f>
        <v/>
      </c>
      <c r="CI1194">
        <f>'Grid_Requirement'!CG35</f>
        <v/>
      </c>
      <c r="CJ1194">
        <f>'Grid_Requirement'!CH35</f>
        <v/>
      </c>
      <c r="CK1194">
        <f>'Grid_Requirement'!CI35</f>
        <v/>
      </c>
      <c r="CL1194">
        <f>'Grid_Requirement'!CJ35</f>
        <v/>
      </c>
      <c r="CM1194">
        <f>'Grid_Requirement'!CK35</f>
        <v/>
      </c>
      <c r="CN1194">
        <f>'Grid_Requirement'!CL35</f>
        <v/>
      </c>
      <c r="CO1194">
        <f>'Grid_Requirement'!CM35</f>
        <v/>
      </c>
      <c r="CP1194">
        <f>'Grid_Requirement'!CN35</f>
        <v/>
      </c>
      <c r="CQ1194">
        <f>'Grid_Requirement'!CO35</f>
        <v/>
      </c>
      <c r="CR1194">
        <f>'Grid_Requirement'!CP35</f>
        <v/>
      </c>
      <c r="CS1194">
        <f>'Grid_Requirement'!CQ35</f>
        <v/>
      </c>
      <c r="CT1194">
        <f>'Grid_Requirement'!CR35</f>
        <v/>
      </c>
      <c r="CU1194">
        <f>'Grid_Requirement'!CS35</f>
        <v/>
      </c>
      <c r="CV1194">
        <f>'Grid_Requirement'!CT35</f>
        <v/>
      </c>
      <c r="CW1194">
        <f>'Grid_Requirement'!CU35</f>
        <v/>
      </c>
      <c r="CX1194">
        <f>'Grid_Requirement'!CV35</f>
        <v/>
      </c>
      <c r="CY1194">
        <f>'Grid_Requirement'!CW35</f>
        <v/>
      </c>
      <c r="CZ1194">
        <f>'Grid_Requirement'!CX35</f>
        <v/>
      </c>
      <c r="DA1194">
        <f>'Grid_Requirement'!CY35</f>
        <v/>
      </c>
      <c r="DB1194">
        <f>'Grid_Requirement'!CZ35</f>
        <v/>
      </c>
      <c r="DC1194">
        <f>'Grid_Requirement'!DA35</f>
        <v/>
      </c>
    </row>
    <row r="1195">
      <c r="B1195" t="inlineStr">
        <is>
          <t>TTAF在庫(実績,kg)</t>
        </is>
      </c>
      <c r="D1195">
        <f>'T_TTAFStock'!B39</f>
        <v/>
      </c>
      <c r="E1195">
        <f>'T_TTAFStock'!C39</f>
        <v/>
      </c>
      <c r="F1195">
        <f>'T_TTAFStock'!D39</f>
        <v/>
      </c>
      <c r="G1195">
        <f>'T_TTAFStock'!E39</f>
        <v/>
      </c>
      <c r="H1195">
        <f>'T_TTAFStock'!F39</f>
        <v/>
      </c>
      <c r="I1195">
        <f>'T_TTAFStock'!G39</f>
        <v/>
      </c>
      <c r="J1195">
        <f>'T_TTAFStock'!H39</f>
        <v/>
      </c>
      <c r="K1195">
        <f>'T_TTAFStock'!I39</f>
        <v/>
      </c>
      <c r="L1195">
        <f>'T_TTAFStock'!J39</f>
        <v/>
      </c>
      <c r="M1195">
        <f>'T_TTAFStock'!K39</f>
        <v/>
      </c>
      <c r="N1195">
        <f>'T_TTAFStock'!L39</f>
        <v/>
      </c>
      <c r="O1195">
        <f>'T_TTAFStock'!M39</f>
        <v/>
      </c>
      <c r="P1195">
        <f>'T_TTAFStock'!N39</f>
        <v/>
      </c>
      <c r="Q1195">
        <f>'T_TTAFStock'!O39</f>
        <v/>
      </c>
      <c r="R1195">
        <f>'T_TTAFStock'!P39</f>
        <v/>
      </c>
      <c r="S1195">
        <f>'T_TTAFStock'!Q39</f>
        <v/>
      </c>
      <c r="T1195">
        <f>'T_TTAFStock'!R39</f>
        <v/>
      </c>
      <c r="U1195">
        <f>'T_TTAFStock'!S39</f>
        <v/>
      </c>
      <c r="V1195">
        <f>'T_TTAFStock'!T39</f>
        <v/>
      </c>
      <c r="W1195">
        <f>'T_TTAFStock'!U39</f>
        <v/>
      </c>
      <c r="X1195">
        <f>'T_TTAFStock'!V39</f>
        <v/>
      </c>
      <c r="Y1195">
        <f>'T_TTAFStock'!W39</f>
        <v/>
      </c>
      <c r="Z1195">
        <f>'T_TTAFStock'!X39</f>
        <v/>
      </c>
      <c r="AA1195">
        <f>'T_TTAFStock'!Y39</f>
        <v/>
      </c>
      <c r="AB1195">
        <f>'T_TTAFStock'!Z39</f>
        <v/>
      </c>
      <c r="AC1195">
        <f>'T_TTAFStock'!AA39</f>
        <v/>
      </c>
      <c r="AD1195">
        <f>'T_TTAFStock'!AB39</f>
        <v/>
      </c>
      <c r="AE1195">
        <f>'T_TTAFStock'!AC39</f>
        <v/>
      </c>
      <c r="AF1195">
        <f>'T_TTAFStock'!AD39</f>
        <v/>
      </c>
      <c r="AG1195">
        <f>'T_TTAFStock'!AE39</f>
        <v/>
      </c>
      <c r="AH1195">
        <f>'T_TTAFStock'!AF39</f>
        <v/>
      </c>
      <c r="AI1195">
        <f>'T_TTAFStock'!AG39</f>
        <v/>
      </c>
      <c r="AJ1195">
        <f>'T_TTAFStock'!AH39</f>
        <v/>
      </c>
      <c r="AK1195">
        <f>'T_TTAFStock'!AI39</f>
        <v/>
      </c>
      <c r="AL1195">
        <f>'T_TTAFStock'!AJ39</f>
        <v/>
      </c>
      <c r="AM1195">
        <f>'T_TTAFStock'!AK39</f>
        <v/>
      </c>
      <c r="AN1195">
        <f>'T_TTAFStock'!AL39</f>
        <v/>
      </c>
      <c r="AO1195">
        <f>'T_TTAFStock'!AM39</f>
        <v/>
      </c>
      <c r="AP1195">
        <f>'T_TTAFStock'!AN39</f>
        <v/>
      </c>
      <c r="AQ1195">
        <f>'T_TTAFStock'!AO39</f>
        <v/>
      </c>
      <c r="AR1195">
        <f>'T_TTAFStock'!AP39</f>
        <v/>
      </c>
      <c r="AS1195">
        <f>'T_TTAFStock'!AQ39</f>
        <v/>
      </c>
      <c r="AT1195">
        <f>'T_TTAFStock'!AR39</f>
        <v/>
      </c>
      <c r="AU1195">
        <f>'T_TTAFStock'!AS39</f>
        <v/>
      </c>
      <c r="AV1195">
        <f>'T_TTAFStock'!AT39</f>
        <v/>
      </c>
      <c r="AW1195">
        <f>'T_TTAFStock'!AU39</f>
        <v/>
      </c>
      <c r="AX1195">
        <f>'T_TTAFStock'!AV39</f>
        <v/>
      </c>
      <c r="AY1195">
        <f>'T_TTAFStock'!AW39</f>
        <v/>
      </c>
      <c r="AZ1195">
        <f>'T_TTAFStock'!AX39</f>
        <v/>
      </c>
      <c r="BA1195">
        <f>'T_TTAFStock'!AY39</f>
        <v/>
      </c>
      <c r="BB1195">
        <f>'T_TTAFStock'!AZ39</f>
        <v/>
      </c>
      <c r="BC1195">
        <f>'T_TTAFStock'!BA39</f>
        <v/>
      </c>
      <c r="BD1195">
        <f>'T_TTAFStock'!BB39</f>
        <v/>
      </c>
      <c r="BE1195">
        <f>'T_TTAFStock'!BC39</f>
        <v/>
      </c>
      <c r="BF1195">
        <f>'T_TTAFStock'!BD39</f>
        <v/>
      </c>
      <c r="BG1195">
        <f>'T_TTAFStock'!BE39</f>
        <v/>
      </c>
      <c r="BH1195">
        <f>'T_TTAFStock'!BF39</f>
        <v/>
      </c>
      <c r="BI1195">
        <f>'T_TTAFStock'!BG39</f>
        <v/>
      </c>
      <c r="BJ1195">
        <f>'T_TTAFStock'!BH39</f>
        <v/>
      </c>
      <c r="BK1195">
        <f>'T_TTAFStock'!BI39</f>
        <v/>
      </c>
      <c r="BL1195">
        <f>'T_TTAFStock'!BJ39</f>
        <v/>
      </c>
      <c r="BM1195">
        <f>'T_TTAFStock'!BK39</f>
        <v/>
      </c>
      <c r="BN1195">
        <f>'T_TTAFStock'!BL39</f>
        <v/>
      </c>
      <c r="BO1195">
        <f>'T_TTAFStock'!BM39</f>
        <v/>
      </c>
      <c r="BP1195">
        <f>'T_TTAFStock'!BN39</f>
        <v/>
      </c>
      <c r="BQ1195">
        <f>'T_TTAFStock'!BO39</f>
        <v/>
      </c>
      <c r="BR1195">
        <f>'T_TTAFStock'!BP39</f>
        <v/>
      </c>
      <c r="BS1195">
        <f>'T_TTAFStock'!BQ39</f>
        <v/>
      </c>
      <c r="BT1195">
        <f>'T_TTAFStock'!BR39</f>
        <v/>
      </c>
      <c r="BU1195">
        <f>'T_TTAFStock'!BS39</f>
        <v/>
      </c>
      <c r="BV1195">
        <f>'T_TTAFStock'!BT39</f>
        <v/>
      </c>
      <c r="BW1195">
        <f>'T_TTAFStock'!BU39</f>
        <v/>
      </c>
      <c r="BX1195">
        <f>'T_TTAFStock'!BV39</f>
        <v/>
      </c>
      <c r="BY1195">
        <f>'T_TTAFStock'!BW39</f>
        <v/>
      </c>
      <c r="BZ1195">
        <f>'T_TTAFStock'!BX39</f>
        <v/>
      </c>
      <c r="CA1195">
        <f>'T_TTAFStock'!BY39</f>
        <v/>
      </c>
      <c r="CB1195">
        <f>'T_TTAFStock'!BZ39</f>
        <v/>
      </c>
      <c r="CC1195">
        <f>'T_TTAFStock'!CA39</f>
        <v/>
      </c>
      <c r="CD1195">
        <f>'T_TTAFStock'!CB39</f>
        <v/>
      </c>
      <c r="CE1195">
        <f>'T_TTAFStock'!CC39</f>
        <v/>
      </c>
      <c r="CF1195">
        <f>'T_TTAFStock'!CD39</f>
        <v/>
      </c>
      <c r="CG1195">
        <f>'T_TTAFStock'!CE39</f>
        <v/>
      </c>
      <c r="CH1195">
        <f>'T_TTAFStock'!CF39</f>
        <v/>
      </c>
      <c r="CI1195">
        <f>'T_TTAFStock'!CG39</f>
        <v/>
      </c>
      <c r="CJ1195">
        <f>'T_TTAFStock'!CH39</f>
        <v/>
      </c>
      <c r="CK1195">
        <f>'T_TTAFStock'!CI39</f>
        <v/>
      </c>
      <c r="CL1195">
        <f>'T_TTAFStock'!CJ39</f>
        <v/>
      </c>
      <c r="CM1195">
        <f>'T_TTAFStock'!CK39</f>
        <v/>
      </c>
      <c r="CN1195">
        <f>'T_TTAFStock'!CL39</f>
        <v/>
      </c>
      <c r="CO1195">
        <f>'T_TTAFStock'!CM39</f>
        <v/>
      </c>
      <c r="CP1195">
        <f>'T_TTAFStock'!CN39</f>
        <v/>
      </c>
      <c r="CQ1195">
        <f>'T_TTAFStock'!CO39</f>
        <v/>
      </c>
      <c r="CR1195">
        <f>'T_TTAFStock'!CP39</f>
        <v/>
      </c>
      <c r="CS1195">
        <f>'T_TTAFStock'!CQ39</f>
        <v/>
      </c>
      <c r="CT1195">
        <f>'T_TTAFStock'!CR39</f>
        <v/>
      </c>
      <c r="CU1195">
        <f>'T_TTAFStock'!CS39</f>
        <v/>
      </c>
      <c r="CV1195">
        <f>'T_TTAFStock'!CT39</f>
        <v/>
      </c>
      <c r="CW1195">
        <f>'T_TTAFStock'!CU39</f>
        <v/>
      </c>
      <c r="CX1195">
        <f>'T_TTAFStock'!CV39</f>
        <v/>
      </c>
      <c r="CY1195">
        <f>'T_TTAFStock'!CW39</f>
        <v/>
      </c>
      <c r="CZ1195">
        <f>'T_TTAFStock'!CX39</f>
        <v/>
      </c>
      <c r="DA1195">
        <f>'T_TTAFStock'!CY39</f>
        <v/>
      </c>
      <c r="DB1195">
        <f>'T_TTAFStock'!CZ39</f>
        <v/>
      </c>
      <c r="DC1195">
        <f>'T_TTAFStock'!DA39</f>
        <v/>
      </c>
    </row>
    <row r="1196">
      <c r="B1196" t="inlineStr">
        <is>
          <t>自社在庫(実績,kg)</t>
        </is>
      </c>
      <c r="D1196">
        <f>'T_SelfStock'!B39</f>
        <v/>
      </c>
      <c r="E1196">
        <f>'T_SelfStock'!C39</f>
        <v/>
      </c>
      <c r="F1196">
        <f>'T_SelfStock'!D39</f>
        <v/>
      </c>
      <c r="G1196">
        <f>'T_SelfStock'!E39</f>
        <v/>
      </c>
      <c r="H1196">
        <f>'T_SelfStock'!F39</f>
        <v/>
      </c>
      <c r="I1196">
        <f>'T_SelfStock'!G39</f>
        <v/>
      </c>
      <c r="J1196">
        <f>'T_SelfStock'!H39</f>
        <v/>
      </c>
      <c r="K1196">
        <f>'T_SelfStock'!I39</f>
        <v/>
      </c>
      <c r="L1196">
        <f>'T_SelfStock'!J39</f>
        <v/>
      </c>
      <c r="M1196">
        <f>'T_SelfStock'!K39</f>
        <v/>
      </c>
      <c r="N1196">
        <f>'T_SelfStock'!L39</f>
        <v/>
      </c>
      <c r="O1196">
        <f>'T_SelfStock'!M39</f>
        <v/>
      </c>
      <c r="P1196">
        <f>'T_SelfStock'!N39</f>
        <v/>
      </c>
      <c r="Q1196">
        <f>'T_SelfStock'!O39</f>
        <v/>
      </c>
      <c r="R1196">
        <f>'T_SelfStock'!P39</f>
        <v/>
      </c>
      <c r="S1196">
        <f>'T_SelfStock'!Q39</f>
        <v/>
      </c>
      <c r="T1196">
        <f>'T_SelfStock'!R39</f>
        <v/>
      </c>
      <c r="U1196">
        <f>'T_SelfStock'!S39</f>
        <v/>
      </c>
      <c r="V1196">
        <f>'T_SelfStock'!T39</f>
        <v/>
      </c>
      <c r="W1196">
        <f>'T_SelfStock'!U39</f>
        <v/>
      </c>
      <c r="X1196">
        <f>'T_SelfStock'!V39</f>
        <v/>
      </c>
      <c r="Y1196">
        <f>'T_SelfStock'!W39</f>
        <v/>
      </c>
      <c r="Z1196">
        <f>'T_SelfStock'!X39</f>
        <v/>
      </c>
      <c r="AA1196">
        <f>'T_SelfStock'!Y39</f>
        <v/>
      </c>
      <c r="AB1196">
        <f>'T_SelfStock'!Z39</f>
        <v/>
      </c>
      <c r="AC1196">
        <f>'T_SelfStock'!AA39</f>
        <v/>
      </c>
      <c r="AD1196">
        <f>'T_SelfStock'!AB39</f>
        <v/>
      </c>
      <c r="AE1196">
        <f>'T_SelfStock'!AC39</f>
        <v/>
      </c>
      <c r="AF1196">
        <f>'T_SelfStock'!AD39</f>
        <v/>
      </c>
      <c r="AG1196">
        <f>'T_SelfStock'!AE39</f>
        <v/>
      </c>
      <c r="AH1196">
        <f>'T_SelfStock'!AF39</f>
        <v/>
      </c>
      <c r="AI1196">
        <f>'T_SelfStock'!AG39</f>
        <v/>
      </c>
      <c r="AJ1196">
        <f>'T_SelfStock'!AH39</f>
        <v/>
      </c>
      <c r="AK1196">
        <f>'T_SelfStock'!AI39</f>
        <v/>
      </c>
      <c r="AL1196">
        <f>'T_SelfStock'!AJ39</f>
        <v/>
      </c>
      <c r="AM1196">
        <f>'T_SelfStock'!AK39</f>
        <v/>
      </c>
      <c r="AN1196">
        <f>'T_SelfStock'!AL39</f>
        <v/>
      </c>
      <c r="AO1196">
        <f>'T_SelfStock'!AM39</f>
        <v/>
      </c>
      <c r="AP1196">
        <f>'T_SelfStock'!AN39</f>
        <v/>
      </c>
      <c r="AQ1196">
        <f>'T_SelfStock'!AO39</f>
        <v/>
      </c>
      <c r="AR1196">
        <f>'T_SelfStock'!AP39</f>
        <v/>
      </c>
      <c r="AS1196">
        <f>'T_SelfStock'!AQ39</f>
        <v/>
      </c>
      <c r="AT1196">
        <f>'T_SelfStock'!AR39</f>
        <v/>
      </c>
      <c r="AU1196">
        <f>'T_SelfStock'!AS39</f>
        <v/>
      </c>
      <c r="AV1196">
        <f>'T_SelfStock'!AT39</f>
        <v/>
      </c>
      <c r="AW1196">
        <f>'T_SelfStock'!AU39</f>
        <v/>
      </c>
      <c r="AX1196">
        <f>'T_SelfStock'!AV39</f>
        <v/>
      </c>
      <c r="AY1196">
        <f>'T_SelfStock'!AW39</f>
        <v/>
      </c>
      <c r="AZ1196">
        <f>'T_SelfStock'!AX39</f>
        <v/>
      </c>
      <c r="BA1196">
        <f>'T_SelfStock'!AY39</f>
        <v/>
      </c>
      <c r="BB1196">
        <f>'T_SelfStock'!AZ39</f>
        <v/>
      </c>
      <c r="BC1196">
        <f>'T_SelfStock'!BA39</f>
        <v/>
      </c>
      <c r="BD1196">
        <f>'T_SelfStock'!BB39</f>
        <v/>
      </c>
      <c r="BE1196">
        <f>'T_SelfStock'!BC39</f>
        <v/>
      </c>
      <c r="BF1196">
        <f>'T_SelfStock'!BD39</f>
        <v/>
      </c>
      <c r="BG1196">
        <f>'T_SelfStock'!BE39</f>
        <v/>
      </c>
      <c r="BH1196">
        <f>'T_SelfStock'!BF39</f>
        <v/>
      </c>
      <c r="BI1196">
        <f>'T_SelfStock'!BG39</f>
        <v/>
      </c>
      <c r="BJ1196">
        <f>'T_SelfStock'!BH39</f>
        <v/>
      </c>
      <c r="BK1196">
        <f>'T_SelfStock'!BI39</f>
        <v/>
      </c>
      <c r="BL1196">
        <f>'T_SelfStock'!BJ39</f>
        <v/>
      </c>
      <c r="BM1196">
        <f>'T_SelfStock'!BK39</f>
        <v/>
      </c>
      <c r="BN1196">
        <f>'T_SelfStock'!BL39</f>
        <v/>
      </c>
      <c r="BO1196">
        <f>'T_SelfStock'!BM39</f>
        <v/>
      </c>
      <c r="BP1196">
        <f>'T_SelfStock'!BN39</f>
        <v/>
      </c>
      <c r="BQ1196">
        <f>'T_SelfStock'!BO39</f>
        <v/>
      </c>
      <c r="BR1196">
        <f>'T_SelfStock'!BP39</f>
        <v/>
      </c>
      <c r="BS1196">
        <f>'T_SelfStock'!BQ39</f>
        <v/>
      </c>
      <c r="BT1196">
        <f>'T_SelfStock'!BR39</f>
        <v/>
      </c>
      <c r="BU1196">
        <f>'T_SelfStock'!BS39</f>
        <v/>
      </c>
      <c r="BV1196">
        <f>'T_SelfStock'!BT39</f>
        <v/>
      </c>
      <c r="BW1196">
        <f>'T_SelfStock'!BU39</f>
        <v/>
      </c>
      <c r="BX1196">
        <f>'T_SelfStock'!BV39</f>
        <v/>
      </c>
      <c r="BY1196">
        <f>'T_SelfStock'!BW39</f>
        <v/>
      </c>
      <c r="BZ1196">
        <f>'T_SelfStock'!BX39</f>
        <v/>
      </c>
      <c r="CA1196">
        <f>'T_SelfStock'!BY39</f>
        <v/>
      </c>
      <c r="CB1196">
        <f>'T_SelfStock'!BZ39</f>
        <v/>
      </c>
      <c r="CC1196">
        <f>'T_SelfStock'!CA39</f>
        <v/>
      </c>
      <c r="CD1196">
        <f>'T_SelfStock'!CB39</f>
        <v/>
      </c>
      <c r="CE1196">
        <f>'T_SelfStock'!CC39</f>
        <v/>
      </c>
      <c r="CF1196">
        <f>'T_SelfStock'!CD39</f>
        <v/>
      </c>
      <c r="CG1196">
        <f>'T_SelfStock'!CE39</f>
        <v/>
      </c>
      <c r="CH1196">
        <f>'T_SelfStock'!CF39</f>
        <v/>
      </c>
      <c r="CI1196">
        <f>'T_SelfStock'!CG39</f>
        <v/>
      </c>
      <c r="CJ1196">
        <f>'T_SelfStock'!CH39</f>
        <v/>
      </c>
      <c r="CK1196">
        <f>'T_SelfStock'!CI39</f>
        <v/>
      </c>
      <c r="CL1196">
        <f>'T_SelfStock'!CJ39</f>
        <v/>
      </c>
      <c r="CM1196">
        <f>'T_SelfStock'!CK39</f>
        <v/>
      </c>
      <c r="CN1196">
        <f>'T_SelfStock'!CL39</f>
        <v/>
      </c>
      <c r="CO1196">
        <f>'T_SelfStock'!CM39</f>
        <v/>
      </c>
      <c r="CP1196">
        <f>'T_SelfStock'!CN39</f>
        <v/>
      </c>
      <c r="CQ1196">
        <f>'T_SelfStock'!CO39</f>
        <v/>
      </c>
      <c r="CR1196">
        <f>'T_SelfStock'!CP39</f>
        <v/>
      </c>
      <c r="CS1196">
        <f>'T_SelfStock'!CQ39</f>
        <v/>
      </c>
      <c r="CT1196">
        <f>'T_SelfStock'!CR39</f>
        <v/>
      </c>
      <c r="CU1196">
        <f>'T_SelfStock'!CS39</f>
        <v/>
      </c>
      <c r="CV1196">
        <f>'T_SelfStock'!CT39</f>
        <v/>
      </c>
      <c r="CW1196">
        <f>'T_SelfStock'!CU39</f>
        <v/>
      </c>
      <c r="CX1196">
        <f>'T_SelfStock'!CV39</f>
        <v/>
      </c>
      <c r="CY1196">
        <f>'T_SelfStock'!CW39</f>
        <v/>
      </c>
      <c r="CZ1196">
        <f>'T_SelfStock'!CX39</f>
        <v/>
      </c>
      <c r="DA1196">
        <f>'T_SelfStock'!CY39</f>
        <v/>
      </c>
      <c r="DB1196">
        <f>'T_SelfStock'!CZ39</f>
        <v/>
      </c>
      <c r="DC1196">
        <f>'T_SelfStock'!DA39</f>
        <v/>
      </c>
    </row>
    <row r="1197">
      <c r="B1197" t="inlineStr">
        <is>
          <t>Order(発注予定,kg)</t>
        </is>
      </c>
      <c r="D1197">
        <f>IF(SUMIFS(T_PlannedOrders[EffectiveQty],T_PlannedOrders[Part Name],$A1179,T_PlannedOrders[WeekIndex],1)=0,"",SUMIFS(T_PlannedOrders[EffectiveQty],T_PlannedOrders[Part Name],$A1179,T_PlannedOrders[WeekIndex],1)&amp;" ("&amp;TEXT(SUMPRODUCT(MAX((T_PlannedOrders[Part Name]=$A1179)*(T_PlannedOrders[WeekIndex]=1)*(T_PlannedOrders[EffectiveQty]&gt;0)*T_PlannedOrders[Order_Month])),"m月")&amp;"発注)")</f>
        <v/>
      </c>
      <c r="E1197">
        <f>IF(SUMIFS(T_PlannedOrders[EffectiveQty],T_PlannedOrders[Part Name],$A1179,T_PlannedOrders[WeekIndex],2)=0,"",SUMIFS(T_PlannedOrders[EffectiveQty],T_PlannedOrders[Part Name],$A1179,T_PlannedOrders[WeekIndex],2)&amp;" ("&amp;TEXT(SUMPRODUCT(MAX((T_PlannedOrders[Part Name]=$A1179)*(T_PlannedOrders[WeekIndex]=2)*(T_PlannedOrders[EffectiveQty]&gt;0)*T_PlannedOrders[Order_Month])),"m月")&amp;"発注)")</f>
        <v/>
      </c>
      <c r="F1197">
        <f>IF(SUMIFS(T_PlannedOrders[EffectiveQty],T_PlannedOrders[Part Name],$A1179,T_PlannedOrders[WeekIndex],3)=0,"",SUMIFS(T_PlannedOrders[EffectiveQty],T_PlannedOrders[Part Name],$A1179,T_PlannedOrders[WeekIndex],3)&amp;" ("&amp;TEXT(SUMPRODUCT(MAX((T_PlannedOrders[Part Name]=$A1179)*(T_PlannedOrders[WeekIndex]=3)*(T_PlannedOrders[EffectiveQty]&gt;0)*T_PlannedOrders[Order_Month])),"m月")&amp;"発注)")</f>
        <v/>
      </c>
      <c r="G1197">
        <f>IF(SUMIFS(T_PlannedOrders[EffectiveQty],T_PlannedOrders[Part Name],$A1179,T_PlannedOrders[WeekIndex],4)=0,"",SUMIFS(T_PlannedOrders[EffectiveQty],T_PlannedOrders[Part Name],$A1179,T_PlannedOrders[WeekIndex],4)&amp;" ("&amp;TEXT(SUMPRODUCT(MAX((T_PlannedOrders[Part Name]=$A1179)*(T_PlannedOrders[WeekIndex]=4)*(T_PlannedOrders[EffectiveQty]&gt;0)*T_PlannedOrders[Order_Month])),"m月")&amp;"発注)")</f>
        <v/>
      </c>
      <c r="H1197">
        <f>IF(SUMIFS(T_PlannedOrders[EffectiveQty],T_PlannedOrders[Part Name],$A1179,T_PlannedOrders[WeekIndex],5)=0,"",SUMIFS(T_PlannedOrders[EffectiveQty],T_PlannedOrders[Part Name],$A1179,T_PlannedOrders[WeekIndex],5)&amp;" ("&amp;TEXT(SUMPRODUCT(MAX((T_PlannedOrders[Part Name]=$A1179)*(T_PlannedOrders[WeekIndex]=5)*(T_PlannedOrders[EffectiveQty]&gt;0)*T_PlannedOrders[Order_Month])),"m月")&amp;"発注)")</f>
        <v/>
      </c>
      <c r="I1197">
        <f>IF(SUMIFS(T_PlannedOrders[EffectiveQty],T_PlannedOrders[Part Name],$A1179,T_PlannedOrders[WeekIndex],6)=0,"",SUMIFS(T_PlannedOrders[EffectiveQty],T_PlannedOrders[Part Name],$A1179,T_PlannedOrders[WeekIndex],6)&amp;" ("&amp;TEXT(SUMPRODUCT(MAX((T_PlannedOrders[Part Name]=$A1179)*(T_PlannedOrders[WeekIndex]=6)*(T_PlannedOrders[EffectiveQty]&gt;0)*T_PlannedOrders[Order_Month])),"m月")&amp;"発注)")</f>
        <v/>
      </c>
      <c r="J1197">
        <f>IF(SUMIFS(T_PlannedOrders[EffectiveQty],T_PlannedOrders[Part Name],$A1179,T_PlannedOrders[WeekIndex],7)=0,"",SUMIFS(T_PlannedOrders[EffectiveQty],T_PlannedOrders[Part Name],$A1179,T_PlannedOrders[WeekIndex],7)&amp;" ("&amp;TEXT(SUMPRODUCT(MAX((T_PlannedOrders[Part Name]=$A1179)*(T_PlannedOrders[WeekIndex]=7)*(T_PlannedOrders[EffectiveQty]&gt;0)*T_PlannedOrders[Order_Month])),"m月")&amp;"発注)")</f>
        <v/>
      </c>
      <c r="K1197">
        <f>IF(SUMIFS(T_PlannedOrders[EffectiveQty],T_PlannedOrders[Part Name],$A1179,T_PlannedOrders[WeekIndex],8)=0,"",SUMIFS(T_PlannedOrders[EffectiveQty],T_PlannedOrders[Part Name],$A1179,T_PlannedOrders[WeekIndex],8)&amp;" ("&amp;TEXT(SUMPRODUCT(MAX((T_PlannedOrders[Part Name]=$A1179)*(T_PlannedOrders[WeekIndex]=8)*(T_PlannedOrders[EffectiveQty]&gt;0)*T_PlannedOrders[Order_Month])),"m月")&amp;"発注)")</f>
        <v/>
      </c>
      <c r="L1197">
        <f>IF(SUMIFS(T_PlannedOrders[EffectiveQty],T_PlannedOrders[Part Name],$A1179,T_PlannedOrders[WeekIndex],9)=0,"",SUMIFS(T_PlannedOrders[EffectiveQty],T_PlannedOrders[Part Name],$A1179,T_PlannedOrders[WeekIndex],9)&amp;" ("&amp;TEXT(SUMPRODUCT(MAX((T_PlannedOrders[Part Name]=$A1179)*(T_PlannedOrders[WeekIndex]=9)*(T_PlannedOrders[EffectiveQty]&gt;0)*T_PlannedOrders[Order_Month])),"m月")&amp;"発注)")</f>
        <v/>
      </c>
      <c r="M1197">
        <f>IF(SUMIFS(T_PlannedOrders[EffectiveQty],T_PlannedOrders[Part Name],$A1179,T_PlannedOrders[WeekIndex],10)=0,"",SUMIFS(T_PlannedOrders[EffectiveQty],T_PlannedOrders[Part Name],$A1179,T_PlannedOrders[WeekIndex],10)&amp;" ("&amp;TEXT(SUMPRODUCT(MAX((T_PlannedOrders[Part Name]=$A1179)*(T_PlannedOrders[WeekIndex]=10)*(T_PlannedOrders[EffectiveQty]&gt;0)*T_PlannedOrders[Order_Month])),"m月")&amp;"発注)")</f>
        <v/>
      </c>
      <c r="N1197">
        <f>IF(SUMIFS(T_PlannedOrders[EffectiveQty],T_PlannedOrders[Part Name],$A1179,T_PlannedOrders[WeekIndex],11)=0,"",SUMIFS(T_PlannedOrders[EffectiveQty],T_PlannedOrders[Part Name],$A1179,T_PlannedOrders[WeekIndex],11)&amp;" ("&amp;TEXT(SUMPRODUCT(MAX((T_PlannedOrders[Part Name]=$A1179)*(T_PlannedOrders[WeekIndex]=11)*(T_PlannedOrders[EffectiveQty]&gt;0)*T_PlannedOrders[Order_Month])),"m月")&amp;"発注)")</f>
        <v/>
      </c>
      <c r="O1197">
        <f>IF(SUMIFS(T_PlannedOrders[EffectiveQty],T_PlannedOrders[Part Name],$A1179,T_PlannedOrders[WeekIndex],12)=0,"",SUMIFS(T_PlannedOrders[EffectiveQty],T_PlannedOrders[Part Name],$A1179,T_PlannedOrders[WeekIndex],12)&amp;" ("&amp;TEXT(SUMPRODUCT(MAX((T_PlannedOrders[Part Name]=$A1179)*(T_PlannedOrders[WeekIndex]=12)*(T_PlannedOrders[EffectiveQty]&gt;0)*T_PlannedOrders[Order_Month])),"m月")&amp;"発注)")</f>
        <v/>
      </c>
      <c r="P1197">
        <f>IF(SUMIFS(T_PlannedOrders[EffectiveQty],T_PlannedOrders[Part Name],$A1179,T_PlannedOrders[WeekIndex],13)=0,"",SUMIFS(T_PlannedOrders[EffectiveQty],T_PlannedOrders[Part Name],$A1179,T_PlannedOrders[WeekIndex],13)&amp;" ("&amp;TEXT(SUMPRODUCT(MAX((T_PlannedOrders[Part Name]=$A1179)*(T_PlannedOrders[WeekIndex]=13)*(T_PlannedOrders[EffectiveQty]&gt;0)*T_PlannedOrders[Order_Month])),"m月")&amp;"発注)")</f>
        <v/>
      </c>
      <c r="Q1197">
        <f>IF(SUMIFS(T_PlannedOrders[EffectiveQty],T_PlannedOrders[Part Name],$A1179,T_PlannedOrders[WeekIndex],14)=0,"",SUMIFS(T_PlannedOrders[EffectiveQty],T_PlannedOrders[Part Name],$A1179,T_PlannedOrders[WeekIndex],14)&amp;" ("&amp;TEXT(SUMPRODUCT(MAX((T_PlannedOrders[Part Name]=$A1179)*(T_PlannedOrders[WeekIndex]=14)*(T_PlannedOrders[EffectiveQty]&gt;0)*T_PlannedOrders[Order_Month])),"m月")&amp;"発注)")</f>
        <v/>
      </c>
      <c r="R1197">
        <f>IF(SUMIFS(T_PlannedOrders[EffectiveQty],T_PlannedOrders[Part Name],$A1179,T_PlannedOrders[WeekIndex],15)=0,"",SUMIFS(T_PlannedOrders[EffectiveQty],T_PlannedOrders[Part Name],$A1179,T_PlannedOrders[WeekIndex],15)&amp;" ("&amp;TEXT(SUMPRODUCT(MAX((T_PlannedOrders[Part Name]=$A1179)*(T_PlannedOrders[WeekIndex]=15)*(T_PlannedOrders[EffectiveQty]&gt;0)*T_PlannedOrders[Order_Month])),"m月")&amp;"発注)")</f>
        <v/>
      </c>
      <c r="S1197">
        <f>IF(SUMIFS(T_PlannedOrders[EffectiveQty],T_PlannedOrders[Part Name],$A1179,T_PlannedOrders[WeekIndex],16)=0,"",SUMIFS(T_PlannedOrders[EffectiveQty],T_PlannedOrders[Part Name],$A1179,T_PlannedOrders[WeekIndex],16)&amp;" ("&amp;TEXT(SUMPRODUCT(MAX((T_PlannedOrders[Part Name]=$A1179)*(T_PlannedOrders[WeekIndex]=16)*(T_PlannedOrders[EffectiveQty]&gt;0)*T_PlannedOrders[Order_Month])),"m月")&amp;"発注)")</f>
        <v/>
      </c>
      <c r="T1197">
        <f>IF(SUMIFS(T_PlannedOrders[EffectiveQty],T_PlannedOrders[Part Name],$A1179,T_PlannedOrders[WeekIndex],17)=0,"",SUMIFS(T_PlannedOrders[EffectiveQty],T_PlannedOrders[Part Name],$A1179,T_PlannedOrders[WeekIndex],17)&amp;" ("&amp;TEXT(SUMPRODUCT(MAX((T_PlannedOrders[Part Name]=$A1179)*(T_PlannedOrders[WeekIndex]=17)*(T_PlannedOrders[EffectiveQty]&gt;0)*T_PlannedOrders[Order_Month])),"m月")&amp;"発注)")</f>
        <v/>
      </c>
      <c r="U1197">
        <f>IF(SUMIFS(T_PlannedOrders[EffectiveQty],T_PlannedOrders[Part Name],$A1179,T_PlannedOrders[WeekIndex],18)=0,"",SUMIFS(T_PlannedOrders[EffectiveQty],T_PlannedOrders[Part Name],$A1179,T_PlannedOrders[WeekIndex],18)&amp;" ("&amp;TEXT(SUMPRODUCT(MAX((T_PlannedOrders[Part Name]=$A1179)*(T_PlannedOrders[WeekIndex]=18)*(T_PlannedOrders[EffectiveQty]&gt;0)*T_PlannedOrders[Order_Month])),"m月")&amp;"発注)")</f>
        <v/>
      </c>
      <c r="V1197">
        <f>IF(SUMIFS(T_PlannedOrders[EffectiveQty],T_PlannedOrders[Part Name],$A1179,T_PlannedOrders[WeekIndex],19)=0,"",SUMIFS(T_PlannedOrders[EffectiveQty],T_PlannedOrders[Part Name],$A1179,T_PlannedOrders[WeekIndex],19)&amp;" ("&amp;TEXT(SUMPRODUCT(MAX((T_PlannedOrders[Part Name]=$A1179)*(T_PlannedOrders[WeekIndex]=19)*(T_PlannedOrders[EffectiveQty]&gt;0)*T_PlannedOrders[Order_Month])),"m月")&amp;"発注)")</f>
        <v/>
      </c>
      <c r="W1197">
        <f>IF(SUMIFS(T_PlannedOrders[EffectiveQty],T_PlannedOrders[Part Name],$A1179,T_PlannedOrders[WeekIndex],20)=0,"",SUMIFS(T_PlannedOrders[EffectiveQty],T_PlannedOrders[Part Name],$A1179,T_PlannedOrders[WeekIndex],20)&amp;" ("&amp;TEXT(SUMPRODUCT(MAX((T_PlannedOrders[Part Name]=$A1179)*(T_PlannedOrders[WeekIndex]=20)*(T_PlannedOrders[EffectiveQty]&gt;0)*T_PlannedOrders[Order_Month])),"m月")&amp;"発注)")</f>
        <v/>
      </c>
      <c r="X1197">
        <f>IF(SUMIFS(T_PlannedOrders[EffectiveQty],T_PlannedOrders[Part Name],$A1179,T_PlannedOrders[WeekIndex],21)=0,"",SUMIFS(T_PlannedOrders[EffectiveQty],T_PlannedOrders[Part Name],$A1179,T_PlannedOrders[WeekIndex],21)&amp;" ("&amp;TEXT(SUMPRODUCT(MAX((T_PlannedOrders[Part Name]=$A1179)*(T_PlannedOrders[WeekIndex]=21)*(T_PlannedOrders[EffectiveQty]&gt;0)*T_PlannedOrders[Order_Month])),"m月")&amp;"発注)")</f>
        <v/>
      </c>
      <c r="Y1197">
        <f>IF(SUMIFS(T_PlannedOrders[EffectiveQty],T_PlannedOrders[Part Name],$A1179,T_PlannedOrders[WeekIndex],22)=0,"",SUMIFS(T_PlannedOrders[EffectiveQty],T_PlannedOrders[Part Name],$A1179,T_PlannedOrders[WeekIndex],22)&amp;" ("&amp;TEXT(SUMPRODUCT(MAX((T_PlannedOrders[Part Name]=$A1179)*(T_PlannedOrders[WeekIndex]=22)*(T_PlannedOrders[EffectiveQty]&gt;0)*T_PlannedOrders[Order_Month])),"m月")&amp;"発注)")</f>
        <v/>
      </c>
      <c r="Z1197">
        <f>IF(SUMIFS(T_PlannedOrders[EffectiveQty],T_PlannedOrders[Part Name],$A1179,T_PlannedOrders[WeekIndex],23)=0,"",SUMIFS(T_PlannedOrders[EffectiveQty],T_PlannedOrders[Part Name],$A1179,T_PlannedOrders[WeekIndex],23)&amp;" ("&amp;TEXT(SUMPRODUCT(MAX((T_PlannedOrders[Part Name]=$A1179)*(T_PlannedOrders[WeekIndex]=23)*(T_PlannedOrders[EffectiveQty]&gt;0)*T_PlannedOrders[Order_Month])),"m月")&amp;"発注)")</f>
        <v/>
      </c>
      <c r="AA1197">
        <f>IF(SUMIFS(T_PlannedOrders[EffectiveQty],T_PlannedOrders[Part Name],$A1179,T_PlannedOrders[WeekIndex],24)=0,"",SUMIFS(T_PlannedOrders[EffectiveQty],T_PlannedOrders[Part Name],$A1179,T_PlannedOrders[WeekIndex],24)&amp;" ("&amp;TEXT(SUMPRODUCT(MAX((T_PlannedOrders[Part Name]=$A1179)*(T_PlannedOrders[WeekIndex]=24)*(T_PlannedOrders[EffectiveQty]&gt;0)*T_PlannedOrders[Order_Month])),"m月")&amp;"発注)")</f>
        <v/>
      </c>
      <c r="AB1197">
        <f>IF(SUMIFS(T_PlannedOrders[EffectiveQty],T_PlannedOrders[Part Name],$A1179,T_PlannedOrders[WeekIndex],25)=0,"",SUMIFS(T_PlannedOrders[EffectiveQty],T_PlannedOrders[Part Name],$A1179,T_PlannedOrders[WeekIndex],25)&amp;" ("&amp;TEXT(SUMPRODUCT(MAX((T_PlannedOrders[Part Name]=$A1179)*(T_PlannedOrders[WeekIndex]=25)*(T_PlannedOrders[EffectiveQty]&gt;0)*T_PlannedOrders[Order_Month])),"m月")&amp;"発注)")</f>
        <v/>
      </c>
      <c r="AC1197">
        <f>IF(SUMIFS(T_PlannedOrders[EffectiveQty],T_PlannedOrders[Part Name],$A1179,T_PlannedOrders[WeekIndex],26)=0,"",SUMIFS(T_PlannedOrders[EffectiveQty],T_PlannedOrders[Part Name],$A1179,T_PlannedOrders[WeekIndex],26)&amp;" ("&amp;TEXT(SUMPRODUCT(MAX((T_PlannedOrders[Part Name]=$A1179)*(T_PlannedOrders[WeekIndex]=26)*(T_PlannedOrders[EffectiveQty]&gt;0)*T_PlannedOrders[Order_Month])),"m月")&amp;"発注)")</f>
        <v/>
      </c>
      <c r="AD1197">
        <f>IF(SUMIFS(T_PlannedOrders[EffectiveQty],T_PlannedOrders[Part Name],$A1179,T_PlannedOrders[WeekIndex],27)=0,"",SUMIFS(T_PlannedOrders[EffectiveQty],T_PlannedOrders[Part Name],$A1179,T_PlannedOrders[WeekIndex],27)&amp;" ("&amp;TEXT(SUMPRODUCT(MAX((T_PlannedOrders[Part Name]=$A1179)*(T_PlannedOrders[WeekIndex]=27)*(T_PlannedOrders[EffectiveQty]&gt;0)*T_PlannedOrders[Order_Month])),"m月")&amp;"発注)")</f>
        <v/>
      </c>
      <c r="AE1197">
        <f>IF(SUMIFS(T_PlannedOrders[EffectiveQty],T_PlannedOrders[Part Name],$A1179,T_PlannedOrders[WeekIndex],28)=0,"",SUMIFS(T_PlannedOrders[EffectiveQty],T_PlannedOrders[Part Name],$A1179,T_PlannedOrders[WeekIndex],28)&amp;" ("&amp;TEXT(SUMPRODUCT(MAX((T_PlannedOrders[Part Name]=$A1179)*(T_PlannedOrders[WeekIndex]=28)*(T_PlannedOrders[EffectiveQty]&gt;0)*T_PlannedOrders[Order_Month])),"m月")&amp;"発注)")</f>
        <v/>
      </c>
      <c r="AF1197">
        <f>IF(SUMIFS(T_PlannedOrders[EffectiveQty],T_PlannedOrders[Part Name],$A1179,T_PlannedOrders[WeekIndex],29)=0,"",SUMIFS(T_PlannedOrders[EffectiveQty],T_PlannedOrders[Part Name],$A1179,T_PlannedOrders[WeekIndex],29)&amp;" ("&amp;TEXT(SUMPRODUCT(MAX((T_PlannedOrders[Part Name]=$A1179)*(T_PlannedOrders[WeekIndex]=29)*(T_PlannedOrders[EffectiveQty]&gt;0)*T_PlannedOrders[Order_Month])),"m月")&amp;"発注)")</f>
        <v/>
      </c>
      <c r="AG1197">
        <f>IF(SUMIFS(T_PlannedOrders[EffectiveQty],T_PlannedOrders[Part Name],$A1179,T_PlannedOrders[WeekIndex],30)=0,"",SUMIFS(T_PlannedOrders[EffectiveQty],T_PlannedOrders[Part Name],$A1179,T_PlannedOrders[WeekIndex],30)&amp;" ("&amp;TEXT(SUMPRODUCT(MAX((T_PlannedOrders[Part Name]=$A1179)*(T_PlannedOrders[WeekIndex]=30)*(T_PlannedOrders[EffectiveQty]&gt;0)*T_PlannedOrders[Order_Month])),"m月")&amp;"発注)")</f>
        <v/>
      </c>
      <c r="AH1197">
        <f>IF(SUMIFS(T_PlannedOrders[EffectiveQty],T_PlannedOrders[Part Name],$A1179,T_PlannedOrders[WeekIndex],31)=0,"",SUMIFS(T_PlannedOrders[EffectiveQty],T_PlannedOrders[Part Name],$A1179,T_PlannedOrders[WeekIndex],31)&amp;" ("&amp;TEXT(SUMPRODUCT(MAX((T_PlannedOrders[Part Name]=$A1179)*(T_PlannedOrders[WeekIndex]=31)*(T_PlannedOrders[EffectiveQty]&gt;0)*T_PlannedOrders[Order_Month])),"m月")&amp;"発注)")</f>
        <v/>
      </c>
      <c r="AI1197">
        <f>IF(SUMIFS(T_PlannedOrders[EffectiveQty],T_PlannedOrders[Part Name],$A1179,T_PlannedOrders[WeekIndex],32)=0,"",SUMIFS(T_PlannedOrders[EffectiveQty],T_PlannedOrders[Part Name],$A1179,T_PlannedOrders[WeekIndex],32)&amp;" ("&amp;TEXT(SUMPRODUCT(MAX((T_PlannedOrders[Part Name]=$A1179)*(T_PlannedOrders[WeekIndex]=32)*(T_PlannedOrders[EffectiveQty]&gt;0)*T_PlannedOrders[Order_Month])),"m月")&amp;"発注)")</f>
        <v/>
      </c>
      <c r="AJ1197">
        <f>IF(SUMIFS(T_PlannedOrders[EffectiveQty],T_PlannedOrders[Part Name],$A1179,T_PlannedOrders[WeekIndex],33)=0,"",SUMIFS(T_PlannedOrders[EffectiveQty],T_PlannedOrders[Part Name],$A1179,T_PlannedOrders[WeekIndex],33)&amp;" ("&amp;TEXT(SUMPRODUCT(MAX((T_PlannedOrders[Part Name]=$A1179)*(T_PlannedOrders[WeekIndex]=33)*(T_PlannedOrders[EffectiveQty]&gt;0)*T_PlannedOrders[Order_Month])),"m月")&amp;"発注)")</f>
        <v/>
      </c>
      <c r="AK1197">
        <f>IF(SUMIFS(T_PlannedOrders[EffectiveQty],T_PlannedOrders[Part Name],$A1179,T_PlannedOrders[WeekIndex],34)=0,"",SUMIFS(T_PlannedOrders[EffectiveQty],T_PlannedOrders[Part Name],$A1179,T_PlannedOrders[WeekIndex],34)&amp;" ("&amp;TEXT(SUMPRODUCT(MAX((T_PlannedOrders[Part Name]=$A1179)*(T_PlannedOrders[WeekIndex]=34)*(T_PlannedOrders[EffectiveQty]&gt;0)*T_PlannedOrders[Order_Month])),"m月")&amp;"発注)")</f>
        <v/>
      </c>
      <c r="AL1197">
        <f>IF(SUMIFS(T_PlannedOrders[EffectiveQty],T_PlannedOrders[Part Name],$A1179,T_PlannedOrders[WeekIndex],35)=0,"",SUMIFS(T_PlannedOrders[EffectiveQty],T_PlannedOrders[Part Name],$A1179,T_PlannedOrders[WeekIndex],35)&amp;" ("&amp;TEXT(SUMPRODUCT(MAX((T_PlannedOrders[Part Name]=$A1179)*(T_PlannedOrders[WeekIndex]=35)*(T_PlannedOrders[EffectiveQty]&gt;0)*T_PlannedOrders[Order_Month])),"m月")&amp;"発注)")</f>
        <v/>
      </c>
      <c r="AM1197">
        <f>IF(SUMIFS(T_PlannedOrders[EffectiveQty],T_PlannedOrders[Part Name],$A1179,T_PlannedOrders[WeekIndex],36)=0,"",SUMIFS(T_PlannedOrders[EffectiveQty],T_PlannedOrders[Part Name],$A1179,T_PlannedOrders[WeekIndex],36)&amp;" ("&amp;TEXT(SUMPRODUCT(MAX((T_PlannedOrders[Part Name]=$A1179)*(T_PlannedOrders[WeekIndex]=36)*(T_PlannedOrders[EffectiveQty]&gt;0)*T_PlannedOrders[Order_Month])),"m月")&amp;"発注)")</f>
        <v/>
      </c>
      <c r="AN1197">
        <f>IF(SUMIFS(T_PlannedOrders[EffectiveQty],T_PlannedOrders[Part Name],$A1179,T_PlannedOrders[WeekIndex],37)=0,"",SUMIFS(T_PlannedOrders[EffectiveQty],T_PlannedOrders[Part Name],$A1179,T_PlannedOrders[WeekIndex],37)&amp;" ("&amp;TEXT(SUMPRODUCT(MAX((T_PlannedOrders[Part Name]=$A1179)*(T_PlannedOrders[WeekIndex]=37)*(T_PlannedOrders[EffectiveQty]&gt;0)*T_PlannedOrders[Order_Month])),"m月")&amp;"発注)")</f>
        <v/>
      </c>
      <c r="AO1197">
        <f>IF(SUMIFS(T_PlannedOrders[EffectiveQty],T_PlannedOrders[Part Name],$A1179,T_PlannedOrders[WeekIndex],38)=0,"",SUMIFS(T_PlannedOrders[EffectiveQty],T_PlannedOrders[Part Name],$A1179,T_PlannedOrders[WeekIndex],38)&amp;" ("&amp;TEXT(SUMPRODUCT(MAX((T_PlannedOrders[Part Name]=$A1179)*(T_PlannedOrders[WeekIndex]=38)*(T_PlannedOrders[EffectiveQty]&gt;0)*T_PlannedOrders[Order_Month])),"m月")&amp;"発注)")</f>
        <v/>
      </c>
      <c r="AP1197">
        <f>IF(SUMIFS(T_PlannedOrders[EffectiveQty],T_PlannedOrders[Part Name],$A1179,T_PlannedOrders[WeekIndex],39)=0,"",SUMIFS(T_PlannedOrders[EffectiveQty],T_PlannedOrders[Part Name],$A1179,T_PlannedOrders[WeekIndex],39)&amp;" ("&amp;TEXT(SUMPRODUCT(MAX((T_PlannedOrders[Part Name]=$A1179)*(T_PlannedOrders[WeekIndex]=39)*(T_PlannedOrders[EffectiveQty]&gt;0)*T_PlannedOrders[Order_Month])),"m月")&amp;"発注)")</f>
        <v/>
      </c>
      <c r="AQ1197">
        <f>IF(SUMIFS(T_PlannedOrders[EffectiveQty],T_PlannedOrders[Part Name],$A1179,T_PlannedOrders[WeekIndex],40)=0,"",SUMIFS(T_PlannedOrders[EffectiveQty],T_PlannedOrders[Part Name],$A1179,T_PlannedOrders[WeekIndex],40)&amp;" ("&amp;TEXT(SUMPRODUCT(MAX((T_PlannedOrders[Part Name]=$A1179)*(T_PlannedOrders[WeekIndex]=40)*(T_PlannedOrders[EffectiveQty]&gt;0)*T_PlannedOrders[Order_Month])),"m月")&amp;"発注)")</f>
        <v/>
      </c>
      <c r="AR1197">
        <f>IF(SUMIFS(T_PlannedOrders[EffectiveQty],T_PlannedOrders[Part Name],$A1179,T_PlannedOrders[WeekIndex],41)=0,"",SUMIFS(T_PlannedOrders[EffectiveQty],T_PlannedOrders[Part Name],$A1179,T_PlannedOrders[WeekIndex],41)&amp;" ("&amp;TEXT(SUMPRODUCT(MAX((T_PlannedOrders[Part Name]=$A1179)*(T_PlannedOrders[WeekIndex]=41)*(T_PlannedOrders[EffectiveQty]&gt;0)*T_PlannedOrders[Order_Month])),"m月")&amp;"発注)")</f>
        <v/>
      </c>
      <c r="AS1197">
        <f>IF(SUMIFS(T_PlannedOrders[EffectiveQty],T_PlannedOrders[Part Name],$A1179,T_PlannedOrders[WeekIndex],42)=0,"",SUMIFS(T_PlannedOrders[EffectiveQty],T_PlannedOrders[Part Name],$A1179,T_PlannedOrders[WeekIndex],42)&amp;" ("&amp;TEXT(SUMPRODUCT(MAX((T_PlannedOrders[Part Name]=$A1179)*(T_PlannedOrders[WeekIndex]=42)*(T_PlannedOrders[EffectiveQty]&gt;0)*T_PlannedOrders[Order_Month])),"m月")&amp;"発注)")</f>
        <v/>
      </c>
      <c r="AT1197">
        <f>IF(SUMIFS(T_PlannedOrders[EffectiveQty],T_PlannedOrders[Part Name],$A1179,T_PlannedOrders[WeekIndex],43)=0,"",SUMIFS(T_PlannedOrders[EffectiveQty],T_PlannedOrders[Part Name],$A1179,T_PlannedOrders[WeekIndex],43)&amp;" ("&amp;TEXT(SUMPRODUCT(MAX((T_PlannedOrders[Part Name]=$A1179)*(T_PlannedOrders[WeekIndex]=43)*(T_PlannedOrders[EffectiveQty]&gt;0)*T_PlannedOrders[Order_Month])),"m月")&amp;"発注)")</f>
        <v/>
      </c>
      <c r="AU1197">
        <f>IF(SUMIFS(T_PlannedOrders[EffectiveQty],T_PlannedOrders[Part Name],$A1179,T_PlannedOrders[WeekIndex],44)=0,"",SUMIFS(T_PlannedOrders[EffectiveQty],T_PlannedOrders[Part Name],$A1179,T_PlannedOrders[WeekIndex],44)&amp;" ("&amp;TEXT(SUMPRODUCT(MAX((T_PlannedOrders[Part Name]=$A1179)*(T_PlannedOrders[WeekIndex]=44)*(T_PlannedOrders[EffectiveQty]&gt;0)*T_PlannedOrders[Order_Month])),"m月")&amp;"発注)")</f>
        <v/>
      </c>
      <c r="AV1197">
        <f>IF(SUMIFS(T_PlannedOrders[EffectiveQty],T_PlannedOrders[Part Name],$A1179,T_PlannedOrders[WeekIndex],45)=0,"",SUMIFS(T_PlannedOrders[EffectiveQty],T_PlannedOrders[Part Name],$A1179,T_PlannedOrders[WeekIndex],45)&amp;" ("&amp;TEXT(SUMPRODUCT(MAX((T_PlannedOrders[Part Name]=$A1179)*(T_PlannedOrders[WeekIndex]=45)*(T_PlannedOrders[EffectiveQty]&gt;0)*T_PlannedOrders[Order_Month])),"m月")&amp;"発注)")</f>
        <v/>
      </c>
      <c r="AW1197">
        <f>IF(SUMIFS(T_PlannedOrders[EffectiveQty],T_PlannedOrders[Part Name],$A1179,T_PlannedOrders[WeekIndex],46)=0,"",SUMIFS(T_PlannedOrders[EffectiveQty],T_PlannedOrders[Part Name],$A1179,T_PlannedOrders[WeekIndex],46)&amp;" ("&amp;TEXT(SUMPRODUCT(MAX((T_PlannedOrders[Part Name]=$A1179)*(T_PlannedOrders[WeekIndex]=46)*(T_PlannedOrders[EffectiveQty]&gt;0)*T_PlannedOrders[Order_Month])),"m月")&amp;"発注)")</f>
        <v/>
      </c>
      <c r="AX1197">
        <f>IF(SUMIFS(T_PlannedOrders[EffectiveQty],T_PlannedOrders[Part Name],$A1179,T_PlannedOrders[WeekIndex],47)=0,"",SUMIFS(T_PlannedOrders[EffectiveQty],T_PlannedOrders[Part Name],$A1179,T_PlannedOrders[WeekIndex],47)&amp;" ("&amp;TEXT(SUMPRODUCT(MAX((T_PlannedOrders[Part Name]=$A1179)*(T_PlannedOrders[WeekIndex]=47)*(T_PlannedOrders[EffectiveQty]&gt;0)*T_PlannedOrders[Order_Month])),"m月")&amp;"発注)")</f>
        <v/>
      </c>
      <c r="AY1197">
        <f>IF(SUMIFS(T_PlannedOrders[EffectiveQty],T_PlannedOrders[Part Name],$A1179,T_PlannedOrders[WeekIndex],48)=0,"",SUMIFS(T_PlannedOrders[EffectiveQty],T_PlannedOrders[Part Name],$A1179,T_PlannedOrders[WeekIndex],48)&amp;" ("&amp;TEXT(SUMPRODUCT(MAX((T_PlannedOrders[Part Name]=$A1179)*(T_PlannedOrders[WeekIndex]=48)*(T_PlannedOrders[EffectiveQty]&gt;0)*T_PlannedOrders[Order_Month])),"m月")&amp;"発注)")</f>
        <v/>
      </c>
      <c r="AZ1197">
        <f>IF(SUMIFS(T_PlannedOrders[EffectiveQty],T_PlannedOrders[Part Name],$A1179,T_PlannedOrders[WeekIndex],49)=0,"",SUMIFS(T_PlannedOrders[EffectiveQty],T_PlannedOrders[Part Name],$A1179,T_PlannedOrders[WeekIndex],49)&amp;" ("&amp;TEXT(SUMPRODUCT(MAX((T_PlannedOrders[Part Name]=$A1179)*(T_PlannedOrders[WeekIndex]=49)*(T_PlannedOrders[EffectiveQty]&gt;0)*T_PlannedOrders[Order_Month])),"m月")&amp;"発注)")</f>
        <v/>
      </c>
      <c r="BA1197">
        <f>IF(SUMIFS(T_PlannedOrders[EffectiveQty],T_PlannedOrders[Part Name],$A1179,T_PlannedOrders[WeekIndex],50)=0,"",SUMIFS(T_PlannedOrders[EffectiveQty],T_PlannedOrders[Part Name],$A1179,T_PlannedOrders[WeekIndex],50)&amp;" ("&amp;TEXT(SUMPRODUCT(MAX((T_PlannedOrders[Part Name]=$A1179)*(T_PlannedOrders[WeekIndex]=50)*(T_PlannedOrders[EffectiveQty]&gt;0)*T_PlannedOrders[Order_Month])),"m月")&amp;"発注)")</f>
        <v/>
      </c>
      <c r="BB1197">
        <f>IF(SUMIFS(T_PlannedOrders[EffectiveQty],T_PlannedOrders[Part Name],$A1179,T_PlannedOrders[WeekIndex],51)=0,"",SUMIFS(T_PlannedOrders[EffectiveQty],T_PlannedOrders[Part Name],$A1179,T_PlannedOrders[WeekIndex],51)&amp;" ("&amp;TEXT(SUMPRODUCT(MAX((T_PlannedOrders[Part Name]=$A1179)*(T_PlannedOrders[WeekIndex]=51)*(T_PlannedOrders[EffectiveQty]&gt;0)*T_PlannedOrders[Order_Month])),"m月")&amp;"発注)")</f>
        <v/>
      </c>
      <c r="BC1197">
        <f>IF(SUMIFS(T_PlannedOrders[EffectiveQty],T_PlannedOrders[Part Name],$A1179,T_PlannedOrders[WeekIndex],52)=0,"",SUMIFS(T_PlannedOrders[EffectiveQty],T_PlannedOrders[Part Name],$A1179,T_PlannedOrders[WeekIndex],52)&amp;" ("&amp;TEXT(SUMPRODUCT(MAX((T_PlannedOrders[Part Name]=$A1179)*(T_PlannedOrders[WeekIndex]=52)*(T_PlannedOrders[EffectiveQty]&gt;0)*T_PlannedOrders[Order_Month])),"m月")&amp;"発注)")</f>
        <v/>
      </c>
      <c r="BD1197">
        <f>IF(SUMIFS(T_PlannedOrders[EffectiveQty],T_PlannedOrders[Part Name],$A1179,T_PlannedOrders[WeekIndex],53)=0,"",SUMIFS(T_PlannedOrders[EffectiveQty],T_PlannedOrders[Part Name],$A1179,T_PlannedOrders[WeekIndex],53)&amp;" ("&amp;TEXT(SUMPRODUCT(MAX((T_PlannedOrders[Part Name]=$A1179)*(T_PlannedOrders[WeekIndex]=53)*(T_PlannedOrders[EffectiveQty]&gt;0)*T_PlannedOrders[Order_Month])),"m月")&amp;"発注)")</f>
        <v/>
      </c>
      <c r="BE1197">
        <f>IF(SUMIFS(T_PlannedOrders[EffectiveQty],T_PlannedOrders[Part Name],$A1179,T_PlannedOrders[WeekIndex],54)=0,"",SUMIFS(T_PlannedOrders[EffectiveQty],T_PlannedOrders[Part Name],$A1179,T_PlannedOrders[WeekIndex],54)&amp;" ("&amp;TEXT(SUMPRODUCT(MAX((T_PlannedOrders[Part Name]=$A1179)*(T_PlannedOrders[WeekIndex]=54)*(T_PlannedOrders[EffectiveQty]&gt;0)*T_PlannedOrders[Order_Month])),"m月")&amp;"発注)")</f>
        <v/>
      </c>
      <c r="BF1197">
        <f>IF(SUMIFS(T_PlannedOrders[EffectiveQty],T_PlannedOrders[Part Name],$A1179,T_PlannedOrders[WeekIndex],55)=0,"",SUMIFS(T_PlannedOrders[EffectiveQty],T_PlannedOrders[Part Name],$A1179,T_PlannedOrders[WeekIndex],55)&amp;" ("&amp;TEXT(SUMPRODUCT(MAX((T_PlannedOrders[Part Name]=$A1179)*(T_PlannedOrders[WeekIndex]=55)*(T_PlannedOrders[EffectiveQty]&gt;0)*T_PlannedOrders[Order_Month])),"m月")&amp;"発注)")</f>
        <v/>
      </c>
      <c r="BG1197">
        <f>IF(SUMIFS(T_PlannedOrders[EffectiveQty],T_PlannedOrders[Part Name],$A1179,T_PlannedOrders[WeekIndex],56)=0,"",SUMIFS(T_PlannedOrders[EffectiveQty],T_PlannedOrders[Part Name],$A1179,T_PlannedOrders[WeekIndex],56)&amp;" ("&amp;TEXT(SUMPRODUCT(MAX((T_PlannedOrders[Part Name]=$A1179)*(T_PlannedOrders[WeekIndex]=56)*(T_PlannedOrders[EffectiveQty]&gt;0)*T_PlannedOrders[Order_Month])),"m月")&amp;"発注)")</f>
        <v/>
      </c>
      <c r="BH1197">
        <f>IF(SUMIFS(T_PlannedOrders[EffectiveQty],T_PlannedOrders[Part Name],$A1179,T_PlannedOrders[WeekIndex],57)=0,"",SUMIFS(T_PlannedOrders[EffectiveQty],T_PlannedOrders[Part Name],$A1179,T_PlannedOrders[WeekIndex],57)&amp;" ("&amp;TEXT(SUMPRODUCT(MAX((T_PlannedOrders[Part Name]=$A1179)*(T_PlannedOrders[WeekIndex]=57)*(T_PlannedOrders[EffectiveQty]&gt;0)*T_PlannedOrders[Order_Month])),"m月")&amp;"発注)")</f>
        <v/>
      </c>
      <c r="BI1197">
        <f>IF(SUMIFS(T_PlannedOrders[EffectiveQty],T_PlannedOrders[Part Name],$A1179,T_PlannedOrders[WeekIndex],58)=0,"",SUMIFS(T_PlannedOrders[EffectiveQty],T_PlannedOrders[Part Name],$A1179,T_PlannedOrders[WeekIndex],58)&amp;" ("&amp;TEXT(SUMPRODUCT(MAX((T_PlannedOrders[Part Name]=$A1179)*(T_PlannedOrders[WeekIndex]=58)*(T_PlannedOrders[EffectiveQty]&gt;0)*T_PlannedOrders[Order_Month])),"m月")&amp;"発注)")</f>
        <v/>
      </c>
      <c r="BJ1197">
        <f>IF(SUMIFS(T_PlannedOrders[EffectiveQty],T_PlannedOrders[Part Name],$A1179,T_PlannedOrders[WeekIndex],59)=0,"",SUMIFS(T_PlannedOrders[EffectiveQty],T_PlannedOrders[Part Name],$A1179,T_PlannedOrders[WeekIndex],59)&amp;" ("&amp;TEXT(SUMPRODUCT(MAX((T_PlannedOrders[Part Name]=$A1179)*(T_PlannedOrders[WeekIndex]=59)*(T_PlannedOrders[EffectiveQty]&gt;0)*T_PlannedOrders[Order_Month])),"m月")&amp;"発注)")</f>
        <v/>
      </c>
      <c r="BK1197">
        <f>IF(SUMIFS(T_PlannedOrders[EffectiveQty],T_PlannedOrders[Part Name],$A1179,T_PlannedOrders[WeekIndex],60)=0,"",SUMIFS(T_PlannedOrders[EffectiveQty],T_PlannedOrders[Part Name],$A1179,T_PlannedOrders[WeekIndex],60)&amp;" ("&amp;TEXT(SUMPRODUCT(MAX((T_PlannedOrders[Part Name]=$A1179)*(T_PlannedOrders[WeekIndex]=60)*(T_PlannedOrders[EffectiveQty]&gt;0)*T_PlannedOrders[Order_Month])),"m月")&amp;"発注)")</f>
        <v/>
      </c>
      <c r="BL1197">
        <f>IF(SUMIFS(T_PlannedOrders[EffectiveQty],T_PlannedOrders[Part Name],$A1179,T_PlannedOrders[WeekIndex],61)=0,"",SUMIFS(T_PlannedOrders[EffectiveQty],T_PlannedOrders[Part Name],$A1179,T_PlannedOrders[WeekIndex],61)&amp;" ("&amp;TEXT(SUMPRODUCT(MAX((T_PlannedOrders[Part Name]=$A1179)*(T_PlannedOrders[WeekIndex]=61)*(T_PlannedOrders[EffectiveQty]&gt;0)*T_PlannedOrders[Order_Month])),"m月")&amp;"発注)")</f>
        <v/>
      </c>
      <c r="BM1197">
        <f>IF(SUMIFS(T_PlannedOrders[EffectiveQty],T_PlannedOrders[Part Name],$A1179,T_PlannedOrders[WeekIndex],62)=0,"",SUMIFS(T_PlannedOrders[EffectiveQty],T_PlannedOrders[Part Name],$A1179,T_PlannedOrders[WeekIndex],62)&amp;" ("&amp;TEXT(SUMPRODUCT(MAX((T_PlannedOrders[Part Name]=$A1179)*(T_PlannedOrders[WeekIndex]=62)*(T_PlannedOrders[EffectiveQty]&gt;0)*T_PlannedOrders[Order_Month])),"m月")&amp;"発注)")</f>
        <v/>
      </c>
      <c r="BN1197">
        <f>IF(SUMIFS(T_PlannedOrders[EffectiveQty],T_PlannedOrders[Part Name],$A1179,T_PlannedOrders[WeekIndex],63)=0,"",SUMIFS(T_PlannedOrders[EffectiveQty],T_PlannedOrders[Part Name],$A1179,T_PlannedOrders[WeekIndex],63)&amp;" ("&amp;TEXT(SUMPRODUCT(MAX((T_PlannedOrders[Part Name]=$A1179)*(T_PlannedOrders[WeekIndex]=63)*(T_PlannedOrders[EffectiveQty]&gt;0)*T_PlannedOrders[Order_Month])),"m月")&amp;"発注)")</f>
        <v/>
      </c>
      <c r="BO1197">
        <f>IF(SUMIFS(T_PlannedOrders[EffectiveQty],T_PlannedOrders[Part Name],$A1179,T_PlannedOrders[WeekIndex],64)=0,"",SUMIFS(T_PlannedOrders[EffectiveQty],T_PlannedOrders[Part Name],$A1179,T_PlannedOrders[WeekIndex],64)&amp;" ("&amp;TEXT(SUMPRODUCT(MAX((T_PlannedOrders[Part Name]=$A1179)*(T_PlannedOrders[WeekIndex]=64)*(T_PlannedOrders[EffectiveQty]&gt;0)*T_PlannedOrders[Order_Month])),"m月")&amp;"発注)")</f>
        <v/>
      </c>
      <c r="BP1197">
        <f>IF(SUMIFS(T_PlannedOrders[EffectiveQty],T_PlannedOrders[Part Name],$A1179,T_PlannedOrders[WeekIndex],65)=0,"",SUMIFS(T_PlannedOrders[EffectiveQty],T_PlannedOrders[Part Name],$A1179,T_PlannedOrders[WeekIndex],65)&amp;" ("&amp;TEXT(SUMPRODUCT(MAX((T_PlannedOrders[Part Name]=$A1179)*(T_PlannedOrders[WeekIndex]=65)*(T_PlannedOrders[EffectiveQty]&gt;0)*T_PlannedOrders[Order_Month])),"m月")&amp;"発注)")</f>
        <v/>
      </c>
      <c r="BQ1197">
        <f>IF(SUMIFS(T_PlannedOrders[EffectiveQty],T_PlannedOrders[Part Name],$A1179,T_PlannedOrders[WeekIndex],66)=0,"",SUMIFS(T_PlannedOrders[EffectiveQty],T_PlannedOrders[Part Name],$A1179,T_PlannedOrders[WeekIndex],66)&amp;" ("&amp;TEXT(SUMPRODUCT(MAX((T_PlannedOrders[Part Name]=$A1179)*(T_PlannedOrders[WeekIndex]=66)*(T_PlannedOrders[EffectiveQty]&gt;0)*T_PlannedOrders[Order_Month])),"m月")&amp;"発注)")</f>
        <v/>
      </c>
      <c r="BR1197">
        <f>IF(SUMIFS(T_PlannedOrders[EffectiveQty],T_PlannedOrders[Part Name],$A1179,T_PlannedOrders[WeekIndex],67)=0,"",SUMIFS(T_PlannedOrders[EffectiveQty],T_PlannedOrders[Part Name],$A1179,T_PlannedOrders[WeekIndex],67)&amp;" ("&amp;TEXT(SUMPRODUCT(MAX((T_PlannedOrders[Part Name]=$A1179)*(T_PlannedOrders[WeekIndex]=67)*(T_PlannedOrders[EffectiveQty]&gt;0)*T_PlannedOrders[Order_Month])),"m月")&amp;"発注)")</f>
        <v/>
      </c>
      <c r="BS1197">
        <f>IF(SUMIFS(T_PlannedOrders[EffectiveQty],T_PlannedOrders[Part Name],$A1179,T_PlannedOrders[WeekIndex],68)=0,"",SUMIFS(T_PlannedOrders[EffectiveQty],T_PlannedOrders[Part Name],$A1179,T_PlannedOrders[WeekIndex],68)&amp;" ("&amp;TEXT(SUMPRODUCT(MAX((T_PlannedOrders[Part Name]=$A1179)*(T_PlannedOrders[WeekIndex]=68)*(T_PlannedOrders[EffectiveQty]&gt;0)*T_PlannedOrders[Order_Month])),"m月")&amp;"発注)")</f>
        <v/>
      </c>
      <c r="BT1197">
        <f>IF(SUMIFS(T_PlannedOrders[EffectiveQty],T_PlannedOrders[Part Name],$A1179,T_PlannedOrders[WeekIndex],69)=0,"",SUMIFS(T_PlannedOrders[EffectiveQty],T_PlannedOrders[Part Name],$A1179,T_PlannedOrders[WeekIndex],69)&amp;" ("&amp;TEXT(SUMPRODUCT(MAX((T_PlannedOrders[Part Name]=$A1179)*(T_PlannedOrders[WeekIndex]=69)*(T_PlannedOrders[EffectiveQty]&gt;0)*T_PlannedOrders[Order_Month])),"m月")&amp;"発注)")</f>
        <v/>
      </c>
      <c r="BU1197">
        <f>IF(SUMIFS(T_PlannedOrders[EffectiveQty],T_PlannedOrders[Part Name],$A1179,T_PlannedOrders[WeekIndex],70)=0,"",SUMIFS(T_PlannedOrders[EffectiveQty],T_PlannedOrders[Part Name],$A1179,T_PlannedOrders[WeekIndex],70)&amp;" ("&amp;TEXT(SUMPRODUCT(MAX((T_PlannedOrders[Part Name]=$A1179)*(T_PlannedOrders[WeekIndex]=70)*(T_PlannedOrders[EffectiveQty]&gt;0)*T_PlannedOrders[Order_Month])),"m月")&amp;"発注)")</f>
        <v/>
      </c>
      <c r="BV1197">
        <f>IF(SUMIFS(T_PlannedOrders[EffectiveQty],T_PlannedOrders[Part Name],$A1179,T_PlannedOrders[WeekIndex],71)=0,"",SUMIFS(T_PlannedOrders[EffectiveQty],T_PlannedOrders[Part Name],$A1179,T_PlannedOrders[WeekIndex],71)&amp;" ("&amp;TEXT(SUMPRODUCT(MAX((T_PlannedOrders[Part Name]=$A1179)*(T_PlannedOrders[WeekIndex]=71)*(T_PlannedOrders[EffectiveQty]&gt;0)*T_PlannedOrders[Order_Month])),"m月")&amp;"発注)")</f>
        <v/>
      </c>
      <c r="BW1197">
        <f>IF(SUMIFS(T_PlannedOrders[EffectiveQty],T_PlannedOrders[Part Name],$A1179,T_PlannedOrders[WeekIndex],72)=0,"",SUMIFS(T_PlannedOrders[EffectiveQty],T_PlannedOrders[Part Name],$A1179,T_PlannedOrders[WeekIndex],72)&amp;" ("&amp;TEXT(SUMPRODUCT(MAX((T_PlannedOrders[Part Name]=$A1179)*(T_PlannedOrders[WeekIndex]=72)*(T_PlannedOrders[EffectiveQty]&gt;0)*T_PlannedOrders[Order_Month])),"m月")&amp;"発注)")</f>
        <v/>
      </c>
      <c r="BX1197">
        <f>IF(SUMIFS(T_PlannedOrders[EffectiveQty],T_PlannedOrders[Part Name],$A1179,T_PlannedOrders[WeekIndex],73)=0,"",SUMIFS(T_PlannedOrders[EffectiveQty],T_PlannedOrders[Part Name],$A1179,T_PlannedOrders[WeekIndex],73)&amp;" ("&amp;TEXT(SUMPRODUCT(MAX((T_PlannedOrders[Part Name]=$A1179)*(T_PlannedOrders[WeekIndex]=73)*(T_PlannedOrders[EffectiveQty]&gt;0)*T_PlannedOrders[Order_Month])),"m月")&amp;"発注)")</f>
        <v/>
      </c>
      <c r="BY1197">
        <f>IF(SUMIFS(T_PlannedOrders[EffectiveQty],T_PlannedOrders[Part Name],$A1179,T_PlannedOrders[WeekIndex],74)=0,"",SUMIFS(T_PlannedOrders[EffectiveQty],T_PlannedOrders[Part Name],$A1179,T_PlannedOrders[WeekIndex],74)&amp;" ("&amp;TEXT(SUMPRODUCT(MAX((T_PlannedOrders[Part Name]=$A1179)*(T_PlannedOrders[WeekIndex]=74)*(T_PlannedOrders[EffectiveQty]&gt;0)*T_PlannedOrders[Order_Month])),"m月")&amp;"発注)")</f>
        <v/>
      </c>
      <c r="BZ1197">
        <f>IF(SUMIFS(T_PlannedOrders[EffectiveQty],T_PlannedOrders[Part Name],$A1179,T_PlannedOrders[WeekIndex],75)=0,"",SUMIFS(T_PlannedOrders[EffectiveQty],T_PlannedOrders[Part Name],$A1179,T_PlannedOrders[WeekIndex],75)&amp;" ("&amp;TEXT(SUMPRODUCT(MAX((T_PlannedOrders[Part Name]=$A1179)*(T_PlannedOrders[WeekIndex]=75)*(T_PlannedOrders[EffectiveQty]&gt;0)*T_PlannedOrders[Order_Month])),"m月")&amp;"発注)")</f>
        <v/>
      </c>
      <c r="CA1197">
        <f>IF(SUMIFS(T_PlannedOrders[EffectiveQty],T_PlannedOrders[Part Name],$A1179,T_PlannedOrders[WeekIndex],76)=0,"",SUMIFS(T_PlannedOrders[EffectiveQty],T_PlannedOrders[Part Name],$A1179,T_PlannedOrders[WeekIndex],76)&amp;" ("&amp;TEXT(SUMPRODUCT(MAX((T_PlannedOrders[Part Name]=$A1179)*(T_PlannedOrders[WeekIndex]=76)*(T_PlannedOrders[EffectiveQty]&gt;0)*T_PlannedOrders[Order_Month])),"m月")&amp;"発注)")</f>
        <v/>
      </c>
      <c r="CB1197">
        <f>IF(SUMIFS(T_PlannedOrders[EffectiveQty],T_PlannedOrders[Part Name],$A1179,T_PlannedOrders[WeekIndex],77)=0,"",SUMIFS(T_PlannedOrders[EffectiveQty],T_PlannedOrders[Part Name],$A1179,T_PlannedOrders[WeekIndex],77)&amp;" ("&amp;TEXT(SUMPRODUCT(MAX((T_PlannedOrders[Part Name]=$A1179)*(T_PlannedOrders[WeekIndex]=77)*(T_PlannedOrders[EffectiveQty]&gt;0)*T_PlannedOrders[Order_Month])),"m月")&amp;"発注)")</f>
        <v/>
      </c>
      <c r="CC1197">
        <f>IF(SUMIFS(T_PlannedOrders[EffectiveQty],T_PlannedOrders[Part Name],$A1179,T_PlannedOrders[WeekIndex],78)=0,"",SUMIFS(T_PlannedOrders[EffectiveQty],T_PlannedOrders[Part Name],$A1179,T_PlannedOrders[WeekIndex],78)&amp;" ("&amp;TEXT(SUMPRODUCT(MAX((T_PlannedOrders[Part Name]=$A1179)*(T_PlannedOrders[WeekIndex]=78)*(T_PlannedOrders[EffectiveQty]&gt;0)*T_PlannedOrders[Order_Month])),"m月")&amp;"発注)")</f>
        <v/>
      </c>
      <c r="CD1197">
        <f>IF(SUMIFS(T_PlannedOrders[EffectiveQty],T_PlannedOrders[Part Name],$A1179,T_PlannedOrders[WeekIndex],79)=0,"",SUMIFS(T_PlannedOrders[EffectiveQty],T_PlannedOrders[Part Name],$A1179,T_PlannedOrders[WeekIndex],79)&amp;" ("&amp;TEXT(SUMPRODUCT(MAX((T_PlannedOrders[Part Name]=$A1179)*(T_PlannedOrders[WeekIndex]=79)*(T_PlannedOrders[EffectiveQty]&gt;0)*T_PlannedOrders[Order_Month])),"m月")&amp;"発注)")</f>
        <v/>
      </c>
      <c r="CE1197">
        <f>IF(SUMIFS(T_PlannedOrders[EffectiveQty],T_PlannedOrders[Part Name],$A1179,T_PlannedOrders[WeekIndex],80)=0,"",SUMIFS(T_PlannedOrders[EffectiveQty],T_PlannedOrders[Part Name],$A1179,T_PlannedOrders[WeekIndex],80)&amp;" ("&amp;TEXT(SUMPRODUCT(MAX((T_PlannedOrders[Part Name]=$A1179)*(T_PlannedOrders[WeekIndex]=80)*(T_PlannedOrders[EffectiveQty]&gt;0)*T_PlannedOrders[Order_Month])),"m月")&amp;"発注)")</f>
        <v/>
      </c>
      <c r="CF1197">
        <f>IF(SUMIFS(T_PlannedOrders[EffectiveQty],T_PlannedOrders[Part Name],$A1179,T_PlannedOrders[WeekIndex],81)=0,"",SUMIFS(T_PlannedOrders[EffectiveQty],T_PlannedOrders[Part Name],$A1179,T_PlannedOrders[WeekIndex],81)&amp;" ("&amp;TEXT(SUMPRODUCT(MAX((T_PlannedOrders[Part Name]=$A1179)*(T_PlannedOrders[WeekIndex]=81)*(T_PlannedOrders[EffectiveQty]&gt;0)*T_PlannedOrders[Order_Month])),"m月")&amp;"発注)")</f>
        <v/>
      </c>
      <c r="CG1197">
        <f>IF(SUMIFS(T_PlannedOrders[EffectiveQty],T_PlannedOrders[Part Name],$A1179,T_PlannedOrders[WeekIndex],82)=0,"",SUMIFS(T_PlannedOrders[EffectiveQty],T_PlannedOrders[Part Name],$A1179,T_PlannedOrders[WeekIndex],82)&amp;" ("&amp;TEXT(SUMPRODUCT(MAX((T_PlannedOrders[Part Name]=$A1179)*(T_PlannedOrders[WeekIndex]=82)*(T_PlannedOrders[EffectiveQty]&gt;0)*T_PlannedOrders[Order_Month])),"m月")&amp;"発注)")</f>
        <v/>
      </c>
      <c r="CH1197">
        <f>IF(SUMIFS(T_PlannedOrders[EffectiveQty],T_PlannedOrders[Part Name],$A1179,T_PlannedOrders[WeekIndex],83)=0,"",SUMIFS(T_PlannedOrders[EffectiveQty],T_PlannedOrders[Part Name],$A1179,T_PlannedOrders[WeekIndex],83)&amp;" ("&amp;TEXT(SUMPRODUCT(MAX((T_PlannedOrders[Part Name]=$A1179)*(T_PlannedOrders[WeekIndex]=83)*(T_PlannedOrders[EffectiveQty]&gt;0)*T_PlannedOrders[Order_Month])),"m月")&amp;"発注)")</f>
        <v/>
      </c>
      <c r="CI1197">
        <f>IF(SUMIFS(T_PlannedOrders[EffectiveQty],T_PlannedOrders[Part Name],$A1179,T_PlannedOrders[WeekIndex],84)=0,"",SUMIFS(T_PlannedOrders[EffectiveQty],T_PlannedOrders[Part Name],$A1179,T_PlannedOrders[WeekIndex],84)&amp;" ("&amp;TEXT(SUMPRODUCT(MAX((T_PlannedOrders[Part Name]=$A1179)*(T_PlannedOrders[WeekIndex]=84)*(T_PlannedOrders[EffectiveQty]&gt;0)*T_PlannedOrders[Order_Month])),"m月")&amp;"発注)")</f>
        <v/>
      </c>
      <c r="CJ1197">
        <f>IF(SUMIFS(T_PlannedOrders[EffectiveQty],T_PlannedOrders[Part Name],$A1179,T_PlannedOrders[WeekIndex],85)=0,"",SUMIFS(T_PlannedOrders[EffectiveQty],T_PlannedOrders[Part Name],$A1179,T_PlannedOrders[WeekIndex],85)&amp;" ("&amp;TEXT(SUMPRODUCT(MAX((T_PlannedOrders[Part Name]=$A1179)*(T_PlannedOrders[WeekIndex]=85)*(T_PlannedOrders[EffectiveQty]&gt;0)*T_PlannedOrders[Order_Month])),"m月")&amp;"発注)")</f>
        <v/>
      </c>
      <c r="CK1197">
        <f>IF(SUMIFS(T_PlannedOrders[EffectiveQty],T_PlannedOrders[Part Name],$A1179,T_PlannedOrders[WeekIndex],86)=0,"",SUMIFS(T_PlannedOrders[EffectiveQty],T_PlannedOrders[Part Name],$A1179,T_PlannedOrders[WeekIndex],86)&amp;" ("&amp;TEXT(SUMPRODUCT(MAX((T_PlannedOrders[Part Name]=$A1179)*(T_PlannedOrders[WeekIndex]=86)*(T_PlannedOrders[EffectiveQty]&gt;0)*T_PlannedOrders[Order_Month])),"m月")&amp;"発注)")</f>
        <v/>
      </c>
      <c r="CL1197">
        <f>IF(SUMIFS(T_PlannedOrders[EffectiveQty],T_PlannedOrders[Part Name],$A1179,T_PlannedOrders[WeekIndex],87)=0,"",SUMIFS(T_PlannedOrders[EffectiveQty],T_PlannedOrders[Part Name],$A1179,T_PlannedOrders[WeekIndex],87)&amp;" ("&amp;TEXT(SUMPRODUCT(MAX((T_PlannedOrders[Part Name]=$A1179)*(T_PlannedOrders[WeekIndex]=87)*(T_PlannedOrders[EffectiveQty]&gt;0)*T_PlannedOrders[Order_Month])),"m月")&amp;"発注)")</f>
        <v/>
      </c>
      <c r="CM1197">
        <f>IF(SUMIFS(T_PlannedOrders[EffectiveQty],T_PlannedOrders[Part Name],$A1179,T_PlannedOrders[WeekIndex],88)=0,"",SUMIFS(T_PlannedOrders[EffectiveQty],T_PlannedOrders[Part Name],$A1179,T_PlannedOrders[WeekIndex],88)&amp;" ("&amp;TEXT(SUMPRODUCT(MAX((T_PlannedOrders[Part Name]=$A1179)*(T_PlannedOrders[WeekIndex]=88)*(T_PlannedOrders[EffectiveQty]&gt;0)*T_PlannedOrders[Order_Month])),"m月")&amp;"発注)")</f>
        <v/>
      </c>
      <c r="CN1197">
        <f>IF(SUMIFS(T_PlannedOrders[EffectiveQty],T_PlannedOrders[Part Name],$A1179,T_PlannedOrders[WeekIndex],89)=0,"",SUMIFS(T_PlannedOrders[EffectiveQty],T_PlannedOrders[Part Name],$A1179,T_PlannedOrders[WeekIndex],89)&amp;" ("&amp;TEXT(SUMPRODUCT(MAX((T_PlannedOrders[Part Name]=$A1179)*(T_PlannedOrders[WeekIndex]=89)*(T_PlannedOrders[EffectiveQty]&gt;0)*T_PlannedOrders[Order_Month])),"m月")&amp;"発注)")</f>
        <v/>
      </c>
      <c r="CO1197">
        <f>IF(SUMIFS(T_PlannedOrders[EffectiveQty],T_PlannedOrders[Part Name],$A1179,T_PlannedOrders[WeekIndex],90)=0,"",SUMIFS(T_PlannedOrders[EffectiveQty],T_PlannedOrders[Part Name],$A1179,T_PlannedOrders[WeekIndex],90)&amp;" ("&amp;TEXT(SUMPRODUCT(MAX((T_PlannedOrders[Part Name]=$A1179)*(T_PlannedOrders[WeekIndex]=90)*(T_PlannedOrders[EffectiveQty]&gt;0)*T_PlannedOrders[Order_Month])),"m月")&amp;"発注)")</f>
        <v/>
      </c>
      <c r="CP1197">
        <f>IF(SUMIFS(T_PlannedOrders[EffectiveQty],T_PlannedOrders[Part Name],$A1179,T_PlannedOrders[WeekIndex],91)=0,"",SUMIFS(T_PlannedOrders[EffectiveQty],T_PlannedOrders[Part Name],$A1179,T_PlannedOrders[WeekIndex],91)&amp;" ("&amp;TEXT(SUMPRODUCT(MAX((T_PlannedOrders[Part Name]=$A1179)*(T_PlannedOrders[WeekIndex]=91)*(T_PlannedOrders[EffectiveQty]&gt;0)*T_PlannedOrders[Order_Month])),"m月")&amp;"発注)")</f>
        <v/>
      </c>
      <c r="CQ1197">
        <f>IF(SUMIFS(T_PlannedOrders[EffectiveQty],T_PlannedOrders[Part Name],$A1179,T_PlannedOrders[WeekIndex],92)=0,"",SUMIFS(T_PlannedOrders[EffectiveQty],T_PlannedOrders[Part Name],$A1179,T_PlannedOrders[WeekIndex],92)&amp;" ("&amp;TEXT(SUMPRODUCT(MAX((T_PlannedOrders[Part Name]=$A1179)*(T_PlannedOrders[WeekIndex]=92)*(T_PlannedOrders[EffectiveQty]&gt;0)*T_PlannedOrders[Order_Month])),"m月")&amp;"発注)")</f>
        <v/>
      </c>
      <c r="CR1197">
        <f>IF(SUMIFS(T_PlannedOrders[EffectiveQty],T_PlannedOrders[Part Name],$A1179,T_PlannedOrders[WeekIndex],93)=0,"",SUMIFS(T_PlannedOrders[EffectiveQty],T_PlannedOrders[Part Name],$A1179,T_PlannedOrders[WeekIndex],93)&amp;" ("&amp;TEXT(SUMPRODUCT(MAX((T_PlannedOrders[Part Name]=$A1179)*(T_PlannedOrders[WeekIndex]=93)*(T_PlannedOrders[EffectiveQty]&gt;0)*T_PlannedOrders[Order_Month])),"m月")&amp;"発注)")</f>
        <v/>
      </c>
      <c r="CS1197">
        <f>IF(SUMIFS(T_PlannedOrders[EffectiveQty],T_PlannedOrders[Part Name],$A1179,T_PlannedOrders[WeekIndex],94)=0,"",SUMIFS(T_PlannedOrders[EffectiveQty],T_PlannedOrders[Part Name],$A1179,T_PlannedOrders[WeekIndex],94)&amp;" ("&amp;TEXT(SUMPRODUCT(MAX((T_PlannedOrders[Part Name]=$A1179)*(T_PlannedOrders[WeekIndex]=94)*(T_PlannedOrders[EffectiveQty]&gt;0)*T_PlannedOrders[Order_Month])),"m月")&amp;"発注)")</f>
        <v/>
      </c>
      <c r="CT1197">
        <f>IF(SUMIFS(T_PlannedOrders[EffectiveQty],T_PlannedOrders[Part Name],$A1179,T_PlannedOrders[WeekIndex],95)=0,"",SUMIFS(T_PlannedOrders[EffectiveQty],T_PlannedOrders[Part Name],$A1179,T_PlannedOrders[WeekIndex],95)&amp;" ("&amp;TEXT(SUMPRODUCT(MAX((T_PlannedOrders[Part Name]=$A1179)*(T_PlannedOrders[WeekIndex]=95)*(T_PlannedOrders[EffectiveQty]&gt;0)*T_PlannedOrders[Order_Month])),"m月")&amp;"発注)")</f>
        <v/>
      </c>
      <c r="CU1197">
        <f>IF(SUMIFS(T_PlannedOrders[EffectiveQty],T_PlannedOrders[Part Name],$A1179,T_PlannedOrders[WeekIndex],96)=0,"",SUMIFS(T_PlannedOrders[EffectiveQty],T_PlannedOrders[Part Name],$A1179,T_PlannedOrders[WeekIndex],96)&amp;" ("&amp;TEXT(SUMPRODUCT(MAX((T_PlannedOrders[Part Name]=$A1179)*(T_PlannedOrders[WeekIndex]=96)*(T_PlannedOrders[EffectiveQty]&gt;0)*T_PlannedOrders[Order_Month])),"m月")&amp;"発注)")</f>
        <v/>
      </c>
      <c r="CV1197">
        <f>IF(SUMIFS(T_PlannedOrders[EffectiveQty],T_PlannedOrders[Part Name],$A1179,T_PlannedOrders[WeekIndex],97)=0,"",SUMIFS(T_PlannedOrders[EffectiveQty],T_PlannedOrders[Part Name],$A1179,T_PlannedOrders[WeekIndex],97)&amp;" ("&amp;TEXT(SUMPRODUCT(MAX((T_PlannedOrders[Part Name]=$A1179)*(T_PlannedOrders[WeekIndex]=97)*(T_PlannedOrders[EffectiveQty]&gt;0)*T_PlannedOrders[Order_Month])),"m月")&amp;"発注)")</f>
        <v/>
      </c>
      <c r="CW1197">
        <f>IF(SUMIFS(T_PlannedOrders[EffectiveQty],T_PlannedOrders[Part Name],$A1179,T_PlannedOrders[WeekIndex],98)=0,"",SUMIFS(T_PlannedOrders[EffectiveQty],T_PlannedOrders[Part Name],$A1179,T_PlannedOrders[WeekIndex],98)&amp;" ("&amp;TEXT(SUMPRODUCT(MAX((T_PlannedOrders[Part Name]=$A1179)*(T_PlannedOrders[WeekIndex]=98)*(T_PlannedOrders[EffectiveQty]&gt;0)*T_PlannedOrders[Order_Month])),"m月")&amp;"発注)")</f>
        <v/>
      </c>
      <c r="CX1197">
        <f>IF(SUMIFS(T_PlannedOrders[EffectiveQty],T_PlannedOrders[Part Name],$A1179,T_PlannedOrders[WeekIndex],99)=0,"",SUMIFS(T_PlannedOrders[EffectiveQty],T_PlannedOrders[Part Name],$A1179,T_PlannedOrders[WeekIndex],99)&amp;" ("&amp;TEXT(SUMPRODUCT(MAX((T_PlannedOrders[Part Name]=$A1179)*(T_PlannedOrders[WeekIndex]=99)*(T_PlannedOrders[EffectiveQty]&gt;0)*T_PlannedOrders[Order_Month])),"m月")&amp;"発注)")</f>
        <v/>
      </c>
      <c r="CY1197">
        <f>IF(SUMIFS(T_PlannedOrders[EffectiveQty],T_PlannedOrders[Part Name],$A1179,T_PlannedOrders[WeekIndex],100)=0,"",SUMIFS(T_PlannedOrders[EffectiveQty],T_PlannedOrders[Part Name],$A1179,T_PlannedOrders[WeekIndex],100)&amp;" ("&amp;TEXT(SUMPRODUCT(MAX((T_PlannedOrders[Part Name]=$A1179)*(T_PlannedOrders[WeekIndex]=100)*(T_PlannedOrders[EffectiveQty]&gt;0)*T_PlannedOrders[Order_Month])),"m月")&amp;"発注)")</f>
        <v/>
      </c>
      <c r="CZ1197">
        <f>IF(SUMIFS(T_PlannedOrders[EffectiveQty],T_PlannedOrders[Part Name],$A1179,T_PlannedOrders[WeekIndex],101)=0,"",SUMIFS(T_PlannedOrders[EffectiveQty],T_PlannedOrders[Part Name],$A1179,T_PlannedOrders[WeekIndex],101)&amp;" ("&amp;TEXT(SUMPRODUCT(MAX((T_PlannedOrders[Part Name]=$A1179)*(T_PlannedOrders[WeekIndex]=101)*(T_PlannedOrders[EffectiveQty]&gt;0)*T_PlannedOrders[Order_Month])),"m月")&amp;"発注)")</f>
        <v/>
      </c>
      <c r="DA1197">
        <f>IF(SUMIFS(T_PlannedOrders[EffectiveQty],T_PlannedOrders[Part Name],$A1179,T_PlannedOrders[WeekIndex],102)=0,"",SUMIFS(T_PlannedOrders[EffectiveQty],T_PlannedOrders[Part Name],$A1179,T_PlannedOrders[WeekIndex],102)&amp;" ("&amp;TEXT(SUMPRODUCT(MAX((T_PlannedOrders[Part Name]=$A1179)*(T_PlannedOrders[WeekIndex]=102)*(T_PlannedOrders[EffectiveQty]&gt;0)*T_PlannedOrders[Order_Month])),"m月")&amp;"発注)")</f>
        <v/>
      </c>
      <c r="DB1197">
        <f>IF(SUMIFS(T_PlannedOrders[EffectiveQty],T_PlannedOrders[Part Name],$A1179,T_PlannedOrders[WeekIndex],103)=0,"",SUMIFS(T_PlannedOrders[EffectiveQty],T_PlannedOrders[Part Name],$A1179,T_PlannedOrders[WeekIndex],103)&amp;" ("&amp;TEXT(SUMPRODUCT(MAX((T_PlannedOrders[Part Name]=$A1179)*(T_PlannedOrders[WeekIndex]=103)*(T_PlannedOrders[EffectiveQty]&gt;0)*T_PlannedOrders[Order_Month])),"m月")&amp;"発注)")</f>
        <v/>
      </c>
      <c r="DC1197">
        <f>IF(SUMIFS(T_PlannedOrders[EffectiveQty],T_PlannedOrders[Part Name],$A1179,T_PlannedOrders[WeekIndex],104)=0,"",SUMIFS(T_PlannedOrders[EffectiveQty],T_PlannedOrders[Part Name],$A1179,T_PlannedOrders[WeekIndex],104)&amp;" ("&amp;TEXT(SUMPRODUCT(MAX((T_PlannedOrders[Part Name]=$A1179)*(T_PlannedOrders[WeekIndex]=104)*(T_PlannedOrders[EffectiveQty]&gt;0)*T_PlannedOrders[Order_Month])),"m月")&amp;"発注)")</f>
        <v/>
      </c>
    </row>
    <row r="1198">
      <c r="B1198" s="5" t="inlineStr">
        <is>
          <t>合計在庫(週末時点,kg)</t>
        </is>
      </c>
      <c r="D1198">
        <f>'Grid_Stock'!B35</f>
        <v/>
      </c>
      <c r="E1198">
        <f>'Grid_Stock'!C35</f>
        <v/>
      </c>
      <c r="F1198">
        <f>'Grid_Stock'!D35</f>
        <v/>
      </c>
      <c r="G1198">
        <f>'Grid_Stock'!E35</f>
        <v/>
      </c>
      <c r="H1198">
        <f>'Grid_Stock'!F35</f>
        <v/>
      </c>
      <c r="I1198">
        <f>'Grid_Stock'!G35</f>
        <v/>
      </c>
      <c r="J1198">
        <f>'Grid_Stock'!H35</f>
        <v/>
      </c>
      <c r="K1198">
        <f>'Grid_Stock'!I35</f>
        <v/>
      </c>
      <c r="L1198">
        <f>'Grid_Stock'!J35</f>
        <v/>
      </c>
      <c r="M1198">
        <f>'Grid_Stock'!K35</f>
        <v/>
      </c>
      <c r="N1198">
        <f>'Grid_Stock'!L35</f>
        <v/>
      </c>
      <c r="O1198">
        <f>'Grid_Stock'!M35</f>
        <v/>
      </c>
      <c r="P1198">
        <f>'Grid_Stock'!N35</f>
        <v/>
      </c>
      <c r="Q1198">
        <f>'Grid_Stock'!O35</f>
        <v/>
      </c>
      <c r="R1198">
        <f>'Grid_Stock'!P35</f>
        <v/>
      </c>
      <c r="S1198">
        <f>'Grid_Stock'!Q35</f>
        <v/>
      </c>
      <c r="T1198">
        <f>'Grid_Stock'!R35</f>
        <v/>
      </c>
      <c r="U1198">
        <f>'Grid_Stock'!S35</f>
        <v/>
      </c>
      <c r="V1198">
        <f>'Grid_Stock'!T35</f>
        <v/>
      </c>
      <c r="W1198">
        <f>'Grid_Stock'!U35</f>
        <v/>
      </c>
      <c r="X1198">
        <f>'Grid_Stock'!V35</f>
        <v/>
      </c>
      <c r="Y1198">
        <f>'Grid_Stock'!W35</f>
        <v/>
      </c>
      <c r="Z1198">
        <f>'Grid_Stock'!X35</f>
        <v/>
      </c>
      <c r="AA1198">
        <f>'Grid_Stock'!Y35</f>
        <v/>
      </c>
      <c r="AB1198">
        <f>'Grid_Stock'!Z35</f>
        <v/>
      </c>
      <c r="AC1198">
        <f>'Grid_Stock'!AA35</f>
        <v/>
      </c>
      <c r="AD1198">
        <f>'Grid_Stock'!AB35</f>
        <v/>
      </c>
      <c r="AE1198">
        <f>'Grid_Stock'!AC35</f>
        <v/>
      </c>
      <c r="AF1198">
        <f>'Grid_Stock'!AD35</f>
        <v/>
      </c>
      <c r="AG1198">
        <f>'Grid_Stock'!AE35</f>
        <v/>
      </c>
      <c r="AH1198">
        <f>'Grid_Stock'!AF35</f>
        <v/>
      </c>
      <c r="AI1198">
        <f>'Grid_Stock'!AG35</f>
        <v/>
      </c>
      <c r="AJ1198">
        <f>'Grid_Stock'!AH35</f>
        <v/>
      </c>
      <c r="AK1198">
        <f>'Grid_Stock'!AI35</f>
        <v/>
      </c>
      <c r="AL1198">
        <f>'Grid_Stock'!AJ35</f>
        <v/>
      </c>
      <c r="AM1198">
        <f>'Grid_Stock'!AK35</f>
        <v/>
      </c>
      <c r="AN1198">
        <f>'Grid_Stock'!AL35</f>
        <v/>
      </c>
      <c r="AO1198">
        <f>'Grid_Stock'!AM35</f>
        <v/>
      </c>
      <c r="AP1198">
        <f>'Grid_Stock'!AN35</f>
        <v/>
      </c>
      <c r="AQ1198">
        <f>'Grid_Stock'!AO35</f>
        <v/>
      </c>
      <c r="AR1198">
        <f>'Grid_Stock'!AP35</f>
        <v/>
      </c>
      <c r="AS1198">
        <f>'Grid_Stock'!AQ35</f>
        <v/>
      </c>
      <c r="AT1198">
        <f>'Grid_Stock'!AR35</f>
        <v/>
      </c>
      <c r="AU1198">
        <f>'Grid_Stock'!AS35</f>
        <v/>
      </c>
      <c r="AV1198">
        <f>'Grid_Stock'!AT35</f>
        <v/>
      </c>
      <c r="AW1198">
        <f>'Grid_Stock'!AU35</f>
        <v/>
      </c>
      <c r="AX1198">
        <f>'Grid_Stock'!AV35</f>
        <v/>
      </c>
      <c r="AY1198">
        <f>'Grid_Stock'!AW35</f>
        <v/>
      </c>
      <c r="AZ1198">
        <f>'Grid_Stock'!AX35</f>
        <v/>
      </c>
      <c r="BA1198">
        <f>'Grid_Stock'!AY35</f>
        <v/>
      </c>
      <c r="BB1198">
        <f>'Grid_Stock'!AZ35</f>
        <v/>
      </c>
      <c r="BC1198">
        <f>'Grid_Stock'!BA35</f>
        <v/>
      </c>
      <c r="BD1198">
        <f>'Grid_Stock'!BB35</f>
        <v/>
      </c>
      <c r="BE1198">
        <f>'Grid_Stock'!BC35</f>
        <v/>
      </c>
      <c r="BF1198">
        <f>'Grid_Stock'!BD35</f>
        <v/>
      </c>
      <c r="BG1198">
        <f>'Grid_Stock'!BE35</f>
        <v/>
      </c>
      <c r="BH1198">
        <f>'Grid_Stock'!BF35</f>
        <v/>
      </c>
      <c r="BI1198">
        <f>'Grid_Stock'!BG35</f>
        <v/>
      </c>
      <c r="BJ1198">
        <f>'Grid_Stock'!BH35</f>
        <v/>
      </c>
      <c r="BK1198">
        <f>'Grid_Stock'!BI35</f>
        <v/>
      </c>
      <c r="BL1198">
        <f>'Grid_Stock'!BJ35</f>
        <v/>
      </c>
      <c r="BM1198">
        <f>'Grid_Stock'!BK35</f>
        <v/>
      </c>
      <c r="BN1198">
        <f>'Grid_Stock'!BL35</f>
        <v/>
      </c>
      <c r="BO1198">
        <f>'Grid_Stock'!BM35</f>
        <v/>
      </c>
      <c r="BP1198">
        <f>'Grid_Stock'!BN35</f>
        <v/>
      </c>
      <c r="BQ1198">
        <f>'Grid_Stock'!BO35</f>
        <v/>
      </c>
      <c r="BR1198">
        <f>'Grid_Stock'!BP35</f>
        <v/>
      </c>
      <c r="BS1198">
        <f>'Grid_Stock'!BQ35</f>
        <v/>
      </c>
      <c r="BT1198">
        <f>'Grid_Stock'!BR35</f>
        <v/>
      </c>
      <c r="BU1198">
        <f>'Grid_Stock'!BS35</f>
        <v/>
      </c>
      <c r="BV1198">
        <f>'Grid_Stock'!BT35</f>
        <v/>
      </c>
      <c r="BW1198">
        <f>'Grid_Stock'!BU35</f>
        <v/>
      </c>
      <c r="BX1198">
        <f>'Grid_Stock'!BV35</f>
        <v/>
      </c>
      <c r="BY1198">
        <f>'Grid_Stock'!BW35</f>
        <v/>
      </c>
      <c r="BZ1198">
        <f>'Grid_Stock'!BX35</f>
        <v/>
      </c>
      <c r="CA1198">
        <f>'Grid_Stock'!BY35</f>
        <v/>
      </c>
      <c r="CB1198">
        <f>'Grid_Stock'!BZ35</f>
        <v/>
      </c>
      <c r="CC1198">
        <f>'Grid_Stock'!CA35</f>
        <v/>
      </c>
      <c r="CD1198">
        <f>'Grid_Stock'!CB35</f>
        <v/>
      </c>
      <c r="CE1198">
        <f>'Grid_Stock'!CC35</f>
        <v/>
      </c>
      <c r="CF1198">
        <f>'Grid_Stock'!CD35</f>
        <v/>
      </c>
      <c r="CG1198">
        <f>'Grid_Stock'!CE35</f>
        <v/>
      </c>
      <c r="CH1198">
        <f>'Grid_Stock'!CF35</f>
        <v/>
      </c>
      <c r="CI1198">
        <f>'Grid_Stock'!CG35</f>
        <v/>
      </c>
      <c r="CJ1198">
        <f>'Grid_Stock'!CH35</f>
        <v/>
      </c>
      <c r="CK1198">
        <f>'Grid_Stock'!CI35</f>
        <v/>
      </c>
      <c r="CL1198">
        <f>'Grid_Stock'!CJ35</f>
        <v/>
      </c>
      <c r="CM1198">
        <f>'Grid_Stock'!CK35</f>
        <v/>
      </c>
      <c r="CN1198">
        <f>'Grid_Stock'!CL35</f>
        <v/>
      </c>
      <c r="CO1198">
        <f>'Grid_Stock'!CM35</f>
        <v/>
      </c>
      <c r="CP1198">
        <f>'Grid_Stock'!CN35</f>
        <v/>
      </c>
      <c r="CQ1198">
        <f>'Grid_Stock'!CO35</f>
        <v/>
      </c>
      <c r="CR1198">
        <f>'Grid_Stock'!CP35</f>
        <v/>
      </c>
      <c r="CS1198">
        <f>'Grid_Stock'!CQ35</f>
        <v/>
      </c>
      <c r="CT1198">
        <f>'Grid_Stock'!CR35</f>
        <v/>
      </c>
      <c r="CU1198">
        <f>'Grid_Stock'!CS35</f>
        <v/>
      </c>
      <c r="CV1198">
        <f>'Grid_Stock'!CT35</f>
        <v/>
      </c>
      <c r="CW1198">
        <f>'Grid_Stock'!CU35</f>
        <v/>
      </c>
      <c r="CX1198">
        <f>'Grid_Stock'!CV35</f>
        <v/>
      </c>
      <c r="CY1198">
        <f>'Grid_Stock'!CW35</f>
        <v/>
      </c>
      <c r="CZ1198">
        <f>'Grid_Stock'!CX35</f>
        <v/>
      </c>
      <c r="DA1198">
        <f>'Grid_Stock'!CY35</f>
        <v/>
      </c>
      <c r="DB1198">
        <f>'Grid_Stock'!CZ35</f>
        <v/>
      </c>
      <c r="DC1198">
        <f>'Grid_Stock'!DA35</f>
        <v/>
      </c>
    </row>
    <row r="1199">
      <c r="B1199" s="23" t="inlineStr">
        <is>
          <t>（発注の目安はDashboardの基準在庫[下限/上限]と色分けを参照）</t>
        </is>
      </c>
    </row>
    <row r="1201">
      <c r="A1201" s="21" t="inlineStr">
        <is>
          <t>CHEM-1760</t>
        </is>
      </c>
      <c r="B1201" s="21" t="inlineStr">
        <is>
          <t>Pigment TC RED FD (A)</t>
        </is>
      </c>
      <c r="C1201" s="22" t="n"/>
      <c r="D1201" s="21" t="n"/>
      <c r="E1201" s="21" t="n"/>
      <c r="F1201" s="21" t="n"/>
      <c r="G1201" s="21" t="n"/>
      <c r="H1201" s="21" t="n"/>
      <c r="I1201" s="21" t="n"/>
      <c r="J1201" s="21" t="n"/>
      <c r="K1201" s="21" t="n"/>
      <c r="L1201" s="21" t="n"/>
      <c r="M1201" s="21" t="n"/>
      <c r="N1201" s="21" t="n"/>
      <c r="O1201" s="21" t="n"/>
      <c r="P1201" s="21" t="n"/>
      <c r="Q1201" s="21" t="n"/>
      <c r="R1201" s="21" t="n"/>
      <c r="S1201" s="21" t="n"/>
      <c r="T1201" s="21" t="n"/>
      <c r="U1201" s="21" t="n"/>
      <c r="V1201" s="21" t="n"/>
      <c r="W1201" s="21" t="n"/>
      <c r="X1201" s="21" t="n"/>
      <c r="Y1201" s="21" t="n"/>
      <c r="Z1201" s="21" t="n"/>
      <c r="AA1201" s="21" t="n"/>
      <c r="AB1201" s="21" t="n"/>
      <c r="AC1201" s="21" t="n"/>
      <c r="AD1201" s="21" t="n"/>
      <c r="AE1201" s="21" t="n"/>
      <c r="AF1201" s="21" t="n"/>
      <c r="AG1201" s="21" t="n"/>
      <c r="AH1201" s="21" t="n"/>
      <c r="AI1201" s="21" t="n"/>
      <c r="AJ1201" s="21" t="n"/>
      <c r="AK1201" s="21" t="n"/>
      <c r="AL1201" s="21" t="n"/>
      <c r="AM1201" s="21" t="n"/>
      <c r="AN1201" s="21" t="n"/>
      <c r="AO1201" s="21" t="n"/>
      <c r="AP1201" s="21" t="n"/>
      <c r="AQ1201" s="21" t="n"/>
      <c r="AR1201" s="21" t="n"/>
      <c r="AS1201" s="21" t="n"/>
      <c r="AT1201" s="21" t="n"/>
      <c r="AU1201" s="21" t="n"/>
      <c r="AV1201" s="21" t="n"/>
      <c r="AW1201" s="21" t="n"/>
      <c r="AX1201" s="21" t="n"/>
      <c r="AY1201" s="21" t="n"/>
      <c r="AZ1201" s="21" t="n"/>
      <c r="BA1201" s="21" t="n"/>
      <c r="BB1201" s="21" t="n"/>
      <c r="BC1201" s="21" t="n"/>
      <c r="BD1201" s="21" t="n"/>
      <c r="BE1201" s="21" t="n"/>
      <c r="BF1201" s="21" t="n"/>
      <c r="BG1201" s="21" t="n"/>
      <c r="BH1201" s="21" t="n"/>
      <c r="BI1201" s="21" t="n"/>
      <c r="BJ1201" s="21" t="n"/>
      <c r="BK1201" s="21" t="n"/>
      <c r="BL1201" s="21" t="n"/>
      <c r="BM1201" s="21" t="n"/>
      <c r="BN1201" s="21" t="n"/>
      <c r="BO1201" s="21" t="n"/>
      <c r="BP1201" s="21" t="n"/>
      <c r="BQ1201" s="21" t="n"/>
      <c r="BR1201" s="21" t="n"/>
      <c r="BS1201" s="21" t="n"/>
      <c r="BT1201" s="21" t="n"/>
      <c r="BU1201" s="21" t="n"/>
      <c r="BV1201" s="21" t="n"/>
      <c r="BW1201" s="21" t="n"/>
      <c r="BX1201" s="21" t="n"/>
      <c r="BY1201" s="21" t="n"/>
      <c r="BZ1201" s="21" t="n"/>
      <c r="CA1201" s="21" t="n"/>
      <c r="CB1201" s="21" t="n"/>
      <c r="CC1201" s="21" t="n"/>
      <c r="CD1201" s="21" t="n"/>
      <c r="CE1201" s="21" t="n"/>
      <c r="CF1201" s="21" t="n"/>
      <c r="CG1201" s="21" t="n"/>
      <c r="CH1201" s="21" t="n"/>
      <c r="CI1201" s="21" t="n"/>
      <c r="CJ1201" s="21" t="n"/>
      <c r="CK1201" s="21" t="n"/>
      <c r="CL1201" s="21" t="n"/>
      <c r="CM1201" s="21" t="n"/>
      <c r="CN1201" s="21" t="n"/>
      <c r="CO1201" s="21" t="n"/>
      <c r="CP1201" s="21" t="n"/>
      <c r="CQ1201" s="21" t="n"/>
      <c r="CR1201" s="21" t="n"/>
      <c r="CS1201" s="21" t="n"/>
      <c r="CT1201" s="21" t="n"/>
      <c r="CU1201" s="21" t="n"/>
      <c r="CV1201" s="21" t="n"/>
      <c r="CW1201" s="21" t="n"/>
      <c r="CX1201" s="21" t="n"/>
      <c r="CY1201" s="21" t="n"/>
      <c r="CZ1201" s="21" t="n"/>
      <c r="DA1201" s="21" t="n"/>
      <c r="DB1201" s="21" t="n"/>
      <c r="DC1201" s="21" t="n"/>
    </row>
    <row r="1202">
      <c r="B1202" t="inlineStr">
        <is>
          <t>TVS-267</t>
        </is>
      </c>
      <c r="C1202" t="inlineStr">
        <is>
          <t>No. of batches</t>
        </is>
      </c>
      <c r="D1202">
        <f>IFERROR(INDEX(PP_Grid[#Data],$DD1202,2),0)</f>
        <v/>
      </c>
      <c r="E1202">
        <f>IFERROR(INDEX(PP_Grid[#Data],$DD1202,3),0)</f>
        <v/>
      </c>
      <c r="F1202">
        <f>IFERROR(INDEX(PP_Grid[#Data],$DD1202,4),0)</f>
        <v/>
      </c>
      <c r="G1202">
        <f>IFERROR(INDEX(PP_Grid[#Data],$DD1202,5),0)</f>
        <v/>
      </c>
      <c r="H1202">
        <f>IFERROR(INDEX(PP_Grid[#Data],$DD1202,6),0)</f>
        <v/>
      </c>
      <c r="I1202">
        <f>IFERROR(INDEX(PP_Grid[#Data],$DD1202,7),0)</f>
        <v/>
      </c>
      <c r="J1202">
        <f>IFERROR(INDEX(PP_Grid[#Data],$DD1202,8),0)</f>
        <v/>
      </c>
      <c r="K1202">
        <f>IFERROR(INDEX(PP_Grid[#Data],$DD1202,9),0)</f>
        <v/>
      </c>
      <c r="L1202">
        <f>IFERROR(INDEX(PP_Grid[#Data],$DD1202,10),0)</f>
        <v/>
      </c>
      <c r="M1202">
        <f>IFERROR(INDEX(PP_Grid[#Data],$DD1202,11),0)</f>
        <v/>
      </c>
      <c r="N1202">
        <f>IFERROR(INDEX(PP_Grid[#Data],$DD1202,12),0)</f>
        <v/>
      </c>
      <c r="O1202">
        <f>IFERROR(INDEX(PP_Grid[#Data],$DD1202,13),0)</f>
        <v/>
      </c>
      <c r="P1202">
        <f>IFERROR(INDEX(PP_Grid[#Data],$DD1202,14),0)</f>
        <v/>
      </c>
      <c r="Q1202">
        <f>IFERROR(INDEX(PP_Grid[#Data],$DD1202,15),0)</f>
        <v/>
      </c>
      <c r="R1202">
        <f>IFERROR(INDEX(PP_Grid[#Data],$DD1202,16),0)</f>
        <v/>
      </c>
      <c r="S1202">
        <f>IFERROR(INDEX(PP_Grid[#Data],$DD1202,17),0)</f>
        <v/>
      </c>
      <c r="T1202">
        <f>IFERROR(INDEX(PP_Grid[#Data],$DD1202,18),0)</f>
        <v/>
      </c>
      <c r="U1202">
        <f>IFERROR(INDEX(PP_Grid[#Data],$DD1202,19),0)</f>
        <v/>
      </c>
      <c r="V1202">
        <f>IFERROR(INDEX(PP_Grid[#Data],$DD1202,20),0)</f>
        <v/>
      </c>
      <c r="W1202">
        <f>IFERROR(INDEX(PP_Grid[#Data],$DD1202,21),0)</f>
        <v/>
      </c>
      <c r="X1202">
        <f>IFERROR(INDEX(PP_Grid[#Data],$DD1202,22),0)</f>
        <v/>
      </c>
      <c r="Y1202">
        <f>IFERROR(INDEX(PP_Grid[#Data],$DD1202,23),0)</f>
        <v/>
      </c>
      <c r="Z1202">
        <f>IFERROR(INDEX(PP_Grid[#Data],$DD1202,24),0)</f>
        <v/>
      </c>
      <c r="AA1202">
        <f>IFERROR(INDEX(PP_Grid[#Data],$DD1202,25),0)</f>
        <v/>
      </c>
      <c r="AB1202">
        <f>IFERROR(INDEX(PP_Grid[#Data],$DD1202,26),0)</f>
        <v/>
      </c>
      <c r="AC1202">
        <f>IFERROR(INDEX(PP_Grid[#Data],$DD1202,27),0)</f>
        <v/>
      </c>
      <c r="AD1202">
        <f>IFERROR(INDEX(PP_Grid[#Data],$DD1202,28),0)</f>
        <v/>
      </c>
      <c r="AE1202">
        <f>IFERROR(INDEX(PP_Grid[#Data],$DD1202,29),0)</f>
        <v/>
      </c>
      <c r="AF1202">
        <f>IFERROR(INDEX(PP_Grid[#Data],$DD1202,30),0)</f>
        <v/>
      </c>
      <c r="AG1202">
        <f>IFERROR(INDEX(PP_Grid[#Data],$DD1202,31),0)</f>
        <v/>
      </c>
      <c r="AH1202">
        <f>IFERROR(INDEX(PP_Grid[#Data],$DD1202,32),0)</f>
        <v/>
      </c>
      <c r="AI1202">
        <f>IFERROR(INDEX(PP_Grid[#Data],$DD1202,33),0)</f>
        <v/>
      </c>
      <c r="AJ1202">
        <f>IFERROR(INDEX(PP_Grid[#Data],$DD1202,34),0)</f>
        <v/>
      </c>
      <c r="AK1202">
        <f>IFERROR(INDEX(PP_Grid[#Data],$DD1202,35),0)</f>
        <v/>
      </c>
      <c r="AL1202">
        <f>IFERROR(INDEX(PP_Grid[#Data],$DD1202,36),0)</f>
        <v/>
      </c>
      <c r="AM1202">
        <f>IFERROR(INDEX(PP_Grid[#Data],$DD1202,37),0)</f>
        <v/>
      </c>
      <c r="AN1202">
        <f>IFERROR(INDEX(PP_Grid[#Data],$DD1202,38),0)</f>
        <v/>
      </c>
      <c r="AO1202">
        <f>IFERROR(INDEX(PP_Grid[#Data],$DD1202,39),0)</f>
        <v/>
      </c>
      <c r="AP1202">
        <f>IFERROR(INDEX(PP_Grid[#Data],$DD1202,40),0)</f>
        <v/>
      </c>
      <c r="AQ1202">
        <f>IFERROR(INDEX(PP_Grid[#Data],$DD1202,41),0)</f>
        <v/>
      </c>
      <c r="AR1202">
        <f>IFERROR(INDEX(PP_Grid[#Data],$DD1202,42),0)</f>
        <v/>
      </c>
      <c r="AS1202">
        <f>IFERROR(INDEX(PP_Grid[#Data],$DD1202,43),0)</f>
        <v/>
      </c>
      <c r="AT1202">
        <f>IFERROR(INDEX(PP_Grid[#Data],$DD1202,44),0)</f>
        <v/>
      </c>
      <c r="AU1202">
        <f>IFERROR(INDEX(PP_Grid[#Data],$DD1202,45),0)</f>
        <v/>
      </c>
      <c r="AV1202">
        <f>IFERROR(INDEX(PP_Grid[#Data],$DD1202,46),0)</f>
        <v/>
      </c>
      <c r="AW1202">
        <f>IFERROR(INDEX(PP_Grid[#Data],$DD1202,47),0)</f>
        <v/>
      </c>
      <c r="AX1202">
        <f>IFERROR(INDEX(PP_Grid[#Data],$DD1202,48),0)</f>
        <v/>
      </c>
      <c r="AY1202">
        <f>IFERROR(INDEX(PP_Grid[#Data],$DD1202,49),0)</f>
        <v/>
      </c>
      <c r="AZ1202">
        <f>IFERROR(INDEX(PP_Grid[#Data],$DD1202,50),0)</f>
        <v/>
      </c>
      <c r="BA1202">
        <f>IFERROR(INDEX(PP_Grid[#Data],$DD1202,51),0)</f>
        <v/>
      </c>
      <c r="BB1202">
        <f>IFERROR(INDEX(PP_Grid[#Data],$DD1202,52),0)</f>
        <v/>
      </c>
      <c r="BC1202">
        <f>IFERROR(INDEX(PP_Grid[#Data],$DD1202,53),0)</f>
        <v/>
      </c>
      <c r="BD1202">
        <f>IFERROR(INDEX(PP_Grid[#Data],$DD1202,54),0)</f>
        <v/>
      </c>
      <c r="BE1202">
        <f>IFERROR(INDEX(PP_Grid[#Data],$DD1202,55),0)</f>
        <v/>
      </c>
      <c r="BF1202">
        <f>IFERROR(INDEX(PP_Grid[#Data],$DD1202,56),0)</f>
        <v/>
      </c>
      <c r="BG1202">
        <f>IFERROR(INDEX(PP_Grid[#Data],$DD1202,57),0)</f>
        <v/>
      </c>
      <c r="BH1202">
        <f>IFERROR(INDEX(PP_Grid[#Data],$DD1202,58),0)</f>
        <v/>
      </c>
      <c r="BI1202">
        <f>IFERROR(INDEX(PP_Grid[#Data],$DD1202,59),0)</f>
        <v/>
      </c>
      <c r="BJ1202">
        <f>IFERROR(INDEX(PP_Grid[#Data],$DD1202,60),0)</f>
        <v/>
      </c>
      <c r="BK1202">
        <f>IFERROR(INDEX(PP_Grid[#Data],$DD1202,61),0)</f>
        <v/>
      </c>
      <c r="BL1202">
        <f>IFERROR(INDEX(PP_Grid[#Data],$DD1202,62),0)</f>
        <v/>
      </c>
      <c r="BM1202">
        <f>IFERROR(INDEX(PP_Grid[#Data],$DD1202,63),0)</f>
        <v/>
      </c>
      <c r="BN1202">
        <f>IFERROR(INDEX(PP_Grid[#Data],$DD1202,64),0)</f>
        <v/>
      </c>
      <c r="BO1202">
        <f>IFERROR(INDEX(PP_Grid[#Data],$DD1202,65),0)</f>
        <v/>
      </c>
      <c r="BP1202">
        <f>IFERROR(INDEX(PP_Grid[#Data],$DD1202,66),0)</f>
        <v/>
      </c>
      <c r="BQ1202">
        <f>IFERROR(INDEX(PP_Grid[#Data],$DD1202,67),0)</f>
        <v/>
      </c>
      <c r="BR1202">
        <f>IFERROR(INDEX(PP_Grid[#Data],$DD1202,68),0)</f>
        <v/>
      </c>
      <c r="BS1202">
        <f>IFERROR(INDEX(PP_Grid[#Data],$DD1202,69),0)</f>
        <v/>
      </c>
      <c r="BT1202">
        <f>IFERROR(INDEX(PP_Grid[#Data],$DD1202,70),0)</f>
        <v/>
      </c>
      <c r="BU1202">
        <f>IFERROR(INDEX(PP_Grid[#Data],$DD1202,71),0)</f>
        <v/>
      </c>
      <c r="BV1202">
        <f>IFERROR(INDEX(PP_Grid[#Data],$DD1202,72),0)</f>
        <v/>
      </c>
      <c r="BW1202">
        <f>IFERROR(INDEX(PP_Grid[#Data],$DD1202,73),0)</f>
        <v/>
      </c>
      <c r="BX1202">
        <f>IFERROR(INDEX(PP_Grid[#Data],$DD1202,74),0)</f>
        <v/>
      </c>
      <c r="BY1202">
        <f>IFERROR(INDEX(PP_Grid[#Data],$DD1202,75),0)</f>
        <v/>
      </c>
      <c r="BZ1202">
        <f>IFERROR(INDEX(PP_Grid[#Data],$DD1202,76),0)</f>
        <v/>
      </c>
      <c r="CA1202">
        <f>IFERROR(INDEX(PP_Grid[#Data],$DD1202,77),0)</f>
        <v/>
      </c>
      <c r="CB1202">
        <f>IFERROR(INDEX(PP_Grid[#Data],$DD1202,78),0)</f>
        <v/>
      </c>
      <c r="CC1202">
        <f>IFERROR(INDEX(PP_Grid[#Data],$DD1202,79),0)</f>
        <v/>
      </c>
      <c r="CD1202">
        <f>IFERROR(INDEX(PP_Grid[#Data],$DD1202,80),0)</f>
        <v/>
      </c>
      <c r="CE1202">
        <f>IFERROR(INDEX(PP_Grid[#Data],$DD1202,81),0)</f>
        <v/>
      </c>
      <c r="CF1202">
        <f>IFERROR(INDEX(PP_Grid[#Data],$DD1202,82),0)</f>
        <v/>
      </c>
      <c r="CG1202">
        <f>IFERROR(INDEX(PP_Grid[#Data],$DD1202,83),0)</f>
        <v/>
      </c>
      <c r="CH1202">
        <f>IFERROR(INDEX(PP_Grid[#Data],$DD1202,84),0)</f>
        <v/>
      </c>
      <c r="CI1202">
        <f>IFERROR(INDEX(PP_Grid[#Data],$DD1202,85),0)</f>
        <v/>
      </c>
      <c r="CJ1202">
        <f>IFERROR(INDEX(PP_Grid[#Data],$DD1202,86),0)</f>
        <v/>
      </c>
      <c r="CK1202">
        <f>IFERROR(INDEX(PP_Grid[#Data],$DD1202,87),0)</f>
        <v/>
      </c>
      <c r="CL1202">
        <f>IFERROR(INDEX(PP_Grid[#Data],$DD1202,88),0)</f>
        <v/>
      </c>
      <c r="CM1202">
        <f>IFERROR(INDEX(PP_Grid[#Data],$DD1202,89),0)</f>
        <v/>
      </c>
      <c r="CN1202">
        <f>IFERROR(INDEX(PP_Grid[#Data],$DD1202,90),0)</f>
        <v/>
      </c>
      <c r="CO1202">
        <f>IFERROR(INDEX(PP_Grid[#Data],$DD1202,91),0)</f>
        <v/>
      </c>
      <c r="CP1202">
        <f>IFERROR(INDEX(PP_Grid[#Data],$DD1202,92),0)</f>
        <v/>
      </c>
      <c r="CQ1202">
        <f>IFERROR(INDEX(PP_Grid[#Data],$DD1202,93),0)</f>
        <v/>
      </c>
      <c r="CR1202">
        <f>IFERROR(INDEX(PP_Grid[#Data],$DD1202,94),0)</f>
        <v/>
      </c>
      <c r="CS1202">
        <f>IFERROR(INDEX(PP_Grid[#Data],$DD1202,95),0)</f>
        <v/>
      </c>
      <c r="CT1202">
        <f>IFERROR(INDEX(PP_Grid[#Data],$DD1202,96),0)</f>
        <v/>
      </c>
      <c r="CU1202">
        <f>IFERROR(INDEX(PP_Grid[#Data],$DD1202,97),0)</f>
        <v/>
      </c>
      <c r="CV1202">
        <f>IFERROR(INDEX(PP_Grid[#Data],$DD1202,98),0)</f>
        <v/>
      </c>
      <c r="CW1202">
        <f>IFERROR(INDEX(PP_Grid[#Data],$DD1202,99),0)</f>
        <v/>
      </c>
      <c r="CX1202">
        <f>IFERROR(INDEX(PP_Grid[#Data],$DD1202,100),0)</f>
        <v/>
      </c>
      <c r="CY1202">
        <f>IFERROR(INDEX(PP_Grid[#Data],$DD1202,101),0)</f>
        <v/>
      </c>
      <c r="CZ1202">
        <f>IFERROR(INDEX(PP_Grid[#Data],$DD1202,102),0)</f>
        <v/>
      </c>
      <c r="DA1202">
        <f>IFERROR(INDEX(PP_Grid[#Data],$DD1202,103),0)</f>
        <v/>
      </c>
      <c r="DB1202">
        <f>IFERROR(INDEX(PP_Grid[#Data],$DD1202,104),0)</f>
        <v/>
      </c>
      <c r="DC1202">
        <f>IFERROR(INDEX(PP_Grid[#Data],$DD1202,105),0)</f>
        <v/>
      </c>
      <c r="DD1202" s="12">
        <f>IFERROR(MATCH($B1202,PP_Grid[Intermediate],0),99999)</f>
        <v/>
      </c>
    </row>
    <row r="1203">
      <c r="B1203" t="inlineStr">
        <is>
          <t>使用量(kg)</t>
        </is>
      </c>
      <c r="C1203">
        <f>SUMIFS(M_BOM[RM_Qty_Per_Batch],M_BOM[Intermediate],$B1202,M_BOM[Part Name],$A1201)</f>
        <v/>
      </c>
      <c r="D1203">
        <f>$C1203*D1202</f>
        <v/>
      </c>
      <c r="E1203">
        <f>$C1203*E1202</f>
        <v/>
      </c>
      <c r="F1203">
        <f>$C1203*F1202</f>
        <v/>
      </c>
      <c r="G1203">
        <f>$C1203*G1202</f>
        <v/>
      </c>
      <c r="H1203">
        <f>$C1203*H1202</f>
        <v/>
      </c>
      <c r="I1203">
        <f>$C1203*I1202</f>
        <v/>
      </c>
      <c r="J1203">
        <f>$C1203*J1202</f>
        <v/>
      </c>
      <c r="K1203">
        <f>$C1203*K1202</f>
        <v/>
      </c>
      <c r="L1203">
        <f>$C1203*L1202</f>
        <v/>
      </c>
      <c r="M1203">
        <f>$C1203*M1202</f>
        <v/>
      </c>
      <c r="N1203">
        <f>$C1203*N1202</f>
        <v/>
      </c>
      <c r="O1203">
        <f>$C1203*O1202</f>
        <v/>
      </c>
      <c r="P1203">
        <f>$C1203*P1202</f>
        <v/>
      </c>
      <c r="Q1203">
        <f>$C1203*Q1202</f>
        <v/>
      </c>
      <c r="R1203">
        <f>$C1203*R1202</f>
        <v/>
      </c>
      <c r="S1203">
        <f>$C1203*S1202</f>
        <v/>
      </c>
      <c r="T1203">
        <f>$C1203*T1202</f>
        <v/>
      </c>
      <c r="U1203">
        <f>$C1203*U1202</f>
        <v/>
      </c>
      <c r="V1203">
        <f>$C1203*V1202</f>
        <v/>
      </c>
      <c r="W1203">
        <f>$C1203*W1202</f>
        <v/>
      </c>
      <c r="X1203">
        <f>$C1203*X1202</f>
        <v/>
      </c>
      <c r="Y1203">
        <f>$C1203*Y1202</f>
        <v/>
      </c>
      <c r="Z1203">
        <f>$C1203*Z1202</f>
        <v/>
      </c>
      <c r="AA1203">
        <f>$C1203*AA1202</f>
        <v/>
      </c>
      <c r="AB1203">
        <f>$C1203*AB1202</f>
        <v/>
      </c>
      <c r="AC1203">
        <f>$C1203*AC1202</f>
        <v/>
      </c>
      <c r="AD1203">
        <f>$C1203*AD1202</f>
        <v/>
      </c>
      <c r="AE1203">
        <f>$C1203*AE1202</f>
        <v/>
      </c>
      <c r="AF1203">
        <f>$C1203*AF1202</f>
        <v/>
      </c>
      <c r="AG1203">
        <f>$C1203*AG1202</f>
        <v/>
      </c>
      <c r="AH1203">
        <f>$C1203*AH1202</f>
        <v/>
      </c>
      <c r="AI1203">
        <f>$C1203*AI1202</f>
        <v/>
      </c>
      <c r="AJ1203">
        <f>$C1203*AJ1202</f>
        <v/>
      </c>
      <c r="AK1203">
        <f>$C1203*AK1202</f>
        <v/>
      </c>
      <c r="AL1203">
        <f>$C1203*AL1202</f>
        <v/>
      </c>
      <c r="AM1203">
        <f>$C1203*AM1202</f>
        <v/>
      </c>
      <c r="AN1203">
        <f>$C1203*AN1202</f>
        <v/>
      </c>
      <c r="AO1203">
        <f>$C1203*AO1202</f>
        <v/>
      </c>
      <c r="AP1203">
        <f>$C1203*AP1202</f>
        <v/>
      </c>
      <c r="AQ1203">
        <f>$C1203*AQ1202</f>
        <v/>
      </c>
      <c r="AR1203">
        <f>$C1203*AR1202</f>
        <v/>
      </c>
      <c r="AS1203">
        <f>$C1203*AS1202</f>
        <v/>
      </c>
      <c r="AT1203">
        <f>$C1203*AT1202</f>
        <v/>
      </c>
      <c r="AU1203">
        <f>$C1203*AU1202</f>
        <v/>
      </c>
      <c r="AV1203">
        <f>$C1203*AV1202</f>
        <v/>
      </c>
      <c r="AW1203">
        <f>$C1203*AW1202</f>
        <v/>
      </c>
      <c r="AX1203">
        <f>$C1203*AX1202</f>
        <v/>
      </c>
      <c r="AY1203">
        <f>$C1203*AY1202</f>
        <v/>
      </c>
      <c r="AZ1203">
        <f>$C1203*AZ1202</f>
        <v/>
      </c>
      <c r="BA1203">
        <f>$C1203*BA1202</f>
        <v/>
      </c>
      <c r="BB1203">
        <f>$C1203*BB1202</f>
        <v/>
      </c>
      <c r="BC1203">
        <f>$C1203*BC1202</f>
        <v/>
      </c>
      <c r="BD1203">
        <f>$C1203*BD1202</f>
        <v/>
      </c>
      <c r="BE1203">
        <f>$C1203*BE1202</f>
        <v/>
      </c>
      <c r="BF1203">
        <f>$C1203*BF1202</f>
        <v/>
      </c>
      <c r="BG1203">
        <f>$C1203*BG1202</f>
        <v/>
      </c>
      <c r="BH1203">
        <f>$C1203*BH1202</f>
        <v/>
      </c>
      <c r="BI1203">
        <f>$C1203*BI1202</f>
        <v/>
      </c>
      <c r="BJ1203">
        <f>$C1203*BJ1202</f>
        <v/>
      </c>
      <c r="BK1203">
        <f>$C1203*BK1202</f>
        <v/>
      </c>
      <c r="BL1203">
        <f>$C1203*BL1202</f>
        <v/>
      </c>
      <c r="BM1203">
        <f>$C1203*BM1202</f>
        <v/>
      </c>
      <c r="BN1203">
        <f>$C1203*BN1202</f>
        <v/>
      </c>
      <c r="BO1203">
        <f>$C1203*BO1202</f>
        <v/>
      </c>
      <c r="BP1203">
        <f>$C1203*BP1202</f>
        <v/>
      </c>
      <c r="BQ1203">
        <f>$C1203*BQ1202</f>
        <v/>
      </c>
      <c r="BR1203">
        <f>$C1203*BR1202</f>
        <v/>
      </c>
      <c r="BS1203">
        <f>$C1203*BS1202</f>
        <v/>
      </c>
      <c r="BT1203">
        <f>$C1203*BT1202</f>
        <v/>
      </c>
      <c r="BU1203">
        <f>$C1203*BU1202</f>
        <v/>
      </c>
      <c r="BV1203">
        <f>$C1203*BV1202</f>
        <v/>
      </c>
      <c r="BW1203">
        <f>$C1203*BW1202</f>
        <v/>
      </c>
      <c r="BX1203">
        <f>$C1203*BX1202</f>
        <v/>
      </c>
      <c r="BY1203">
        <f>$C1203*BY1202</f>
        <v/>
      </c>
      <c r="BZ1203">
        <f>$C1203*BZ1202</f>
        <v/>
      </c>
      <c r="CA1203">
        <f>$C1203*CA1202</f>
        <v/>
      </c>
      <c r="CB1203">
        <f>$C1203*CB1202</f>
        <v/>
      </c>
      <c r="CC1203">
        <f>$C1203*CC1202</f>
        <v/>
      </c>
      <c r="CD1203">
        <f>$C1203*CD1202</f>
        <v/>
      </c>
      <c r="CE1203">
        <f>$C1203*CE1202</f>
        <v/>
      </c>
      <c r="CF1203">
        <f>$C1203*CF1202</f>
        <v/>
      </c>
      <c r="CG1203">
        <f>$C1203*CG1202</f>
        <v/>
      </c>
      <c r="CH1203">
        <f>$C1203*CH1202</f>
        <v/>
      </c>
      <c r="CI1203">
        <f>$C1203*CI1202</f>
        <v/>
      </c>
      <c r="CJ1203">
        <f>$C1203*CJ1202</f>
        <v/>
      </c>
      <c r="CK1203">
        <f>$C1203*CK1202</f>
        <v/>
      </c>
      <c r="CL1203">
        <f>$C1203*CL1202</f>
        <v/>
      </c>
      <c r="CM1203">
        <f>$C1203*CM1202</f>
        <v/>
      </c>
      <c r="CN1203">
        <f>$C1203*CN1202</f>
        <v/>
      </c>
      <c r="CO1203">
        <f>$C1203*CO1202</f>
        <v/>
      </c>
      <c r="CP1203">
        <f>$C1203*CP1202</f>
        <v/>
      </c>
      <c r="CQ1203">
        <f>$C1203*CQ1202</f>
        <v/>
      </c>
      <c r="CR1203">
        <f>$C1203*CR1202</f>
        <v/>
      </c>
      <c r="CS1203">
        <f>$C1203*CS1202</f>
        <v/>
      </c>
      <c r="CT1203">
        <f>$C1203*CT1202</f>
        <v/>
      </c>
      <c r="CU1203">
        <f>$C1203*CU1202</f>
        <v/>
      </c>
      <c r="CV1203">
        <f>$C1203*CV1202</f>
        <v/>
      </c>
      <c r="CW1203">
        <f>$C1203*CW1202</f>
        <v/>
      </c>
      <c r="CX1203">
        <f>$C1203*CX1202</f>
        <v/>
      </c>
      <c r="CY1203">
        <f>$C1203*CY1202</f>
        <v/>
      </c>
      <c r="CZ1203">
        <f>$C1203*CZ1202</f>
        <v/>
      </c>
      <c r="DA1203">
        <f>$C1203*DA1202</f>
        <v/>
      </c>
      <c r="DB1203">
        <f>$C1203*DB1202</f>
        <v/>
      </c>
      <c r="DC1203">
        <f>$C1203*DC1202</f>
        <v/>
      </c>
    </row>
    <row r="1204">
      <c r="B1204" t="inlineStr">
        <is>
          <t>TVS-500</t>
        </is>
      </c>
      <c r="C1204" t="inlineStr">
        <is>
          <t>No. of batches</t>
        </is>
      </c>
      <c r="D1204">
        <f>IFERROR(INDEX(PP_Grid[#Data],$DD1204,2),0)</f>
        <v/>
      </c>
      <c r="E1204">
        <f>IFERROR(INDEX(PP_Grid[#Data],$DD1204,3),0)</f>
        <v/>
      </c>
      <c r="F1204">
        <f>IFERROR(INDEX(PP_Grid[#Data],$DD1204,4),0)</f>
        <v/>
      </c>
      <c r="G1204">
        <f>IFERROR(INDEX(PP_Grid[#Data],$DD1204,5),0)</f>
        <v/>
      </c>
      <c r="H1204">
        <f>IFERROR(INDEX(PP_Grid[#Data],$DD1204,6),0)</f>
        <v/>
      </c>
      <c r="I1204">
        <f>IFERROR(INDEX(PP_Grid[#Data],$DD1204,7),0)</f>
        <v/>
      </c>
      <c r="J1204">
        <f>IFERROR(INDEX(PP_Grid[#Data],$DD1204,8),0)</f>
        <v/>
      </c>
      <c r="K1204">
        <f>IFERROR(INDEX(PP_Grid[#Data],$DD1204,9),0)</f>
        <v/>
      </c>
      <c r="L1204">
        <f>IFERROR(INDEX(PP_Grid[#Data],$DD1204,10),0)</f>
        <v/>
      </c>
      <c r="M1204">
        <f>IFERROR(INDEX(PP_Grid[#Data],$DD1204,11),0)</f>
        <v/>
      </c>
      <c r="N1204">
        <f>IFERROR(INDEX(PP_Grid[#Data],$DD1204,12),0)</f>
        <v/>
      </c>
      <c r="O1204">
        <f>IFERROR(INDEX(PP_Grid[#Data],$DD1204,13),0)</f>
        <v/>
      </c>
      <c r="P1204">
        <f>IFERROR(INDEX(PP_Grid[#Data],$DD1204,14),0)</f>
        <v/>
      </c>
      <c r="Q1204">
        <f>IFERROR(INDEX(PP_Grid[#Data],$DD1204,15),0)</f>
        <v/>
      </c>
      <c r="R1204">
        <f>IFERROR(INDEX(PP_Grid[#Data],$DD1204,16),0)</f>
        <v/>
      </c>
      <c r="S1204">
        <f>IFERROR(INDEX(PP_Grid[#Data],$DD1204,17),0)</f>
        <v/>
      </c>
      <c r="T1204">
        <f>IFERROR(INDEX(PP_Grid[#Data],$DD1204,18),0)</f>
        <v/>
      </c>
      <c r="U1204">
        <f>IFERROR(INDEX(PP_Grid[#Data],$DD1204,19),0)</f>
        <v/>
      </c>
      <c r="V1204">
        <f>IFERROR(INDEX(PP_Grid[#Data],$DD1204,20),0)</f>
        <v/>
      </c>
      <c r="W1204">
        <f>IFERROR(INDEX(PP_Grid[#Data],$DD1204,21),0)</f>
        <v/>
      </c>
      <c r="X1204">
        <f>IFERROR(INDEX(PP_Grid[#Data],$DD1204,22),0)</f>
        <v/>
      </c>
      <c r="Y1204">
        <f>IFERROR(INDEX(PP_Grid[#Data],$DD1204,23),0)</f>
        <v/>
      </c>
      <c r="Z1204">
        <f>IFERROR(INDEX(PP_Grid[#Data],$DD1204,24),0)</f>
        <v/>
      </c>
      <c r="AA1204">
        <f>IFERROR(INDEX(PP_Grid[#Data],$DD1204,25),0)</f>
        <v/>
      </c>
      <c r="AB1204">
        <f>IFERROR(INDEX(PP_Grid[#Data],$DD1204,26),0)</f>
        <v/>
      </c>
      <c r="AC1204">
        <f>IFERROR(INDEX(PP_Grid[#Data],$DD1204,27),0)</f>
        <v/>
      </c>
      <c r="AD1204">
        <f>IFERROR(INDEX(PP_Grid[#Data],$DD1204,28),0)</f>
        <v/>
      </c>
      <c r="AE1204">
        <f>IFERROR(INDEX(PP_Grid[#Data],$DD1204,29),0)</f>
        <v/>
      </c>
      <c r="AF1204">
        <f>IFERROR(INDEX(PP_Grid[#Data],$DD1204,30),0)</f>
        <v/>
      </c>
      <c r="AG1204">
        <f>IFERROR(INDEX(PP_Grid[#Data],$DD1204,31),0)</f>
        <v/>
      </c>
      <c r="AH1204">
        <f>IFERROR(INDEX(PP_Grid[#Data],$DD1204,32),0)</f>
        <v/>
      </c>
      <c r="AI1204">
        <f>IFERROR(INDEX(PP_Grid[#Data],$DD1204,33),0)</f>
        <v/>
      </c>
      <c r="AJ1204">
        <f>IFERROR(INDEX(PP_Grid[#Data],$DD1204,34),0)</f>
        <v/>
      </c>
      <c r="AK1204">
        <f>IFERROR(INDEX(PP_Grid[#Data],$DD1204,35),0)</f>
        <v/>
      </c>
      <c r="AL1204">
        <f>IFERROR(INDEX(PP_Grid[#Data],$DD1204,36),0)</f>
        <v/>
      </c>
      <c r="AM1204">
        <f>IFERROR(INDEX(PP_Grid[#Data],$DD1204,37),0)</f>
        <v/>
      </c>
      <c r="AN1204">
        <f>IFERROR(INDEX(PP_Grid[#Data],$DD1204,38),0)</f>
        <v/>
      </c>
      <c r="AO1204">
        <f>IFERROR(INDEX(PP_Grid[#Data],$DD1204,39),0)</f>
        <v/>
      </c>
      <c r="AP1204">
        <f>IFERROR(INDEX(PP_Grid[#Data],$DD1204,40),0)</f>
        <v/>
      </c>
      <c r="AQ1204">
        <f>IFERROR(INDEX(PP_Grid[#Data],$DD1204,41),0)</f>
        <v/>
      </c>
      <c r="AR1204">
        <f>IFERROR(INDEX(PP_Grid[#Data],$DD1204,42),0)</f>
        <v/>
      </c>
      <c r="AS1204">
        <f>IFERROR(INDEX(PP_Grid[#Data],$DD1204,43),0)</f>
        <v/>
      </c>
      <c r="AT1204">
        <f>IFERROR(INDEX(PP_Grid[#Data],$DD1204,44),0)</f>
        <v/>
      </c>
      <c r="AU1204">
        <f>IFERROR(INDEX(PP_Grid[#Data],$DD1204,45),0)</f>
        <v/>
      </c>
      <c r="AV1204">
        <f>IFERROR(INDEX(PP_Grid[#Data],$DD1204,46),0)</f>
        <v/>
      </c>
      <c r="AW1204">
        <f>IFERROR(INDEX(PP_Grid[#Data],$DD1204,47),0)</f>
        <v/>
      </c>
      <c r="AX1204">
        <f>IFERROR(INDEX(PP_Grid[#Data],$DD1204,48),0)</f>
        <v/>
      </c>
      <c r="AY1204">
        <f>IFERROR(INDEX(PP_Grid[#Data],$DD1204,49),0)</f>
        <v/>
      </c>
      <c r="AZ1204">
        <f>IFERROR(INDEX(PP_Grid[#Data],$DD1204,50),0)</f>
        <v/>
      </c>
      <c r="BA1204">
        <f>IFERROR(INDEX(PP_Grid[#Data],$DD1204,51),0)</f>
        <v/>
      </c>
      <c r="BB1204">
        <f>IFERROR(INDEX(PP_Grid[#Data],$DD1204,52),0)</f>
        <v/>
      </c>
      <c r="BC1204">
        <f>IFERROR(INDEX(PP_Grid[#Data],$DD1204,53),0)</f>
        <v/>
      </c>
      <c r="BD1204">
        <f>IFERROR(INDEX(PP_Grid[#Data],$DD1204,54),0)</f>
        <v/>
      </c>
      <c r="BE1204">
        <f>IFERROR(INDEX(PP_Grid[#Data],$DD1204,55),0)</f>
        <v/>
      </c>
      <c r="BF1204">
        <f>IFERROR(INDEX(PP_Grid[#Data],$DD1204,56),0)</f>
        <v/>
      </c>
      <c r="BG1204">
        <f>IFERROR(INDEX(PP_Grid[#Data],$DD1204,57),0)</f>
        <v/>
      </c>
      <c r="BH1204">
        <f>IFERROR(INDEX(PP_Grid[#Data],$DD1204,58),0)</f>
        <v/>
      </c>
      <c r="BI1204">
        <f>IFERROR(INDEX(PP_Grid[#Data],$DD1204,59),0)</f>
        <v/>
      </c>
      <c r="BJ1204">
        <f>IFERROR(INDEX(PP_Grid[#Data],$DD1204,60),0)</f>
        <v/>
      </c>
      <c r="BK1204">
        <f>IFERROR(INDEX(PP_Grid[#Data],$DD1204,61),0)</f>
        <v/>
      </c>
      <c r="BL1204">
        <f>IFERROR(INDEX(PP_Grid[#Data],$DD1204,62),0)</f>
        <v/>
      </c>
      <c r="BM1204">
        <f>IFERROR(INDEX(PP_Grid[#Data],$DD1204,63),0)</f>
        <v/>
      </c>
      <c r="BN1204">
        <f>IFERROR(INDEX(PP_Grid[#Data],$DD1204,64),0)</f>
        <v/>
      </c>
      <c r="BO1204">
        <f>IFERROR(INDEX(PP_Grid[#Data],$DD1204,65),0)</f>
        <v/>
      </c>
      <c r="BP1204">
        <f>IFERROR(INDEX(PP_Grid[#Data],$DD1204,66),0)</f>
        <v/>
      </c>
      <c r="BQ1204">
        <f>IFERROR(INDEX(PP_Grid[#Data],$DD1204,67),0)</f>
        <v/>
      </c>
      <c r="BR1204">
        <f>IFERROR(INDEX(PP_Grid[#Data],$DD1204,68),0)</f>
        <v/>
      </c>
      <c r="BS1204">
        <f>IFERROR(INDEX(PP_Grid[#Data],$DD1204,69),0)</f>
        <v/>
      </c>
      <c r="BT1204">
        <f>IFERROR(INDEX(PP_Grid[#Data],$DD1204,70),0)</f>
        <v/>
      </c>
      <c r="BU1204">
        <f>IFERROR(INDEX(PP_Grid[#Data],$DD1204,71),0)</f>
        <v/>
      </c>
      <c r="BV1204">
        <f>IFERROR(INDEX(PP_Grid[#Data],$DD1204,72),0)</f>
        <v/>
      </c>
      <c r="BW1204">
        <f>IFERROR(INDEX(PP_Grid[#Data],$DD1204,73),0)</f>
        <v/>
      </c>
      <c r="BX1204">
        <f>IFERROR(INDEX(PP_Grid[#Data],$DD1204,74),0)</f>
        <v/>
      </c>
      <c r="BY1204">
        <f>IFERROR(INDEX(PP_Grid[#Data],$DD1204,75),0)</f>
        <v/>
      </c>
      <c r="BZ1204">
        <f>IFERROR(INDEX(PP_Grid[#Data],$DD1204,76),0)</f>
        <v/>
      </c>
      <c r="CA1204">
        <f>IFERROR(INDEX(PP_Grid[#Data],$DD1204,77),0)</f>
        <v/>
      </c>
      <c r="CB1204">
        <f>IFERROR(INDEX(PP_Grid[#Data],$DD1204,78),0)</f>
        <v/>
      </c>
      <c r="CC1204">
        <f>IFERROR(INDEX(PP_Grid[#Data],$DD1204,79),0)</f>
        <v/>
      </c>
      <c r="CD1204">
        <f>IFERROR(INDEX(PP_Grid[#Data],$DD1204,80),0)</f>
        <v/>
      </c>
      <c r="CE1204">
        <f>IFERROR(INDEX(PP_Grid[#Data],$DD1204,81),0)</f>
        <v/>
      </c>
      <c r="CF1204">
        <f>IFERROR(INDEX(PP_Grid[#Data],$DD1204,82),0)</f>
        <v/>
      </c>
      <c r="CG1204">
        <f>IFERROR(INDEX(PP_Grid[#Data],$DD1204,83),0)</f>
        <v/>
      </c>
      <c r="CH1204">
        <f>IFERROR(INDEX(PP_Grid[#Data],$DD1204,84),0)</f>
        <v/>
      </c>
      <c r="CI1204">
        <f>IFERROR(INDEX(PP_Grid[#Data],$DD1204,85),0)</f>
        <v/>
      </c>
      <c r="CJ1204">
        <f>IFERROR(INDEX(PP_Grid[#Data],$DD1204,86),0)</f>
        <v/>
      </c>
      <c r="CK1204">
        <f>IFERROR(INDEX(PP_Grid[#Data],$DD1204,87),0)</f>
        <v/>
      </c>
      <c r="CL1204">
        <f>IFERROR(INDEX(PP_Grid[#Data],$DD1204,88),0)</f>
        <v/>
      </c>
      <c r="CM1204">
        <f>IFERROR(INDEX(PP_Grid[#Data],$DD1204,89),0)</f>
        <v/>
      </c>
      <c r="CN1204">
        <f>IFERROR(INDEX(PP_Grid[#Data],$DD1204,90),0)</f>
        <v/>
      </c>
      <c r="CO1204">
        <f>IFERROR(INDEX(PP_Grid[#Data],$DD1204,91),0)</f>
        <v/>
      </c>
      <c r="CP1204">
        <f>IFERROR(INDEX(PP_Grid[#Data],$DD1204,92),0)</f>
        <v/>
      </c>
      <c r="CQ1204">
        <f>IFERROR(INDEX(PP_Grid[#Data],$DD1204,93),0)</f>
        <v/>
      </c>
      <c r="CR1204">
        <f>IFERROR(INDEX(PP_Grid[#Data],$DD1204,94),0)</f>
        <v/>
      </c>
      <c r="CS1204">
        <f>IFERROR(INDEX(PP_Grid[#Data],$DD1204,95),0)</f>
        <v/>
      </c>
      <c r="CT1204">
        <f>IFERROR(INDEX(PP_Grid[#Data],$DD1204,96),0)</f>
        <v/>
      </c>
      <c r="CU1204">
        <f>IFERROR(INDEX(PP_Grid[#Data],$DD1204,97),0)</f>
        <v/>
      </c>
      <c r="CV1204">
        <f>IFERROR(INDEX(PP_Grid[#Data],$DD1204,98),0)</f>
        <v/>
      </c>
      <c r="CW1204">
        <f>IFERROR(INDEX(PP_Grid[#Data],$DD1204,99),0)</f>
        <v/>
      </c>
      <c r="CX1204">
        <f>IFERROR(INDEX(PP_Grid[#Data],$DD1204,100),0)</f>
        <v/>
      </c>
      <c r="CY1204">
        <f>IFERROR(INDEX(PP_Grid[#Data],$DD1204,101),0)</f>
        <v/>
      </c>
      <c r="CZ1204">
        <f>IFERROR(INDEX(PP_Grid[#Data],$DD1204,102),0)</f>
        <v/>
      </c>
      <c r="DA1204">
        <f>IFERROR(INDEX(PP_Grid[#Data],$DD1204,103),0)</f>
        <v/>
      </c>
      <c r="DB1204">
        <f>IFERROR(INDEX(PP_Grid[#Data],$DD1204,104),0)</f>
        <v/>
      </c>
      <c r="DC1204">
        <f>IFERROR(INDEX(PP_Grid[#Data],$DD1204,105),0)</f>
        <v/>
      </c>
      <c r="DD1204" s="12">
        <f>IFERROR(MATCH($B1204,PP_Grid[Intermediate],0),99999)</f>
        <v/>
      </c>
    </row>
    <row r="1205">
      <c r="B1205" t="inlineStr">
        <is>
          <t>使用量(kg)</t>
        </is>
      </c>
      <c r="C1205">
        <f>SUMIFS(M_BOM[RM_Qty_Per_Batch],M_BOM[Intermediate],$B1204,M_BOM[Part Name],$A1201)</f>
        <v/>
      </c>
      <c r="D1205">
        <f>$C1205*D1204</f>
        <v/>
      </c>
      <c r="E1205">
        <f>$C1205*E1204</f>
        <v/>
      </c>
      <c r="F1205">
        <f>$C1205*F1204</f>
        <v/>
      </c>
      <c r="G1205">
        <f>$C1205*G1204</f>
        <v/>
      </c>
      <c r="H1205">
        <f>$C1205*H1204</f>
        <v/>
      </c>
      <c r="I1205">
        <f>$C1205*I1204</f>
        <v/>
      </c>
      <c r="J1205">
        <f>$C1205*J1204</f>
        <v/>
      </c>
      <c r="K1205">
        <f>$C1205*K1204</f>
        <v/>
      </c>
      <c r="L1205">
        <f>$C1205*L1204</f>
        <v/>
      </c>
      <c r="M1205">
        <f>$C1205*M1204</f>
        <v/>
      </c>
      <c r="N1205">
        <f>$C1205*N1204</f>
        <v/>
      </c>
      <c r="O1205">
        <f>$C1205*O1204</f>
        <v/>
      </c>
      <c r="P1205">
        <f>$C1205*P1204</f>
        <v/>
      </c>
      <c r="Q1205">
        <f>$C1205*Q1204</f>
        <v/>
      </c>
      <c r="R1205">
        <f>$C1205*R1204</f>
        <v/>
      </c>
      <c r="S1205">
        <f>$C1205*S1204</f>
        <v/>
      </c>
      <c r="T1205">
        <f>$C1205*T1204</f>
        <v/>
      </c>
      <c r="U1205">
        <f>$C1205*U1204</f>
        <v/>
      </c>
      <c r="V1205">
        <f>$C1205*V1204</f>
        <v/>
      </c>
      <c r="W1205">
        <f>$C1205*W1204</f>
        <v/>
      </c>
      <c r="X1205">
        <f>$C1205*X1204</f>
        <v/>
      </c>
      <c r="Y1205">
        <f>$C1205*Y1204</f>
        <v/>
      </c>
      <c r="Z1205">
        <f>$C1205*Z1204</f>
        <v/>
      </c>
      <c r="AA1205">
        <f>$C1205*AA1204</f>
        <v/>
      </c>
      <c r="AB1205">
        <f>$C1205*AB1204</f>
        <v/>
      </c>
      <c r="AC1205">
        <f>$C1205*AC1204</f>
        <v/>
      </c>
      <c r="AD1205">
        <f>$C1205*AD1204</f>
        <v/>
      </c>
      <c r="AE1205">
        <f>$C1205*AE1204</f>
        <v/>
      </c>
      <c r="AF1205">
        <f>$C1205*AF1204</f>
        <v/>
      </c>
      <c r="AG1205">
        <f>$C1205*AG1204</f>
        <v/>
      </c>
      <c r="AH1205">
        <f>$C1205*AH1204</f>
        <v/>
      </c>
      <c r="AI1205">
        <f>$C1205*AI1204</f>
        <v/>
      </c>
      <c r="AJ1205">
        <f>$C1205*AJ1204</f>
        <v/>
      </c>
      <c r="AK1205">
        <f>$C1205*AK1204</f>
        <v/>
      </c>
      <c r="AL1205">
        <f>$C1205*AL1204</f>
        <v/>
      </c>
      <c r="AM1205">
        <f>$C1205*AM1204</f>
        <v/>
      </c>
      <c r="AN1205">
        <f>$C1205*AN1204</f>
        <v/>
      </c>
      <c r="AO1205">
        <f>$C1205*AO1204</f>
        <v/>
      </c>
      <c r="AP1205">
        <f>$C1205*AP1204</f>
        <v/>
      </c>
      <c r="AQ1205">
        <f>$C1205*AQ1204</f>
        <v/>
      </c>
      <c r="AR1205">
        <f>$C1205*AR1204</f>
        <v/>
      </c>
      <c r="AS1205">
        <f>$C1205*AS1204</f>
        <v/>
      </c>
      <c r="AT1205">
        <f>$C1205*AT1204</f>
        <v/>
      </c>
      <c r="AU1205">
        <f>$C1205*AU1204</f>
        <v/>
      </c>
      <c r="AV1205">
        <f>$C1205*AV1204</f>
        <v/>
      </c>
      <c r="AW1205">
        <f>$C1205*AW1204</f>
        <v/>
      </c>
      <c r="AX1205">
        <f>$C1205*AX1204</f>
        <v/>
      </c>
      <c r="AY1205">
        <f>$C1205*AY1204</f>
        <v/>
      </c>
      <c r="AZ1205">
        <f>$C1205*AZ1204</f>
        <v/>
      </c>
      <c r="BA1205">
        <f>$C1205*BA1204</f>
        <v/>
      </c>
      <c r="BB1205">
        <f>$C1205*BB1204</f>
        <v/>
      </c>
      <c r="BC1205">
        <f>$C1205*BC1204</f>
        <v/>
      </c>
      <c r="BD1205">
        <f>$C1205*BD1204</f>
        <v/>
      </c>
      <c r="BE1205">
        <f>$C1205*BE1204</f>
        <v/>
      </c>
      <c r="BF1205">
        <f>$C1205*BF1204</f>
        <v/>
      </c>
      <c r="BG1205">
        <f>$C1205*BG1204</f>
        <v/>
      </c>
      <c r="BH1205">
        <f>$C1205*BH1204</f>
        <v/>
      </c>
      <c r="BI1205">
        <f>$C1205*BI1204</f>
        <v/>
      </c>
      <c r="BJ1205">
        <f>$C1205*BJ1204</f>
        <v/>
      </c>
      <c r="BK1205">
        <f>$C1205*BK1204</f>
        <v/>
      </c>
      <c r="BL1205">
        <f>$C1205*BL1204</f>
        <v/>
      </c>
      <c r="BM1205">
        <f>$C1205*BM1204</f>
        <v/>
      </c>
      <c r="BN1205">
        <f>$C1205*BN1204</f>
        <v/>
      </c>
      <c r="BO1205">
        <f>$C1205*BO1204</f>
        <v/>
      </c>
      <c r="BP1205">
        <f>$C1205*BP1204</f>
        <v/>
      </c>
      <c r="BQ1205">
        <f>$C1205*BQ1204</f>
        <v/>
      </c>
      <c r="BR1205">
        <f>$C1205*BR1204</f>
        <v/>
      </c>
      <c r="BS1205">
        <f>$C1205*BS1204</f>
        <v/>
      </c>
      <c r="BT1205">
        <f>$C1205*BT1204</f>
        <v/>
      </c>
      <c r="BU1205">
        <f>$C1205*BU1204</f>
        <v/>
      </c>
      <c r="BV1205">
        <f>$C1205*BV1204</f>
        <v/>
      </c>
      <c r="BW1205">
        <f>$C1205*BW1204</f>
        <v/>
      </c>
      <c r="BX1205">
        <f>$C1205*BX1204</f>
        <v/>
      </c>
      <c r="BY1205">
        <f>$C1205*BY1204</f>
        <v/>
      </c>
      <c r="BZ1205">
        <f>$C1205*BZ1204</f>
        <v/>
      </c>
      <c r="CA1205">
        <f>$C1205*CA1204</f>
        <v/>
      </c>
      <c r="CB1205">
        <f>$C1205*CB1204</f>
        <v/>
      </c>
      <c r="CC1205">
        <f>$C1205*CC1204</f>
        <v/>
      </c>
      <c r="CD1205">
        <f>$C1205*CD1204</f>
        <v/>
      </c>
      <c r="CE1205">
        <f>$C1205*CE1204</f>
        <v/>
      </c>
      <c r="CF1205">
        <f>$C1205*CF1204</f>
        <v/>
      </c>
      <c r="CG1205">
        <f>$C1205*CG1204</f>
        <v/>
      </c>
      <c r="CH1205">
        <f>$C1205*CH1204</f>
        <v/>
      </c>
      <c r="CI1205">
        <f>$C1205*CI1204</f>
        <v/>
      </c>
      <c r="CJ1205">
        <f>$C1205*CJ1204</f>
        <v/>
      </c>
      <c r="CK1205">
        <f>$C1205*CK1204</f>
        <v/>
      </c>
      <c r="CL1205">
        <f>$C1205*CL1204</f>
        <v/>
      </c>
      <c r="CM1205">
        <f>$C1205*CM1204</f>
        <v/>
      </c>
      <c r="CN1205">
        <f>$C1205*CN1204</f>
        <v/>
      </c>
      <c r="CO1205">
        <f>$C1205*CO1204</f>
        <v/>
      </c>
      <c r="CP1205">
        <f>$C1205*CP1204</f>
        <v/>
      </c>
      <c r="CQ1205">
        <f>$C1205*CQ1204</f>
        <v/>
      </c>
      <c r="CR1205">
        <f>$C1205*CR1204</f>
        <v/>
      </c>
      <c r="CS1205">
        <f>$C1205*CS1204</f>
        <v/>
      </c>
      <c r="CT1205">
        <f>$C1205*CT1204</f>
        <v/>
      </c>
      <c r="CU1205">
        <f>$C1205*CU1204</f>
        <v/>
      </c>
      <c r="CV1205">
        <f>$C1205*CV1204</f>
        <v/>
      </c>
      <c r="CW1205">
        <f>$C1205*CW1204</f>
        <v/>
      </c>
      <c r="CX1205">
        <f>$C1205*CX1204</f>
        <v/>
      </c>
      <c r="CY1205">
        <f>$C1205*CY1204</f>
        <v/>
      </c>
      <c r="CZ1205">
        <f>$C1205*CZ1204</f>
        <v/>
      </c>
      <c r="DA1205">
        <f>$C1205*DA1204</f>
        <v/>
      </c>
      <c r="DB1205">
        <f>$C1205*DB1204</f>
        <v/>
      </c>
      <c r="DC1205">
        <f>$C1205*DC1204</f>
        <v/>
      </c>
    </row>
    <row r="1206">
      <c r="B1206" t="inlineStr">
        <is>
          <t>TVS-664</t>
        </is>
      </c>
      <c r="C1206" t="inlineStr">
        <is>
          <t>No. of batches</t>
        </is>
      </c>
      <c r="D1206">
        <f>IFERROR(INDEX(PP_Grid[#Data],$DD1206,2),0)</f>
        <v/>
      </c>
      <c r="E1206">
        <f>IFERROR(INDEX(PP_Grid[#Data],$DD1206,3),0)</f>
        <v/>
      </c>
      <c r="F1206">
        <f>IFERROR(INDEX(PP_Grid[#Data],$DD1206,4),0)</f>
        <v/>
      </c>
      <c r="G1206">
        <f>IFERROR(INDEX(PP_Grid[#Data],$DD1206,5),0)</f>
        <v/>
      </c>
      <c r="H1206">
        <f>IFERROR(INDEX(PP_Grid[#Data],$DD1206,6),0)</f>
        <v/>
      </c>
      <c r="I1206">
        <f>IFERROR(INDEX(PP_Grid[#Data],$DD1206,7),0)</f>
        <v/>
      </c>
      <c r="J1206">
        <f>IFERROR(INDEX(PP_Grid[#Data],$DD1206,8),0)</f>
        <v/>
      </c>
      <c r="K1206">
        <f>IFERROR(INDEX(PP_Grid[#Data],$DD1206,9),0)</f>
        <v/>
      </c>
      <c r="L1206">
        <f>IFERROR(INDEX(PP_Grid[#Data],$DD1206,10),0)</f>
        <v/>
      </c>
      <c r="M1206">
        <f>IFERROR(INDEX(PP_Grid[#Data],$DD1206,11),0)</f>
        <v/>
      </c>
      <c r="N1206">
        <f>IFERROR(INDEX(PP_Grid[#Data],$DD1206,12),0)</f>
        <v/>
      </c>
      <c r="O1206">
        <f>IFERROR(INDEX(PP_Grid[#Data],$DD1206,13),0)</f>
        <v/>
      </c>
      <c r="P1206">
        <f>IFERROR(INDEX(PP_Grid[#Data],$DD1206,14),0)</f>
        <v/>
      </c>
      <c r="Q1206">
        <f>IFERROR(INDEX(PP_Grid[#Data],$DD1206,15),0)</f>
        <v/>
      </c>
      <c r="R1206">
        <f>IFERROR(INDEX(PP_Grid[#Data],$DD1206,16),0)</f>
        <v/>
      </c>
      <c r="S1206">
        <f>IFERROR(INDEX(PP_Grid[#Data],$DD1206,17),0)</f>
        <v/>
      </c>
      <c r="T1206">
        <f>IFERROR(INDEX(PP_Grid[#Data],$DD1206,18),0)</f>
        <v/>
      </c>
      <c r="U1206">
        <f>IFERROR(INDEX(PP_Grid[#Data],$DD1206,19),0)</f>
        <v/>
      </c>
      <c r="V1206">
        <f>IFERROR(INDEX(PP_Grid[#Data],$DD1206,20),0)</f>
        <v/>
      </c>
      <c r="W1206">
        <f>IFERROR(INDEX(PP_Grid[#Data],$DD1206,21),0)</f>
        <v/>
      </c>
      <c r="X1206">
        <f>IFERROR(INDEX(PP_Grid[#Data],$DD1206,22),0)</f>
        <v/>
      </c>
      <c r="Y1206">
        <f>IFERROR(INDEX(PP_Grid[#Data],$DD1206,23),0)</f>
        <v/>
      </c>
      <c r="Z1206">
        <f>IFERROR(INDEX(PP_Grid[#Data],$DD1206,24),0)</f>
        <v/>
      </c>
      <c r="AA1206">
        <f>IFERROR(INDEX(PP_Grid[#Data],$DD1206,25),0)</f>
        <v/>
      </c>
      <c r="AB1206">
        <f>IFERROR(INDEX(PP_Grid[#Data],$DD1206,26),0)</f>
        <v/>
      </c>
      <c r="AC1206">
        <f>IFERROR(INDEX(PP_Grid[#Data],$DD1206,27),0)</f>
        <v/>
      </c>
      <c r="AD1206">
        <f>IFERROR(INDEX(PP_Grid[#Data],$DD1206,28),0)</f>
        <v/>
      </c>
      <c r="AE1206">
        <f>IFERROR(INDEX(PP_Grid[#Data],$DD1206,29),0)</f>
        <v/>
      </c>
      <c r="AF1206">
        <f>IFERROR(INDEX(PP_Grid[#Data],$DD1206,30),0)</f>
        <v/>
      </c>
      <c r="AG1206">
        <f>IFERROR(INDEX(PP_Grid[#Data],$DD1206,31),0)</f>
        <v/>
      </c>
      <c r="AH1206">
        <f>IFERROR(INDEX(PP_Grid[#Data],$DD1206,32),0)</f>
        <v/>
      </c>
      <c r="AI1206">
        <f>IFERROR(INDEX(PP_Grid[#Data],$DD1206,33),0)</f>
        <v/>
      </c>
      <c r="AJ1206">
        <f>IFERROR(INDEX(PP_Grid[#Data],$DD1206,34),0)</f>
        <v/>
      </c>
      <c r="AK1206">
        <f>IFERROR(INDEX(PP_Grid[#Data],$DD1206,35),0)</f>
        <v/>
      </c>
      <c r="AL1206">
        <f>IFERROR(INDEX(PP_Grid[#Data],$DD1206,36),0)</f>
        <v/>
      </c>
      <c r="AM1206">
        <f>IFERROR(INDEX(PP_Grid[#Data],$DD1206,37),0)</f>
        <v/>
      </c>
      <c r="AN1206">
        <f>IFERROR(INDEX(PP_Grid[#Data],$DD1206,38),0)</f>
        <v/>
      </c>
      <c r="AO1206">
        <f>IFERROR(INDEX(PP_Grid[#Data],$DD1206,39),0)</f>
        <v/>
      </c>
      <c r="AP1206">
        <f>IFERROR(INDEX(PP_Grid[#Data],$DD1206,40),0)</f>
        <v/>
      </c>
      <c r="AQ1206">
        <f>IFERROR(INDEX(PP_Grid[#Data],$DD1206,41),0)</f>
        <v/>
      </c>
      <c r="AR1206">
        <f>IFERROR(INDEX(PP_Grid[#Data],$DD1206,42),0)</f>
        <v/>
      </c>
      <c r="AS1206">
        <f>IFERROR(INDEX(PP_Grid[#Data],$DD1206,43),0)</f>
        <v/>
      </c>
      <c r="AT1206">
        <f>IFERROR(INDEX(PP_Grid[#Data],$DD1206,44),0)</f>
        <v/>
      </c>
      <c r="AU1206">
        <f>IFERROR(INDEX(PP_Grid[#Data],$DD1206,45),0)</f>
        <v/>
      </c>
      <c r="AV1206">
        <f>IFERROR(INDEX(PP_Grid[#Data],$DD1206,46),0)</f>
        <v/>
      </c>
      <c r="AW1206">
        <f>IFERROR(INDEX(PP_Grid[#Data],$DD1206,47),0)</f>
        <v/>
      </c>
      <c r="AX1206">
        <f>IFERROR(INDEX(PP_Grid[#Data],$DD1206,48),0)</f>
        <v/>
      </c>
      <c r="AY1206">
        <f>IFERROR(INDEX(PP_Grid[#Data],$DD1206,49),0)</f>
        <v/>
      </c>
      <c r="AZ1206">
        <f>IFERROR(INDEX(PP_Grid[#Data],$DD1206,50),0)</f>
        <v/>
      </c>
      <c r="BA1206">
        <f>IFERROR(INDEX(PP_Grid[#Data],$DD1206,51),0)</f>
        <v/>
      </c>
      <c r="BB1206">
        <f>IFERROR(INDEX(PP_Grid[#Data],$DD1206,52),0)</f>
        <v/>
      </c>
      <c r="BC1206">
        <f>IFERROR(INDEX(PP_Grid[#Data],$DD1206,53),0)</f>
        <v/>
      </c>
      <c r="BD1206">
        <f>IFERROR(INDEX(PP_Grid[#Data],$DD1206,54),0)</f>
        <v/>
      </c>
      <c r="BE1206">
        <f>IFERROR(INDEX(PP_Grid[#Data],$DD1206,55),0)</f>
        <v/>
      </c>
      <c r="BF1206">
        <f>IFERROR(INDEX(PP_Grid[#Data],$DD1206,56),0)</f>
        <v/>
      </c>
      <c r="BG1206">
        <f>IFERROR(INDEX(PP_Grid[#Data],$DD1206,57),0)</f>
        <v/>
      </c>
      <c r="BH1206">
        <f>IFERROR(INDEX(PP_Grid[#Data],$DD1206,58),0)</f>
        <v/>
      </c>
      <c r="BI1206">
        <f>IFERROR(INDEX(PP_Grid[#Data],$DD1206,59),0)</f>
        <v/>
      </c>
      <c r="BJ1206">
        <f>IFERROR(INDEX(PP_Grid[#Data],$DD1206,60),0)</f>
        <v/>
      </c>
      <c r="BK1206">
        <f>IFERROR(INDEX(PP_Grid[#Data],$DD1206,61),0)</f>
        <v/>
      </c>
      <c r="BL1206">
        <f>IFERROR(INDEX(PP_Grid[#Data],$DD1206,62),0)</f>
        <v/>
      </c>
      <c r="BM1206">
        <f>IFERROR(INDEX(PP_Grid[#Data],$DD1206,63),0)</f>
        <v/>
      </c>
      <c r="BN1206">
        <f>IFERROR(INDEX(PP_Grid[#Data],$DD1206,64),0)</f>
        <v/>
      </c>
      <c r="BO1206">
        <f>IFERROR(INDEX(PP_Grid[#Data],$DD1206,65),0)</f>
        <v/>
      </c>
      <c r="BP1206">
        <f>IFERROR(INDEX(PP_Grid[#Data],$DD1206,66),0)</f>
        <v/>
      </c>
      <c r="BQ1206">
        <f>IFERROR(INDEX(PP_Grid[#Data],$DD1206,67),0)</f>
        <v/>
      </c>
      <c r="BR1206">
        <f>IFERROR(INDEX(PP_Grid[#Data],$DD1206,68),0)</f>
        <v/>
      </c>
      <c r="BS1206">
        <f>IFERROR(INDEX(PP_Grid[#Data],$DD1206,69),0)</f>
        <v/>
      </c>
      <c r="BT1206">
        <f>IFERROR(INDEX(PP_Grid[#Data],$DD1206,70),0)</f>
        <v/>
      </c>
      <c r="BU1206">
        <f>IFERROR(INDEX(PP_Grid[#Data],$DD1206,71),0)</f>
        <v/>
      </c>
      <c r="BV1206">
        <f>IFERROR(INDEX(PP_Grid[#Data],$DD1206,72),0)</f>
        <v/>
      </c>
      <c r="BW1206">
        <f>IFERROR(INDEX(PP_Grid[#Data],$DD1206,73),0)</f>
        <v/>
      </c>
      <c r="BX1206">
        <f>IFERROR(INDEX(PP_Grid[#Data],$DD1206,74),0)</f>
        <v/>
      </c>
      <c r="BY1206">
        <f>IFERROR(INDEX(PP_Grid[#Data],$DD1206,75),0)</f>
        <v/>
      </c>
      <c r="BZ1206">
        <f>IFERROR(INDEX(PP_Grid[#Data],$DD1206,76),0)</f>
        <v/>
      </c>
      <c r="CA1206">
        <f>IFERROR(INDEX(PP_Grid[#Data],$DD1206,77),0)</f>
        <v/>
      </c>
      <c r="CB1206">
        <f>IFERROR(INDEX(PP_Grid[#Data],$DD1206,78),0)</f>
        <v/>
      </c>
      <c r="CC1206">
        <f>IFERROR(INDEX(PP_Grid[#Data],$DD1206,79),0)</f>
        <v/>
      </c>
      <c r="CD1206">
        <f>IFERROR(INDEX(PP_Grid[#Data],$DD1206,80),0)</f>
        <v/>
      </c>
      <c r="CE1206">
        <f>IFERROR(INDEX(PP_Grid[#Data],$DD1206,81),0)</f>
        <v/>
      </c>
      <c r="CF1206">
        <f>IFERROR(INDEX(PP_Grid[#Data],$DD1206,82),0)</f>
        <v/>
      </c>
      <c r="CG1206">
        <f>IFERROR(INDEX(PP_Grid[#Data],$DD1206,83),0)</f>
        <v/>
      </c>
      <c r="CH1206">
        <f>IFERROR(INDEX(PP_Grid[#Data],$DD1206,84),0)</f>
        <v/>
      </c>
      <c r="CI1206">
        <f>IFERROR(INDEX(PP_Grid[#Data],$DD1206,85),0)</f>
        <v/>
      </c>
      <c r="CJ1206">
        <f>IFERROR(INDEX(PP_Grid[#Data],$DD1206,86),0)</f>
        <v/>
      </c>
      <c r="CK1206">
        <f>IFERROR(INDEX(PP_Grid[#Data],$DD1206,87),0)</f>
        <v/>
      </c>
      <c r="CL1206">
        <f>IFERROR(INDEX(PP_Grid[#Data],$DD1206,88),0)</f>
        <v/>
      </c>
      <c r="CM1206">
        <f>IFERROR(INDEX(PP_Grid[#Data],$DD1206,89),0)</f>
        <v/>
      </c>
      <c r="CN1206">
        <f>IFERROR(INDEX(PP_Grid[#Data],$DD1206,90),0)</f>
        <v/>
      </c>
      <c r="CO1206">
        <f>IFERROR(INDEX(PP_Grid[#Data],$DD1206,91),0)</f>
        <v/>
      </c>
      <c r="CP1206">
        <f>IFERROR(INDEX(PP_Grid[#Data],$DD1206,92),0)</f>
        <v/>
      </c>
      <c r="CQ1206">
        <f>IFERROR(INDEX(PP_Grid[#Data],$DD1206,93),0)</f>
        <v/>
      </c>
      <c r="CR1206">
        <f>IFERROR(INDEX(PP_Grid[#Data],$DD1206,94),0)</f>
        <v/>
      </c>
      <c r="CS1206">
        <f>IFERROR(INDEX(PP_Grid[#Data],$DD1206,95),0)</f>
        <v/>
      </c>
      <c r="CT1206">
        <f>IFERROR(INDEX(PP_Grid[#Data],$DD1206,96),0)</f>
        <v/>
      </c>
      <c r="CU1206">
        <f>IFERROR(INDEX(PP_Grid[#Data],$DD1206,97),0)</f>
        <v/>
      </c>
      <c r="CV1206">
        <f>IFERROR(INDEX(PP_Grid[#Data],$DD1206,98),0)</f>
        <v/>
      </c>
      <c r="CW1206">
        <f>IFERROR(INDEX(PP_Grid[#Data],$DD1206,99),0)</f>
        <v/>
      </c>
      <c r="CX1206">
        <f>IFERROR(INDEX(PP_Grid[#Data],$DD1206,100),0)</f>
        <v/>
      </c>
      <c r="CY1206">
        <f>IFERROR(INDEX(PP_Grid[#Data],$DD1206,101),0)</f>
        <v/>
      </c>
      <c r="CZ1206">
        <f>IFERROR(INDEX(PP_Grid[#Data],$DD1206,102),0)</f>
        <v/>
      </c>
      <c r="DA1206">
        <f>IFERROR(INDEX(PP_Grid[#Data],$DD1206,103),0)</f>
        <v/>
      </c>
      <c r="DB1206">
        <f>IFERROR(INDEX(PP_Grid[#Data],$DD1206,104),0)</f>
        <v/>
      </c>
      <c r="DC1206">
        <f>IFERROR(INDEX(PP_Grid[#Data],$DD1206,105),0)</f>
        <v/>
      </c>
      <c r="DD1206" s="12">
        <f>IFERROR(MATCH($B1206,PP_Grid[Intermediate],0),99999)</f>
        <v/>
      </c>
    </row>
    <row r="1207">
      <c r="B1207" t="inlineStr">
        <is>
          <t>使用量(kg)</t>
        </is>
      </c>
      <c r="C1207">
        <f>SUMIFS(M_BOM[RM_Qty_Per_Batch],M_BOM[Intermediate],$B1206,M_BOM[Part Name],$A1201)</f>
        <v/>
      </c>
      <c r="D1207">
        <f>$C1207*D1206</f>
        <v/>
      </c>
      <c r="E1207">
        <f>$C1207*E1206</f>
        <v/>
      </c>
      <c r="F1207">
        <f>$C1207*F1206</f>
        <v/>
      </c>
      <c r="G1207">
        <f>$C1207*G1206</f>
        <v/>
      </c>
      <c r="H1207">
        <f>$C1207*H1206</f>
        <v/>
      </c>
      <c r="I1207">
        <f>$C1207*I1206</f>
        <v/>
      </c>
      <c r="J1207">
        <f>$C1207*J1206</f>
        <v/>
      </c>
      <c r="K1207">
        <f>$C1207*K1206</f>
        <v/>
      </c>
      <c r="L1207">
        <f>$C1207*L1206</f>
        <v/>
      </c>
      <c r="M1207">
        <f>$C1207*M1206</f>
        <v/>
      </c>
      <c r="N1207">
        <f>$C1207*N1206</f>
        <v/>
      </c>
      <c r="O1207">
        <f>$C1207*O1206</f>
        <v/>
      </c>
      <c r="P1207">
        <f>$C1207*P1206</f>
        <v/>
      </c>
      <c r="Q1207">
        <f>$C1207*Q1206</f>
        <v/>
      </c>
      <c r="R1207">
        <f>$C1207*R1206</f>
        <v/>
      </c>
      <c r="S1207">
        <f>$C1207*S1206</f>
        <v/>
      </c>
      <c r="T1207">
        <f>$C1207*T1206</f>
        <v/>
      </c>
      <c r="U1207">
        <f>$C1207*U1206</f>
        <v/>
      </c>
      <c r="V1207">
        <f>$C1207*V1206</f>
        <v/>
      </c>
      <c r="W1207">
        <f>$C1207*W1206</f>
        <v/>
      </c>
      <c r="X1207">
        <f>$C1207*X1206</f>
        <v/>
      </c>
      <c r="Y1207">
        <f>$C1207*Y1206</f>
        <v/>
      </c>
      <c r="Z1207">
        <f>$C1207*Z1206</f>
        <v/>
      </c>
      <c r="AA1207">
        <f>$C1207*AA1206</f>
        <v/>
      </c>
      <c r="AB1207">
        <f>$C1207*AB1206</f>
        <v/>
      </c>
      <c r="AC1207">
        <f>$C1207*AC1206</f>
        <v/>
      </c>
      <c r="AD1207">
        <f>$C1207*AD1206</f>
        <v/>
      </c>
      <c r="AE1207">
        <f>$C1207*AE1206</f>
        <v/>
      </c>
      <c r="AF1207">
        <f>$C1207*AF1206</f>
        <v/>
      </c>
      <c r="AG1207">
        <f>$C1207*AG1206</f>
        <v/>
      </c>
      <c r="AH1207">
        <f>$C1207*AH1206</f>
        <v/>
      </c>
      <c r="AI1207">
        <f>$C1207*AI1206</f>
        <v/>
      </c>
      <c r="AJ1207">
        <f>$C1207*AJ1206</f>
        <v/>
      </c>
      <c r="AK1207">
        <f>$C1207*AK1206</f>
        <v/>
      </c>
      <c r="AL1207">
        <f>$C1207*AL1206</f>
        <v/>
      </c>
      <c r="AM1207">
        <f>$C1207*AM1206</f>
        <v/>
      </c>
      <c r="AN1207">
        <f>$C1207*AN1206</f>
        <v/>
      </c>
      <c r="AO1207">
        <f>$C1207*AO1206</f>
        <v/>
      </c>
      <c r="AP1207">
        <f>$C1207*AP1206</f>
        <v/>
      </c>
      <c r="AQ1207">
        <f>$C1207*AQ1206</f>
        <v/>
      </c>
      <c r="AR1207">
        <f>$C1207*AR1206</f>
        <v/>
      </c>
      <c r="AS1207">
        <f>$C1207*AS1206</f>
        <v/>
      </c>
      <c r="AT1207">
        <f>$C1207*AT1206</f>
        <v/>
      </c>
      <c r="AU1207">
        <f>$C1207*AU1206</f>
        <v/>
      </c>
      <c r="AV1207">
        <f>$C1207*AV1206</f>
        <v/>
      </c>
      <c r="AW1207">
        <f>$C1207*AW1206</f>
        <v/>
      </c>
      <c r="AX1207">
        <f>$C1207*AX1206</f>
        <v/>
      </c>
      <c r="AY1207">
        <f>$C1207*AY1206</f>
        <v/>
      </c>
      <c r="AZ1207">
        <f>$C1207*AZ1206</f>
        <v/>
      </c>
      <c r="BA1207">
        <f>$C1207*BA1206</f>
        <v/>
      </c>
      <c r="BB1207">
        <f>$C1207*BB1206</f>
        <v/>
      </c>
      <c r="BC1207">
        <f>$C1207*BC1206</f>
        <v/>
      </c>
      <c r="BD1207">
        <f>$C1207*BD1206</f>
        <v/>
      </c>
      <c r="BE1207">
        <f>$C1207*BE1206</f>
        <v/>
      </c>
      <c r="BF1207">
        <f>$C1207*BF1206</f>
        <v/>
      </c>
      <c r="BG1207">
        <f>$C1207*BG1206</f>
        <v/>
      </c>
      <c r="BH1207">
        <f>$C1207*BH1206</f>
        <v/>
      </c>
      <c r="BI1207">
        <f>$C1207*BI1206</f>
        <v/>
      </c>
      <c r="BJ1207">
        <f>$C1207*BJ1206</f>
        <v/>
      </c>
      <c r="BK1207">
        <f>$C1207*BK1206</f>
        <v/>
      </c>
      <c r="BL1207">
        <f>$C1207*BL1206</f>
        <v/>
      </c>
      <c r="BM1207">
        <f>$C1207*BM1206</f>
        <v/>
      </c>
      <c r="BN1207">
        <f>$C1207*BN1206</f>
        <v/>
      </c>
      <c r="BO1207">
        <f>$C1207*BO1206</f>
        <v/>
      </c>
      <c r="BP1207">
        <f>$C1207*BP1206</f>
        <v/>
      </c>
      <c r="BQ1207">
        <f>$C1207*BQ1206</f>
        <v/>
      </c>
      <c r="BR1207">
        <f>$C1207*BR1206</f>
        <v/>
      </c>
      <c r="BS1207">
        <f>$C1207*BS1206</f>
        <v/>
      </c>
      <c r="BT1207">
        <f>$C1207*BT1206</f>
        <v/>
      </c>
      <c r="BU1207">
        <f>$C1207*BU1206</f>
        <v/>
      </c>
      <c r="BV1207">
        <f>$C1207*BV1206</f>
        <v/>
      </c>
      <c r="BW1207">
        <f>$C1207*BW1206</f>
        <v/>
      </c>
      <c r="BX1207">
        <f>$C1207*BX1206</f>
        <v/>
      </c>
      <c r="BY1207">
        <f>$C1207*BY1206</f>
        <v/>
      </c>
      <c r="BZ1207">
        <f>$C1207*BZ1206</f>
        <v/>
      </c>
      <c r="CA1207">
        <f>$C1207*CA1206</f>
        <v/>
      </c>
      <c r="CB1207">
        <f>$C1207*CB1206</f>
        <v/>
      </c>
      <c r="CC1207">
        <f>$C1207*CC1206</f>
        <v/>
      </c>
      <c r="CD1207">
        <f>$C1207*CD1206</f>
        <v/>
      </c>
      <c r="CE1207">
        <f>$C1207*CE1206</f>
        <v/>
      </c>
      <c r="CF1207">
        <f>$C1207*CF1206</f>
        <v/>
      </c>
      <c r="CG1207">
        <f>$C1207*CG1206</f>
        <v/>
      </c>
      <c r="CH1207">
        <f>$C1207*CH1206</f>
        <v/>
      </c>
      <c r="CI1207">
        <f>$C1207*CI1206</f>
        <v/>
      </c>
      <c r="CJ1207">
        <f>$C1207*CJ1206</f>
        <v/>
      </c>
      <c r="CK1207">
        <f>$C1207*CK1206</f>
        <v/>
      </c>
      <c r="CL1207">
        <f>$C1207*CL1206</f>
        <v/>
      </c>
      <c r="CM1207">
        <f>$C1207*CM1206</f>
        <v/>
      </c>
      <c r="CN1207">
        <f>$C1207*CN1206</f>
        <v/>
      </c>
      <c r="CO1207">
        <f>$C1207*CO1206</f>
        <v/>
      </c>
      <c r="CP1207">
        <f>$C1207*CP1206</f>
        <v/>
      </c>
      <c r="CQ1207">
        <f>$C1207*CQ1206</f>
        <v/>
      </c>
      <c r="CR1207">
        <f>$C1207*CR1206</f>
        <v/>
      </c>
      <c r="CS1207">
        <f>$C1207*CS1206</f>
        <v/>
      </c>
      <c r="CT1207">
        <f>$C1207*CT1206</f>
        <v/>
      </c>
      <c r="CU1207">
        <f>$C1207*CU1206</f>
        <v/>
      </c>
      <c r="CV1207">
        <f>$C1207*CV1206</f>
        <v/>
      </c>
      <c r="CW1207">
        <f>$C1207*CW1206</f>
        <v/>
      </c>
      <c r="CX1207">
        <f>$C1207*CX1206</f>
        <v/>
      </c>
      <c r="CY1207">
        <f>$C1207*CY1206</f>
        <v/>
      </c>
      <c r="CZ1207">
        <f>$C1207*CZ1206</f>
        <v/>
      </c>
      <c r="DA1207">
        <f>$C1207*DA1206</f>
        <v/>
      </c>
      <c r="DB1207">
        <f>$C1207*DB1206</f>
        <v/>
      </c>
      <c r="DC1207">
        <f>$C1207*DC1206</f>
        <v/>
      </c>
    </row>
    <row r="1208">
      <c r="B1208" t="inlineStr">
        <is>
          <t>TVS-833</t>
        </is>
      </c>
      <c r="C1208" t="inlineStr">
        <is>
          <t>No. of batches</t>
        </is>
      </c>
      <c r="D1208">
        <f>IFERROR(INDEX(PP_Grid[#Data],$DD1208,2),0)</f>
        <v/>
      </c>
      <c r="E1208">
        <f>IFERROR(INDEX(PP_Grid[#Data],$DD1208,3),0)</f>
        <v/>
      </c>
      <c r="F1208">
        <f>IFERROR(INDEX(PP_Grid[#Data],$DD1208,4),0)</f>
        <v/>
      </c>
      <c r="G1208">
        <f>IFERROR(INDEX(PP_Grid[#Data],$DD1208,5),0)</f>
        <v/>
      </c>
      <c r="H1208">
        <f>IFERROR(INDEX(PP_Grid[#Data],$DD1208,6),0)</f>
        <v/>
      </c>
      <c r="I1208">
        <f>IFERROR(INDEX(PP_Grid[#Data],$DD1208,7),0)</f>
        <v/>
      </c>
      <c r="J1208">
        <f>IFERROR(INDEX(PP_Grid[#Data],$DD1208,8),0)</f>
        <v/>
      </c>
      <c r="K1208">
        <f>IFERROR(INDEX(PP_Grid[#Data],$DD1208,9),0)</f>
        <v/>
      </c>
      <c r="L1208">
        <f>IFERROR(INDEX(PP_Grid[#Data],$DD1208,10),0)</f>
        <v/>
      </c>
      <c r="M1208">
        <f>IFERROR(INDEX(PP_Grid[#Data],$DD1208,11),0)</f>
        <v/>
      </c>
      <c r="N1208">
        <f>IFERROR(INDEX(PP_Grid[#Data],$DD1208,12),0)</f>
        <v/>
      </c>
      <c r="O1208">
        <f>IFERROR(INDEX(PP_Grid[#Data],$DD1208,13),0)</f>
        <v/>
      </c>
      <c r="P1208">
        <f>IFERROR(INDEX(PP_Grid[#Data],$DD1208,14),0)</f>
        <v/>
      </c>
      <c r="Q1208">
        <f>IFERROR(INDEX(PP_Grid[#Data],$DD1208,15),0)</f>
        <v/>
      </c>
      <c r="R1208">
        <f>IFERROR(INDEX(PP_Grid[#Data],$DD1208,16),0)</f>
        <v/>
      </c>
      <c r="S1208">
        <f>IFERROR(INDEX(PP_Grid[#Data],$DD1208,17),0)</f>
        <v/>
      </c>
      <c r="T1208">
        <f>IFERROR(INDEX(PP_Grid[#Data],$DD1208,18),0)</f>
        <v/>
      </c>
      <c r="U1208">
        <f>IFERROR(INDEX(PP_Grid[#Data],$DD1208,19),0)</f>
        <v/>
      </c>
      <c r="V1208">
        <f>IFERROR(INDEX(PP_Grid[#Data],$DD1208,20),0)</f>
        <v/>
      </c>
      <c r="W1208">
        <f>IFERROR(INDEX(PP_Grid[#Data],$DD1208,21),0)</f>
        <v/>
      </c>
      <c r="X1208">
        <f>IFERROR(INDEX(PP_Grid[#Data],$DD1208,22),0)</f>
        <v/>
      </c>
      <c r="Y1208">
        <f>IFERROR(INDEX(PP_Grid[#Data],$DD1208,23),0)</f>
        <v/>
      </c>
      <c r="Z1208">
        <f>IFERROR(INDEX(PP_Grid[#Data],$DD1208,24),0)</f>
        <v/>
      </c>
      <c r="AA1208">
        <f>IFERROR(INDEX(PP_Grid[#Data],$DD1208,25),0)</f>
        <v/>
      </c>
      <c r="AB1208">
        <f>IFERROR(INDEX(PP_Grid[#Data],$DD1208,26),0)</f>
        <v/>
      </c>
      <c r="AC1208">
        <f>IFERROR(INDEX(PP_Grid[#Data],$DD1208,27),0)</f>
        <v/>
      </c>
      <c r="AD1208">
        <f>IFERROR(INDEX(PP_Grid[#Data],$DD1208,28),0)</f>
        <v/>
      </c>
      <c r="AE1208">
        <f>IFERROR(INDEX(PP_Grid[#Data],$DD1208,29),0)</f>
        <v/>
      </c>
      <c r="AF1208">
        <f>IFERROR(INDEX(PP_Grid[#Data],$DD1208,30),0)</f>
        <v/>
      </c>
      <c r="AG1208">
        <f>IFERROR(INDEX(PP_Grid[#Data],$DD1208,31),0)</f>
        <v/>
      </c>
      <c r="AH1208">
        <f>IFERROR(INDEX(PP_Grid[#Data],$DD1208,32),0)</f>
        <v/>
      </c>
      <c r="AI1208">
        <f>IFERROR(INDEX(PP_Grid[#Data],$DD1208,33),0)</f>
        <v/>
      </c>
      <c r="AJ1208">
        <f>IFERROR(INDEX(PP_Grid[#Data],$DD1208,34),0)</f>
        <v/>
      </c>
      <c r="AK1208">
        <f>IFERROR(INDEX(PP_Grid[#Data],$DD1208,35),0)</f>
        <v/>
      </c>
      <c r="AL1208">
        <f>IFERROR(INDEX(PP_Grid[#Data],$DD1208,36),0)</f>
        <v/>
      </c>
      <c r="AM1208">
        <f>IFERROR(INDEX(PP_Grid[#Data],$DD1208,37),0)</f>
        <v/>
      </c>
      <c r="AN1208">
        <f>IFERROR(INDEX(PP_Grid[#Data],$DD1208,38),0)</f>
        <v/>
      </c>
      <c r="AO1208">
        <f>IFERROR(INDEX(PP_Grid[#Data],$DD1208,39),0)</f>
        <v/>
      </c>
      <c r="AP1208">
        <f>IFERROR(INDEX(PP_Grid[#Data],$DD1208,40),0)</f>
        <v/>
      </c>
      <c r="AQ1208">
        <f>IFERROR(INDEX(PP_Grid[#Data],$DD1208,41),0)</f>
        <v/>
      </c>
      <c r="AR1208">
        <f>IFERROR(INDEX(PP_Grid[#Data],$DD1208,42),0)</f>
        <v/>
      </c>
      <c r="AS1208">
        <f>IFERROR(INDEX(PP_Grid[#Data],$DD1208,43),0)</f>
        <v/>
      </c>
      <c r="AT1208">
        <f>IFERROR(INDEX(PP_Grid[#Data],$DD1208,44),0)</f>
        <v/>
      </c>
      <c r="AU1208">
        <f>IFERROR(INDEX(PP_Grid[#Data],$DD1208,45),0)</f>
        <v/>
      </c>
      <c r="AV1208">
        <f>IFERROR(INDEX(PP_Grid[#Data],$DD1208,46),0)</f>
        <v/>
      </c>
      <c r="AW1208">
        <f>IFERROR(INDEX(PP_Grid[#Data],$DD1208,47),0)</f>
        <v/>
      </c>
      <c r="AX1208">
        <f>IFERROR(INDEX(PP_Grid[#Data],$DD1208,48),0)</f>
        <v/>
      </c>
      <c r="AY1208">
        <f>IFERROR(INDEX(PP_Grid[#Data],$DD1208,49),0)</f>
        <v/>
      </c>
      <c r="AZ1208">
        <f>IFERROR(INDEX(PP_Grid[#Data],$DD1208,50),0)</f>
        <v/>
      </c>
      <c r="BA1208">
        <f>IFERROR(INDEX(PP_Grid[#Data],$DD1208,51),0)</f>
        <v/>
      </c>
      <c r="BB1208">
        <f>IFERROR(INDEX(PP_Grid[#Data],$DD1208,52),0)</f>
        <v/>
      </c>
      <c r="BC1208">
        <f>IFERROR(INDEX(PP_Grid[#Data],$DD1208,53),0)</f>
        <v/>
      </c>
      <c r="BD1208">
        <f>IFERROR(INDEX(PP_Grid[#Data],$DD1208,54),0)</f>
        <v/>
      </c>
      <c r="BE1208">
        <f>IFERROR(INDEX(PP_Grid[#Data],$DD1208,55),0)</f>
        <v/>
      </c>
      <c r="BF1208">
        <f>IFERROR(INDEX(PP_Grid[#Data],$DD1208,56),0)</f>
        <v/>
      </c>
      <c r="BG1208">
        <f>IFERROR(INDEX(PP_Grid[#Data],$DD1208,57),0)</f>
        <v/>
      </c>
      <c r="BH1208">
        <f>IFERROR(INDEX(PP_Grid[#Data],$DD1208,58),0)</f>
        <v/>
      </c>
      <c r="BI1208">
        <f>IFERROR(INDEX(PP_Grid[#Data],$DD1208,59),0)</f>
        <v/>
      </c>
      <c r="BJ1208">
        <f>IFERROR(INDEX(PP_Grid[#Data],$DD1208,60),0)</f>
        <v/>
      </c>
      <c r="BK1208">
        <f>IFERROR(INDEX(PP_Grid[#Data],$DD1208,61),0)</f>
        <v/>
      </c>
      <c r="BL1208">
        <f>IFERROR(INDEX(PP_Grid[#Data],$DD1208,62),0)</f>
        <v/>
      </c>
      <c r="BM1208">
        <f>IFERROR(INDEX(PP_Grid[#Data],$DD1208,63),0)</f>
        <v/>
      </c>
      <c r="BN1208">
        <f>IFERROR(INDEX(PP_Grid[#Data],$DD1208,64),0)</f>
        <v/>
      </c>
      <c r="BO1208">
        <f>IFERROR(INDEX(PP_Grid[#Data],$DD1208,65),0)</f>
        <v/>
      </c>
      <c r="BP1208">
        <f>IFERROR(INDEX(PP_Grid[#Data],$DD1208,66),0)</f>
        <v/>
      </c>
      <c r="BQ1208">
        <f>IFERROR(INDEX(PP_Grid[#Data],$DD1208,67),0)</f>
        <v/>
      </c>
      <c r="BR1208">
        <f>IFERROR(INDEX(PP_Grid[#Data],$DD1208,68),0)</f>
        <v/>
      </c>
      <c r="BS1208">
        <f>IFERROR(INDEX(PP_Grid[#Data],$DD1208,69),0)</f>
        <v/>
      </c>
      <c r="BT1208">
        <f>IFERROR(INDEX(PP_Grid[#Data],$DD1208,70),0)</f>
        <v/>
      </c>
      <c r="BU1208">
        <f>IFERROR(INDEX(PP_Grid[#Data],$DD1208,71),0)</f>
        <v/>
      </c>
      <c r="BV1208">
        <f>IFERROR(INDEX(PP_Grid[#Data],$DD1208,72),0)</f>
        <v/>
      </c>
      <c r="BW1208">
        <f>IFERROR(INDEX(PP_Grid[#Data],$DD1208,73),0)</f>
        <v/>
      </c>
      <c r="BX1208">
        <f>IFERROR(INDEX(PP_Grid[#Data],$DD1208,74),0)</f>
        <v/>
      </c>
      <c r="BY1208">
        <f>IFERROR(INDEX(PP_Grid[#Data],$DD1208,75),0)</f>
        <v/>
      </c>
      <c r="BZ1208">
        <f>IFERROR(INDEX(PP_Grid[#Data],$DD1208,76),0)</f>
        <v/>
      </c>
      <c r="CA1208">
        <f>IFERROR(INDEX(PP_Grid[#Data],$DD1208,77),0)</f>
        <v/>
      </c>
      <c r="CB1208">
        <f>IFERROR(INDEX(PP_Grid[#Data],$DD1208,78),0)</f>
        <v/>
      </c>
      <c r="CC1208">
        <f>IFERROR(INDEX(PP_Grid[#Data],$DD1208,79),0)</f>
        <v/>
      </c>
      <c r="CD1208">
        <f>IFERROR(INDEX(PP_Grid[#Data],$DD1208,80),0)</f>
        <v/>
      </c>
      <c r="CE1208">
        <f>IFERROR(INDEX(PP_Grid[#Data],$DD1208,81),0)</f>
        <v/>
      </c>
      <c r="CF1208">
        <f>IFERROR(INDEX(PP_Grid[#Data],$DD1208,82),0)</f>
        <v/>
      </c>
      <c r="CG1208">
        <f>IFERROR(INDEX(PP_Grid[#Data],$DD1208,83),0)</f>
        <v/>
      </c>
      <c r="CH1208">
        <f>IFERROR(INDEX(PP_Grid[#Data],$DD1208,84),0)</f>
        <v/>
      </c>
      <c r="CI1208">
        <f>IFERROR(INDEX(PP_Grid[#Data],$DD1208,85),0)</f>
        <v/>
      </c>
      <c r="CJ1208">
        <f>IFERROR(INDEX(PP_Grid[#Data],$DD1208,86),0)</f>
        <v/>
      </c>
      <c r="CK1208">
        <f>IFERROR(INDEX(PP_Grid[#Data],$DD1208,87),0)</f>
        <v/>
      </c>
      <c r="CL1208">
        <f>IFERROR(INDEX(PP_Grid[#Data],$DD1208,88),0)</f>
        <v/>
      </c>
      <c r="CM1208">
        <f>IFERROR(INDEX(PP_Grid[#Data],$DD1208,89),0)</f>
        <v/>
      </c>
      <c r="CN1208">
        <f>IFERROR(INDEX(PP_Grid[#Data],$DD1208,90),0)</f>
        <v/>
      </c>
      <c r="CO1208">
        <f>IFERROR(INDEX(PP_Grid[#Data],$DD1208,91),0)</f>
        <v/>
      </c>
      <c r="CP1208">
        <f>IFERROR(INDEX(PP_Grid[#Data],$DD1208,92),0)</f>
        <v/>
      </c>
      <c r="CQ1208">
        <f>IFERROR(INDEX(PP_Grid[#Data],$DD1208,93),0)</f>
        <v/>
      </c>
      <c r="CR1208">
        <f>IFERROR(INDEX(PP_Grid[#Data],$DD1208,94),0)</f>
        <v/>
      </c>
      <c r="CS1208">
        <f>IFERROR(INDEX(PP_Grid[#Data],$DD1208,95),0)</f>
        <v/>
      </c>
      <c r="CT1208">
        <f>IFERROR(INDEX(PP_Grid[#Data],$DD1208,96),0)</f>
        <v/>
      </c>
      <c r="CU1208">
        <f>IFERROR(INDEX(PP_Grid[#Data],$DD1208,97),0)</f>
        <v/>
      </c>
      <c r="CV1208">
        <f>IFERROR(INDEX(PP_Grid[#Data],$DD1208,98),0)</f>
        <v/>
      </c>
      <c r="CW1208">
        <f>IFERROR(INDEX(PP_Grid[#Data],$DD1208,99),0)</f>
        <v/>
      </c>
      <c r="CX1208">
        <f>IFERROR(INDEX(PP_Grid[#Data],$DD1208,100),0)</f>
        <v/>
      </c>
      <c r="CY1208">
        <f>IFERROR(INDEX(PP_Grid[#Data],$DD1208,101),0)</f>
        <v/>
      </c>
      <c r="CZ1208">
        <f>IFERROR(INDEX(PP_Grid[#Data],$DD1208,102),0)</f>
        <v/>
      </c>
      <c r="DA1208">
        <f>IFERROR(INDEX(PP_Grid[#Data],$DD1208,103),0)</f>
        <v/>
      </c>
      <c r="DB1208">
        <f>IFERROR(INDEX(PP_Grid[#Data],$DD1208,104),0)</f>
        <v/>
      </c>
      <c r="DC1208">
        <f>IFERROR(INDEX(PP_Grid[#Data],$DD1208,105),0)</f>
        <v/>
      </c>
      <c r="DD1208" s="12">
        <f>IFERROR(MATCH($B1208,PP_Grid[Intermediate],0),99999)</f>
        <v/>
      </c>
    </row>
    <row r="1209">
      <c r="B1209" t="inlineStr">
        <is>
          <t>使用量(kg)</t>
        </is>
      </c>
      <c r="C1209">
        <f>SUMIFS(M_BOM[RM_Qty_Per_Batch],M_BOM[Intermediate],$B1208,M_BOM[Part Name],$A1201)</f>
        <v/>
      </c>
      <c r="D1209">
        <f>$C1209*D1208</f>
        <v/>
      </c>
      <c r="E1209">
        <f>$C1209*E1208</f>
        <v/>
      </c>
      <c r="F1209">
        <f>$C1209*F1208</f>
        <v/>
      </c>
      <c r="G1209">
        <f>$C1209*G1208</f>
        <v/>
      </c>
      <c r="H1209">
        <f>$C1209*H1208</f>
        <v/>
      </c>
      <c r="I1209">
        <f>$C1209*I1208</f>
        <v/>
      </c>
      <c r="J1209">
        <f>$C1209*J1208</f>
        <v/>
      </c>
      <c r="K1209">
        <f>$C1209*K1208</f>
        <v/>
      </c>
      <c r="L1209">
        <f>$C1209*L1208</f>
        <v/>
      </c>
      <c r="M1209">
        <f>$C1209*M1208</f>
        <v/>
      </c>
      <c r="N1209">
        <f>$C1209*N1208</f>
        <v/>
      </c>
      <c r="O1209">
        <f>$C1209*O1208</f>
        <v/>
      </c>
      <c r="P1209">
        <f>$C1209*P1208</f>
        <v/>
      </c>
      <c r="Q1209">
        <f>$C1209*Q1208</f>
        <v/>
      </c>
      <c r="R1209">
        <f>$C1209*R1208</f>
        <v/>
      </c>
      <c r="S1209">
        <f>$C1209*S1208</f>
        <v/>
      </c>
      <c r="T1209">
        <f>$C1209*T1208</f>
        <v/>
      </c>
      <c r="U1209">
        <f>$C1209*U1208</f>
        <v/>
      </c>
      <c r="V1209">
        <f>$C1209*V1208</f>
        <v/>
      </c>
      <c r="W1209">
        <f>$C1209*W1208</f>
        <v/>
      </c>
      <c r="X1209">
        <f>$C1209*X1208</f>
        <v/>
      </c>
      <c r="Y1209">
        <f>$C1209*Y1208</f>
        <v/>
      </c>
      <c r="Z1209">
        <f>$C1209*Z1208</f>
        <v/>
      </c>
      <c r="AA1209">
        <f>$C1209*AA1208</f>
        <v/>
      </c>
      <c r="AB1209">
        <f>$C1209*AB1208</f>
        <v/>
      </c>
      <c r="AC1209">
        <f>$C1209*AC1208</f>
        <v/>
      </c>
      <c r="AD1209">
        <f>$C1209*AD1208</f>
        <v/>
      </c>
      <c r="AE1209">
        <f>$C1209*AE1208</f>
        <v/>
      </c>
      <c r="AF1209">
        <f>$C1209*AF1208</f>
        <v/>
      </c>
      <c r="AG1209">
        <f>$C1209*AG1208</f>
        <v/>
      </c>
      <c r="AH1209">
        <f>$C1209*AH1208</f>
        <v/>
      </c>
      <c r="AI1209">
        <f>$C1209*AI1208</f>
        <v/>
      </c>
      <c r="AJ1209">
        <f>$C1209*AJ1208</f>
        <v/>
      </c>
      <c r="AK1209">
        <f>$C1209*AK1208</f>
        <v/>
      </c>
      <c r="AL1209">
        <f>$C1209*AL1208</f>
        <v/>
      </c>
      <c r="AM1209">
        <f>$C1209*AM1208</f>
        <v/>
      </c>
      <c r="AN1209">
        <f>$C1209*AN1208</f>
        <v/>
      </c>
      <c r="AO1209">
        <f>$C1209*AO1208</f>
        <v/>
      </c>
      <c r="AP1209">
        <f>$C1209*AP1208</f>
        <v/>
      </c>
      <c r="AQ1209">
        <f>$C1209*AQ1208</f>
        <v/>
      </c>
      <c r="AR1209">
        <f>$C1209*AR1208</f>
        <v/>
      </c>
      <c r="AS1209">
        <f>$C1209*AS1208</f>
        <v/>
      </c>
      <c r="AT1209">
        <f>$C1209*AT1208</f>
        <v/>
      </c>
      <c r="AU1209">
        <f>$C1209*AU1208</f>
        <v/>
      </c>
      <c r="AV1209">
        <f>$C1209*AV1208</f>
        <v/>
      </c>
      <c r="AW1209">
        <f>$C1209*AW1208</f>
        <v/>
      </c>
      <c r="AX1209">
        <f>$C1209*AX1208</f>
        <v/>
      </c>
      <c r="AY1209">
        <f>$C1209*AY1208</f>
        <v/>
      </c>
      <c r="AZ1209">
        <f>$C1209*AZ1208</f>
        <v/>
      </c>
      <c r="BA1209">
        <f>$C1209*BA1208</f>
        <v/>
      </c>
      <c r="BB1209">
        <f>$C1209*BB1208</f>
        <v/>
      </c>
      <c r="BC1209">
        <f>$C1209*BC1208</f>
        <v/>
      </c>
      <c r="BD1209">
        <f>$C1209*BD1208</f>
        <v/>
      </c>
      <c r="BE1209">
        <f>$C1209*BE1208</f>
        <v/>
      </c>
      <c r="BF1209">
        <f>$C1209*BF1208</f>
        <v/>
      </c>
      <c r="BG1209">
        <f>$C1209*BG1208</f>
        <v/>
      </c>
      <c r="BH1209">
        <f>$C1209*BH1208</f>
        <v/>
      </c>
      <c r="BI1209">
        <f>$C1209*BI1208</f>
        <v/>
      </c>
      <c r="BJ1209">
        <f>$C1209*BJ1208</f>
        <v/>
      </c>
      <c r="BK1209">
        <f>$C1209*BK1208</f>
        <v/>
      </c>
      <c r="BL1209">
        <f>$C1209*BL1208</f>
        <v/>
      </c>
      <c r="BM1209">
        <f>$C1209*BM1208</f>
        <v/>
      </c>
      <c r="BN1209">
        <f>$C1209*BN1208</f>
        <v/>
      </c>
      <c r="BO1209">
        <f>$C1209*BO1208</f>
        <v/>
      </c>
      <c r="BP1209">
        <f>$C1209*BP1208</f>
        <v/>
      </c>
      <c r="BQ1209">
        <f>$C1209*BQ1208</f>
        <v/>
      </c>
      <c r="BR1209">
        <f>$C1209*BR1208</f>
        <v/>
      </c>
      <c r="BS1209">
        <f>$C1209*BS1208</f>
        <v/>
      </c>
      <c r="BT1209">
        <f>$C1209*BT1208</f>
        <v/>
      </c>
      <c r="BU1209">
        <f>$C1209*BU1208</f>
        <v/>
      </c>
      <c r="BV1209">
        <f>$C1209*BV1208</f>
        <v/>
      </c>
      <c r="BW1209">
        <f>$C1209*BW1208</f>
        <v/>
      </c>
      <c r="BX1209">
        <f>$C1209*BX1208</f>
        <v/>
      </c>
      <c r="BY1209">
        <f>$C1209*BY1208</f>
        <v/>
      </c>
      <c r="BZ1209">
        <f>$C1209*BZ1208</f>
        <v/>
      </c>
      <c r="CA1209">
        <f>$C1209*CA1208</f>
        <v/>
      </c>
      <c r="CB1209">
        <f>$C1209*CB1208</f>
        <v/>
      </c>
      <c r="CC1209">
        <f>$C1209*CC1208</f>
        <v/>
      </c>
      <c r="CD1209">
        <f>$C1209*CD1208</f>
        <v/>
      </c>
      <c r="CE1209">
        <f>$C1209*CE1208</f>
        <v/>
      </c>
      <c r="CF1209">
        <f>$C1209*CF1208</f>
        <v/>
      </c>
      <c r="CG1209">
        <f>$C1209*CG1208</f>
        <v/>
      </c>
      <c r="CH1209">
        <f>$C1209*CH1208</f>
        <v/>
      </c>
      <c r="CI1209">
        <f>$C1209*CI1208</f>
        <v/>
      </c>
      <c r="CJ1209">
        <f>$C1209*CJ1208</f>
        <v/>
      </c>
      <c r="CK1209">
        <f>$C1209*CK1208</f>
        <v/>
      </c>
      <c r="CL1209">
        <f>$C1209*CL1208</f>
        <v/>
      </c>
      <c r="CM1209">
        <f>$C1209*CM1208</f>
        <v/>
      </c>
      <c r="CN1209">
        <f>$C1209*CN1208</f>
        <v/>
      </c>
      <c r="CO1209">
        <f>$C1209*CO1208</f>
        <v/>
      </c>
      <c r="CP1209">
        <f>$C1209*CP1208</f>
        <v/>
      </c>
      <c r="CQ1209">
        <f>$C1209*CQ1208</f>
        <v/>
      </c>
      <c r="CR1209">
        <f>$C1209*CR1208</f>
        <v/>
      </c>
      <c r="CS1209">
        <f>$C1209*CS1208</f>
        <v/>
      </c>
      <c r="CT1209">
        <f>$C1209*CT1208</f>
        <v/>
      </c>
      <c r="CU1209">
        <f>$C1209*CU1208</f>
        <v/>
      </c>
      <c r="CV1209">
        <f>$C1209*CV1208</f>
        <v/>
      </c>
      <c r="CW1209">
        <f>$C1209*CW1208</f>
        <v/>
      </c>
      <c r="CX1209">
        <f>$C1209*CX1208</f>
        <v/>
      </c>
      <c r="CY1209">
        <f>$C1209*CY1208</f>
        <v/>
      </c>
      <c r="CZ1209">
        <f>$C1209*CZ1208</f>
        <v/>
      </c>
      <c r="DA1209">
        <f>$C1209*DA1208</f>
        <v/>
      </c>
      <c r="DB1209">
        <f>$C1209*DB1208</f>
        <v/>
      </c>
      <c r="DC1209">
        <f>$C1209*DC1208</f>
        <v/>
      </c>
    </row>
    <row r="1210">
      <c r="B1210" s="5" t="inlineStr">
        <is>
          <t>合計使用量(kg)/週</t>
        </is>
      </c>
      <c r="D1210">
        <f>'Grid_Requirement'!B49</f>
        <v/>
      </c>
      <c r="E1210">
        <f>'Grid_Requirement'!C49</f>
        <v/>
      </c>
      <c r="F1210">
        <f>'Grid_Requirement'!D49</f>
        <v/>
      </c>
      <c r="G1210">
        <f>'Grid_Requirement'!E49</f>
        <v/>
      </c>
      <c r="H1210">
        <f>'Grid_Requirement'!F49</f>
        <v/>
      </c>
      <c r="I1210">
        <f>'Grid_Requirement'!G49</f>
        <v/>
      </c>
      <c r="J1210">
        <f>'Grid_Requirement'!H49</f>
        <v/>
      </c>
      <c r="K1210">
        <f>'Grid_Requirement'!I49</f>
        <v/>
      </c>
      <c r="L1210">
        <f>'Grid_Requirement'!J49</f>
        <v/>
      </c>
      <c r="M1210">
        <f>'Grid_Requirement'!K49</f>
        <v/>
      </c>
      <c r="N1210">
        <f>'Grid_Requirement'!L49</f>
        <v/>
      </c>
      <c r="O1210">
        <f>'Grid_Requirement'!M49</f>
        <v/>
      </c>
      <c r="P1210">
        <f>'Grid_Requirement'!N49</f>
        <v/>
      </c>
      <c r="Q1210">
        <f>'Grid_Requirement'!O49</f>
        <v/>
      </c>
      <c r="R1210">
        <f>'Grid_Requirement'!P49</f>
        <v/>
      </c>
      <c r="S1210">
        <f>'Grid_Requirement'!Q49</f>
        <v/>
      </c>
      <c r="T1210">
        <f>'Grid_Requirement'!R49</f>
        <v/>
      </c>
      <c r="U1210">
        <f>'Grid_Requirement'!S49</f>
        <v/>
      </c>
      <c r="V1210">
        <f>'Grid_Requirement'!T49</f>
        <v/>
      </c>
      <c r="W1210">
        <f>'Grid_Requirement'!U49</f>
        <v/>
      </c>
      <c r="X1210">
        <f>'Grid_Requirement'!V49</f>
        <v/>
      </c>
      <c r="Y1210">
        <f>'Grid_Requirement'!W49</f>
        <v/>
      </c>
      <c r="Z1210">
        <f>'Grid_Requirement'!X49</f>
        <v/>
      </c>
      <c r="AA1210">
        <f>'Grid_Requirement'!Y49</f>
        <v/>
      </c>
      <c r="AB1210">
        <f>'Grid_Requirement'!Z49</f>
        <v/>
      </c>
      <c r="AC1210">
        <f>'Grid_Requirement'!AA49</f>
        <v/>
      </c>
      <c r="AD1210">
        <f>'Grid_Requirement'!AB49</f>
        <v/>
      </c>
      <c r="AE1210">
        <f>'Grid_Requirement'!AC49</f>
        <v/>
      </c>
      <c r="AF1210">
        <f>'Grid_Requirement'!AD49</f>
        <v/>
      </c>
      <c r="AG1210">
        <f>'Grid_Requirement'!AE49</f>
        <v/>
      </c>
      <c r="AH1210">
        <f>'Grid_Requirement'!AF49</f>
        <v/>
      </c>
      <c r="AI1210">
        <f>'Grid_Requirement'!AG49</f>
        <v/>
      </c>
      <c r="AJ1210">
        <f>'Grid_Requirement'!AH49</f>
        <v/>
      </c>
      <c r="AK1210">
        <f>'Grid_Requirement'!AI49</f>
        <v/>
      </c>
      <c r="AL1210">
        <f>'Grid_Requirement'!AJ49</f>
        <v/>
      </c>
      <c r="AM1210">
        <f>'Grid_Requirement'!AK49</f>
        <v/>
      </c>
      <c r="AN1210">
        <f>'Grid_Requirement'!AL49</f>
        <v/>
      </c>
      <c r="AO1210">
        <f>'Grid_Requirement'!AM49</f>
        <v/>
      </c>
      <c r="AP1210">
        <f>'Grid_Requirement'!AN49</f>
        <v/>
      </c>
      <c r="AQ1210">
        <f>'Grid_Requirement'!AO49</f>
        <v/>
      </c>
      <c r="AR1210">
        <f>'Grid_Requirement'!AP49</f>
        <v/>
      </c>
      <c r="AS1210">
        <f>'Grid_Requirement'!AQ49</f>
        <v/>
      </c>
      <c r="AT1210">
        <f>'Grid_Requirement'!AR49</f>
        <v/>
      </c>
      <c r="AU1210">
        <f>'Grid_Requirement'!AS49</f>
        <v/>
      </c>
      <c r="AV1210">
        <f>'Grid_Requirement'!AT49</f>
        <v/>
      </c>
      <c r="AW1210">
        <f>'Grid_Requirement'!AU49</f>
        <v/>
      </c>
      <c r="AX1210">
        <f>'Grid_Requirement'!AV49</f>
        <v/>
      </c>
      <c r="AY1210">
        <f>'Grid_Requirement'!AW49</f>
        <v/>
      </c>
      <c r="AZ1210">
        <f>'Grid_Requirement'!AX49</f>
        <v/>
      </c>
      <c r="BA1210">
        <f>'Grid_Requirement'!AY49</f>
        <v/>
      </c>
      <c r="BB1210">
        <f>'Grid_Requirement'!AZ49</f>
        <v/>
      </c>
      <c r="BC1210">
        <f>'Grid_Requirement'!BA49</f>
        <v/>
      </c>
      <c r="BD1210">
        <f>'Grid_Requirement'!BB49</f>
        <v/>
      </c>
      <c r="BE1210">
        <f>'Grid_Requirement'!BC49</f>
        <v/>
      </c>
      <c r="BF1210">
        <f>'Grid_Requirement'!BD49</f>
        <v/>
      </c>
      <c r="BG1210">
        <f>'Grid_Requirement'!BE49</f>
        <v/>
      </c>
      <c r="BH1210">
        <f>'Grid_Requirement'!BF49</f>
        <v/>
      </c>
      <c r="BI1210">
        <f>'Grid_Requirement'!BG49</f>
        <v/>
      </c>
      <c r="BJ1210">
        <f>'Grid_Requirement'!BH49</f>
        <v/>
      </c>
      <c r="BK1210">
        <f>'Grid_Requirement'!BI49</f>
        <v/>
      </c>
      <c r="BL1210">
        <f>'Grid_Requirement'!BJ49</f>
        <v/>
      </c>
      <c r="BM1210">
        <f>'Grid_Requirement'!BK49</f>
        <v/>
      </c>
      <c r="BN1210">
        <f>'Grid_Requirement'!BL49</f>
        <v/>
      </c>
      <c r="BO1210">
        <f>'Grid_Requirement'!BM49</f>
        <v/>
      </c>
      <c r="BP1210">
        <f>'Grid_Requirement'!BN49</f>
        <v/>
      </c>
      <c r="BQ1210">
        <f>'Grid_Requirement'!BO49</f>
        <v/>
      </c>
      <c r="BR1210">
        <f>'Grid_Requirement'!BP49</f>
        <v/>
      </c>
      <c r="BS1210">
        <f>'Grid_Requirement'!BQ49</f>
        <v/>
      </c>
      <c r="BT1210">
        <f>'Grid_Requirement'!BR49</f>
        <v/>
      </c>
      <c r="BU1210">
        <f>'Grid_Requirement'!BS49</f>
        <v/>
      </c>
      <c r="BV1210">
        <f>'Grid_Requirement'!BT49</f>
        <v/>
      </c>
      <c r="BW1210">
        <f>'Grid_Requirement'!BU49</f>
        <v/>
      </c>
      <c r="BX1210">
        <f>'Grid_Requirement'!BV49</f>
        <v/>
      </c>
      <c r="BY1210">
        <f>'Grid_Requirement'!BW49</f>
        <v/>
      </c>
      <c r="BZ1210">
        <f>'Grid_Requirement'!BX49</f>
        <v/>
      </c>
      <c r="CA1210">
        <f>'Grid_Requirement'!BY49</f>
        <v/>
      </c>
      <c r="CB1210">
        <f>'Grid_Requirement'!BZ49</f>
        <v/>
      </c>
      <c r="CC1210">
        <f>'Grid_Requirement'!CA49</f>
        <v/>
      </c>
      <c r="CD1210">
        <f>'Grid_Requirement'!CB49</f>
        <v/>
      </c>
      <c r="CE1210">
        <f>'Grid_Requirement'!CC49</f>
        <v/>
      </c>
      <c r="CF1210">
        <f>'Grid_Requirement'!CD49</f>
        <v/>
      </c>
      <c r="CG1210">
        <f>'Grid_Requirement'!CE49</f>
        <v/>
      </c>
      <c r="CH1210">
        <f>'Grid_Requirement'!CF49</f>
        <v/>
      </c>
      <c r="CI1210">
        <f>'Grid_Requirement'!CG49</f>
        <v/>
      </c>
      <c r="CJ1210">
        <f>'Grid_Requirement'!CH49</f>
        <v/>
      </c>
      <c r="CK1210">
        <f>'Grid_Requirement'!CI49</f>
        <v/>
      </c>
      <c r="CL1210">
        <f>'Grid_Requirement'!CJ49</f>
        <v/>
      </c>
      <c r="CM1210">
        <f>'Grid_Requirement'!CK49</f>
        <v/>
      </c>
      <c r="CN1210">
        <f>'Grid_Requirement'!CL49</f>
        <v/>
      </c>
      <c r="CO1210">
        <f>'Grid_Requirement'!CM49</f>
        <v/>
      </c>
      <c r="CP1210">
        <f>'Grid_Requirement'!CN49</f>
        <v/>
      </c>
      <c r="CQ1210">
        <f>'Grid_Requirement'!CO49</f>
        <v/>
      </c>
      <c r="CR1210">
        <f>'Grid_Requirement'!CP49</f>
        <v/>
      </c>
      <c r="CS1210">
        <f>'Grid_Requirement'!CQ49</f>
        <v/>
      </c>
      <c r="CT1210">
        <f>'Grid_Requirement'!CR49</f>
        <v/>
      </c>
      <c r="CU1210">
        <f>'Grid_Requirement'!CS49</f>
        <v/>
      </c>
      <c r="CV1210">
        <f>'Grid_Requirement'!CT49</f>
        <v/>
      </c>
      <c r="CW1210">
        <f>'Grid_Requirement'!CU49</f>
        <v/>
      </c>
      <c r="CX1210">
        <f>'Grid_Requirement'!CV49</f>
        <v/>
      </c>
      <c r="CY1210">
        <f>'Grid_Requirement'!CW49</f>
        <v/>
      </c>
      <c r="CZ1210">
        <f>'Grid_Requirement'!CX49</f>
        <v/>
      </c>
      <c r="DA1210">
        <f>'Grid_Requirement'!CY49</f>
        <v/>
      </c>
      <c r="DB1210">
        <f>'Grid_Requirement'!CZ49</f>
        <v/>
      </c>
      <c r="DC1210">
        <f>'Grid_Requirement'!DA49</f>
        <v/>
      </c>
    </row>
    <row r="1211">
      <c r="B1211" t="inlineStr">
        <is>
          <t>TTAF在庫(実績,kg)</t>
        </is>
      </c>
      <c r="D1211">
        <f>'T_TTAFStock'!B53</f>
        <v/>
      </c>
      <c r="E1211">
        <f>'T_TTAFStock'!C53</f>
        <v/>
      </c>
      <c r="F1211">
        <f>'T_TTAFStock'!D53</f>
        <v/>
      </c>
      <c r="G1211">
        <f>'T_TTAFStock'!E53</f>
        <v/>
      </c>
      <c r="H1211">
        <f>'T_TTAFStock'!F53</f>
        <v/>
      </c>
      <c r="I1211">
        <f>'T_TTAFStock'!G53</f>
        <v/>
      </c>
      <c r="J1211">
        <f>'T_TTAFStock'!H53</f>
        <v/>
      </c>
      <c r="K1211">
        <f>'T_TTAFStock'!I53</f>
        <v/>
      </c>
      <c r="L1211">
        <f>'T_TTAFStock'!J53</f>
        <v/>
      </c>
      <c r="M1211">
        <f>'T_TTAFStock'!K53</f>
        <v/>
      </c>
      <c r="N1211">
        <f>'T_TTAFStock'!L53</f>
        <v/>
      </c>
      <c r="O1211">
        <f>'T_TTAFStock'!M53</f>
        <v/>
      </c>
      <c r="P1211">
        <f>'T_TTAFStock'!N53</f>
        <v/>
      </c>
      <c r="Q1211">
        <f>'T_TTAFStock'!O53</f>
        <v/>
      </c>
      <c r="R1211">
        <f>'T_TTAFStock'!P53</f>
        <v/>
      </c>
      <c r="S1211">
        <f>'T_TTAFStock'!Q53</f>
        <v/>
      </c>
      <c r="T1211">
        <f>'T_TTAFStock'!R53</f>
        <v/>
      </c>
      <c r="U1211">
        <f>'T_TTAFStock'!S53</f>
        <v/>
      </c>
      <c r="V1211">
        <f>'T_TTAFStock'!T53</f>
        <v/>
      </c>
      <c r="W1211">
        <f>'T_TTAFStock'!U53</f>
        <v/>
      </c>
      <c r="X1211">
        <f>'T_TTAFStock'!V53</f>
        <v/>
      </c>
      <c r="Y1211">
        <f>'T_TTAFStock'!W53</f>
        <v/>
      </c>
      <c r="Z1211">
        <f>'T_TTAFStock'!X53</f>
        <v/>
      </c>
      <c r="AA1211">
        <f>'T_TTAFStock'!Y53</f>
        <v/>
      </c>
      <c r="AB1211">
        <f>'T_TTAFStock'!Z53</f>
        <v/>
      </c>
      <c r="AC1211">
        <f>'T_TTAFStock'!AA53</f>
        <v/>
      </c>
      <c r="AD1211">
        <f>'T_TTAFStock'!AB53</f>
        <v/>
      </c>
      <c r="AE1211">
        <f>'T_TTAFStock'!AC53</f>
        <v/>
      </c>
      <c r="AF1211">
        <f>'T_TTAFStock'!AD53</f>
        <v/>
      </c>
      <c r="AG1211">
        <f>'T_TTAFStock'!AE53</f>
        <v/>
      </c>
      <c r="AH1211">
        <f>'T_TTAFStock'!AF53</f>
        <v/>
      </c>
      <c r="AI1211">
        <f>'T_TTAFStock'!AG53</f>
        <v/>
      </c>
      <c r="AJ1211">
        <f>'T_TTAFStock'!AH53</f>
        <v/>
      </c>
      <c r="AK1211">
        <f>'T_TTAFStock'!AI53</f>
        <v/>
      </c>
      <c r="AL1211">
        <f>'T_TTAFStock'!AJ53</f>
        <v/>
      </c>
      <c r="AM1211">
        <f>'T_TTAFStock'!AK53</f>
        <v/>
      </c>
      <c r="AN1211">
        <f>'T_TTAFStock'!AL53</f>
        <v/>
      </c>
      <c r="AO1211">
        <f>'T_TTAFStock'!AM53</f>
        <v/>
      </c>
      <c r="AP1211">
        <f>'T_TTAFStock'!AN53</f>
        <v/>
      </c>
      <c r="AQ1211">
        <f>'T_TTAFStock'!AO53</f>
        <v/>
      </c>
      <c r="AR1211">
        <f>'T_TTAFStock'!AP53</f>
        <v/>
      </c>
      <c r="AS1211">
        <f>'T_TTAFStock'!AQ53</f>
        <v/>
      </c>
      <c r="AT1211">
        <f>'T_TTAFStock'!AR53</f>
        <v/>
      </c>
      <c r="AU1211">
        <f>'T_TTAFStock'!AS53</f>
        <v/>
      </c>
      <c r="AV1211">
        <f>'T_TTAFStock'!AT53</f>
        <v/>
      </c>
      <c r="AW1211">
        <f>'T_TTAFStock'!AU53</f>
        <v/>
      </c>
      <c r="AX1211">
        <f>'T_TTAFStock'!AV53</f>
        <v/>
      </c>
      <c r="AY1211">
        <f>'T_TTAFStock'!AW53</f>
        <v/>
      </c>
      <c r="AZ1211">
        <f>'T_TTAFStock'!AX53</f>
        <v/>
      </c>
      <c r="BA1211">
        <f>'T_TTAFStock'!AY53</f>
        <v/>
      </c>
      <c r="BB1211">
        <f>'T_TTAFStock'!AZ53</f>
        <v/>
      </c>
      <c r="BC1211">
        <f>'T_TTAFStock'!BA53</f>
        <v/>
      </c>
      <c r="BD1211">
        <f>'T_TTAFStock'!BB53</f>
        <v/>
      </c>
      <c r="BE1211">
        <f>'T_TTAFStock'!BC53</f>
        <v/>
      </c>
      <c r="BF1211">
        <f>'T_TTAFStock'!BD53</f>
        <v/>
      </c>
      <c r="BG1211">
        <f>'T_TTAFStock'!BE53</f>
        <v/>
      </c>
      <c r="BH1211">
        <f>'T_TTAFStock'!BF53</f>
        <v/>
      </c>
      <c r="BI1211">
        <f>'T_TTAFStock'!BG53</f>
        <v/>
      </c>
      <c r="BJ1211">
        <f>'T_TTAFStock'!BH53</f>
        <v/>
      </c>
      <c r="BK1211">
        <f>'T_TTAFStock'!BI53</f>
        <v/>
      </c>
      <c r="BL1211">
        <f>'T_TTAFStock'!BJ53</f>
        <v/>
      </c>
      <c r="BM1211">
        <f>'T_TTAFStock'!BK53</f>
        <v/>
      </c>
      <c r="BN1211">
        <f>'T_TTAFStock'!BL53</f>
        <v/>
      </c>
      <c r="BO1211">
        <f>'T_TTAFStock'!BM53</f>
        <v/>
      </c>
      <c r="BP1211">
        <f>'T_TTAFStock'!BN53</f>
        <v/>
      </c>
      <c r="BQ1211">
        <f>'T_TTAFStock'!BO53</f>
        <v/>
      </c>
      <c r="BR1211">
        <f>'T_TTAFStock'!BP53</f>
        <v/>
      </c>
      <c r="BS1211">
        <f>'T_TTAFStock'!BQ53</f>
        <v/>
      </c>
      <c r="BT1211">
        <f>'T_TTAFStock'!BR53</f>
        <v/>
      </c>
      <c r="BU1211">
        <f>'T_TTAFStock'!BS53</f>
        <v/>
      </c>
      <c r="BV1211">
        <f>'T_TTAFStock'!BT53</f>
        <v/>
      </c>
      <c r="BW1211">
        <f>'T_TTAFStock'!BU53</f>
        <v/>
      </c>
      <c r="BX1211">
        <f>'T_TTAFStock'!BV53</f>
        <v/>
      </c>
      <c r="BY1211">
        <f>'T_TTAFStock'!BW53</f>
        <v/>
      </c>
      <c r="BZ1211">
        <f>'T_TTAFStock'!BX53</f>
        <v/>
      </c>
      <c r="CA1211">
        <f>'T_TTAFStock'!BY53</f>
        <v/>
      </c>
      <c r="CB1211">
        <f>'T_TTAFStock'!BZ53</f>
        <v/>
      </c>
      <c r="CC1211">
        <f>'T_TTAFStock'!CA53</f>
        <v/>
      </c>
      <c r="CD1211">
        <f>'T_TTAFStock'!CB53</f>
        <v/>
      </c>
      <c r="CE1211">
        <f>'T_TTAFStock'!CC53</f>
        <v/>
      </c>
      <c r="CF1211">
        <f>'T_TTAFStock'!CD53</f>
        <v/>
      </c>
      <c r="CG1211">
        <f>'T_TTAFStock'!CE53</f>
        <v/>
      </c>
      <c r="CH1211">
        <f>'T_TTAFStock'!CF53</f>
        <v/>
      </c>
      <c r="CI1211">
        <f>'T_TTAFStock'!CG53</f>
        <v/>
      </c>
      <c r="CJ1211">
        <f>'T_TTAFStock'!CH53</f>
        <v/>
      </c>
      <c r="CK1211">
        <f>'T_TTAFStock'!CI53</f>
        <v/>
      </c>
      <c r="CL1211">
        <f>'T_TTAFStock'!CJ53</f>
        <v/>
      </c>
      <c r="CM1211">
        <f>'T_TTAFStock'!CK53</f>
        <v/>
      </c>
      <c r="CN1211">
        <f>'T_TTAFStock'!CL53</f>
        <v/>
      </c>
      <c r="CO1211">
        <f>'T_TTAFStock'!CM53</f>
        <v/>
      </c>
      <c r="CP1211">
        <f>'T_TTAFStock'!CN53</f>
        <v/>
      </c>
      <c r="CQ1211">
        <f>'T_TTAFStock'!CO53</f>
        <v/>
      </c>
      <c r="CR1211">
        <f>'T_TTAFStock'!CP53</f>
        <v/>
      </c>
      <c r="CS1211">
        <f>'T_TTAFStock'!CQ53</f>
        <v/>
      </c>
      <c r="CT1211">
        <f>'T_TTAFStock'!CR53</f>
        <v/>
      </c>
      <c r="CU1211">
        <f>'T_TTAFStock'!CS53</f>
        <v/>
      </c>
      <c r="CV1211">
        <f>'T_TTAFStock'!CT53</f>
        <v/>
      </c>
      <c r="CW1211">
        <f>'T_TTAFStock'!CU53</f>
        <v/>
      </c>
      <c r="CX1211">
        <f>'T_TTAFStock'!CV53</f>
        <v/>
      </c>
      <c r="CY1211">
        <f>'T_TTAFStock'!CW53</f>
        <v/>
      </c>
      <c r="CZ1211">
        <f>'T_TTAFStock'!CX53</f>
        <v/>
      </c>
      <c r="DA1211">
        <f>'T_TTAFStock'!CY53</f>
        <v/>
      </c>
      <c r="DB1211">
        <f>'T_TTAFStock'!CZ53</f>
        <v/>
      </c>
      <c r="DC1211">
        <f>'T_TTAFStock'!DA53</f>
        <v/>
      </c>
    </row>
    <row r="1212">
      <c r="B1212" t="inlineStr">
        <is>
          <t>自社在庫(実績,kg)</t>
        </is>
      </c>
      <c r="D1212">
        <f>'T_SelfStock'!B53</f>
        <v/>
      </c>
      <c r="E1212">
        <f>'T_SelfStock'!C53</f>
        <v/>
      </c>
      <c r="F1212">
        <f>'T_SelfStock'!D53</f>
        <v/>
      </c>
      <c r="G1212">
        <f>'T_SelfStock'!E53</f>
        <v/>
      </c>
      <c r="H1212">
        <f>'T_SelfStock'!F53</f>
        <v/>
      </c>
      <c r="I1212">
        <f>'T_SelfStock'!G53</f>
        <v/>
      </c>
      <c r="J1212">
        <f>'T_SelfStock'!H53</f>
        <v/>
      </c>
      <c r="K1212">
        <f>'T_SelfStock'!I53</f>
        <v/>
      </c>
      <c r="L1212">
        <f>'T_SelfStock'!J53</f>
        <v/>
      </c>
      <c r="M1212">
        <f>'T_SelfStock'!K53</f>
        <v/>
      </c>
      <c r="N1212">
        <f>'T_SelfStock'!L53</f>
        <v/>
      </c>
      <c r="O1212">
        <f>'T_SelfStock'!M53</f>
        <v/>
      </c>
      <c r="P1212">
        <f>'T_SelfStock'!N53</f>
        <v/>
      </c>
      <c r="Q1212">
        <f>'T_SelfStock'!O53</f>
        <v/>
      </c>
      <c r="R1212">
        <f>'T_SelfStock'!P53</f>
        <v/>
      </c>
      <c r="S1212">
        <f>'T_SelfStock'!Q53</f>
        <v/>
      </c>
      <c r="T1212">
        <f>'T_SelfStock'!R53</f>
        <v/>
      </c>
      <c r="U1212">
        <f>'T_SelfStock'!S53</f>
        <v/>
      </c>
      <c r="V1212">
        <f>'T_SelfStock'!T53</f>
        <v/>
      </c>
      <c r="W1212">
        <f>'T_SelfStock'!U53</f>
        <v/>
      </c>
      <c r="X1212">
        <f>'T_SelfStock'!V53</f>
        <v/>
      </c>
      <c r="Y1212">
        <f>'T_SelfStock'!W53</f>
        <v/>
      </c>
      <c r="Z1212">
        <f>'T_SelfStock'!X53</f>
        <v/>
      </c>
      <c r="AA1212">
        <f>'T_SelfStock'!Y53</f>
        <v/>
      </c>
      <c r="AB1212">
        <f>'T_SelfStock'!Z53</f>
        <v/>
      </c>
      <c r="AC1212">
        <f>'T_SelfStock'!AA53</f>
        <v/>
      </c>
      <c r="AD1212">
        <f>'T_SelfStock'!AB53</f>
        <v/>
      </c>
      <c r="AE1212">
        <f>'T_SelfStock'!AC53</f>
        <v/>
      </c>
      <c r="AF1212">
        <f>'T_SelfStock'!AD53</f>
        <v/>
      </c>
      <c r="AG1212">
        <f>'T_SelfStock'!AE53</f>
        <v/>
      </c>
      <c r="AH1212">
        <f>'T_SelfStock'!AF53</f>
        <v/>
      </c>
      <c r="AI1212">
        <f>'T_SelfStock'!AG53</f>
        <v/>
      </c>
      <c r="AJ1212">
        <f>'T_SelfStock'!AH53</f>
        <v/>
      </c>
      <c r="AK1212">
        <f>'T_SelfStock'!AI53</f>
        <v/>
      </c>
      <c r="AL1212">
        <f>'T_SelfStock'!AJ53</f>
        <v/>
      </c>
      <c r="AM1212">
        <f>'T_SelfStock'!AK53</f>
        <v/>
      </c>
      <c r="AN1212">
        <f>'T_SelfStock'!AL53</f>
        <v/>
      </c>
      <c r="AO1212">
        <f>'T_SelfStock'!AM53</f>
        <v/>
      </c>
      <c r="AP1212">
        <f>'T_SelfStock'!AN53</f>
        <v/>
      </c>
      <c r="AQ1212">
        <f>'T_SelfStock'!AO53</f>
        <v/>
      </c>
      <c r="AR1212">
        <f>'T_SelfStock'!AP53</f>
        <v/>
      </c>
      <c r="AS1212">
        <f>'T_SelfStock'!AQ53</f>
        <v/>
      </c>
      <c r="AT1212">
        <f>'T_SelfStock'!AR53</f>
        <v/>
      </c>
      <c r="AU1212">
        <f>'T_SelfStock'!AS53</f>
        <v/>
      </c>
      <c r="AV1212">
        <f>'T_SelfStock'!AT53</f>
        <v/>
      </c>
      <c r="AW1212">
        <f>'T_SelfStock'!AU53</f>
        <v/>
      </c>
      <c r="AX1212">
        <f>'T_SelfStock'!AV53</f>
        <v/>
      </c>
      <c r="AY1212">
        <f>'T_SelfStock'!AW53</f>
        <v/>
      </c>
      <c r="AZ1212">
        <f>'T_SelfStock'!AX53</f>
        <v/>
      </c>
      <c r="BA1212">
        <f>'T_SelfStock'!AY53</f>
        <v/>
      </c>
      <c r="BB1212">
        <f>'T_SelfStock'!AZ53</f>
        <v/>
      </c>
      <c r="BC1212">
        <f>'T_SelfStock'!BA53</f>
        <v/>
      </c>
      <c r="BD1212">
        <f>'T_SelfStock'!BB53</f>
        <v/>
      </c>
      <c r="BE1212">
        <f>'T_SelfStock'!BC53</f>
        <v/>
      </c>
      <c r="BF1212">
        <f>'T_SelfStock'!BD53</f>
        <v/>
      </c>
      <c r="BG1212">
        <f>'T_SelfStock'!BE53</f>
        <v/>
      </c>
      <c r="BH1212">
        <f>'T_SelfStock'!BF53</f>
        <v/>
      </c>
      <c r="BI1212">
        <f>'T_SelfStock'!BG53</f>
        <v/>
      </c>
      <c r="BJ1212">
        <f>'T_SelfStock'!BH53</f>
        <v/>
      </c>
      <c r="BK1212">
        <f>'T_SelfStock'!BI53</f>
        <v/>
      </c>
      <c r="BL1212">
        <f>'T_SelfStock'!BJ53</f>
        <v/>
      </c>
      <c r="BM1212">
        <f>'T_SelfStock'!BK53</f>
        <v/>
      </c>
      <c r="BN1212">
        <f>'T_SelfStock'!BL53</f>
        <v/>
      </c>
      <c r="BO1212">
        <f>'T_SelfStock'!BM53</f>
        <v/>
      </c>
      <c r="BP1212">
        <f>'T_SelfStock'!BN53</f>
        <v/>
      </c>
      <c r="BQ1212">
        <f>'T_SelfStock'!BO53</f>
        <v/>
      </c>
      <c r="BR1212">
        <f>'T_SelfStock'!BP53</f>
        <v/>
      </c>
      <c r="BS1212">
        <f>'T_SelfStock'!BQ53</f>
        <v/>
      </c>
      <c r="BT1212">
        <f>'T_SelfStock'!BR53</f>
        <v/>
      </c>
      <c r="BU1212">
        <f>'T_SelfStock'!BS53</f>
        <v/>
      </c>
      <c r="BV1212">
        <f>'T_SelfStock'!BT53</f>
        <v/>
      </c>
      <c r="BW1212">
        <f>'T_SelfStock'!BU53</f>
        <v/>
      </c>
      <c r="BX1212">
        <f>'T_SelfStock'!BV53</f>
        <v/>
      </c>
      <c r="BY1212">
        <f>'T_SelfStock'!BW53</f>
        <v/>
      </c>
      <c r="BZ1212">
        <f>'T_SelfStock'!BX53</f>
        <v/>
      </c>
      <c r="CA1212">
        <f>'T_SelfStock'!BY53</f>
        <v/>
      </c>
      <c r="CB1212">
        <f>'T_SelfStock'!BZ53</f>
        <v/>
      </c>
      <c r="CC1212">
        <f>'T_SelfStock'!CA53</f>
        <v/>
      </c>
      <c r="CD1212">
        <f>'T_SelfStock'!CB53</f>
        <v/>
      </c>
      <c r="CE1212">
        <f>'T_SelfStock'!CC53</f>
        <v/>
      </c>
      <c r="CF1212">
        <f>'T_SelfStock'!CD53</f>
        <v/>
      </c>
      <c r="CG1212">
        <f>'T_SelfStock'!CE53</f>
        <v/>
      </c>
      <c r="CH1212">
        <f>'T_SelfStock'!CF53</f>
        <v/>
      </c>
      <c r="CI1212">
        <f>'T_SelfStock'!CG53</f>
        <v/>
      </c>
      <c r="CJ1212">
        <f>'T_SelfStock'!CH53</f>
        <v/>
      </c>
      <c r="CK1212">
        <f>'T_SelfStock'!CI53</f>
        <v/>
      </c>
      <c r="CL1212">
        <f>'T_SelfStock'!CJ53</f>
        <v/>
      </c>
      <c r="CM1212">
        <f>'T_SelfStock'!CK53</f>
        <v/>
      </c>
      <c r="CN1212">
        <f>'T_SelfStock'!CL53</f>
        <v/>
      </c>
      <c r="CO1212">
        <f>'T_SelfStock'!CM53</f>
        <v/>
      </c>
      <c r="CP1212">
        <f>'T_SelfStock'!CN53</f>
        <v/>
      </c>
      <c r="CQ1212">
        <f>'T_SelfStock'!CO53</f>
        <v/>
      </c>
      <c r="CR1212">
        <f>'T_SelfStock'!CP53</f>
        <v/>
      </c>
      <c r="CS1212">
        <f>'T_SelfStock'!CQ53</f>
        <v/>
      </c>
      <c r="CT1212">
        <f>'T_SelfStock'!CR53</f>
        <v/>
      </c>
      <c r="CU1212">
        <f>'T_SelfStock'!CS53</f>
        <v/>
      </c>
      <c r="CV1212">
        <f>'T_SelfStock'!CT53</f>
        <v/>
      </c>
      <c r="CW1212">
        <f>'T_SelfStock'!CU53</f>
        <v/>
      </c>
      <c r="CX1212">
        <f>'T_SelfStock'!CV53</f>
        <v/>
      </c>
      <c r="CY1212">
        <f>'T_SelfStock'!CW53</f>
        <v/>
      </c>
      <c r="CZ1212">
        <f>'T_SelfStock'!CX53</f>
        <v/>
      </c>
      <c r="DA1212">
        <f>'T_SelfStock'!CY53</f>
        <v/>
      </c>
      <c r="DB1212">
        <f>'T_SelfStock'!CZ53</f>
        <v/>
      </c>
      <c r="DC1212">
        <f>'T_SelfStock'!DA53</f>
        <v/>
      </c>
    </row>
    <row r="1213">
      <c r="B1213" t="inlineStr">
        <is>
          <t>Order(発注予定,kg)</t>
        </is>
      </c>
      <c r="D1213">
        <f>IF(SUMIFS(T_PlannedOrders[EffectiveQty],T_PlannedOrders[Part Name],$A1201,T_PlannedOrders[WeekIndex],1)=0,"",SUMIFS(T_PlannedOrders[EffectiveQty],T_PlannedOrders[Part Name],$A1201,T_PlannedOrders[WeekIndex],1)&amp;" ("&amp;TEXT(SUMPRODUCT(MAX((T_PlannedOrders[Part Name]=$A1201)*(T_PlannedOrders[WeekIndex]=1)*(T_PlannedOrders[EffectiveQty]&gt;0)*T_PlannedOrders[Order_Month])),"m月")&amp;"発注)")</f>
        <v/>
      </c>
      <c r="E1213">
        <f>IF(SUMIFS(T_PlannedOrders[EffectiveQty],T_PlannedOrders[Part Name],$A1201,T_PlannedOrders[WeekIndex],2)=0,"",SUMIFS(T_PlannedOrders[EffectiveQty],T_PlannedOrders[Part Name],$A1201,T_PlannedOrders[WeekIndex],2)&amp;" ("&amp;TEXT(SUMPRODUCT(MAX((T_PlannedOrders[Part Name]=$A1201)*(T_PlannedOrders[WeekIndex]=2)*(T_PlannedOrders[EffectiveQty]&gt;0)*T_PlannedOrders[Order_Month])),"m月")&amp;"発注)")</f>
        <v/>
      </c>
      <c r="F1213">
        <f>IF(SUMIFS(T_PlannedOrders[EffectiveQty],T_PlannedOrders[Part Name],$A1201,T_PlannedOrders[WeekIndex],3)=0,"",SUMIFS(T_PlannedOrders[EffectiveQty],T_PlannedOrders[Part Name],$A1201,T_PlannedOrders[WeekIndex],3)&amp;" ("&amp;TEXT(SUMPRODUCT(MAX((T_PlannedOrders[Part Name]=$A1201)*(T_PlannedOrders[WeekIndex]=3)*(T_PlannedOrders[EffectiveQty]&gt;0)*T_PlannedOrders[Order_Month])),"m月")&amp;"発注)")</f>
        <v/>
      </c>
      <c r="G1213">
        <f>IF(SUMIFS(T_PlannedOrders[EffectiveQty],T_PlannedOrders[Part Name],$A1201,T_PlannedOrders[WeekIndex],4)=0,"",SUMIFS(T_PlannedOrders[EffectiveQty],T_PlannedOrders[Part Name],$A1201,T_PlannedOrders[WeekIndex],4)&amp;" ("&amp;TEXT(SUMPRODUCT(MAX((T_PlannedOrders[Part Name]=$A1201)*(T_PlannedOrders[WeekIndex]=4)*(T_PlannedOrders[EffectiveQty]&gt;0)*T_PlannedOrders[Order_Month])),"m月")&amp;"発注)")</f>
        <v/>
      </c>
      <c r="H1213">
        <f>IF(SUMIFS(T_PlannedOrders[EffectiveQty],T_PlannedOrders[Part Name],$A1201,T_PlannedOrders[WeekIndex],5)=0,"",SUMIFS(T_PlannedOrders[EffectiveQty],T_PlannedOrders[Part Name],$A1201,T_PlannedOrders[WeekIndex],5)&amp;" ("&amp;TEXT(SUMPRODUCT(MAX((T_PlannedOrders[Part Name]=$A1201)*(T_PlannedOrders[WeekIndex]=5)*(T_PlannedOrders[EffectiveQty]&gt;0)*T_PlannedOrders[Order_Month])),"m月")&amp;"発注)")</f>
        <v/>
      </c>
      <c r="I1213">
        <f>IF(SUMIFS(T_PlannedOrders[EffectiveQty],T_PlannedOrders[Part Name],$A1201,T_PlannedOrders[WeekIndex],6)=0,"",SUMIFS(T_PlannedOrders[EffectiveQty],T_PlannedOrders[Part Name],$A1201,T_PlannedOrders[WeekIndex],6)&amp;" ("&amp;TEXT(SUMPRODUCT(MAX((T_PlannedOrders[Part Name]=$A1201)*(T_PlannedOrders[WeekIndex]=6)*(T_PlannedOrders[EffectiveQty]&gt;0)*T_PlannedOrders[Order_Month])),"m月")&amp;"発注)")</f>
        <v/>
      </c>
      <c r="J1213">
        <f>IF(SUMIFS(T_PlannedOrders[EffectiveQty],T_PlannedOrders[Part Name],$A1201,T_PlannedOrders[WeekIndex],7)=0,"",SUMIFS(T_PlannedOrders[EffectiveQty],T_PlannedOrders[Part Name],$A1201,T_PlannedOrders[WeekIndex],7)&amp;" ("&amp;TEXT(SUMPRODUCT(MAX((T_PlannedOrders[Part Name]=$A1201)*(T_PlannedOrders[WeekIndex]=7)*(T_PlannedOrders[EffectiveQty]&gt;0)*T_PlannedOrders[Order_Month])),"m月")&amp;"発注)")</f>
        <v/>
      </c>
      <c r="K1213">
        <f>IF(SUMIFS(T_PlannedOrders[EffectiveQty],T_PlannedOrders[Part Name],$A1201,T_PlannedOrders[WeekIndex],8)=0,"",SUMIFS(T_PlannedOrders[EffectiveQty],T_PlannedOrders[Part Name],$A1201,T_PlannedOrders[WeekIndex],8)&amp;" ("&amp;TEXT(SUMPRODUCT(MAX((T_PlannedOrders[Part Name]=$A1201)*(T_PlannedOrders[WeekIndex]=8)*(T_PlannedOrders[EffectiveQty]&gt;0)*T_PlannedOrders[Order_Month])),"m月")&amp;"発注)")</f>
        <v/>
      </c>
      <c r="L1213">
        <f>IF(SUMIFS(T_PlannedOrders[EffectiveQty],T_PlannedOrders[Part Name],$A1201,T_PlannedOrders[WeekIndex],9)=0,"",SUMIFS(T_PlannedOrders[EffectiveQty],T_PlannedOrders[Part Name],$A1201,T_PlannedOrders[WeekIndex],9)&amp;" ("&amp;TEXT(SUMPRODUCT(MAX((T_PlannedOrders[Part Name]=$A1201)*(T_PlannedOrders[WeekIndex]=9)*(T_PlannedOrders[EffectiveQty]&gt;0)*T_PlannedOrders[Order_Month])),"m月")&amp;"発注)")</f>
        <v/>
      </c>
      <c r="M1213">
        <f>IF(SUMIFS(T_PlannedOrders[EffectiveQty],T_PlannedOrders[Part Name],$A1201,T_PlannedOrders[WeekIndex],10)=0,"",SUMIFS(T_PlannedOrders[EffectiveQty],T_PlannedOrders[Part Name],$A1201,T_PlannedOrders[WeekIndex],10)&amp;" ("&amp;TEXT(SUMPRODUCT(MAX((T_PlannedOrders[Part Name]=$A1201)*(T_PlannedOrders[WeekIndex]=10)*(T_PlannedOrders[EffectiveQty]&gt;0)*T_PlannedOrders[Order_Month])),"m月")&amp;"発注)")</f>
        <v/>
      </c>
      <c r="N1213">
        <f>IF(SUMIFS(T_PlannedOrders[EffectiveQty],T_PlannedOrders[Part Name],$A1201,T_PlannedOrders[WeekIndex],11)=0,"",SUMIFS(T_PlannedOrders[EffectiveQty],T_PlannedOrders[Part Name],$A1201,T_PlannedOrders[WeekIndex],11)&amp;" ("&amp;TEXT(SUMPRODUCT(MAX((T_PlannedOrders[Part Name]=$A1201)*(T_PlannedOrders[WeekIndex]=11)*(T_PlannedOrders[EffectiveQty]&gt;0)*T_PlannedOrders[Order_Month])),"m月")&amp;"発注)")</f>
        <v/>
      </c>
      <c r="O1213">
        <f>IF(SUMIFS(T_PlannedOrders[EffectiveQty],T_PlannedOrders[Part Name],$A1201,T_PlannedOrders[WeekIndex],12)=0,"",SUMIFS(T_PlannedOrders[EffectiveQty],T_PlannedOrders[Part Name],$A1201,T_PlannedOrders[WeekIndex],12)&amp;" ("&amp;TEXT(SUMPRODUCT(MAX((T_PlannedOrders[Part Name]=$A1201)*(T_PlannedOrders[WeekIndex]=12)*(T_PlannedOrders[EffectiveQty]&gt;0)*T_PlannedOrders[Order_Month])),"m月")&amp;"発注)")</f>
        <v/>
      </c>
      <c r="P1213">
        <f>IF(SUMIFS(T_PlannedOrders[EffectiveQty],T_PlannedOrders[Part Name],$A1201,T_PlannedOrders[WeekIndex],13)=0,"",SUMIFS(T_PlannedOrders[EffectiveQty],T_PlannedOrders[Part Name],$A1201,T_PlannedOrders[WeekIndex],13)&amp;" ("&amp;TEXT(SUMPRODUCT(MAX((T_PlannedOrders[Part Name]=$A1201)*(T_PlannedOrders[WeekIndex]=13)*(T_PlannedOrders[EffectiveQty]&gt;0)*T_PlannedOrders[Order_Month])),"m月")&amp;"発注)")</f>
        <v/>
      </c>
      <c r="Q1213">
        <f>IF(SUMIFS(T_PlannedOrders[EffectiveQty],T_PlannedOrders[Part Name],$A1201,T_PlannedOrders[WeekIndex],14)=0,"",SUMIFS(T_PlannedOrders[EffectiveQty],T_PlannedOrders[Part Name],$A1201,T_PlannedOrders[WeekIndex],14)&amp;" ("&amp;TEXT(SUMPRODUCT(MAX((T_PlannedOrders[Part Name]=$A1201)*(T_PlannedOrders[WeekIndex]=14)*(T_PlannedOrders[EffectiveQty]&gt;0)*T_PlannedOrders[Order_Month])),"m月")&amp;"発注)")</f>
        <v/>
      </c>
      <c r="R1213">
        <f>IF(SUMIFS(T_PlannedOrders[EffectiveQty],T_PlannedOrders[Part Name],$A1201,T_PlannedOrders[WeekIndex],15)=0,"",SUMIFS(T_PlannedOrders[EffectiveQty],T_PlannedOrders[Part Name],$A1201,T_PlannedOrders[WeekIndex],15)&amp;" ("&amp;TEXT(SUMPRODUCT(MAX((T_PlannedOrders[Part Name]=$A1201)*(T_PlannedOrders[WeekIndex]=15)*(T_PlannedOrders[EffectiveQty]&gt;0)*T_PlannedOrders[Order_Month])),"m月")&amp;"発注)")</f>
        <v/>
      </c>
      <c r="S1213">
        <f>IF(SUMIFS(T_PlannedOrders[EffectiveQty],T_PlannedOrders[Part Name],$A1201,T_PlannedOrders[WeekIndex],16)=0,"",SUMIFS(T_PlannedOrders[EffectiveQty],T_PlannedOrders[Part Name],$A1201,T_PlannedOrders[WeekIndex],16)&amp;" ("&amp;TEXT(SUMPRODUCT(MAX((T_PlannedOrders[Part Name]=$A1201)*(T_PlannedOrders[WeekIndex]=16)*(T_PlannedOrders[EffectiveQty]&gt;0)*T_PlannedOrders[Order_Month])),"m月")&amp;"発注)")</f>
        <v/>
      </c>
      <c r="T1213">
        <f>IF(SUMIFS(T_PlannedOrders[EffectiveQty],T_PlannedOrders[Part Name],$A1201,T_PlannedOrders[WeekIndex],17)=0,"",SUMIFS(T_PlannedOrders[EffectiveQty],T_PlannedOrders[Part Name],$A1201,T_PlannedOrders[WeekIndex],17)&amp;" ("&amp;TEXT(SUMPRODUCT(MAX((T_PlannedOrders[Part Name]=$A1201)*(T_PlannedOrders[WeekIndex]=17)*(T_PlannedOrders[EffectiveQty]&gt;0)*T_PlannedOrders[Order_Month])),"m月")&amp;"発注)")</f>
        <v/>
      </c>
      <c r="U1213">
        <f>IF(SUMIFS(T_PlannedOrders[EffectiveQty],T_PlannedOrders[Part Name],$A1201,T_PlannedOrders[WeekIndex],18)=0,"",SUMIFS(T_PlannedOrders[EffectiveQty],T_PlannedOrders[Part Name],$A1201,T_PlannedOrders[WeekIndex],18)&amp;" ("&amp;TEXT(SUMPRODUCT(MAX((T_PlannedOrders[Part Name]=$A1201)*(T_PlannedOrders[WeekIndex]=18)*(T_PlannedOrders[EffectiveQty]&gt;0)*T_PlannedOrders[Order_Month])),"m月")&amp;"発注)")</f>
        <v/>
      </c>
      <c r="V1213">
        <f>IF(SUMIFS(T_PlannedOrders[EffectiveQty],T_PlannedOrders[Part Name],$A1201,T_PlannedOrders[WeekIndex],19)=0,"",SUMIFS(T_PlannedOrders[EffectiveQty],T_PlannedOrders[Part Name],$A1201,T_PlannedOrders[WeekIndex],19)&amp;" ("&amp;TEXT(SUMPRODUCT(MAX((T_PlannedOrders[Part Name]=$A1201)*(T_PlannedOrders[WeekIndex]=19)*(T_PlannedOrders[EffectiveQty]&gt;0)*T_PlannedOrders[Order_Month])),"m月")&amp;"発注)")</f>
        <v/>
      </c>
      <c r="W1213">
        <f>IF(SUMIFS(T_PlannedOrders[EffectiveQty],T_PlannedOrders[Part Name],$A1201,T_PlannedOrders[WeekIndex],20)=0,"",SUMIFS(T_PlannedOrders[EffectiveQty],T_PlannedOrders[Part Name],$A1201,T_PlannedOrders[WeekIndex],20)&amp;" ("&amp;TEXT(SUMPRODUCT(MAX((T_PlannedOrders[Part Name]=$A1201)*(T_PlannedOrders[WeekIndex]=20)*(T_PlannedOrders[EffectiveQty]&gt;0)*T_PlannedOrders[Order_Month])),"m月")&amp;"発注)")</f>
        <v/>
      </c>
      <c r="X1213">
        <f>IF(SUMIFS(T_PlannedOrders[EffectiveQty],T_PlannedOrders[Part Name],$A1201,T_PlannedOrders[WeekIndex],21)=0,"",SUMIFS(T_PlannedOrders[EffectiveQty],T_PlannedOrders[Part Name],$A1201,T_PlannedOrders[WeekIndex],21)&amp;" ("&amp;TEXT(SUMPRODUCT(MAX((T_PlannedOrders[Part Name]=$A1201)*(T_PlannedOrders[WeekIndex]=21)*(T_PlannedOrders[EffectiveQty]&gt;0)*T_PlannedOrders[Order_Month])),"m月")&amp;"発注)")</f>
        <v/>
      </c>
      <c r="Y1213">
        <f>IF(SUMIFS(T_PlannedOrders[EffectiveQty],T_PlannedOrders[Part Name],$A1201,T_PlannedOrders[WeekIndex],22)=0,"",SUMIFS(T_PlannedOrders[EffectiveQty],T_PlannedOrders[Part Name],$A1201,T_PlannedOrders[WeekIndex],22)&amp;" ("&amp;TEXT(SUMPRODUCT(MAX((T_PlannedOrders[Part Name]=$A1201)*(T_PlannedOrders[WeekIndex]=22)*(T_PlannedOrders[EffectiveQty]&gt;0)*T_PlannedOrders[Order_Month])),"m月")&amp;"発注)")</f>
        <v/>
      </c>
      <c r="Z1213">
        <f>IF(SUMIFS(T_PlannedOrders[EffectiveQty],T_PlannedOrders[Part Name],$A1201,T_PlannedOrders[WeekIndex],23)=0,"",SUMIFS(T_PlannedOrders[EffectiveQty],T_PlannedOrders[Part Name],$A1201,T_PlannedOrders[WeekIndex],23)&amp;" ("&amp;TEXT(SUMPRODUCT(MAX((T_PlannedOrders[Part Name]=$A1201)*(T_PlannedOrders[WeekIndex]=23)*(T_PlannedOrders[EffectiveQty]&gt;0)*T_PlannedOrders[Order_Month])),"m月")&amp;"発注)")</f>
        <v/>
      </c>
      <c r="AA1213">
        <f>IF(SUMIFS(T_PlannedOrders[EffectiveQty],T_PlannedOrders[Part Name],$A1201,T_PlannedOrders[WeekIndex],24)=0,"",SUMIFS(T_PlannedOrders[EffectiveQty],T_PlannedOrders[Part Name],$A1201,T_PlannedOrders[WeekIndex],24)&amp;" ("&amp;TEXT(SUMPRODUCT(MAX((T_PlannedOrders[Part Name]=$A1201)*(T_PlannedOrders[WeekIndex]=24)*(T_PlannedOrders[EffectiveQty]&gt;0)*T_PlannedOrders[Order_Month])),"m月")&amp;"発注)")</f>
        <v/>
      </c>
      <c r="AB1213">
        <f>IF(SUMIFS(T_PlannedOrders[EffectiveQty],T_PlannedOrders[Part Name],$A1201,T_PlannedOrders[WeekIndex],25)=0,"",SUMIFS(T_PlannedOrders[EffectiveQty],T_PlannedOrders[Part Name],$A1201,T_PlannedOrders[WeekIndex],25)&amp;" ("&amp;TEXT(SUMPRODUCT(MAX((T_PlannedOrders[Part Name]=$A1201)*(T_PlannedOrders[WeekIndex]=25)*(T_PlannedOrders[EffectiveQty]&gt;0)*T_PlannedOrders[Order_Month])),"m月")&amp;"発注)")</f>
        <v/>
      </c>
      <c r="AC1213">
        <f>IF(SUMIFS(T_PlannedOrders[EffectiveQty],T_PlannedOrders[Part Name],$A1201,T_PlannedOrders[WeekIndex],26)=0,"",SUMIFS(T_PlannedOrders[EffectiveQty],T_PlannedOrders[Part Name],$A1201,T_PlannedOrders[WeekIndex],26)&amp;" ("&amp;TEXT(SUMPRODUCT(MAX((T_PlannedOrders[Part Name]=$A1201)*(T_PlannedOrders[WeekIndex]=26)*(T_PlannedOrders[EffectiveQty]&gt;0)*T_PlannedOrders[Order_Month])),"m月")&amp;"発注)")</f>
        <v/>
      </c>
      <c r="AD1213">
        <f>IF(SUMIFS(T_PlannedOrders[EffectiveQty],T_PlannedOrders[Part Name],$A1201,T_PlannedOrders[WeekIndex],27)=0,"",SUMIFS(T_PlannedOrders[EffectiveQty],T_PlannedOrders[Part Name],$A1201,T_PlannedOrders[WeekIndex],27)&amp;" ("&amp;TEXT(SUMPRODUCT(MAX((T_PlannedOrders[Part Name]=$A1201)*(T_PlannedOrders[WeekIndex]=27)*(T_PlannedOrders[EffectiveQty]&gt;0)*T_PlannedOrders[Order_Month])),"m月")&amp;"発注)")</f>
        <v/>
      </c>
      <c r="AE1213">
        <f>IF(SUMIFS(T_PlannedOrders[EffectiveQty],T_PlannedOrders[Part Name],$A1201,T_PlannedOrders[WeekIndex],28)=0,"",SUMIFS(T_PlannedOrders[EffectiveQty],T_PlannedOrders[Part Name],$A1201,T_PlannedOrders[WeekIndex],28)&amp;" ("&amp;TEXT(SUMPRODUCT(MAX((T_PlannedOrders[Part Name]=$A1201)*(T_PlannedOrders[WeekIndex]=28)*(T_PlannedOrders[EffectiveQty]&gt;0)*T_PlannedOrders[Order_Month])),"m月")&amp;"発注)")</f>
        <v/>
      </c>
      <c r="AF1213">
        <f>IF(SUMIFS(T_PlannedOrders[EffectiveQty],T_PlannedOrders[Part Name],$A1201,T_PlannedOrders[WeekIndex],29)=0,"",SUMIFS(T_PlannedOrders[EffectiveQty],T_PlannedOrders[Part Name],$A1201,T_PlannedOrders[WeekIndex],29)&amp;" ("&amp;TEXT(SUMPRODUCT(MAX((T_PlannedOrders[Part Name]=$A1201)*(T_PlannedOrders[WeekIndex]=29)*(T_PlannedOrders[EffectiveQty]&gt;0)*T_PlannedOrders[Order_Month])),"m月")&amp;"発注)")</f>
        <v/>
      </c>
      <c r="AG1213">
        <f>IF(SUMIFS(T_PlannedOrders[EffectiveQty],T_PlannedOrders[Part Name],$A1201,T_PlannedOrders[WeekIndex],30)=0,"",SUMIFS(T_PlannedOrders[EffectiveQty],T_PlannedOrders[Part Name],$A1201,T_PlannedOrders[WeekIndex],30)&amp;" ("&amp;TEXT(SUMPRODUCT(MAX((T_PlannedOrders[Part Name]=$A1201)*(T_PlannedOrders[WeekIndex]=30)*(T_PlannedOrders[EffectiveQty]&gt;0)*T_PlannedOrders[Order_Month])),"m月")&amp;"発注)")</f>
        <v/>
      </c>
      <c r="AH1213">
        <f>IF(SUMIFS(T_PlannedOrders[EffectiveQty],T_PlannedOrders[Part Name],$A1201,T_PlannedOrders[WeekIndex],31)=0,"",SUMIFS(T_PlannedOrders[EffectiveQty],T_PlannedOrders[Part Name],$A1201,T_PlannedOrders[WeekIndex],31)&amp;" ("&amp;TEXT(SUMPRODUCT(MAX((T_PlannedOrders[Part Name]=$A1201)*(T_PlannedOrders[WeekIndex]=31)*(T_PlannedOrders[EffectiveQty]&gt;0)*T_PlannedOrders[Order_Month])),"m月")&amp;"発注)")</f>
        <v/>
      </c>
      <c r="AI1213">
        <f>IF(SUMIFS(T_PlannedOrders[EffectiveQty],T_PlannedOrders[Part Name],$A1201,T_PlannedOrders[WeekIndex],32)=0,"",SUMIFS(T_PlannedOrders[EffectiveQty],T_PlannedOrders[Part Name],$A1201,T_PlannedOrders[WeekIndex],32)&amp;" ("&amp;TEXT(SUMPRODUCT(MAX((T_PlannedOrders[Part Name]=$A1201)*(T_PlannedOrders[WeekIndex]=32)*(T_PlannedOrders[EffectiveQty]&gt;0)*T_PlannedOrders[Order_Month])),"m月")&amp;"発注)")</f>
        <v/>
      </c>
      <c r="AJ1213">
        <f>IF(SUMIFS(T_PlannedOrders[EffectiveQty],T_PlannedOrders[Part Name],$A1201,T_PlannedOrders[WeekIndex],33)=0,"",SUMIFS(T_PlannedOrders[EffectiveQty],T_PlannedOrders[Part Name],$A1201,T_PlannedOrders[WeekIndex],33)&amp;" ("&amp;TEXT(SUMPRODUCT(MAX((T_PlannedOrders[Part Name]=$A1201)*(T_PlannedOrders[WeekIndex]=33)*(T_PlannedOrders[EffectiveQty]&gt;0)*T_PlannedOrders[Order_Month])),"m月")&amp;"発注)")</f>
        <v/>
      </c>
      <c r="AK1213">
        <f>IF(SUMIFS(T_PlannedOrders[EffectiveQty],T_PlannedOrders[Part Name],$A1201,T_PlannedOrders[WeekIndex],34)=0,"",SUMIFS(T_PlannedOrders[EffectiveQty],T_PlannedOrders[Part Name],$A1201,T_PlannedOrders[WeekIndex],34)&amp;" ("&amp;TEXT(SUMPRODUCT(MAX((T_PlannedOrders[Part Name]=$A1201)*(T_PlannedOrders[WeekIndex]=34)*(T_PlannedOrders[EffectiveQty]&gt;0)*T_PlannedOrders[Order_Month])),"m月")&amp;"発注)")</f>
        <v/>
      </c>
      <c r="AL1213">
        <f>IF(SUMIFS(T_PlannedOrders[EffectiveQty],T_PlannedOrders[Part Name],$A1201,T_PlannedOrders[WeekIndex],35)=0,"",SUMIFS(T_PlannedOrders[EffectiveQty],T_PlannedOrders[Part Name],$A1201,T_PlannedOrders[WeekIndex],35)&amp;" ("&amp;TEXT(SUMPRODUCT(MAX((T_PlannedOrders[Part Name]=$A1201)*(T_PlannedOrders[WeekIndex]=35)*(T_PlannedOrders[EffectiveQty]&gt;0)*T_PlannedOrders[Order_Month])),"m月")&amp;"発注)")</f>
        <v/>
      </c>
      <c r="AM1213">
        <f>IF(SUMIFS(T_PlannedOrders[EffectiveQty],T_PlannedOrders[Part Name],$A1201,T_PlannedOrders[WeekIndex],36)=0,"",SUMIFS(T_PlannedOrders[EffectiveQty],T_PlannedOrders[Part Name],$A1201,T_PlannedOrders[WeekIndex],36)&amp;" ("&amp;TEXT(SUMPRODUCT(MAX((T_PlannedOrders[Part Name]=$A1201)*(T_PlannedOrders[WeekIndex]=36)*(T_PlannedOrders[EffectiveQty]&gt;0)*T_PlannedOrders[Order_Month])),"m月")&amp;"発注)")</f>
        <v/>
      </c>
      <c r="AN1213">
        <f>IF(SUMIFS(T_PlannedOrders[EffectiveQty],T_PlannedOrders[Part Name],$A1201,T_PlannedOrders[WeekIndex],37)=0,"",SUMIFS(T_PlannedOrders[EffectiveQty],T_PlannedOrders[Part Name],$A1201,T_PlannedOrders[WeekIndex],37)&amp;" ("&amp;TEXT(SUMPRODUCT(MAX((T_PlannedOrders[Part Name]=$A1201)*(T_PlannedOrders[WeekIndex]=37)*(T_PlannedOrders[EffectiveQty]&gt;0)*T_PlannedOrders[Order_Month])),"m月")&amp;"発注)")</f>
        <v/>
      </c>
      <c r="AO1213">
        <f>IF(SUMIFS(T_PlannedOrders[EffectiveQty],T_PlannedOrders[Part Name],$A1201,T_PlannedOrders[WeekIndex],38)=0,"",SUMIFS(T_PlannedOrders[EffectiveQty],T_PlannedOrders[Part Name],$A1201,T_PlannedOrders[WeekIndex],38)&amp;" ("&amp;TEXT(SUMPRODUCT(MAX((T_PlannedOrders[Part Name]=$A1201)*(T_PlannedOrders[WeekIndex]=38)*(T_PlannedOrders[EffectiveQty]&gt;0)*T_PlannedOrders[Order_Month])),"m月")&amp;"発注)")</f>
        <v/>
      </c>
      <c r="AP1213">
        <f>IF(SUMIFS(T_PlannedOrders[EffectiveQty],T_PlannedOrders[Part Name],$A1201,T_PlannedOrders[WeekIndex],39)=0,"",SUMIFS(T_PlannedOrders[EffectiveQty],T_PlannedOrders[Part Name],$A1201,T_PlannedOrders[WeekIndex],39)&amp;" ("&amp;TEXT(SUMPRODUCT(MAX((T_PlannedOrders[Part Name]=$A1201)*(T_PlannedOrders[WeekIndex]=39)*(T_PlannedOrders[EffectiveQty]&gt;0)*T_PlannedOrders[Order_Month])),"m月")&amp;"発注)")</f>
        <v/>
      </c>
      <c r="AQ1213">
        <f>IF(SUMIFS(T_PlannedOrders[EffectiveQty],T_PlannedOrders[Part Name],$A1201,T_PlannedOrders[WeekIndex],40)=0,"",SUMIFS(T_PlannedOrders[EffectiveQty],T_PlannedOrders[Part Name],$A1201,T_PlannedOrders[WeekIndex],40)&amp;" ("&amp;TEXT(SUMPRODUCT(MAX((T_PlannedOrders[Part Name]=$A1201)*(T_PlannedOrders[WeekIndex]=40)*(T_PlannedOrders[EffectiveQty]&gt;0)*T_PlannedOrders[Order_Month])),"m月")&amp;"発注)")</f>
        <v/>
      </c>
      <c r="AR1213">
        <f>IF(SUMIFS(T_PlannedOrders[EffectiveQty],T_PlannedOrders[Part Name],$A1201,T_PlannedOrders[WeekIndex],41)=0,"",SUMIFS(T_PlannedOrders[EffectiveQty],T_PlannedOrders[Part Name],$A1201,T_PlannedOrders[WeekIndex],41)&amp;" ("&amp;TEXT(SUMPRODUCT(MAX((T_PlannedOrders[Part Name]=$A1201)*(T_PlannedOrders[WeekIndex]=41)*(T_PlannedOrders[EffectiveQty]&gt;0)*T_PlannedOrders[Order_Month])),"m月")&amp;"発注)")</f>
        <v/>
      </c>
      <c r="AS1213">
        <f>IF(SUMIFS(T_PlannedOrders[EffectiveQty],T_PlannedOrders[Part Name],$A1201,T_PlannedOrders[WeekIndex],42)=0,"",SUMIFS(T_PlannedOrders[EffectiveQty],T_PlannedOrders[Part Name],$A1201,T_PlannedOrders[WeekIndex],42)&amp;" ("&amp;TEXT(SUMPRODUCT(MAX((T_PlannedOrders[Part Name]=$A1201)*(T_PlannedOrders[WeekIndex]=42)*(T_PlannedOrders[EffectiveQty]&gt;0)*T_PlannedOrders[Order_Month])),"m月")&amp;"発注)")</f>
        <v/>
      </c>
      <c r="AT1213">
        <f>IF(SUMIFS(T_PlannedOrders[EffectiveQty],T_PlannedOrders[Part Name],$A1201,T_PlannedOrders[WeekIndex],43)=0,"",SUMIFS(T_PlannedOrders[EffectiveQty],T_PlannedOrders[Part Name],$A1201,T_PlannedOrders[WeekIndex],43)&amp;" ("&amp;TEXT(SUMPRODUCT(MAX((T_PlannedOrders[Part Name]=$A1201)*(T_PlannedOrders[WeekIndex]=43)*(T_PlannedOrders[EffectiveQty]&gt;0)*T_PlannedOrders[Order_Month])),"m月")&amp;"発注)")</f>
        <v/>
      </c>
      <c r="AU1213">
        <f>IF(SUMIFS(T_PlannedOrders[EffectiveQty],T_PlannedOrders[Part Name],$A1201,T_PlannedOrders[WeekIndex],44)=0,"",SUMIFS(T_PlannedOrders[EffectiveQty],T_PlannedOrders[Part Name],$A1201,T_PlannedOrders[WeekIndex],44)&amp;" ("&amp;TEXT(SUMPRODUCT(MAX((T_PlannedOrders[Part Name]=$A1201)*(T_PlannedOrders[WeekIndex]=44)*(T_PlannedOrders[EffectiveQty]&gt;0)*T_PlannedOrders[Order_Month])),"m月")&amp;"発注)")</f>
        <v/>
      </c>
      <c r="AV1213">
        <f>IF(SUMIFS(T_PlannedOrders[EffectiveQty],T_PlannedOrders[Part Name],$A1201,T_PlannedOrders[WeekIndex],45)=0,"",SUMIFS(T_PlannedOrders[EffectiveQty],T_PlannedOrders[Part Name],$A1201,T_PlannedOrders[WeekIndex],45)&amp;" ("&amp;TEXT(SUMPRODUCT(MAX((T_PlannedOrders[Part Name]=$A1201)*(T_PlannedOrders[WeekIndex]=45)*(T_PlannedOrders[EffectiveQty]&gt;0)*T_PlannedOrders[Order_Month])),"m月")&amp;"発注)")</f>
        <v/>
      </c>
      <c r="AW1213">
        <f>IF(SUMIFS(T_PlannedOrders[EffectiveQty],T_PlannedOrders[Part Name],$A1201,T_PlannedOrders[WeekIndex],46)=0,"",SUMIFS(T_PlannedOrders[EffectiveQty],T_PlannedOrders[Part Name],$A1201,T_PlannedOrders[WeekIndex],46)&amp;" ("&amp;TEXT(SUMPRODUCT(MAX((T_PlannedOrders[Part Name]=$A1201)*(T_PlannedOrders[WeekIndex]=46)*(T_PlannedOrders[EffectiveQty]&gt;0)*T_PlannedOrders[Order_Month])),"m月")&amp;"発注)")</f>
        <v/>
      </c>
      <c r="AX1213">
        <f>IF(SUMIFS(T_PlannedOrders[EffectiveQty],T_PlannedOrders[Part Name],$A1201,T_PlannedOrders[WeekIndex],47)=0,"",SUMIFS(T_PlannedOrders[EffectiveQty],T_PlannedOrders[Part Name],$A1201,T_PlannedOrders[WeekIndex],47)&amp;" ("&amp;TEXT(SUMPRODUCT(MAX((T_PlannedOrders[Part Name]=$A1201)*(T_PlannedOrders[WeekIndex]=47)*(T_PlannedOrders[EffectiveQty]&gt;0)*T_PlannedOrders[Order_Month])),"m月")&amp;"発注)")</f>
        <v/>
      </c>
      <c r="AY1213">
        <f>IF(SUMIFS(T_PlannedOrders[EffectiveQty],T_PlannedOrders[Part Name],$A1201,T_PlannedOrders[WeekIndex],48)=0,"",SUMIFS(T_PlannedOrders[EffectiveQty],T_PlannedOrders[Part Name],$A1201,T_PlannedOrders[WeekIndex],48)&amp;" ("&amp;TEXT(SUMPRODUCT(MAX((T_PlannedOrders[Part Name]=$A1201)*(T_PlannedOrders[WeekIndex]=48)*(T_PlannedOrders[EffectiveQty]&gt;0)*T_PlannedOrders[Order_Month])),"m月")&amp;"発注)")</f>
        <v/>
      </c>
      <c r="AZ1213">
        <f>IF(SUMIFS(T_PlannedOrders[EffectiveQty],T_PlannedOrders[Part Name],$A1201,T_PlannedOrders[WeekIndex],49)=0,"",SUMIFS(T_PlannedOrders[EffectiveQty],T_PlannedOrders[Part Name],$A1201,T_PlannedOrders[WeekIndex],49)&amp;" ("&amp;TEXT(SUMPRODUCT(MAX((T_PlannedOrders[Part Name]=$A1201)*(T_PlannedOrders[WeekIndex]=49)*(T_PlannedOrders[EffectiveQty]&gt;0)*T_PlannedOrders[Order_Month])),"m月")&amp;"発注)")</f>
        <v/>
      </c>
      <c r="BA1213">
        <f>IF(SUMIFS(T_PlannedOrders[EffectiveQty],T_PlannedOrders[Part Name],$A1201,T_PlannedOrders[WeekIndex],50)=0,"",SUMIFS(T_PlannedOrders[EffectiveQty],T_PlannedOrders[Part Name],$A1201,T_PlannedOrders[WeekIndex],50)&amp;" ("&amp;TEXT(SUMPRODUCT(MAX((T_PlannedOrders[Part Name]=$A1201)*(T_PlannedOrders[WeekIndex]=50)*(T_PlannedOrders[EffectiveQty]&gt;0)*T_PlannedOrders[Order_Month])),"m月")&amp;"発注)")</f>
        <v/>
      </c>
      <c r="BB1213">
        <f>IF(SUMIFS(T_PlannedOrders[EffectiveQty],T_PlannedOrders[Part Name],$A1201,T_PlannedOrders[WeekIndex],51)=0,"",SUMIFS(T_PlannedOrders[EffectiveQty],T_PlannedOrders[Part Name],$A1201,T_PlannedOrders[WeekIndex],51)&amp;" ("&amp;TEXT(SUMPRODUCT(MAX((T_PlannedOrders[Part Name]=$A1201)*(T_PlannedOrders[WeekIndex]=51)*(T_PlannedOrders[EffectiveQty]&gt;0)*T_PlannedOrders[Order_Month])),"m月")&amp;"発注)")</f>
        <v/>
      </c>
      <c r="BC1213">
        <f>IF(SUMIFS(T_PlannedOrders[EffectiveQty],T_PlannedOrders[Part Name],$A1201,T_PlannedOrders[WeekIndex],52)=0,"",SUMIFS(T_PlannedOrders[EffectiveQty],T_PlannedOrders[Part Name],$A1201,T_PlannedOrders[WeekIndex],52)&amp;" ("&amp;TEXT(SUMPRODUCT(MAX((T_PlannedOrders[Part Name]=$A1201)*(T_PlannedOrders[WeekIndex]=52)*(T_PlannedOrders[EffectiveQty]&gt;0)*T_PlannedOrders[Order_Month])),"m月")&amp;"発注)")</f>
        <v/>
      </c>
      <c r="BD1213">
        <f>IF(SUMIFS(T_PlannedOrders[EffectiveQty],T_PlannedOrders[Part Name],$A1201,T_PlannedOrders[WeekIndex],53)=0,"",SUMIFS(T_PlannedOrders[EffectiveQty],T_PlannedOrders[Part Name],$A1201,T_PlannedOrders[WeekIndex],53)&amp;" ("&amp;TEXT(SUMPRODUCT(MAX((T_PlannedOrders[Part Name]=$A1201)*(T_PlannedOrders[WeekIndex]=53)*(T_PlannedOrders[EffectiveQty]&gt;0)*T_PlannedOrders[Order_Month])),"m月")&amp;"発注)")</f>
        <v/>
      </c>
      <c r="BE1213">
        <f>IF(SUMIFS(T_PlannedOrders[EffectiveQty],T_PlannedOrders[Part Name],$A1201,T_PlannedOrders[WeekIndex],54)=0,"",SUMIFS(T_PlannedOrders[EffectiveQty],T_PlannedOrders[Part Name],$A1201,T_PlannedOrders[WeekIndex],54)&amp;" ("&amp;TEXT(SUMPRODUCT(MAX((T_PlannedOrders[Part Name]=$A1201)*(T_PlannedOrders[WeekIndex]=54)*(T_PlannedOrders[EffectiveQty]&gt;0)*T_PlannedOrders[Order_Month])),"m月")&amp;"発注)")</f>
        <v/>
      </c>
      <c r="BF1213">
        <f>IF(SUMIFS(T_PlannedOrders[EffectiveQty],T_PlannedOrders[Part Name],$A1201,T_PlannedOrders[WeekIndex],55)=0,"",SUMIFS(T_PlannedOrders[EffectiveQty],T_PlannedOrders[Part Name],$A1201,T_PlannedOrders[WeekIndex],55)&amp;" ("&amp;TEXT(SUMPRODUCT(MAX((T_PlannedOrders[Part Name]=$A1201)*(T_PlannedOrders[WeekIndex]=55)*(T_PlannedOrders[EffectiveQty]&gt;0)*T_PlannedOrders[Order_Month])),"m月")&amp;"発注)")</f>
        <v/>
      </c>
      <c r="BG1213">
        <f>IF(SUMIFS(T_PlannedOrders[EffectiveQty],T_PlannedOrders[Part Name],$A1201,T_PlannedOrders[WeekIndex],56)=0,"",SUMIFS(T_PlannedOrders[EffectiveQty],T_PlannedOrders[Part Name],$A1201,T_PlannedOrders[WeekIndex],56)&amp;" ("&amp;TEXT(SUMPRODUCT(MAX((T_PlannedOrders[Part Name]=$A1201)*(T_PlannedOrders[WeekIndex]=56)*(T_PlannedOrders[EffectiveQty]&gt;0)*T_PlannedOrders[Order_Month])),"m月")&amp;"発注)")</f>
        <v/>
      </c>
      <c r="BH1213">
        <f>IF(SUMIFS(T_PlannedOrders[EffectiveQty],T_PlannedOrders[Part Name],$A1201,T_PlannedOrders[WeekIndex],57)=0,"",SUMIFS(T_PlannedOrders[EffectiveQty],T_PlannedOrders[Part Name],$A1201,T_PlannedOrders[WeekIndex],57)&amp;" ("&amp;TEXT(SUMPRODUCT(MAX((T_PlannedOrders[Part Name]=$A1201)*(T_PlannedOrders[WeekIndex]=57)*(T_PlannedOrders[EffectiveQty]&gt;0)*T_PlannedOrders[Order_Month])),"m月")&amp;"発注)")</f>
        <v/>
      </c>
      <c r="BI1213">
        <f>IF(SUMIFS(T_PlannedOrders[EffectiveQty],T_PlannedOrders[Part Name],$A1201,T_PlannedOrders[WeekIndex],58)=0,"",SUMIFS(T_PlannedOrders[EffectiveQty],T_PlannedOrders[Part Name],$A1201,T_PlannedOrders[WeekIndex],58)&amp;" ("&amp;TEXT(SUMPRODUCT(MAX((T_PlannedOrders[Part Name]=$A1201)*(T_PlannedOrders[WeekIndex]=58)*(T_PlannedOrders[EffectiveQty]&gt;0)*T_PlannedOrders[Order_Month])),"m月")&amp;"発注)")</f>
        <v/>
      </c>
      <c r="BJ1213">
        <f>IF(SUMIFS(T_PlannedOrders[EffectiveQty],T_PlannedOrders[Part Name],$A1201,T_PlannedOrders[WeekIndex],59)=0,"",SUMIFS(T_PlannedOrders[EffectiveQty],T_PlannedOrders[Part Name],$A1201,T_PlannedOrders[WeekIndex],59)&amp;" ("&amp;TEXT(SUMPRODUCT(MAX((T_PlannedOrders[Part Name]=$A1201)*(T_PlannedOrders[WeekIndex]=59)*(T_PlannedOrders[EffectiveQty]&gt;0)*T_PlannedOrders[Order_Month])),"m月")&amp;"発注)")</f>
        <v/>
      </c>
      <c r="BK1213">
        <f>IF(SUMIFS(T_PlannedOrders[EffectiveQty],T_PlannedOrders[Part Name],$A1201,T_PlannedOrders[WeekIndex],60)=0,"",SUMIFS(T_PlannedOrders[EffectiveQty],T_PlannedOrders[Part Name],$A1201,T_PlannedOrders[WeekIndex],60)&amp;" ("&amp;TEXT(SUMPRODUCT(MAX((T_PlannedOrders[Part Name]=$A1201)*(T_PlannedOrders[WeekIndex]=60)*(T_PlannedOrders[EffectiveQty]&gt;0)*T_PlannedOrders[Order_Month])),"m月")&amp;"発注)")</f>
        <v/>
      </c>
      <c r="BL1213">
        <f>IF(SUMIFS(T_PlannedOrders[EffectiveQty],T_PlannedOrders[Part Name],$A1201,T_PlannedOrders[WeekIndex],61)=0,"",SUMIFS(T_PlannedOrders[EffectiveQty],T_PlannedOrders[Part Name],$A1201,T_PlannedOrders[WeekIndex],61)&amp;" ("&amp;TEXT(SUMPRODUCT(MAX((T_PlannedOrders[Part Name]=$A1201)*(T_PlannedOrders[WeekIndex]=61)*(T_PlannedOrders[EffectiveQty]&gt;0)*T_PlannedOrders[Order_Month])),"m月")&amp;"発注)")</f>
        <v/>
      </c>
      <c r="BM1213">
        <f>IF(SUMIFS(T_PlannedOrders[EffectiveQty],T_PlannedOrders[Part Name],$A1201,T_PlannedOrders[WeekIndex],62)=0,"",SUMIFS(T_PlannedOrders[EffectiveQty],T_PlannedOrders[Part Name],$A1201,T_PlannedOrders[WeekIndex],62)&amp;" ("&amp;TEXT(SUMPRODUCT(MAX((T_PlannedOrders[Part Name]=$A1201)*(T_PlannedOrders[WeekIndex]=62)*(T_PlannedOrders[EffectiveQty]&gt;0)*T_PlannedOrders[Order_Month])),"m月")&amp;"発注)")</f>
        <v/>
      </c>
      <c r="BN1213">
        <f>IF(SUMIFS(T_PlannedOrders[EffectiveQty],T_PlannedOrders[Part Name],$A1201,T_PlannedOrders[WeekIndex],63)=0,"",SUMIFS(T_PlannedOrders[EffectiveQty],T_PlannedOrders[Part Name],$A1201,T_PlannedOrders[WeekIndex],63)&amp;" ("&amp;TEXT(SUMPRODUCT(MAX((T_PlannedOrders[Part Name]=$A1201)*(T_PlannedOrders[WeekIndex]=63)*(T_PlannedOrders[EffectiveQty]&gt;0)*T_PlannedOrders[Order_Month])),"m月")&amp;"発注)")</f>
        <v/>
      </c>
      <c r="BO1213">
        <f>IF(SUMIFS(T_PlannedOrders[EffectiveQty],T_PlannedOrders[Part Name],$A1201,T_PlannedOrders[WeekIndex],64)=0,"",SUMIFS(T_PlannedOrders[EffectiveQty],T_PlannedOrders[Part Name],$A1201,T_PlannedOrders[WeekIndex],64)&amp;" ("&amp;TEXT(SUMPRODUCT(MAX((T_PlannedOrders[Part Name]=$A1201)*(T_PlannedOrders[WeekIndex]=64)*(T_PlannedOrders[EffectiveQty]&gt;0)*T_PlannedOrders[Order_Month])),"m月")&amp;"発注)")</f>
        <v/>
      </c>
      <c r="BP1213">
        <f>IF(SUMIFS(T_PlannedOrders[EffectiveQty],T_PlannedOrders[Part Name],$A1201,T_PlannedOrders[WeekIndex],65)=0,"",SUMIFS(T_PlannedOrders[EffectiveQty],T_PlannedOrders[Part Name],$A1201,T_PlannedOrders[WeekIndex],65)&amp;" ("&amp;TEXT(SUMPRODUCT(MAX((T_PlannedOrders[Part Name]=$A1201)*(T_PlannedOrders[WeekIndex]=65)*(T_PlannedOrders[EffectiveQty]&gt;0)*T_PlannedOrders[Order_Month])),"m月")&amp;"発注)")</f>
        <v/>
      </c>
      <c r="BQ1213">
        <f>IF(SUMIFS(T_PlannedOrders[EffectiveQty],T_PlannedOrders[Part Name],$A1201,T_PlannedOrders[WeekIndex],66)=0,"",SUMIFS(T_PlannedOrders[EffectiveQty],T_PlannedOrders[Part Name],$A1201,T_PlannedOrders[WeekIndex],66)&amp;" ("&amp;TEXT(SUMPRODUCT(MAX((T_PlannedOrders[Part Name]=$A1201)*(T_PlannedOrders[WeekIndex]=66)*(T_PlannedOrders[EffectiveQty]&gt;0)*T_PlannedOrders[Order_Month])),"m月")&amp;"発注)")</f>
        <v/>
      </c>
      <c r="BR1213">
        <f>IF(SUMIFS(T_PlannedOrders[EffectiveQty],T_PlannedOrders[Part Name],$A1201,T_PlannedOrders[WeekIndex],67)=0,"",SUMIFS(T_PlannedOrders[EffectiveQty],T_PlannedOrders[Part Name],$A1201,T_PlannedOrders[WeekIndex],67)&amp;" ("&amp;TEXT(SUMPRODUCT(MAX((T_PlannedOrders[Part Name]=$A1201)*(T_PlannedOrders[WeekIndex]=67)*(T_PlannedOrders[EffectiveQty]&gt;0)*T_PlannedOrders[Order_Month])),"m月")&amp;"発注)")</f>
        <v/>
      </c>
      <c r="BS1213">
        <f>IF(SUMIFS(T_PlannedOrders[EffectiveQty],T_PlannedOrders[Part Name],$A1201,T_PlannedOrders[WeekIndex],68)=0,"",SUMIFS(T_PlannedOrders[EffectiveQty],T_PlannedOrders[Part Name],$A1201,T_PlannedOrders[WeekIndex],68)&amp;" ("&amp;TEXT(SUMPRODUCT(MAX((T_PlannedOrders[Part Name]=$A1201)*(T_PlannedOrders[WeekIndex]=68)*(T_PlannedOrders[EffectiveQty]&gt;0)*T_PlannedOrders[Order_Month])),"m月")&amp;"発注)")</f>
        <v/>
      </c>
      <c r="BT1213">
        <f>IF(SUMIFS(T_PlannedOrders[EffectiveQty],T_PlannedOrders[Part Name],$A1201,T_PlannedOrders[WeekIndex],69)=0,"",SUMIFS(T_PlannedOrders[EffectiveQty],T_PlannedOrders[Part Name],$A1201,T_PlannedOrders[WeekIndex],69)&amp;" ("&amp;TEXT(SUMPRODUCT(MAX((T_PlannedOrders[Part Name]=$A1201)*(T_PlannedOrders[WeekIndex]=69)*(T_PlannedOrders[EffectiveQty]&gt;0)*T_PlannedOrders[Order_Month])),"m月")&amp;"発注)")</f>
        <v/>
      </c>
      <c r="BU1213">
        <f>IF(SUMIFS(T_PlannedOrders[EffectiveQty],T_PlannedOrders[Part Name],$A1201,T_PlannedOrders[WeekIndex],70)=0,"",SUMIFS(T_PlannedOrders[EffectiveQty],T_PlannedOrders[Part Name],$A1201,T_PlannedOrders[WeekIndex],70)&amp;" ("&amp;TEXT(SUMPRODUCT(MAX((T_PlannedOrders[Part Name]=$A1201)*(T_PlannedOrders[WeekIndex]=70)*(T_PlannedOrders[EffectiveQty]&gt;0)*T_PlannedOrders[Order_Month])),"m月")&amp;"発注)")</f>
        <v/>
      </c>
      <c r="BV1213">
        <f>IF(SUMIFS(T_PlannedOrders[EffectiveQty],T_PlannedOrders[Part Name],$A1201,T_PlannedOrders[WeekIndex],71)=0,"",SUMIFS(T_PlannedOrders[EffectiveQty],T_PlannedOrders[Part Name],$A1201,T_PlannedOrders[WeekIndex],71)&amp;" ("&amp;TEXT(SUMPRODUCT(MAX((T_PlannedOrders[Part Name]=$A1201)*(T_PlannedOrders[WeekIndex]=71)*(T_PlannedOrders[EffectiveQty]&gt;0)*T_PlannedOrders[Order_Month])),"m月")&amp;"発注)")</f>
        <v/>
      </c>
      <c r="BW1213">
        <f>IF(SUMIFS(T_PlannedOrders[EffectiveQty],T_PlannedOrders[Part Name],$A1201,T_PlannedOrders[WeekIndex],72)=0,"",SUMIFS(T_PlannedOrders[EffectiveQty],T_PlannedOrders[Part Name],$A1201,T_PlannedOrders[WeekIndex],72)&amp;" ("&amp;TEXT(SUMPRODUCT(MAX((T_PlannedOrders[Part Name]=$A1201)*(T_PlannedOrders[WeekIndex]=72)*(T_PlannedOrders[EffectiveQty]&gt;0)*T_PlannedOrders[Order_Month])),"m月")&amp;"発注)")</f>
        <v/>
      </c>
      <c r="BX1213">
        <f>IF(SUMIFS(T_PlannedOrders[EffectiveQty],T_PlannedOrders[Part Name],$A1201,T_PlannedOrders[WeekIndex],73)=0,"",SUMIFS(T_PlannedOrders[EffectiveQty],T_PlannedOrders[Part Name],$A1201,T_PlannedOrders[WeekIndex],73)&amp;" ("&amp;TEXT(SUMPRODUCT(MAX((T_PlannedOrders[Part Name]=$A1201)*(T_PlannedOrders[WeekIndex]=73)*(T_PlannedOrders[EffectiveQty]&gt;0)*T_PlannedOrders[Order_Month])),"m月")&amp;"発注)")</f>
        <v/>
      </c>
      <c r="BY1213">
        <f>IF(SUMIFS(T_PlannedOrders[EffectiveQty],T_PlannedOrders[Part Name],$A1201,T_PlannedOrders[WeekIndex],74)=0,"",SUMIFS(T_PlannedOrders[EffectiveQty],T_PlannedOrders[Part Name],$A1201,T_PlannedOrders[WeekIndex],74)&amp;" ("&amp;TEXT(SUMPRODUCT(MAX((T_PlannedOrders[Part Name]=$A1201)*(T_PlannedOrders[WeekIndex]=74)*(T_PlannedOrders[EffectiveQty]&gt;0)*T_PlannedOrders[Order_Month])),"m月")&amp;"発注)")</f>
        <v/>
      </c>
      <c r="BZ1213">
        <f>IF(SUMIFS(T_PlannedOrders[EffectiveQty],T_PlannedOrders[Part Name],$A1201,T_PlannedOrders[WeekIndex],75)=0,"",SUMIFS(T_PlannedOrders[EffectiveQty],T_PlannedOrders[Part Name],$A1201,T_PlannedOrders[WeekIndex],75)&amp;" ("&amp;TEXT(SUMPRODUCT(MAX((T_PlannedOrders[Part Name]=$A1201)*(T_PlannedOrders[WeekIndex]=75)*(T_PlannedOrders[EffectiveQty]&gt;0)*T_PlannedOrders[Order_Month])),"m月")&amp;"発注)")</f>
        <v/>
      </c>
      <c r="CA1213">
        <f>IF(SUMIFS(T_PlannedOrders[EffectiveQty],T_PlannedOrders[Part Name],$A1201,T_PlannedOrders[WeekIndex],76)=0,"",SUMIFS(T_PlannedOrders[EffectiveQty],T_PlannedOrders[Part Name],$A1201,T_PlannedOrders[WeekIndex],76)&amp;" ("&amp;TEXT(SUMPRODUCT(MAX((T_PlannedOrders[Part Name]=$A1201)*(T_PlannedOrders[WeekIndex]=76)*(T_PlannedOrders[EffectiveQty]&gt;0)*T_PlannedOrders[Order_Month])),"m月")&amp;"発注)")</f>
        <v/>
      </c>
      <c r="CB1213">
        <f>IF(SUMIFS(T_PlannedOrders[EffectiveQty],T_PlannedOrders[Part Name],$A1201,T_PlannedOrders[WeekIndex],77)=0,"",SUMIFS(T_PlannedOrders[EffectiveQty],T_PlannedOrders[Part Name],$A1201,T_PlannedOrders[WeekIndex],77)&amp;" ("&amp;TEXT(SUMPRODUCT(MAX((T_PlannedOrders[Part Name]=$A1201)*(T_PlannedOrders[WeekIndex]=77)*(T_PlannedOrders[EffectiveQty]&gt;0)*T_PlannedOrders[Order_Month])),"m月")&amp;"発注)")</f>
        <v/>
      </c>
      <c r="CC1213">
        <f>IF(SUMIFS(T_PlannedOrders[EffectiveQty],T_PlannedOrders[Part Name],$A1201,T_PlannedOrders[WeekIndex],78)=0,"",SUMIFS(T_PlannedOrders[EffectiveQty],T_PlannedOrders[Part Name],$A1201,T_PlannedOrders[WeekIndex],78)&amp;" ("&amp;TEXT(SUMPRODUCT(MAX((T_PlannedOrders[Part Name]=$A1201)*(T_PlannedOrders[WeekIndex]=78)*(T_PlannedOrders[EffectiveQty]&gt;0)*T_PlannedOrders[Order_Month])),"m月")&amp;"発注)")</f>
        <v/>
      </c>
      <c r="CD1213">
        <f>IF(SUMIFS(T_PlannedOrders[EffectiveQty],T_PlannedOrders[Part Name],$A1201,T_PlannedOrders[WeekIndex],79)=0,"",SUMIFS(T_PlannedOrders[EffectiveQty],T_PlannedOrders[Part Name],$A1201,T_PlannedOrders[WeekIndex],79)&amp;" ("&amp;TEXT(SUMPRODUCT(MAX((T_PlannedOrders[Part Name]=$A1201)*(T_PlannedOrders[WeekIndex]=79)*(T_PlannedOrders[EffectiveQty]&gt;0)*T_PlannedOrders[Order_Month])),"m月")&amp;"発注)")</f>
        <v/>
      </c>
      <c r="CE1213">
        <f>IF(SUMIFS(T_PlannedOrders[EffectiveQty],T_PlannedOrders[Part Name],$A1201,T_PlannedOrders[WeekIndex],80)=0,"",SUMIFS(T_PlannedOrders[EffectiveQty],T_PlannedOrders[Part Name],$A1201,T_PlannedOrders[WeekIndex],80)&amp;" ("&amp;TEXT(SUMPRODUCT(MAX((T_PlannedOrders[Part Name]=$A1201)*(T_PlannedOrders[WeekIndex]=80)*(T_PlannedOrders[EffectiveQty]&gt;0)*T_PlannedOrders[Order_Month])),"m月")&amp;"発注)")</f>
        <v/>
      </c>
      <c r="CF1213">
        <f>IF(SUMIFS(T_PlannedOrders[EffectiveQty],T_PlannedOrders[Part Name],$A1201,T_PlannedOrders[WeekIndex],81)=0,"",SUMIFS(T_PlannedOrders[EffectiveQty],T_PlannedOrders[Part Name],$A1201,T_PlannedOrders[WeekIndex],81)&amp;" ("&amp;TEXT(SUMPRODUCT(MAX((T_PlannedOrders[Part Name]=$A1201)*(T_PlannedOrders[WeekIndex]=81)*(T_PlannedOrders[EffectiveQty]&gt;0)*T_PlannedOrders[Order_Month])),"m月")&amp;"発注)")</f>
        <v/>
      </c>
      <c r="CG1213">
        <f>IF(SUMIFS(T_PlannedOrders[EffectiveQty],T_PlannedOrders[Part Name],$A1201,T_PlannedOrders[WeekIndex],82)=0,"",SUMIFS(T_PlannedOrders[EffectiveQty],T_PlannedOrders[Part Name],$A1201,T_PlannedOrders[WeekIndex],82)&amp;" ("&amp;TEXT(SUMPRODUCT(MAX((T_PlannedOrders[Part Name]=$A1201)*(T_PlannedOrders[WeekIndex]=82)*(T_PlannedOrders[EffectiveQty]&gt;0)*T_PlannedOrders[Order_Month])),"m月")&amp;"発注)")</f>
        <v/>
      </c>
      <c r="CH1213">
        <f>IF(SUMIFS(T_PlannedOrders[EffectiveQty],T_PlannedOrders[Part Name],$A1201,T_PlannedOrders[WeekIndex],83)=0,"",SUMIFS(T_PlannedOrders[EffectiveQty],T_PlannedOrders[Part Name],$A1201,T_PlannedOrders[WeekIndex],83)&amp;" ("&amp;TEXT(SUMPRODUCT(MAX((T_PlannedOrders[Part Name]=$A1201)*(T_PlannedOrders[WeekIndex]=83)*(T_PlannedOrders[EffectiveQty]&gt;0)*T_PlannedOrders[Order_Month])),"m月")&amp;"発注)")</f>
        <v/>
      </c>
      <c r="CI1213">
        <f>IF(SUMIFS(T_PlannedOrders[EffectiveQty],T_PlannedOrders[Part Name],$A1201,T_PlannedOrders[WeekIndex],84)=0,"",SUMIFS(T_PlannedOrders[EffectiveQty],T_PlannedOrders[Part Name],$A1201,T_PlannedOrders[WeekIndex],84)&amp;" ("&amp;TEXT(SUMPRODUCT(MAX((T_PlannedOrders[Part Name]=$A1201)*(T_PlannedOrders[WeekIndex]=84)*(T_PlannedOrders[EffectiveQty]&gt;0)*T_PlannedOrders[Order_Month])),"m月")&amp;"発注)")</f>
        <v/>
      </c>
      <c r="CJ1213">
        <f>IF(SUMIFS(T_PlannedOrders[EffectiveQty],T_PlannedOrders[Part Name],$A1201,T_PlannedOrders[WeekIndex],85)=0,"",SUMIFS(T_PlannedOrders[EffectiveQty],T_PlannedOrders[Part Name],$A1201,T_PlannedOrders[WeekIndex],85)&amp;" ("&amp;TEXT(SUMPRODUCT(MAX((T_PlannedOrders[Part Name]=$A1201)*(T_PlannedOrders[WeekIndex]=85)*(T_PlannedOrders[EffectiveQty]&gt;0)*T_PlannedOrders[Order_Month])),"m月")&amp;"発注)")</f>
        <v/>
      </c>
      <c r="CK1213">
        <f>IF(SUMIFS(T_PlannedOrders[EffectiveQty],T_PlannedOrders[Part Name],$A1201,T_PlannedOrders[WeekIndex],86)=0,"",SUMIFS(T_PlannedOrders[EffectiveQty],T_PlannedOrders[Part Name],$A1201,T_PlannedOrders[WeekIndex],86)&amp;" ("&amp;TEXT(SUMPRODUCT(MAX((T_PlannedOrders[Part Name]=$A1201)*(T_PlannedOrders[WeekIndex]=86)*(T_PlannedOrders[EffectiveQty]&gt;0)*T_PlannedOrders[Order_Month])),"m月")&amp;"発注)")</f>
        <v/>
      </c>
      <c r="CL1213">
        <f>IF(SUMIFS(T_PlannedOrders[EffectiveQty],T_PlannedOrders[Part Name],$A1201,T_PlannedOrders[WeekIndex],87)=0,"",SUMIFS(T_PlannedOrders[EffectiveQty],T_PlannedOrders[Part Name],$A1201,T_PlannedOrders[WeekIndex],87)&amp;" ("&amp;TEXT(SUMPRODUCT(MAX((T_PlannedOrders[Part Name]=$A1201)*(T_PlannedOrders[WeekIndex]=87)*(T_PlannedOrders[EffectiveQty]&gt;0)*T_PlannedOrders[Order_Month])),"m月")&amp;"発注)")</f>
        <v/>
      </c>
      <c r="CM1213">
        <f>IF(SUMIFS(T_PlannedOrders[EffectiveQty],T_PlannedOrders[Part Name],$A1201,T_PlannedOrders[WeekIndex],88)=0,"",SUMIFS(T_PlannedOrders[EffectiveQty],T_PlannedOrders[Part Name],$A1201,T_PlannedOrders[WeekIndex],88)&amp;" ("&amp;TEXT(SUMPRODUCT(MAX((T_PlannedOrders[Part Name]=$A1201)*(T_PlannedOrders[WeekIndex]=88)*(T_PlannedOrders[EffectiveQty]&gt;0)*T_PlannedOrders[Order_Month])),"m月")&amp;"発注)")</f>
        <v/>
      </c>
      <c r="CN1213">
        <f>IF(SUMIFS(T_PlannedOrders[EffectiveQty],T_PlannedOrders[Part Name],$A1201,T_PlannedOrders[WeekIndex],89)=0,"",SUMIFS(T_PlannedOrders[EffectiveQty],T_PlannedOrders[Part Name],$A1201,T_PlannedOrders[WeekIndex],89)&amp;" ("&amp;TEXT(SUMPRODUCT(MAX((T_PlannedOrders[Part Name]=$A1201)*(T_PlannedOrders[WeekIndex]=89)*(T_PlannedOrders[EffectiveQty]&gt;0)*T_PlannedOrders[Order_Month])),"m月")&amp;"発注)")</f>
        <v/>
      </c>
      <c r="CO1213">
        <f>IF(SUMIFS(T_PlannedOrders[EffectiveQty],T_PlannedOrders[Part Name],$A1201,T_PlannedOrders[WeekIndex],90)=0,"",SUMIFS(T_PlannedOrders[EffectiveQty],T_PlannedOrders[Part Name],$A1201,T_PlannedOrders[WeekIndex],90)&amp;" ("&amp;TEXT(SUMPRODUCT(MAX((T_PlannedOrders[Part Name]=$A1201)*(T_PlannedOrders[WeekIndex]=90)*(T_PlannedOrders[EffectiveQty]&gt;0)*T_PlannedOrders[Order_Month])),"m月")&amp;"発注)")</f>
        <v/>
      </c>
      <c r="CP1213">
        <f>IF(SUMIFS(T_PlannedOrders[EffectiveQty],T_PlannedOrders[Part Name],$A1201,T_PlannedOrders[WeekIndex],91)=0,"",SUMIFS(T_PlannedOrders[EffectiveQty],T_PlannedOrders[Part Name],$A1201,T_PlannedOrders[WeekIndex],91)&amp;" ("&amp;TEXT(SUMPRODUCT(MAX((T_PlannedOrders[Part Name]=$A1201)*(T_PlannedOrders[WeekIndex]=91)*(T_PlannedOrders[EffectiveQty]&gt;0)*T_PlannedOrders[Order_Month])),"m月")&amp;"発注)")</f>
        <v/>
      </c>
      <c r="CQ1213">
        <f>IF(SUMIFS(T_PlannedOrders[EffectiveQty],T_PlannedOrders[Part Name],$A1201,T_PlannedOrders[WeekIndex],92)=0,"",SUMIFS(T_PlannedOrders[EffectiveQty],T_PlannedOrders[Part Name],$A1201,T_PlannedOrders[WeekIndex],92)&amp;" ("&amp;TEXT(SUMPRODUCT(MAX((T_PlannedOrders[Part Name]=$A1201)*(T_PlannedOrders[WeekIndex]=92)*(T_PlannedOrders[EffectiveQty]&gt;0)*T_PlannedOrders[Order_Month])),"m月")&amp;"発注)")</f>
        <v/>
      </c>
      <c r="CR1213">
        <f>IF(SUMIFS(T_PlannedOrders[EffectiveQty],T_PlannedOrders[Part Name],$A1201,T_PlannedOrders[WeekIndex],93)=0,"",SUMIFS(T_PlannedOrders[EffectiveQty],T_PlannedOrders[Part Name],$A1201,T_PlannedOrders[WeekIndex],93)&amp;" ("&amp;TEXT(SUMPRODUCT(MAX((T_PlannedOrders[Part Name]=$A1201)*(T_PlannedOrders[WeekIndex]=93)*(T_PlannedOrders[EffectiveQty]&gt;0)*T_PlannedOrders[Order_Month])),"m月")&amp;"発注)")</f>
        <v/>
      </c>
      <c r="CS1213">
        <f>IF(SUMIFS(T_PlannedOrders[EffectiveQty],T_PlannedOrders[Part Name],$A1201,T_PlannedOrders[WeekIndex],94)=0,"",SUMIFS(T_PlannedOrders[EffectiveQty],T_PlannedOrders[Part Name],$A1201,T_PlannedOrders[WeekIndex],94)&amp;" ("&amp;TEXT(SUMPRODUCT(MAX((T_PlannedOrders[Part Name]=$A1201)*(T_PlannedOrders[WeekIndex]=94)*(T_PlannedOrders[EffectiveQty]&gt;0)*T_PlannedOrders[Order_Month])),"m月")&amp;"発注)")</f>
        <v/>
      </c>
      <c r="CT1213">
        <f>IF(SUMIFS(T_PlannedOrders[EffectiveQty],T_PlannedOrders[Part Name],$A1201,T_PlannedOrders[WeekIndex],95)=0,"",SUMIFS(T_PlannedOrders[EffectiveQty],T_PlannedOrders[Part Name],$A1201,T_PlannedOrders[WeekIndex],95)&amp;" ("&amp;TEXT(SUMPRODUCT(MAX((T_PlannedOrders[Part Name]=$A1201)*(T_PlannedOrders[WeekIndex]=95)*(T_PlannedOrders[EffectiveQty]&gt;0)*T_PlannedOrders[Order_Month])),"m月")&amp;"発注)")</f>
        <v/>
      </c>
      <c r="CU1213">
        <f>IF(SUMIFS(T_PlannedOrders[EffectiveQty],T_PlannedOrders[Part Name],$A1201,T_PlannedOrders[WeekIndex],96)=0,"",SUMIFS(T_PlannedOrders[EffectiveQty],T_PlannedOrders[Part Name],$A1201,T_PlannedOrders[WeekIndex],96)&amp;" ("&amp;TEXT(SUMPRODUCT(MAX((T_PlannedOrders[Part Name]=$A1201)*(T_PlannedOrders[WeekIndex]=96)*(T_PlannedOrders[EffectiveQty]&gt;0)*T_PlannedOrders[Order_Month])),"m月")&amp;"発注)")</f>
        <v/>
      </c>
      <c r="CV1213">
        <f>IF(SUMIFS(T_PlannedOrders[EffectiveQty],T_PlannedOrders[Part Name],$A1201,T_PlannedOrders[WeekIndex],97)=0,"",SUMIFS(T_PlannedOrders[EffectiveQty],T_PlannedOrders[Part Name],$A1201,T_PlannedOrders[WeekIndex],97)&amp;" ("&amp;TEXT(SUMPRODUCT(MAX((T_PlannedOrders[Part Name]=$A1201)*(T_PlannedOrders[WeekIndex]=97)*(T_PlannedOrders[EffectiveQty]&gt;0)*T_PlannedOrders[Order_Month])),"m月")&amp;"発注)")</f>
        <v/>
      </c>
      <c r="CW1213">
        <f>IF(SUMIFS(T_PlannedOrders[EffectiveQty],T_PlannedOrders[Part Name],$A1201,T_PlannedOrders[WeekIndex],98)=0,"",SUMIFS(T_PlannedOrders[EffectiveQty],T_PlannedOrders[Part Name],$A1201,T_PlannedOrders[WeekIndex],98)&amp;" ("&amp;TEXT(SUMPRODUCT(MAX((T_PlannedOrders[Part Name]=$A1201)*(T_PlannedOrders[WeekIndex]=98)*(T_PlannedOrders[EffectiveQty]&gt;0)*T_PlannedOrders[Order_Month])),"m月")&amp;"発注)")</f>
        <v/>
      </c>
      <c r="CX1213">
        <f>IF(SUMIFS(T_PlannedOrders[EffectiveQty],T_PlannedOrders[Part Name],$A1201,T_PlannedOrders[WeekIndex],99)=0,"",SUMIFS(T_PlannedOrders[EffectiveQty],T_PlannedOrders[Part Name],$A1201,T_PlannedOrders[WeekIndex],99)&amp;" ("&amp;TEXT(SUMPRODUCT(MAX((T_PlannedOrders[Part Name]=$A1201)*(T_PlannedOrders[WeekIndex]=99)*(T_PlannedOrders[EffectiveQty]&gt;0)*T_PlannedOrders[Order_Month])),"m月")&amp;"発注)")</f>
        <v/>
      </c>
      <c r="CY1213">
        <f>IF(SUMIFS(T_PlannedOrders[EffectiveQty],T_PlannedOrders[Part Name],$A1201,T_PlannedOrders[WeekIndex],100)=0,"",SUMIFS(T_PlannedOrders[EffectiveQty],T_PlannedOrders[Part Name],$A1201,T_PlannedOrders[WeekIndex],100)&amp;" ("&amp;TEXT(SUMPRODUCT(MAX((T_PlannedOrders[Part Name]=$A1201)*(T_PlannedOrders[WeekIndex]=100)*(T_PlannedOrders[EffectiveQty]&gt;0)*T_PlannedOrders[Order_Month])),"m月")&amp;"発注)")</f>
        <v/>
      </c>
      <c r="CZ1213">
        <f>IF(SUMIFS(T_PlannedOrders[EffectiveQty],T_PlannedOrders[Part Name],$A1201,T_PlannedOrders[WeekIndex],101)=0,"",SUMIFS(T_PlannedOrders[EffectiveQty],T_PlannedOrders[Part Name],$A1201,T_PlannedOrders[WeekIndex],101)&amp;" ("&amp;TEXT(SUMPRODUCT(MAX((T_PlannedOrders[Part Name]=$A1201)*(T_PlannedOrders[WeekIndex]=101)*(T_PlannedOrders[EffectiveQty]&gt;0)*T_PlannedOrders[Order_Month])),"m月")&amp;"発注)")</f>
        <v/>
      </c>
      <c r="DA1213">
        <f>IF(SUMIFS(T_PlannedOrders[EffectiveQty],T_PlannedOrders[Part Name],$A1201,T_PlannedOrders[WeekIndex],102)=0,"",SUMIFS(T_PlannedOrders[EffectiveQty],T_PlannedOrders[Part Name],$A1201,T_PlannedOrders[WeekIndex],102)&amp;" ("&amp;TEXT(SUMPRODUCT(MAX((T_PlannedOrders[Part Name]=$A1201)*(T_PlannedOrders[WeekIndex]=102)*(T_PlannedOrders[EffectiveQty]&gt;0)*T_PlannedOrders[Order_Month])),"m月")&amp;"発注)")</f>
        <v/>
      </c>
      <c r="DB1213">
        <f>IF(SUMIFS(T_PlannedOrders[EffectiveQty],T_PlannedOrders[Part Name],$A1201,T_PlannedOrders[WeekIndex],103)=0,"",SUMIFS(T_PlannedOrders[EffectiveQty],T_PlannedOrders[Part Name],$A1201,T_PlannedOrders[WeekIndex],103)&amp;" ("&amp;TEXT(SUMPRODUCT(MAX((T_PlannedOrders[Part Name]=$A1201)*(T_PlannedOrders[WeekIndex]=103)*(T_PlannedOrders[EffectiveQty]&gt;0)*T_PlannedOrders[Order_Month])),"m月")&amp;"発注)")</f>
        <v/>
      </c>
      <c r="DC1213">
        <f>IF(SUMIFS(T_PlannedOrders[EffectiveQty],T_PlannedOrders[Part Name],$A1201,T_PlannedOrders[WeekIndex],104)=0,"",SUMIFS(T_PlannedOrders[EffectiveQty],T_PlannedOrders[Part Name],$A1201,T_PlannedOrders[WeekIndex],104)&amp;" ("&amp;TEXT(SUMPRODUCT(MAX((T_PlannedOrders[Part Name]=$A1201)*(T_PlannedOrders[WeekIndex]=104)*(T_PlannedOrders[EffectiveQty]&gt;0)*T_PlannedOrders[Order_Month])),"m月")&amp;"発注)")</f>
        <v/>
      </c>
    </row>
    <row r="1214">
      <c r="B1214" s="5" t="inlineStr">
        <is>
          <t>合計在庫(週末時点,kg)</t>
        </is>
      </c>
      <c r="D1214">
        <f>'Grid_Stock'!B49</f>
        <v/>
      </c>
      <c r="E1214">
        <f>'Grid_Stock'!C49</f>
        <v/>
      </c>
      <c r="F1214">
        <f>'Grid_Stock'!D49</f>
        <v/>
      </c>
      <c r="G1214">
        <f>'Grid_Stock'!E49</f>
        <v/>
      </c>
      <c r="H1214">
        <f>'Grid_Stock'!F49</f>
        <v/>
      </c>
      <c r="I1214">
        <f>'Grid_Stock'!G49</f>
        <v/>
      </c>
      <c r="J1214">
        <f>'Grid_Stock'!H49</f>
        <v/>
      </c>
      <c r="K1214">
        <f>'Grid_Stock'!I49</f>
        <v/>
      </c>
      <c r="L1214">
        <f>'Grid_Stock'!J49</f>
        <v/>
      </c>
      <c r="M1214">
        <f>'Grid_Stock'!K49</f>
        <v/>
      </c>
      <c r="N1214">
        <f>'Grid_Stock'!L49</f>
        <v/>
      </c>
      <c r="O1214">
        <f>'Grid_Stock'!M49</f>
        <v/>
      </c>
      <c r="P1214">
        <f>'Grid_Stock'!N49</f>
        <v/>
      </c>
      <c r="Q1214">
        <f>'Grid_Stock'!O49</f>
        <v/>
      </c>
      <c r="R1214">
        <f>'Grid_Stock'!P49</f>
        <v/>
      </c>
      <c r="S1214">
        <f>'Grid_Stock'!Q49</f>
        <v/>
      </c>
      <c r="T1214">
        <f>'Grid_Stock'!R49</f>
        <v/>
      </c>
      <c r="U1214">
        <f>'Grid_Stock'!S49</f>
        <v/>
      </c>
      <c r="V1214">
        <f>'Grid_Stock'!T49</f>
        <v/>
      </c>
      <c r="W1214">
        <f>'Grid_Stock'!U49</f>
        <v/>
      </c>
      <c r="X1214">
        <f>'Grid_Stock'!V49</f>
        <v/>
      </c>
      <c r="Y1214">
        <f>'Grid_Stock'!W49</f>
        <v/>
      </c>
      <c r="Z1214">
        <f>'Grid_Stock'!X49</f>
        <v/>
      </c>
      <c r="AA1214">
        <f>'Grid_Stock'!Y49</f>
        <v/>
      </c>
      <c r="AB1214">
        <f>'Grid_Stock'!Z49</f>
        <v/>
      </c>
      <c r="AC1214">
        <f>'Grid_Stock'!AA49</f>
        <v/>
      </c>
      <c r="AD1214">
        <f>'Grid_Stock'!AB49</f>
        <v/>
      </c>
      <c r="AE1214">
        <f>'Grid_Stock'!AC49</f>
        <v/>
      </c>
      <c r="AF1214">
        <f>'Grid_Stock'!AD49</f>
        <v/>
      </c>
      <c r="AG1214">
        <f>'Grid_Stock'!AE49</f>
        <v/>
      </c>
      <c r="AH1214">
        <f>'Grid_Stock'!AF49</f>
        <v/>
      </c>
      <c r="AI1214">
        <f>'Grid_Stock'!AG49</f>
        <v/>
      </c>
      <c r="AJ1214">
        <f>'Grid_Stock'!AH49</f>
        <v/>
      </c>
      <c r="AK1214">
        <f>'Grid_Stock'!AI49</f>
        <v/>
      </c>
      <c r="AL1214">
        <f>'Grid_Stock'!AJ49</f>
        <v/>
      </c>
      <c r="AM1214">
        <f>'Grid_Stock'!AK49</f>
        <v/>
      </c>
      <c r="AN1214">
        <f>'Grid_Stock'!AL49</f>
        <v/>
      </c>
      <c r="AO1214">
        <f>'Grid_Stock'!AM49</f>
        <v/>
      </c>
      <c r="AP1214">
        <f>'Grid_Stock'!AN49</f>
        <v/>
      </c>
      <c r="AQ1214">
        <f>'Grid_Stock'!AO49</f>
        <v/>
      </c>
      <c r="AR1214">
        <f>'Grid_Stock'!AP49</f>
        <v/>
      </c>
      <c r="AS1214">
        <f>'Grid_Stock'!AQ49</f>
        <v/>
      </c>
      <c r="AT1214">
        <f>'Grid_Stock'!AR49</f>
        <v/>
      </c>
      <c r="AU1214">
        <f>'Grid_Stock'!AS49</f>
        <v/>
      </c>
      <c r="AV1214">
        <f>'Grid_Stock'!AT49</f>
        <v/>
      </c>
      <c r="AW1214">
        <f>'Grid_Stock'!AU49</f>
        <v/>
      </c>
      <c r="AX1214">
        <f>'Grid_Stock'!AV49</f>
        <v/>
      </c>
      <c r="AY1214">
        <f>'Grid_Stock'!AW49</f>
        <v/>
      </c>
      <c r="AZ1214">
        <f>'Grid_Stock'!AX49</f>
        <v/>
      </c>
      <c r="BA1214">
        <f>'Grid_Stock'!AY49</f>
        <v/>
      </c>
      <c r="BB1214">
        <f>'Grid_Stock'!AZ49</f>
        <v/>
      </c>
      <c r="BC1214">
        <f>'Grid_Stock'!BA49</f>
        <v/>
      </c>
      <c r="BD1214">
        <f>'Grid_Stock'!BB49</f>
        <v/>
      </c>
      <c r="BE1214">
        <f>'Grid_Stock'!BC49</f>
        <v/>
      </c>
      <c r="BF1214">
        <f>'Grid_Stock'!BD49</f>
        <v/>
      </c>
      <c r="BG1214">
        <f>'Grid_Stock'!BE49</f>
        <v/>
      </c>
      <c r="BH1214">
        <f>'Grid_Stock'!BF49</f>
        <v/>
      </c>
      <c r="BI1214">
        <f>'Grid_Stock'!BG49</f>
        <v/>
      </c>
      <c r="BJ1214">
        <f>'Grid_Stock'!BH49</f>
        <v/>
      </c>
      <c r="BK1214">
        <f>'Grid_Stock'!BI49</f>
        <v/>
      </c>
      <c r="BL1214">
        <f>'Grid_Stock'!BJ49</f>
        <v/>
      </c>
      <c r="BM1214">
        <f>'Grid_Stock'!BK49</f>
        <v/>
      </c>
      <c r="BN1214">
        <f>'Grid_Stock'!BL49</f>
        <v/>
      </c>
      <c r="BO1214">
        <f>'Grid_Stock'!BM49</f>
        <v/>
      </c>
      <c r="BP1214">
        <f>'Grid_Stock'!BN49</f>
        <v/>
      </c>
      <c r="BQ1214">
        <f>'Grid_Stock'!BO49</f>
        <v/>
      </c>
      <c r="BR1214">
        <f>'Grid_Stock'!BP49</f>
        <v/>
      </c>
      <c r="BS1214">
        <f>'Grid_Stock'!BQ49</f>
        <v/>
      </c>
      <c r="BT1214">
        <f>'Grid_Stock'!BR49</f>
        <v/>
      </c>
      <c r="BU1214">
        <f>'Grid_Stock'!BS49</f>
        <v/>
      </c>
      <c r="BV1214">
        <f>'Grid_Stock'!BT49</f>
        <v/>
      </c>
      <c r="BW1214">
        <f>'Grid_Stock'!BU49</f>
        <v/>
      </c>
      <c r="BX1214">
        <f>'Grid_Stock'!BV49</f>
        <v/>
      </c>
      <c r="BY1214">
        <f>'Grid_Stock'!BW49</f>
        <v/>
      </c>
      <c r="BZ1214">
        <f>'Grid_Stock'!BX49</f>
        <v/>
      </c>
      <c r="CA1214">
        <f>'Grid_Stock'!BY49</f>
        <v/>
      </c>
      <c r="CB1214">
        <f>'Grid_Stock'!BZ49</f>
        <v/>
      </c>
      <c r="CC1214">
        <f>'Grid_Stock'!CA49</f>
        <v/>
      </c>
      <c r="CD1214">
        <f>'Grid_Stock'!CB49</f>
        <v/>
      </c>
      <c r="CE1214">
        <f>'Grid_Stock'!CC49</f>
        <v/>
      </c>
      <c r="CF1214">
        <f>'Grid_Stock'!CD49</f>
        <v/>
      </c>
      <c r="CG1214">
        <f>'Grid_Stock'!CE49</f>
        <v/>
      </c>
      <c r="CH1214">
        <f>'Grid_Stock'!CF49</f>
        <v/>
      </c>
      <c r="CI1214">
        <f>'Grid_Stock'!CG49</f>
        <v/>
      </c>
      <c r="CJ1214">
        <f>'Grid_Stock'!CH49</f>
        <v/>
      </c>
      <c r="CK1214">
        <f>'Grid_Stock'!CI49</f>
        <v/>
      </c>
      <c r="CL1214">
        <f>'Grid_Stock'!CJ49</f>
        <v/>
      </c>
      <c r="CM1214">
        <f>'Grid_Stock'!CK49</f>
        <v/>
      </c>
      <c r="CN1214">
        <f>'Grid_Stock'!CL49</f>
        <v/>
      </c>
      <c r="CO1214">
        <f>'Grid_Stock'!CM49</f>
        <v/>
      </c>
      <c r="CP1214">
        <f>'Grid_Stock'!CN49</f>
        <v/>
      </c>
      <c r="CQ1214">
        <f>'Grid_Stock'!CO49</f>
        <v/>
      </c>
      <c r="CR1214">
        <f>'Grid_Stock'!CP49</f>
        <v/>
      </c>
      <c r="CS1214">
        <f>'Grid_Stock'!CQ49</f>
        <v/>
      </c>
      <c r="CT1214">
        <f>'Grid_Stock'!CR49</f>
        <v/>
      </c>
      <c r="CU1214">
        <f>'Grid_Stock'!CS49</f>
        <v/>
      </c>
      <c r="CV1214">
        <f>'Grid_Stock'!CT49</f>
        <v/>
      </c>
      <c r="CW1214">
        <f>'Grid_Stock'!CU49</f>
        <v/>
      </c>
      <c r="CX1214">
        <f>'Grid_Stock'!CV49</f>
        <v/>
      </c>
      <c r="CY1214">
        <f>'Grid_Stock'!CW49</f>
        <v/>
      </c>
      <c r="CZ1214">
        <f>'Grid_Stock'!CX49</f>
        <v/>
      </c>
      <c r="DA1214">
        <f>'Grid_Stock'!CY49</f>
        <v/>
      </c>
      <c r="DB1214">
        <f>'Grid_Stock'!CZ49</f>
        <v/>
      </c>
      <c r="DC1214">
        <f>'Grid_Stock'!DA49</f>
        <v/>
      </c>
    </row>
    <row r="1215">
      <c r="B1215" s="23" t="inlineStr">
        <is>
          <t>（発注の目安はDashboardの基準在庫[下限/上限]と色分けを参照）</t>
        </is>
      </c>
    </row>
    <row r="1217">
      <c r="A1217" s="21" t="inlineStr">
        <is>
          <t>8EN</t>
        </is>
      </c>
      <c r="B1217" s="21" t="inlineStr">
        <is>
          <t>Substrate NGK KFK1D118-152xX1</t>
        </is>
      </c>
      <c r="C1217" s="22" t="n"/>
      <c r="D1217" s="21" t="n"/>
      <c r="E1217" s="21" t="n"/>
      <c r="F1217" s="21" t="n"/>
      <c r="G1217" s="21" t="n"/>
      <c r="H1217" s="21" t="n"/>
      <c r="I1217" s="21" t="n"/>
      <c r="J1217" s="21" t="n"/>
      <c r="K1217" s="21" t="n"/>
      <c r="L1217" s="21" t="n"/>
      <c r="M1217" s="21" t="n"/>
      <c r="N1217" s="21" t="n"/>
      <c r="O1217" s="21" t="n"/>
      <c r="P1217" s="21" t="n"/>
      <c r="Q1217" s="21" t="n"/>
      <c r="R1217" s="21" t="n"/>
      <c r="S1217" s="21" t="n"/>
      <c r="T1217" s="21" t="n"/>
      <c r="U1217" s="21" t="n"/>
      <c r="V1217" s="21" t="n"/>
      <c r="W1217" s="21" t="n"/>
      <c r="X1217" s="21" t="n"/>
      <c r="Y1217" s="21" t="n"/>
      <c r="Z1217" s="21" t="n"/>
      <c r="AA1217" s="21" t="n"/>
      <c r="AB1217" s="21" t="n"/>
      <c r="AC1217" s="21" t="n"/>
      <c r="AD1217" s="21" t="n"/>
      <c r="AE1217" s="21" t="n"/>
      <c r="AF1217" s="21" t="n"/>
      <c r="AG1217" s="21" t="n"/>
      <c r="AH1217" s="21" t="n"/>
      <c r="AI1217" s="21" t="n"/>
      <c r="AJ1217" s="21" t="n"/>
      <c r="AK1217" s="21" t="n"/>
      <c r="AL1217" s="21" t="n"/>
      <c r="AM1217" s="21" t="n"/>
      <c r="AN1217" s="21" t="n"/>
      <c r="AO1217" s="21" t="n"/>
      <c r="AP1217" s="21" t="n"/>
      <c r="AQ1217" s="21" t="n"/>
      <c r="AR1217" s="21" t="n"/>
      <c r="AS1217" s="21" t="n"/>
      <c r="AT1217" s="21" t="n"/>
      <c r="AU1217" s="21" t="n"/>
      <c r="AV1217" s="21" t="n"/>
      <c r="AW1217" s="21" t="n"/>
      <c r="AX1217" s="21" t="n"/>
      <c r="AY1217" s="21" t="n"/>
      <c r="AZ1217" s="21" t="n"/>
      <c r="BA1217" s="21" t="n"/>
      <c r="BB1217" s="21" t="n"/>
      <c r="BC1217" s="21" t="n"/>
      <c r="BD1217" s="21" t="n"/>
      <c r="BE1217" s="21" t="n"/>
      <c r="BF1217" s="21" t="n"/>
      <c r="BG1217" s="21" t="n"/>
      <c r="BH1217" s="21" t="n"/>
      <c r="BI1217" s="21" t="n"/>
      <c r="BJ1217" s="21" t="n"/>
      <c r="BK1217" s="21" t="n"/>
      <c r="BL1217" s="21" t="n"/>
      <c r="BM1217" s="21" t="n"/>
      <c r="BN1217" s="21" t="n"/>
      <c r="BO1217" s="21" t="n"/>
      <c r="BP1217" s="21" t="n"/>
      <c r="BQ1217" s="21" t="n"/>
      <c r="BR1217" s="21" t="n"/>
      <c r="BS1217" s="21" t="n"/>
      <c r="BT1217" s="21" t="n"/>
      <c r="BU1217" s="21" t="n"/>
      <c r="BV1217" s="21" t="n"/>
      <c r="BW1217" s="21" t="n"/>
      <c r="BX1217" s="21" t="n"/>
      <c r="BY1217" s="21" t="n"/>
      <c r="BZ1217" s="21" t="n"/>
      <c r="CA1217" s="21" t="n"/>
      <c r="CB1217" s="21" t="n"/>
      <c r="CC1217" s="21" t="n"/>
      <c r="CD1217" s="21" t="n"/>
      <c r="CE1217" s="21" t="n"/>
      <c r="CF1217" s="21" t="n"/>
      <c r="CG1217" s="21" t="n"/>
      <c r="CH1217" s="21" t="n"/>
      <c r="CI1217" s="21" t="n"/>
      <c r="CJ1217" s="21" t="n"/>
      <c r="CK1217" s="21" t="n"/>
      <c r="CL1217" s="21" t="n"/>
      <c r="CM1217" s="21" t="n"/>
      <c r="CN1217" s="21" t="n"/>
      <c r="CO1217" s="21" t="n"/>
      <c r="CP1217" s="21" t="n"/>
      <c r="CQ1217" s="21" t="n"/>
      <c r="CR1217" s="21" t="n"/>
      <c r="CS1217" s="21" t="n"/>
      <c r="CT1217" s="21" t="n"/>
      <c r="CU1217" s="21" t="n"/>
      <c r="CV1217" s="21" t="n"/>
      <c r="CW1217" s="21" t="n"/>
      <c r="CX1217" s="21" t="n"/>
      <c r="CY1217" s="21" t="n"/>
      <c r="CZ1217" s="21" t="n"/>
      <c r="DA1217" s="21" t="n"/>
      <c r="DB1217" s="21" t="n"/>
      <c r="DC1217" s="21" t="n"/>
    </row>
    <row r="1218">
      <c r="B1218" t="inlineStr">
        <is>
          <t>V14</t>
        </is>
      </c>
      <c r="C1218" t="inlineStr">
        <is>
          <t>No. of batches</t>
        </is>
      </c>
      <c r="D1218">
        <f>IFERROR(INDEX(PP_Grid[#Data],$DD1218,2),0)</f>
        <v/>
      </c>
      <c r="E1218">
        <f>IFERROR(INDEX(PP_Grid[#Data],$DD1218,3),0)</f>
        <v/>
      </c>
      <c r="F1218">
        <f>IFERROR(INDEX(PP_Grid[#Data],$DD1218,4),0)</f>
        <v/>
      </c>
      <c r="G1218">
        <f>IFERROR(INDEX(PP_Grid[#Data],$DD1218,5),0)</f>
        <v/>
      </c>
      <c r="H1218">
        <f>IFERROR(INDEX(PP_Grid[#Data],$DD1218,6),0)</f>
        <v/>
      </c>
      <c r="I1218">
        <f>IFERROR(INDEX(PP_Grid[#Data],$DD1218,7),0)</f>
        <v/>
      </c>
      <c r="J1218">
        <f>IFERROR(INDEX(PP_Grid[#Data],$DD1218,8),0)</f>
        <v/>
      </c>
      <c r="K1218">
        <f>IFERROR(INDEX(PP_Grid[#Data],$DD1218,9),0)</f>
        <v/>
      </c>
      <c r="L1218">
        <f>IFERROR(INDEX(PP_Grid[#Data],$DD1218,10),0)</f>
        <v/>
      </c>
      <c r="M1218">
        <f>IFERROR(INDEX(PP_Grid[#Data],$DD1218,11),0)</f>
        <v/>
      </c>
      <c r="N1218">
        <f>IFERROR(INDEX(PP_Grid[#Data],$DD1218,12),0)</f>
        <v/>
      </c>
      <c r="O1218">
        <f>IFERROR(INDEX(PP_Grid[#Data],$DD1218,13),0)</f>
        <v/>
      </c>
      <c r="P1218">
        <f>IFERROR(INDEX(PP_Grid[#Data],$DD1218,14),0)</f>
        <v/>
      </c>
      <c r="Q1218">
        <f>IFERROR(INDEX(PP_Grid[#Data],$DD1218,15),0)</f>
        <v/>
      </c>
      <c r="R1218">
        <f>IFERROR(INDEX(PP_Grid[#Data],$DD1218,16),0)</f>
        <v/>
      </c>
      <c r="S1218">
        <f>IFERROR(INDEX(PP_Grid[#Data],$DD1218,17),0)</f>
        <v/>
      </c>
      <c r="T1218">
        <f>IFERROR(INDEX(PP_Grid[#Data],$DD1218,18),0)</f>
        <v/>
      </c>
      <c r="U1218">
        <f>IFERROR(INDEX(PP_Grid[#Data],$DD1218,19),0)</f>
        <v/>
      </c>
      <c r="V1218">
        <f>IFERROR(INDEX(PP_Grid[#Data],$DD1218,20),0)</f>
        <v/>
      </c>
      <c r="W1218">
        <f>IFERROR(INDEX(PP_Grid[#Data],$DD1218,21),0)</f>
        <v/>
      </c>
      <c r="X1218">
        <f>IFERROR(INDEX(PP_Grid[#Data],$DD1218,22),0)</f>
        <v/>
      </c>
      <c r="Y1218">
        <f>IFERROR(INDEX(PP_Grid[#Data],$DD1218,23),0)</f>
        <v/>
      </c>
      <c r="Z1218">
        <f>IFERROR(INDEX(PP_Grid[#Data],$DD1218,24),0)</f>
        <v/>
      </c>
      <c r="AA1218">
        <f>IFERROR(INDEX(PP_Grid[#Data],$DD1218,25),0)</f>
        <v/>
      </c>
      <c r="AB1218">
        <f>IFERROR(INDEX(PP_Grid[#Data],$DD1218,26),0)</f>
        <v/>
      </c>
      <c r="AC1218">
        <f>IFERROR(INDEX(PP_Grid[#Data],$DD1218,27),0)</f>
        <v/>
      </c>
      <c r="AD1218">
        <f>IFERROR(INDEX(PP_Grid[#Data],$DD1218,28),0)</f>
        <v/>
      </c>
      <c r="AE1218">
        <f>IFERROR(INDEX(PP_Grid[#Data],$DD1218,29),0)</f>
        <v/>
      </c>
      <c r="AF1218">
        <f>IFERROR(INDEX(PP_Grid[#Data],$DD1218,30),0)</f>
        <v/>
      </c>
      <c r="AG1218">
        <f>IFERROR(INDEX(PP_Grid[#Data],$DD1218,31),0)</f>
        <v/>
      </c>
      <c r="AH1218">
        <f>IFERROR(INDEX(PP_Grid[#Data],$DD1218,32),0)</f>
        <v/>
      </c>
      <c r="AI1218">
        <f>IFERROR(INDEX(PP_Grid[#Data],$DD1218,33),0)</f>
        <v/>
      </c>
      <c r="AJ1218">
        <f>IFERROR(INDEX(PP_Grid[#Data],$DD1218,34),0)</f>
        <v/>
      </c>
      <c r="AK1218">
        <f>IFERROR(INDEX(PP_Grid[#Data],$DD1218,35),0)</f>
        <v/>
      </c>
      <c r="AL1218">
        <f>IFERROR(INDEX(PP_Grid[#Data],$DD1218,36),0)</f>
        <v/>
      </c>
      <c r="AM1218">
        <f>IFERROR(INDEX(PP_Grid[#Data],$DD1218,37),0)</f>
        <v/>
      </c>
      <c r="AN1218">
        <f>IFERROR(INDEX(PP_Grid[#Data],$DD1218,38),0)</f>
        <v/>
      </c>
      <c r="AO1218">
        <f>IFERROR(INDEX(PP_Grid[#Data],$DD1218,39),0)</f>
        <v/>
      </c>
      <c r="AP1218">
        <f>IFERROR(INDEX(PP_Grid[#Data],$DD1218,40),0)</f>
        <v/>
      </c>
      <c r="AQ1218">
        <f>IFERROR(INDEX(PP_Grid[#Data],$DD1218,41),0)</f>
        <v/>
      </c>
      <c r="AR1218">
        <f>IFERROR(INDEX(PP_Grid[#Data],$DD1218,42),0)</f>
        <v/>
      </c>
      <c r="AS1218">
        <f>IFERROR(INDEX(PP_Grid[#Data],$DD1218,43),0)</f>
        <v/>
      </c>
      <c r="AT1218">
        <f>IFERROR(INDEX(PP_Grid[#Data],$DD1218,44),0)</f>
        <v/>
      </c>
      <c r="AU1218">
        <f>IFERROR(INDEX(PP_Grid[#Data],$DD1218,45),0)</f>
        <v/>
      </c>
      <c r="AV1218">
        <f>IFERROR(INDEX(PP_Grid[#Data],$DD1218,46),0)</f>
        <v/>
      </c>
      <c r="AW1218">
        <f>IFERROR(INDEX(PP_Grid[#Data],$DD1218,47),0)</f>
        <v/>
      </c>
      <c r="AX1218">
        <f>IFERROR(INDEX(PP_Grid[#Data],$DD1218,48),0)</f>
        <v/>
      </c>
      <c r="AY1218">
        <f>IFERROR(INDEX(PP_Grid[#Data],$DD1218,49),0)</f>
        <v/>
      </c>
      <c r="AZ1218">
        <f>IFERROR(INDEX(PP_Grid[#Data],$DD1218,50),0)</f>
        <v/>
      </c>
      <c r="BA1218">
        <f>IFERROR(INDEX(PP_Grid[#Data],$DD1218,51),0)</f>
        <v/>
      </c>
      <c r="BB1218">
        <f>IFERROR(INDEX(PP_Grid[#Data],$DD1218,52),0)</f>
        <v/>
      </c>
      <c r="BC1218">
        <f>IFERROR(INDEX(PP_Grid[#Data],$DD1218,53),0)</f>
        <v/>
      </c>
      <c r="BD1218">
        <f>IFERROR(INDEX(PP_Grid[#Data],$DD1218,54),0)</f>
        <v/>
      </c>
      <c r="BE1218">
        <f>IFERROR(INDEX(PP_Grid[#Data],$DD1218,55),0)</f>
        <v/>
      </c>
      <c r="BF1218">
        <f>IFERROR(INDEX(PP_Grid[#Data],$DD1218,56),0)</f>
        <v/>
      </c>
      <c r="BG1218">
        <f>IFERROR(INDEX(PP_Grid[#Data],$DD1218,57),0)</f>
        <v/>
      </c>
      <c r="BH1218">
        <f>IFERROR(INDEX(PP_Grid[#Data],$DD1218,58),0)</f>
        <v/>
      </c>
      <c r="BI1218">
        <f>IFERROR(INDEX(PP_Grid[#Data],$DD1218,59),0)</f>
        <v/>
      </c>
      <c r="BJ1218">
        <f>IFERROR(INDEX(PP_Grid[#Data],$DD1218,60),0)</f>
        <v/>
      </c>
      <c r="BK1218">
        <f>IFERROR(INDEX(PP_Grid[#Data],$DD1218,61),0)</f>
        <v/>
      </c>
      <c r="BL1218">
        <f>IFERROR(INDEX(PP_Grid[#Data],$DD1218,62),0)</f>
        <v/>
      </c>
      <c r="BM1218">
        <f>IFERROR(INDEX(PP_Grid[#Data],$DD1218,63),0)</f>
        <v/>
      </c>
      <c r="BN1218">
        <f>IFERROR(INDEX(PP_Grid[#Data],$DD1218,64),0)</f>
        <v/>
      </c>
      <c r="BO1218">
        <f>IFERROR(INDEX(PP_Grid[#Data],$DD1218,65),0)</f>
        <v/>
      </c>
      <c r="BP1218">
        <f>IFERROR(INDEX(PP_Grid[#Data],$DD1218,66),0)</f>
        <v/>
      </c>
      <c r="BQ1218">
        <f>IFERROR(INDEX(PP_Grid[#Data],$DD1218,67),0)</f>
        <v/>
      </c>
      <c r="BR1218">
        <f>IFERROR(INDEX(PP_Grid[#Data],$DD1218,68),0)</f>
        <v/>
      </c>
      <c r="BS1218">
        <f>IFERROR(INDEX(PP_Grid[#Data],$DD1218,69),0)</f>
        <v/>
      </c>
      <c r="BT1218">
        <f>IFERROR(INDEX(PP_Grid[#Data],$DD1218,70),0)</f>
        <v/>
      </c>
      <c r="BU1218">
        <f>IFERROR(INDEX(PP_Grid[#Data],$DD1218,71),0)</f>
        <v/>
      </c>
      <c r="BV1218">
        <f>IFERROR(INDEX(PP_Grid[#Data],$DD1218,72),0)</f>
        <v/>
      </c>
      <c r="BW1218">
        <f>IFERROR(INDEX(PP_Grid[#Data],$DD1218,73),0)</f>
        <v/>
      </c>
      <c r="BX1218">
        <f>IFERROR(INDEX(PP_Grid[#Data],$DD1218,74),0)</f>
        <v/>
      </c>
      <c r="BY1218">
        <f>IFERROR(INDEX(PP_Grid[#Data],$DD1218,75),0)</f>
        <v/>
      </c>
      <c r="BZ1218">
        <f>IFERROR(INDEX(PP_Grid[#Data],$DD1218,76),0)</f>
        <v/>
      </c>
      <c r="CA1218">
        <f>IFERROR(INDEX(PP_Grid[#Data],$DD1218,77),0)</f>
        <v/>
      </c>
      <c r="CB1218">
        <f>IFERROR(INDEX(PP_Grid[#Data],$DD1218,78),0)</f>
        <v/>
      </c>
      <c r="CC1218">
        <f>IFERROR(INDEX(PP_Grid[#Data],$DD1218,79),0)</f>
        <v/>
      </c>
      <c r="CD1218">
        <f>IFERROR(INDEX(PP_Grid[#Data],$DD1218,80),0)</f>
        <v/>
      </c>
      <c r="CE1218">
        <f>IFERROR(INDEX(PP_Grid[#Data],$DD1218,81),0)</f>
        <v/>
      </c>
      <c r="CF1218">
        <f>IFERROR(INDEX(PP_Grid[#Data],$DD1218,82),0)</f>
        <v/>
      </c>
      <c r="CG1218">
        <f>IFERROR(INDEX(PP_Grid[#Data],$DD1218,83),0)</f>
        <v/>
      </c>
      <c r="CH1218">
        <f>IFERROR(INDEX(PP_Grid[#Data],$DD1218,84),0)</f>
        <v/>
      </c>
      <c r="CI1218">
        <f>IFERROR(INDEX(PP_Grid[#Data],$DD1218,85),0)</f>
        <v/>
      </c>
      <c r="CJ1218">
        <f>IFERROR(INDEX(PP_Grid[#Data],$DD1218,86),0)</f>
        <v/>
      </c>
      <c r="CK1218">
        <f>IFERROR(INDEX(PP_Grid[#Data],$DD1218,87),0)</f>
        <v/>
      </c>
      <c r="CL1218">
        <f>IFERROR(INDEX(PP_Grid[#Data],$DD1218,88),0)</f>
        <v/>
      </c>
      <c r="CM1218">
        <f>IFERROR(INDEX(PP_Grid[#Data],$DD1218,89),0)</f>
        <v/>
      </c>
      <c r="CN1218">
        <f>IFERROR(INDEX(PP_Grid[#Data],$DD1218,90),0)</f>
        <v/>
      </c>
      <c r="CO1218">
        <f>IFERROR(INDEX(PP_Grid[#Data],$DD1218,91),0)</f>
        <v/>
      </c>
      <c r="CP1218">
        <f>IFERROR(INDEX(PP_Grid[#Data],$DD1218,92),0)</f>
        <v/>
      </c>
      <c r="CQ1218">
        <f>IFERROR(INDEX(PP_Grid[#Data],$DD1218,93),0)</f>
        <v/>
      </c>
      <c r="CR1218">
        <f>IFERROR(INDEX(PP_Grid[#Data],$DD1218,94),0)</f>
        <v/>
      </c>
      <c r="CS1218">
        <f>IFERROR(INDEX(PP_Grid[#Data],$DD1218,95),0)</f>
        <v/>
      </c>
      <c r="CT1218">
        <f>IFERROR(INDEX(PP_Grid[#Data],$DD1218,96),0)</f>
        <v/>
      </c>
      <c r="CU1218">
        <f>IFERROR(INDEX(PP_Grid[#Data],$DD1218,97),0)</f>
        <v/>
      </c>
      <c r="CV1218">
        <f>IFERROR(INDEX(PP_Grid[#Data],$DD1218,98),0)</f>
        <v/>
      </c>
      <c r="CW1218">
        <f>IFERROR(INDEX(PP_Grid[#Data],$DD1218,99),0)</f>
        <v/>
      </c>
      <c r="CX1218">
        <f>IFERROR(INDEX(PP_Grid[#Data],$DD1218,100),0)</f>
        <v/>
      </c>
      <c r="CY1218">
        <f>IFERROR(INDEX(PP_Grid[#Data],$DD1218,101),0)</f>
        <v/>
      </c>
      <c r="CZ1218">
        <f>IFERROR(INDEX(PP_Grid[#Data],$DD1218,102),0)</f>
        <v/>
      </c>
      <c r="DA1218">
        <f>IFERROR(INDEX(PP_Grid[#Data],$DD1218,103),0)</f>
        <v/>
      </c>
      <c r="DB1218">
        <f>IFERROR(INDEX(PP_Grid[#Data],$DD1218,104),0)</f>
        <v/>
      </c>
      <c r="DC1218">
        <f>IFERROR(INDEX(PP_Grid[#Data],$DD1218,105),0)</f>
        <v/>
      </c>
      <c r="DD1218" s="12">
        <f>IFERROR(MATCH($B1218,PP_Grid[Intermediate],0),99999)</f>
        <v/>
      </c>
    </row>
    <row r="1219">
      <c r="B1219" t="inlineStr">
        <is>
          <t>使用量(kg)</t>
        </is>
      </c>
      <c r="C1219">
        <f>SUMIFS(M_BOM[RM_Qty_Per_Batch],M_BOM[Intermediate],$B1218,M_BOM[Part Name],$A1217)</f>
        <v/>
      </c>
      <c r="D1219">
        <f>$C1219*D1218</f>
        <v/>
      </c>
      <c r="E1219">
        <f>$C1219*E1218</f>
        <v/>
      </c>
      <c r="F1219">
        <f>$C1219*F1218</f>
        <v/>
      </c>
      <c r="G1219">
        <f>$C1219*G1218</f>
        <v/>
      </c>
      <c r="H1219">
        <f>$C1219*H1218</f>
        <v/>
      </c>
      <c r="I1219">
        <f>$C1219*I1218</f>
        <v/>
      </c>
      <c r="J1219">
        <f>$C1219*J1218</f>
        <v/>
      </c>
      <c r="K1219">
        <f>$C1219*K1218</f>
        <v/>
      </c>
      <c r="L1219">
        <f>$C1219*L1218</f>
        <v/>
      </c>
      <c r="M1219">
        <f>$C1219*M1218</f>
        <v/>
      </c>
      <c r="N1219">
        <f>$C1219*N1218</f>
        <v/>
      </c>
      <c r="O1219">
        <f>$C1219*O1218</f>
        <v/>
      </c>
      <c r="P1219">
        <f>$C1219*P1218</f>
        <v/>
      </c>
      <c r="Q1219">
        <f>$C1219*Q1218</f>
        <v/>
      </c>
      <c r="R1219">
        <f>$C1219*R1218</f>
        <v/>
      </c>
      <c r="S1219">
        <f>$C1219*S1218</f>
        <v/>
      </c>
      <c r="T1219">
        <f>$C1219*T1218</f>
        <v/>
      </c>
      <c r="U1219">
        <f>$C1219*U1218</f>
        <v/>
      </c>
      <c r="V1219">
        <f>$C1219*V1218</f>
        <v/>
      </c>
      <c r="W1219">
        <f>$C1219*W1218</f>
        <v/>
      </c>
      <c r="X1219">
        <f>$C1219*X1218</f>
        <v/>
      </c>
      <c r="Y1219">
        <f>$C1219*Y1218</f>
        <v/>
      </c>
      <c r="Z1219">
        <f>$C1219*Z1218</f>
        <v/>
      </c>
      <c r="AA1219">
        <f>$C1219*AA1218</f>
        <v/>
      </c>
      <c r="AB1219">
        <f>$C1219*AB1218</f>
        <v/>
      </c>
      <c r="AC1219">
        <f>$C1219*AC1218</f>
        <v/>
      </c>
      <c r="AD1219">
        <f>$C1219*AD1218</f>
        <v/>
      </c>
      <c r="AE1219">
        <f>$C1219*AE1218</f>
        <v/>
      </c>
      <c r="AF1219">
        <f>$C1219*AF1218</f>
        <v/>
      </c>
      <c r="AG1219">
        <f>$C1219*AG1218</f>
        <v/>
      </c>
      <c r="AH1219">
        <f>$C1219*AH1218</f>
        <v/>
      </c>
      <c r="AI1219">
        <f>$C1219*AI1218</f>
        <v/>
      </c>
      <c r="AJ1219">
        <f>$C1219*AJ1218</f>
        <v/>
      </c>
      <c r="AK1219">
        <f>$C1219*AK1218</f>
        <v/>
      </c>
      <c r="AL1219">
        <f>$C1219*AL1218</f>
        <v/>
      </c>
      <c r="AM1219">
        <f>$C1219*AM1218</f>
        <v/>
      </c>
      <c r="AN1219">
        <f>$C1219*AN1218</f>
        <v/>
      </c>
      <c r="AO1219">
        <f>$C1219*AO1218</f>
        <v/>
      </c>
      <c r="AP1219">
        <f>$C1219*AP1218</f>
        <v/>
      </c>
      <c r="AQ1219">
        <f>$C1219*AQ1218</f>
        <v/>
      </c>
      <c r="AR1219">
        <f>$C1219*AR1218</f>
        <v/>
      </c>
      <c r="AS1219">
        <f>$C1219*AS1218</f>
        <v/>
      </c>
      <c r="AT1219">
        <f>$C1219*AT1218</f>
        <v/>
      </c>
      <c r="AU1219">
        <f>$C1219*AU1218</f>
        <v/>
      </c>
      <c r="AV1219">
        <f>$C1219*AV1218</f>
        <v/>
      </c>
      <c r="AW1219">
        <f>$C1219*AW1218</f>
        <v/>
      </c>
      <c r="AX1219">
        <f>$C1219*AX1218</f>
        <v/>
      </c>
      <c r="AY1219">
        <f>$C1219*AY1218</f>
        <v/>
      </c>
      <c r="AZ1219">
        <f>$C1219*AZ1218</f>
        <v/>
      </c>
      <c r="BA1219">
        <f>$C1219*BA1218</f>
        <v/>
      </c>
      <c r="BB1219">
        <f>$C1219*BB1218</f>
        <v/>
      </c>
      <c r="BC1219">
        <f>$C1219*BC1218</f>
        <v/>
      </c>
      <c r="BD1219">
        <f>$C1219*BD1218</f>
        <v/>
      </c>
      <c r="BE1219">
        <f>$C1219*BE1218</f>
        <v/>
      </c>
      <c r="BF1219">
        <f>$C1219*BF1218</f>
        <v/>
      </c>
      <c r="BG1219">
        <f>$C1219*BG1218</f>
        <v/>
      </c>
      <c r="BH1219">
        <f>$C1219*BH1218</f>
        <v/>
      </c>
      <c r="BI1219">
        <f>$C1219*BI1218</f>
        <v/>
      </c>
      <c r="BJ1219">
        <f>$C1219*BJ1218</f>
        <v/>
      </c>
      <c r="BK1219">
        <f>$C1219*BK1218</f>
        <v/>
      </c>
      <c r="BL1219">
        <f>$C1219*BL1218</f>
        <v/>
      </c>
      <c r="BM1219">
        <f>$C1219*BM1218</f>
        <v/>
      </c>
      <c r="BN1219">
        <f>$C1219*BN1218</f>
        <v/>
      </c>
      <c r="BO1219">
        <f>$C1219*BO1218</f>
        <v/>
      </c>
      <c r="BP1219">
        <f>$C1219*BP1218</f>
        <v/>
      </c>
      <c r="BQ1219">
        <f>$C1219*BQ1218</f>
        <v/>
      </c>
      <c r="BR1219">
        <f>$C1219*BR1218</f>
        <v/>
      </c>
      <c r="BS1219">
        <f>$C1219*BS1218</f>
        <v/>
      </c>
      <c r="BT1219">
        <f>$C1219*BT1218</f>
        <v/>
      </c>
      <c r="BU1219">
        <f>$C1219*BU1218</f>
        <v/>
      </c>
      <c r="BV1219">
        <f>$C1219*BV1218</f>
        <v/>
      </c>
      <c r="BW1219">
        <f>$C1219*BW1218</f>
        <v/>
      </c>
      <c r="BX1219">
        <f>$C1219*BX1218</f>
        <v/>
      </c>
      <c r="BY1219">
        <f>$C1219*BY1218</f>
        <v/>
      </c>
      <c r="BZ1219">
        <f>$C1219*BZ1218</f>
        <v/>
      </c>
      <c r="CA1219">
        <f>$C1219*CA1218</f>
        <v/>
      </c>
      <c r="CB1219">
        <f>$C1219*CB1218</f>
        <v/>
      </c>
      <c r="CC1219">
        <f>$C1219*CC1218</f>
        <v/>
      </c>
      <c r="CD1219">
        <f>$C1219*CD1218</f>
        <v/>
      </c>
      <c r="CE1219">
        <f>$C1219*CE1218</f>
        <v/>
      </c>
      <c r="CF1219">
        <f>$C1219*CF1218</f>
        <v/>
      </c>
      <c r="CG1219">
        <f>$C1219*CG1218</f>
        <v/>
      </c>
      <c r="CH1219">
        <f>$C1219*CH1218</f>
        <v/>
      </c>
      <c r="CI1219">
        <f>$C1219*CI1218</f>
        <v/>
      </c>
      <c r="CJ1219">
        <f>$C1219*CJ1218</f>
        <v/>
      </c>
      <c r="CK1219">
        <f>$C1219*CK1218</f>
        <v/>
      </c>
      <c r="CL1219">
        <f>$C1219*CL1218</f>
        <v/>
      </c>
      <c r="CM1219">
        <f>$C1219*CM1218</f>
        <v/>
      </c>
      <c r="CN1219">
        <f>$C1219*CN1218</f>
        <v/>
      </c>
      <c r="CO1219">
        <f>$C1219*CO1218</f>
        <v/>
      </c>
      <c r="CP1219">
        <f>$C1219*CP1218</f>
        <v/>
      </c>
      <c r="CQ1219">
        <f>$C1219*CQ1218</f>
        <v/>
      </c>
      <c r="CR1219">
        <f>$C1219*CR1218</f>
        <v/>
      </c>
      <c r="CS1219">
        <f>$C1219*CS1218</f>
        <v/>
      </c>
      <c r="CT1219">
        <f>$C1219*CT1218</f>
        <v/>
      </c>
      <c r="CU1219">
        <f>$C1219*CU1218</f>
        <v/>
      </c>
      <c r="CV1219">
        <f>$C1219*CV1218</f>
        <v/>
      </c>
      <c r="CW1219">
        <f>$C1219*CW1218</f>
        <v/>
      </c>
      <c r="CX1219">
        <f>$C1219*CX1218</f>
        <v/>
      </c>
      <c r="CY1219">
        <f>$C1219*CY1218</f>
        <v/>
      </c>
      <c r="CZ1219">
        <f>$C1219*CZ1218</f>
        <v/>
      </c>
      <c r="DA1219">
        <f>$C1219*DA1218</f>
        <v/>
      </c>
      <c r="DB1219">
        <f>$C1219*DB1218</f>
        <v/>
      </c>
      <c r="DC1219">
        <f>$C1219*DC1218</f>
        <v/>
      </c>
    </row>
    <row r="1220">
      <c r="B1220" t="inlineStr">
        <is>
          <t>V17</t>
        </is>
      </c>
      <c r="C1220" t="inlineStr">
        <is>
          <t>No. of batches</t>
        </is>
      </c>
      <c r="D1220">
        <f>IFERROR(INDEX(PP_Grid[#Data],$DD1220,2),0)</f>
        <v/>
      </c>
      <c r="E1220">
        <f>IFERROR(INDEX(PP_Grid[#Data],$DD1220,3),0)</f>
        <v/>
      </c>
      <c r="F1220">
        <f>IFERROR(INDEX(PP_Grid[#Data],$DD1220,4),0)</f>
        <v/>
      </c>
      <c r="G1220">
        <f>IFERROR(INDEX(PP_Grid[#Data],$DD1220,5),0)</f>
        <v/>
      </c>
      <c r="H1220">
        <f>IFERROR(INDEX(PP_Grid[#Data],$DD1220,6),0)</f>
        <v/>
      </c>
      <c r="I1220">
        <f>IFERROR(INDEX(PP_Grid[#Data],$DD1220,7),0)</f>
        <v/>
      </c>
      <c r="J1220">
        <f>IFERROR(INDEX(PP_Grid[#Data],$DD1220,8),0)</f>
        <v/>
      </c>
      <c r="K1220">
        <f>IFERROR(INDEX(PP_Grid[#Data],$DD1220,9),0)</f>
        <v/>
      </c>
      <c r="L1220">
        <f>IFERROR(INDEX(PP_Grid[#Data],$DD1220,10),0)</f>
        <v/>
      </c>
      <c r="M1220">
        <f>IFERROR(INDEX(PP_Grid[#Data],$DD1220,11),0)</f>
        <v/>
      </c>
      <c r="N1220">
        <f>IFERROR(INDEX(PP_Grid[#Data],$DD1220,12),0)</f>
        <v/>
      </c>
      <c r="O1220">
        <f>IFERROR(INDEX(PP_Grid[#Data],$DD1220,13),0)</f>
        <v/>
      </c>
      <c r="P1220">
        <f>IFERROR(INDEX(PP_Grid[#Data],$DD1220,14),0)</f>
        <v/>
      </c>
      <c r="Q1220">
        <f>IFERROR(INDEX(PP_Grid[#Data],$DD1220,15),0)</f>
        <v/>
      </c>
      <c r="R1220">
        <f>IFERROR(INDEX(PP_Grid[#Data],$DD1220,16),0)</f>
        <v/>
      </c>
      <c r="S1220">
        <f>IFERROR(INDEX(PP_Grid[#Data],$DD1220,17),0)</f>
        <v/>
      </c>
      <c r="T1220">
        <f>IFERROR(INDEX(PP_Grid[#Data],$DD1220,18),0)</f>
        <v/>
      </c>
      <c r="U1220">
        <f>IFERROR(INDEX(PP_Grid[#Data],$DD1220,19),0)</f>
        <v/>
      </c>
      <c r="V1220">
        <f>IFERROR(INDEX(PP_Grid[#Data],$DD1220,20),0)</f>
        <v/>
      </c>
      <c r="W1220">
        <f>IFERROR(INDEX(PP_Grid[#Data],$DD1220,21),0)</f>
        <v/>
      </c>
      <c r="X1220">
        <f>IFERROR(INDEX(PP_Grid[#Data],$DD1220,22),0)</f>
        <v/>
      </c>
      <c r="Y1220">
        <f>IFERROR(INDEX(PP_Grid[#Data],$DD1220,23),0)</f>
        <v/>
      </c>
      <c r="Z1220">
        <f>IFERROR(INDEX(PP_Grid[#Data],$DD1220,24),0)</f>
        <v/>
      </c>
      <c r="AA1220">
        <f>IFERROR(INDEX(PP_Grid[#Data],$DD1220,25),0)</f>
        <v/>
      </c>
      <c r="AB1220">
        <f>IFERROR(INDEX(PP_Grid[#Data],$DD1220,26),0)</f>
        <v/>
      </c>
      <c r="AC1220">
        <f>IFERROR(INDEX(PP_Grid[#Data],$DD1220,27),0)</f>
        <v/>
      </c>
      <c r="AD1220">
        <f>IFERROR(INDEX(PP_Grid[#Data],$DD1220,28),0)</f>
        <v/>
      </c>
      <c r="AE1220">
        <f>IFERROR(INDEX(PP_Grid[#Data],$DD1220,29),0)</f>
        <v/>
      </c>
      <c r="AF1220">
        <f>IFERROR(INDEX(PP_Grid[#Data],$DD1220,30),0)</f>
        <v/>
      </c>
      <c r="AG1220">
        <f>IFERROR(INDEX(PP_Grid[#Data],$DD1220,31),0)</f>
        <v/>
      </c>
      <c r="AH1220">
        <f>IFERROR(INDEX(PP_Grid[#Data],$DD1220,32),0)</f>
        <v/>
      </c>
      <c r="AI1220">
        <f>IFERROR(INDEX(PP_Grid[#Data],$DD1220,33),0)</f>
        <v/>
      </c>
      <c r="AJ1220">
        <f>IFERROR(INDEX(PP_Grid[#Data],$DD1220,34),0)</f>
        <v/>
      </c>
      <c r="AK1220">
        <f>IFERROR(INDEX(PP_Grid[#Data],$DD1220,35),0)</f>
        <v/>
      </c>
      <c r="AL1220">
        <f>IFERROR(INDEX(PP_Grid[#Data],$DD1220,36),0)</f>
        <v/>
      </c>
      <c r="AM1220">
        <f>IFERROR(INDEX(PP_Grid[#Data],$DD1220,37),0)</f>
        <v/>
      </c>
      <c r="AN1220">
        <f>IFERROR(INDEX(PP_Grid[#Data],$DD1220,38),0)</f>
        <v/>
      </c>
      <c r="AO1220">
        <f>IFERROR(INDEX(PP_Grid[#Data],$DD1220,39),0)</f>
        <v/>
      </c>
      <c r="AP1220">
        <f>IFERROR(INDEX(PP_Grid[#Data],$DD1220,40),0)</f>
        <v/>
      </c>
      <c r="AQ1220">
        <f>IFERROR(INDEX(PP_Grid[#Data],$DD1220,41),0)</f>
        <v/>
      </c>
      <c r="AR1220">
        <f>IFERROR(INDEX(PP_Grid[#Data],$DD1220,42),0)</f>
        <v/>
      </c>
      <c r="AS1220">
        <f>IFERROR(INDEX(PP_Grid[#Data],$DD1220,43),0)</f>
        <v/>
      </c>
      <c r="AT1220">
        <f>IFERROR(INDEX(PP_Grid[#Data],$DD1220,44),0)</f>
        <v/>
      </c>
      <c r="AU1220">
        <f>IFERROR(INDEX(PP_Grid[#Data],$DD1220,45),0)</f>
        <v/>
      </c>
      <c r="AV1220">
        <f>IFERROR(INDEX(PP_Grid[#Data],$DD1220,46),0)</f>
        <v/>
      </c>
      <c r="AW1220">
        <f>IFERROR(INDEX(PP_Grid[#Data],$DD1220,47),0)</f>
        <v/>
      </c>
      <c r="AX1220">
        <f>IFERROR(INDEX(PP_Grid[#Data],$DD1220,48),0)</f>
        <v/>
      </c>
      <c r="AY1220">
        <f>IFERROR(INDEX(PP_Grid[#Data],$DD1220,49),0)</f>
        <v/>
      </c>
      <c r="AZ1220">
        <f>IFERROR(INDEX(PP_Grid[#Data],$DD1220,50),0)</f>
        <v/>
      </c>
      <c r="BA1220">
        <f>IFERROR(INDEX(PP_Grid[#Data],$DD1220,51),0)</f>
        <v/>
      </c>
      <c r="BB1220">
        <f>IFERROR(INDEX(PP_Grid[#Data],$DD1220,52),0)</f>
        <v/>
      </c>
      <c r="BC1220">
        <f>IFERROR(INDEX(PP_Grid[#Data],$DD1220,53),0)</f>
        <v/>
      </c>
      <c r="BD1220">
        <f>IFERROR(INDEX(PP_Grid[#Data],$DD1220,54),0)</f>
        <v/>
      </c>
      <c r="BE1220">
        <f>IFERROR(INDEX(PP_Grid[#Data],$DD1220,55),0)</f>
        <v/>
      </c>
      <c r="BF1220">
        <f>IFERROR(INDEX(PP_Grid[#Data],$DD1220,56),0)</f>
        <v/>
      </c>
      <c r="BG1220">
        <f>IFERROR(INDEX(PP_Grid[#Data],$DD1220,57),0)</f>
        <v/>
      </c>
      <c r="BH1220">
        <f>IFERROR(INDEX(PP_Grid[#Data],$DD1220,58),0)</f>
        <v/>
      </c>
      <c r="BI1220">
        <f>IFERROR(INDEX(PP_Grid[#Data],$DD1220,59),0)</f>
        <v/>
      </c>
      <c r="BJ1220">
        <f>IFERROR(INDEX(PP_Grid[#Data],$DD1220,60),0)</f>
        <v/>
      </c>
      <c r="BK1220">
        <f>IFERROR(INDEX(PP_Grid[#Data],$DD1220,61),0)</f>
        <v/>
      </c>
      <c r="BL1220">
        <f>IFERROR(INDEX(PP_Grid[#Data],$DD1220,62),0)</f>
        <v/>
      </c>
      <c r="BM1220">
        <f>IFERROR(INDEX(PP_Grid[#Data],$DD1220,63),0)</f>
        <v/>
      </c>
      <c r="BN1220">
        <f>IFERROR(INDEX(PP_Grid[#Data],$DD1220,64),0)</f>
        <v/>
      </c>
      <c r="BO1220">
        <f>IFERROR(INDEX(PP_Grid[#Data],$DD1220,65),0)</f>
        <v/>
      </c>
      <c r="BP1220">
        <f>IFERROR(INDEX(PP_Grid[#Data],$DD1220,66),0)</f>
        <v/>
      </c>
      <c r="BQ1220">
        <f>IFERROR(INDEX(PP_Grid[#Data],$DD1220,67),0)</f>
        <v/>
      </c>
      <c r="BR1220">
        <f>IFERROR(INDEX(PP_Grid[#Data],$DD1220,68),0)</f>
        <v/>
      </c>
      <c r="BS1220">
        <f>IFERROR(INDEX(PP_Grid[#Data],$DD1220,69),0)</f>
        <v/>
      </c>
      <c r="BT1220">
        <f>IFERROR(INDEX(PP_Grid[#Data],$DD1220,70),0)</f>
        <v/>
      </c>
      <c r="BU1220">
        <f>IFERROR(INDEX(PP_Grid[#Data],$DD1220,71),0)</f>
        <v/>
      </c>
      <c r="BV1220">
        <f>IFERROR(INDEX(PP_Grid[#Data],$DD1220,72),0)</f>
        <v/>
      </c>
      <c r="BW1220">
        <f>IFERROR(INDEX(PP_Grid[#Data],$DD1220,73),0)</f>
        <v/>
      </c>
      <c r="BX1220">
        <f>IFERROR(INDEX(PP_Grid[#Data],$DD1220,74),0)</f>
        <v/>
      </c>
      <c r="BY1220">
        <f>IFERROR(INDEX(PP_Grid[#Data],$DD1220,75),0)</f>
        <v/>
      </c>
      <c r="BZ1220">
        <f>IFERROR(INDEX(PP_Grid[#Data],$DD1220,76),0)</f>
        <v/>
      </c>
      <c r="CA1220">
        <f>IFERROR(INDEX(PP_Grid[#Data],$DD1220,77),0)</f>
        <v/>
      </c>
      <c r="CB1220">
        <f>IFERROR(INDEX(PP_Grid[#Data],$DD1220,78),0)</f>
        <v/>
      </c>
      <c r="CC1220">
        <f>IFERROR(INDEX(PP_Grid[#Data],$DD1220,79),0)</f>
        <v/>
      </c>
      <c r="CD1220">
        <f>IFERROR(INDEX(PP_Grid[#Data],$DD1220,80),0)</f>
        <v/>
      </c>
      <c r="CE1220">
        <f>IFERROR(INDEX(PP_Grid[#Data],$DD1220,81),0)</f>
        <v/>
      </c>
      <c r="CF1220">
        <f>IFERROR(INDEX(PP_Grid[#Data],$DD1220,82),0)</f>
        <v/>
      </c>
      <c r="CG1220">
        <f>IFERROR(INDEX(PP_Grid[#Data],$DD1220,83),0)</f>
        <v/>
      </c>
      <c r="CH1220">
        <f>IFERROR(INDEX(PP_Grid[#Data],$DD1220,84),0)</f>
        <v/>
      </c>
      <c r="CI1220">
        <f>IFERROR(INDEX(PP_Grid[#Data],$DD1220,85),0)</f>
        <v/>
      </c>
      <c r="CJ1220">
        <f>IFERROR(INDEX(PP_Grid[#Data],$DD1220,86),0)</f>
        <v/>
      </c>
      <c r="CK1220">
        <f>IFERROR(INDEX(PP_Grid[#Data],$DD1220,87),0)</f>
        <v/>
      </c>
      <c r="CL1220">
        <f>IFERROR(INDEX(PP_Grid[#Data],$DD1220,88),0)</f>
        <v/>
      </c>
      <c r="CM1220">
        <f>IFERROR(INDEX(PP_Grid[#Data],$DD1220,89),0)</f>
        <v/>
      </c>
      <c r="CN1220">
        <f>IFERROR(INDEX(PP_Grid[#Data],$DD1220,90),0)</f>
        <v/>
      </c>
      <c r="CO1220">
        <f>IFERROR(INDEX(PP_Grid[#Data],$DD1220,91),0)</f>
        <v/>
      </c>
      <c r="CP1220">
        <f>IFERROR(INDEX(PP_Grid[#Data],$DD1220,92),0)</f>
        <v/>
      </c>
      <c r="CQ1220">
        <f>IFERROR(INDEX(PP_Grid[#Data],$DD1220,93),0)</f>
        <v/>
      </c>
      <c r="CR1220">
        <f>IFERROR(INDEX(PP_Grid[#Data],$DD1220,94),0)</f>
        <v/>
      </c>
      <c r="CS1220">
        <f>IFERROR(INDEX(PP_Grid[#Data],$DD1220,95),0)</f>
        <v/>
      </c>
      <c r="CT1220">
        <f>IFERROR(INDEX(PP_Grid[#Data],$DD1220,96),0)</f>
        <v/>
      </c>
      <c r="CU1220">
        <f>IFERROR(INDEX(PP_Grid[#Data],$DD1220,97),0)</f>
        <v/>
      </c>
      <c r="CV1220">
        <f>IFERROR(INDEX(PP_Grid[#Data],$DD1220,98),0)</f>
        <v/>
      </c>
      <c r="CW1220">
        <f>IFERROR(INDEX(PP_Grid[#Data],$DD1220,99),0)</f>
        <v/>
      </c>
      <c r="CX1220">
        <f>IFERROR(INDEX(PP_Grid[#Data],$DD1220,100),0)</f>
        <v/>
      </c>
      <c r="CY1220">
        <f>IFERROR(INDEX(PP_Grid[#Data],$DD1220,101),0)</f>
        <v/>
      </c>
      <c r="CZ1220">
        <f>IFERROR(INDEX(PP_Grid[#Data],$DD1220,102),0)</f>
        <v/>
      </c>
      <c r="DA1220">
        <f>IFERROR(INDEX(PP_Grid[#Data],$DD1220,103),0)</f>
        <v/>
      </c>
      <c r="DB1220">
        <f>IFERROR(INDEX(PP_Grid[#Data],$DD1220,104),0)</f>
        <v/>
      </c>
      <c r="DC1220">
        <f>IFERROR(INDEX(PP_Grid[#Data],$DD1220,105),0)</f>
        <v/>
      </c>
      <c r="DD1220" s="12">
        <f>IFERROR(MATCH($B1220,PP_Grid[Intermediate],0),99999)</f>
        <v/>
      </c>
    </row>
    <row r="1221">
      <c r="B1221" t="inlineStr">
        <is>
          <t>使用量(kg)</t>
        </is>
      </c>
      <c r="C1221">
        <f>SUMIFS(M_BOM[RM_Qty_Per_Batch],M_BOM[Intermediate],$B1220,M_BOM[Part Name],$A1217)</f>
        <v/>
      </c>
      <c r="D1221">
        <f>$C1221*D1220</f>
        <v/>
      </c>
      <c r="E1221">
        <f>$C1221*E1220</f>
        <v/>
      </c>
      <c r="F1221">
        <f>$C1221*F1220</f>
        <v/>
      </c>
      <c r="G1221">
        <f>$C1221*G1220</f>
        <v/>
      </c>
      <c r="H1221">
        <f>$C1221*H1220</f>
        <v/>
      </c>
      <c r="I1221">
        <f>$C1221*I1220</f>
        <v/>
      </c>
      <c r="J1221">
        <f>$C1221*J1220</f>
        <v/>
      </c>
      <c r="K1221">
        <f>$C1221*K1220</f>
        <v/>
      </c>
      <c r="L1221">
        <f>$C1221*L1220</f>
        <v/>
      </c>
      <c r="M1221">
        <f>$C1221*M1220</f>
        <v/>
      </c>
      <c r="N1221">
        <f>$C1221*N1220</f>
        <v/>
      </c>
      <c r="O1221">
        <f>$C1221*O1220</f>
        <v/>
      </c>
      <c r="P1221">
        <f>$C1221*P1220</f>
        <v/>
      </c>
      <c r="Q1221">
        <f>$C1221*Q1220</f>
        <v/>
      </c>
      <c r="R1221">
        <f>$C1221*R1220</f>
        <v/>
      </c>
      <c r="S1221">
        <f>$C1221*S1220</f>
        <v/>
      </c>
      <c r="T1221">
        <f>$C1221*T1220</f>
        <v/>
      </c>
      <c r="U1221">
        <f>$C1221*U1220</f>
        <v/>
      </c>
      <c r="V1221">
        <f>$C1221*V1220</f>
        <v/>
      </c>
      <c r="W1221">
        <f>$C1221*W1220</f>
        <v/>
      </c>
      <c r="X1221">
        <f>$C1221*X1220</f>
        <v/>
      </c>
      <c r="Y1221">
        <f>$C1221*Y1220</f>
        <v/>
      </c>
      <c r="Z1221">
        <f>$C1221*Z1220</f>
        <v/>
      </c>
      <c r="AA1221">
        <f>$C1221*AA1220</f>
        <v/>
      </c>
      <c r="AB1221">
        <f>$C1221*AB1220</f>
        <v/>
      </c>
      <c r="AC1221">
        <f>$C1221*AC1220</f>
        <v/>
      </c>
      <c r="AD1221">
        <f>$C1221*AD1220</f>
        <v/>
      </c>
      <c r="AE1221">
        <f>$C1221*AE1220</f>
        <v/>
      </c>
      <c r="AF1221">
        <f>$C1221*AF1220</f>
        <v/>
      </c>
      <c r="AG1221">
        <f>$C1221*AG1220</f>
        <v/>
      </c>
      <c r="AH1221">
        <f>$C1221*AH1220</f>
        <v/>
      </c>
      <c r="AI1221">
        <f>$C1221*AI1220</f>
        <v/>
      </c>
      <c r="AJ1221">
        <f>$C1221*AJ1220</f>
        <v/>
      </c>
      <c r="AK1221">
        <f>$C1221*AK1220</f>
        <v/>
      </c>
      <c r="AL1221">
        <f>$C1221*AL1220</f>
        <v/>
      </c>
      <c r="AM1221">
        <f>$C1221*AM1220</f>
        <v/>
      </c>
      <c r="AN1221">
        <f>$C1221*AN1220</f>
        <v/>
      </c>
      <c r="AO1221">
        <f>$C1221*AO1220</f>
        <v/>
      </c>
      <c r="AP1221">
        <f>$C1221*AP1220</f>
        <v/>
      </c>
      <c r="AQ1221">
        <f>$C1221*AQ1220</f>
        <v/>
      </c>
      <c r="AR1221">
        <f>$C1221*AR1220</f>
        <v/>
      </c>
      <c r="AS1221">
        <f>$C1221*AS1220</f>
        <v/>
      </c>
      <c r="AT1221">
        <f>$C1221*AT1220</f>
        <v/>
      </c>
      <c r="AU1221">
        <f>$C1221*AU1220</f>
        <v/>
      </c>
      <c r="AV1221">
        <f>$C1221*AV1220</f>
        <v/>
      </c>
      <c r="AW1221">
        <f>$C1221*AW1220</f>
        <v/>
      </c>
      <c r="AX1221">
        <f>$C1221*AX1220</f>
        <v/>
      </c>
      <c r="AY1221">
        <f>$C1221*AY1220</f>
        <v/>
      </c>
      <c r="AZ1221">
        <f>$C1221*AZ1220</f>
        <v/>
      </c>
      <c r="BA1221">
        <f>$C1221*BA1220</f>
        <v/>
      </c>
      <c r="BB1221">
        <f>$C1221*BB1220</f>
        <v/>
      </c>
      <c r="BC1221">
        <f>$C1221*BC1220</f>
        <v/>
      </c>
      <c r="BD1221">
        <f>$C1221*BD1220</f>
        <v/>
      </c>
      <c r="BE1221">
        <f>$C1221*BE1220</f>
        <v/>
      </c>
      <c r="BF1221">
        <f>$C1221*BF1220</f>
        <v/>
      </c>
      <c r="BG1221">
        <f>$C1221*BG1220</f>
        <v/>
      </c>
      <c r="BH1221">
        <f>$C1221*BH1220</f>
        <v/>
      </c>
      <c r="BI1221">
        <f>$C1221*BI1220</f>
        <v/>
      </c>
      <c r="BJ1221">
        <f>$C1221*BJ1220</f>
        <v/>
      </c>
      <c r="BK1221">
        <f>$C1221*BK1220</f>
        <v/>
      </c>
      <c r="BL1221">
        <f>$C1221*BL1220</f>
        <v/>
      </c>
      <c r="BM1221">
        <f>$C1221*BM1220</f>
        <v/>
      </c>
      <c r="BN1221">
        <f>$C1221*BN1220</f>
        <v/>
      </c>
      <c r="BO1221">
        <f>$C1221*BO1220</f>
        <v/>
      </c>
      <c r="BP1221">
        <f>$C1221*BP1220</f>
        <v/>
      </c>
      <c r="BQ1221">
        <f>$C1221*BQ1220</f>
        <v/>
      </c>
      <c r="BR1221">
        <f>$C1221*BR1220</f>
        <v/>
      </c>
      <c r="BS1221">
        <f>$C1221*BS1220</f>
        <v/>
      </c>
      <c r="BT1221">
        <f>$C1221*BT1220</f>
        <v/>
      </c>
      <c r="BU1221">
        <f>$C1221*BU1220</f>
        <v/>
      </c>
      <c r="BV1221">
        <f>$C1221*BV1220</f>
        <v/>
      </c>
      <c r="BW1221">
        <f>$C1221*BW1220</f>
        <v/>
      </c>
      <c r="BX1221">
        <f>$C1221*BX1220</f>
        <v/>
      </c>
      <c r="BY1221">
        <f>$C1221*BY1220</f>
        <v/>
      </c>
      <c r="BZ1221">
        <f>$C1221*BZ1220</f>
        <v/>
      </c>
      <c r="CA1221">
        <f>$C1221*CA1220</f>
        <v/>
      </c>
      <c r="CB1221">
        <f>$C1221*CB1220</f>
        <v/>
      </c>
      <c r="CC1221">
        <f>$C1221*CC1220</f>
        <v/>
      </c>
      <c r="CD1221">
        <f>$C1221*CD1220</f>
        <v/>
      </c>
      <c r="CE1221">
        <f>$C1221*CE1220</f>
        <v/>
      </c>
      <c r="CF1221">
        <f>$C1221*CF1220</f>
        <v/>
      </c>
      <c r="CG1221">
        <f>$C1221*CG1220</f>
        <v/>
      </c>
      <c r="CH1221">
        <f>$C1221*CH1220</f>
        <v/>
      </c>
      <c r="CI1221">
        <f>$C1221*CI1220</f>
        <v/>
      </c>
      <c r="CJ1221">
        <f>$C1221*CJ1220</f>
        <v/>
      </c>
      <c r="CK1221">
        <f>$C1221*CK1220</f>
        <v/>
      </c>
      <c r="CL1221">
        <f>$C1221*CL1220</f>
        <v/>
      </c>
      <c r="CM1221">
        <f>$C1221*CM1220</f>
        <v/>
      </c>
      <c r="CN1221">
        <f>$C1221*CN1220</f>
        <v/>
      </c>
      <c r="CO1221">
        <f>$C1221*CO1220</f>
        <v/>
      </c>
      <c r="CP1221">
        <f>$C1221*CP1220</f>
        <v/>
      </c>
      <c r="CQ1221">
        <f>$C1221*CQ1220</f>
        <v/>
      </c>
      <c r="CR1221">
        <f>$C1221*CR1220</f>
        <v/>
      </c>
      <c r="CS1221">
        <f>$C1221*CS1220</f>
        <v/>
      </c>
      <c r="CT1221">
        <f>$C1221*CT1220</f>
        <v/>
      </c>
      <c r="CU1221">
        <f>$C1221*CU1220</f>
        <v/>
      </c>
      <c r="CV1221">
        <f>$C1221*CV1220</f>
        <v/>
      </c>
      <c r="CW1221">
        <f>$C1221*CW1220</f>
        <v/>
      </c>
      <c r="CX1221">
        <f>$C1221*CX1220</f>
        <v/>
      </c>
      <c r="CY1221">
        <f>$C1221*CY1220</f>
        <v/>
      </c>
      <c r="CZ1221">
        <f>$C1221*CZ1220</f>
        <v/>
      </c>
      <c r="DA1221">
        <f>$C1221*DA1220</f>
        <v/>
      </c>
      <c r="DB1221">
        <f>$C1221*DB1220</f>
        <v/>
      </c>
      <c r="DC1221">
        <f>$C1221*DC1220</f>
        <v/>
      </c>
    </row>
    <row r="1222">
      <c r="B1222" t="inlineStr">
        <is>
          <t>V18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Name],$A1217)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s="5" t="inlineStr">
        <is>
          <t>合計使用量(kg)/週</t>
        </is>
      </c>
      <c r="D1224">
        <f>'Grid_Requirement'!B16</f>
        <v/>
      </c>
      <c r="E1224">
        <f>'Grid_Requirement'!C16</f>
        <v/>
      </c>
      <c r="F1224">
        <f>'Grid_Requirement'!D16</f>
        <v/>
      </c>
      <c r="G1224">
        <f>'Grid_Requirement'!E16</f>
        <v/>
      </c>
      <c r="H1224">
        <f>'Grid_Requirement'!F16</f>
        <v/>
      </c>
      <c r="I1224">
        <f>'Grid_Requirement'!G16</f>
        <v/>
      </c>
      <c r="J1224">
        <f>'Grid_Requirement'!H16</f>
        <v/>
      </c>
      <c r="K1224">
        <f>'Grid_Requirement'!I16</f>
        <v/>
      </c>
      <c r="L1224">
        <f>'Grid_Requirement'!J16</f>
        <v/>
      </c>
      <c r="M1224">
        <f>'Grid_Requirement'!K16</f>
        <v/>
      </c>
      <c r="N1224">
        <f>'Grid_Requirement'!L16</f>
        <v/>
      </c>
      <c r="O1224">
        <f>'Grid_Requirement'!M16</f>
        <v/>
      </c>
      <c r="P1224">
        <f>'Grid_Requirement'!N16</f>
        <v/>
      </c>
      <c r="Q1224">
        <f>'Grid_Requirement'!O16</f>
        <v/>
      </c>
      <c r="R1224">
        <f>'Grid_Requirement'!P16</f>
        <v/>
      </c>
      <c r="S1224">
        <f>'Grid_Requirement'!Q16</f>
        <v/>
      </c>
      <c r="T1224">
        <f>'Grid_Requirement'!R16</f>
        <v/>
      </c>
      <c r="U1224">
        <f>'Grid_Requirement'!S16</f>
        <v/>
      </c>
      <c r="V1224">
        <f>'Grid_Requirement'!T16</f>
        <v/>
      </c>
      <c r="W1224">
        <f>'Grid_Requirement'!U16</f>
        <v/>
      </c>
      <c r="X1224">
        <f>'Grid_Requirement'!V16</f>
        <v/>
      </c>
      <c r="Y1224">
        <f>'Grid_Requirement'!W16</f>
        <v/>
      </c>
      <c r="Z1224">
        <f>'Grid_Requirement'!X16</f>
        <v/>
      </c>
      <c r="AA1224">
        <f>'Grid_Requirement'!Y16</f>
        <v/>
      </c>
      <c r="AB1224">
        <f>'Grid_Requirement'!Z16</f>
        <v/>
      </c>
      <c r="AC1224">
        <f>'Grid_Requirement'!AA16</f>
        <v/>
      </c>
      <c r="AD1224">
        <f>'Grid_Requirement'!AB16</f>
        <v/>
      </c>
      <c r="AE1224">
        <f>'Grid_Requirement'!AC16</f>
        <v/>
      </c>
      <c r="AF1224">
        <f>'Grid_Requirement'!AD16</f>
        <v/>
      </c>
      <c r="AG1224">
        <f>'Grid_Requirement'!AE16</f>
        <v/>
      </c>
      <c r="AH1224">
        <f>'Grid_Requirement'!AF16</f>
        <v/>
      </c>
      <c r="AI1224">
        <f>'Grid_Requirement'!AG16</f>
        <v/>
      </c>
      <c r="AJ1224">
        <f>'Grid_Requirement'!AH16</f>
        <v/>
      </c>
      <c r="AK1224">
        <f>'Grid_Requirement'!AI16</f>
        <v/>
      </c>
      <c r="AL1224">
        <f>'Grid_Requirement'!AJ16</f>
        <v/>
      </c>
      <c r="AM1224">
        <f>'Grid_Requirement'!AK16</f>
        <v/>
      </c>
      <c r="AN1224">
        <f>'Grid_Requirement'!AL16</f>
        <v/>
      </c>
      <c r="AO1224">
        <f>'Grid_Requirement'!AM16</f>
        <v/>
      </c>
      <c r="AP1224">
        <f>'Grid_Requirement'!AN16</f>
        <v/>
      </c>
      <c r="AQ1224">
        <f>'Grid_Requirement'!AO16</f>
        <v/>
      </c>
      <c r="AR1224">
        <f>'Grid_Requirement'!AP16</f>
        <v/>
      </c>
      <c r="AS1224">
        <f>'Grid_Requirement'!AQ16</f>
        <v/>
      </c>
      <c r="AT1224">
        <f>'Grid_Requirement'!AR16</f>
        <v/>
      </c>
      <c r="AU1224">
        <f>'Grid_Requirement'!AS16</f>
        <v/>
      </c>
      <c r="AV1224">
        <f>'Grid_Requirement'!AT16</f>
        <v/>
      </c>
      <c r="AW1224">
        <f>'Grid_Requirement'!AU16</f>
        <v/>
      </c>
      <c r="AX1224">
        <f>'Grid_Requirement'!AV16</f>
        <v/>
      </c>
      <c r="AY1224">
        <f>'Grid_Requirement'!AW16</f>
        <v/>
      </c>
      <c r="AZ1224">
        <f>'Grid_Requirement'!AX16</f>
        <v/>
      </c>
      <c r="BA1224">
        <f>'Grid_Requirement'!AY16</f>
        <v/>
      </c>
      <c r="BB1224">
        <f>'Grid_Requirement'!AZ16</f>
        <v/>
      </c>
      <c r="BC1224">
        <f>'Grid_Requirement'!BA16</f>
        <v/>
      </c>
      <c r="BD1224">
        <f>'Grid_Requirement'!BB16</f>
        <v/>
      </c>
      <c r="BE1224">
        <f>'Grid_Requirement'!BC16</f>
        <v/>
      </c>
      <c r="BF1224">
        <f>'Grid_Requirement'!BD16</f>
        <v/>
      </c>
      <c r="BG1224">
        <f>'Grid_Requirement'!BE16</f>
        <v/>
      </c>
      <c r="BH1224">
        <f>'Grid_Requirement'!BF16</f>
        <v/>
      </c>
      <c r="BI1224">
        <f>'Grid_Requirement'!BG16</f>
        <v/>
      </c>
      <c r="BJ1224">
        <f>'Grid_Requirement'!BH16</f>
        <v/>
      </c>
      <c r="BK1224">
        <f>'Grid_Requirement'!BI16</f>
        <v/>
      </c>
      <c r="BL1224">
        <f>'Grid_Requirement'!BJ16</f>
        <v/>
      </c>
      <c r="BM1224">
        <f>'Grid_Requirement'!BK16</f>
        <v/>
      </c>
      <c r="BN1224">
        <f>'Grid_Requirement'!BL16</f>
        <v/>
      </c>
      <c r="BO1224">
        <f>'Grid_Requirement'!BM16</f>
        <v/>
      </c>
      <c r="BP1224">
        <f>'Grid_Requirement'!BN16</f>
        <v/>
      </c>
      <c r="BQ1224">
        <f>'Grid_Requirement'!BO16</f>
        <v/>
      </c>
      <c r="BR1224">
        <f>'Grid_Requirement'!BP16</f>
        <v/>
      </c>
      <c r="BS1224">
        <f>'Grid_Requirement'!BQ16</f>
        <v/>
      </c>
      <c r="BT1224">
        <f>'Grid_Requirement'!BR16</f>
        <v/>
      </c>
      <c r="BU1224">
        <f>'Grid_Requirement'!BS16</f>
        <v/>
      </c>
      <c r="BV1224">
        <f>'Grid_Requirement'!BT16</f>
        <v/>
      </c>
      <c r="BW1224">
        <f>'Grid_Requirement'!BU16</f>
        <v/>
      </c>
      <c r="BX1224">
        <f>'Grid_Requirement'!BV16</f>
        <v/>
      </c>
      <c r="BY1224">
        <f>'Grid_Requirement'!BW16</f>
        <v/>
      </c>
      <c r="BZ1224">
        <f>'Grid_Requirement'!BX16</f>
        <v/>
      </c>
      <c r="CA1224">
        <f>'Grid_Requirement'!BY16</f>
        <v/>
      </c>
      <c r="CB1224">
        <f>'Grid_Requirement'!BZ16</f>
        <v/>
      </c>
      <c r="CC1224">
        <f>'Grid_Requirement'!CA16</f>
        <v/>
      </c>
      <c r="CD1224">
        <f>'Grid_Requirement'!CB16</f>
        <v/>
      </c>
      <c r="CE1224">
        <f>'Grid_Requirement'!CC16</f>
        <v/>
      </c>
      <c r="CF1224">
        <f>'Grid_Requirement'!CD16</f>
        <v/>
      </c>
      <c r="CG1224">
        <f>'Grid_Requirement'!CE16</f>
        <v/>
      </c>
      <c r="CH1224">
        <f>'Grid_Requirement'!CF16</f>
        <v/>
      </c>
      <c r="CI1224">
        <f>'Grid_Requirement'!CG16</f>
        <v/>
      </c>
      <c r="CJ1224">
        <f>'Grid_Requirement'!CH16</f>
        <v/>
      </c>
      <c r="CK1224">
        <f>'Grid_Requirement'!CI16</f>
        <v/>
      </c>
      <c r="CL1224">
        <f>'Grid_Requirement'!CJ16</f>
        <v/>
      </c>
      <c r="CM1224">
        <f>'Grid_Requirement'!CK16</f>
        <v/>
      </c>
      <c r="CN1224">
        <f>'Grid_Requirement'!CL16</f>
        <v/>
      </c>
      <c r="CO1224">
        <f>'Grid_Requirement'!CM16</f>
        <v/>
      </c>
      <c r="CP1224">
        <f>'Grid_Requirement'!CN16</f>
        <v/>
      </c>
      <c r="CQ1224">
        <f>'Grid_Requirement'!CO16</f>
        <v/>
      </c>
      <c r="CR1224">
        <f>'Grid_Requirement'!CP16</f>
        <v/>
      </c>
      <c r="CS1224">
        <f>'Grid_Requirement'!CQ16</f>
        <v/>
      </c>
      <c r="CT1224">
        <f>'Grid_Requirement'!CR16</f>
        <v/>
      </c>
      <c r="CU1224">
        <f>'Grid_Requirement'!CS16</f>
        <v/>
      </c>
      <c r="CV1224">
        <f>'Grid_Requirement'!CT16</f>
        <v/>
      </c>
      <c r="CW1224">
        <f>'Grid_Requirement'!CU16</f>
        <v/>
      </c>
      <c r="CX1224">
        <f>'Grid_Requirement'!CV16</f>
        <v/>
      </c>
      <c r="CY1224">
        <f>'Grid_Requirement'!CW16</f>
        <v/>
      </c>
      <c r="CZ1224">
        <f>'Grid_Requirement'!CX16</f>
        <v/>
      </c>
      <c r="DA1224">
        <f>'Grid_Requirement'!CY16</f>
        <v/>
      </c>
      <c r="DB1224">
        <f>'Grid_Requirement'!CZ16</f>
        <v/>
      </c>
      <c r="DC1224">
        <f>'Grid_Requirement'!DA16</f>
        <v/>
      </c>
    </row>
    <row r="1225">
      <c r="B1225" t="inlineStr">
        <is>
          <t>TTAF在庫(実績,kg)</t>
        </is>
      </c>
      <c r="D1225">
        <f>'T_TTAFStock'!B20</f>
        <v/>
      </c>
      <c r="E1225">
        <f>'T_TTAFStock'!C20</f>
        <v/>
      </c>
      <c r="F1225">
        <f>'T_TTAFStock'!D20</f>
        <v/>
      </c>
      <c r="G1225">
        <f>'T_TTAFStock'!E20</f>
        <v/>
      </c>
      <c r="H1225">
        <f>'T_TTAFStock'!F20</f>
        <v/>
      </c>
      <c r="I1225">
        <f>'T_TTAFStock'!G20</f>
        <v/>
      </c>
      <c r="J1225">
        <f>'T_TTAFStock'!H20</f>
        <v/>
      </c>
      <c r="K1225">
        <f>'T_TTAFStock'!I20</f>
        <v/>
      </c>
      <c r="L1225">
        <f>'T_TTAFStock'!J20</f>
        <v/>
      </c>
      <c r="M1225">
        <f>'T_TTAFStock'!K20</f>
        <v/>
      </c>
      <c r="N1225">
        <f>'T_TTAFStock'!L20</f>
        <v/>
      </c>
      <c r="O1225">
        <f>'T_TTAFStock'!M20</f>
        <v/>
      </c>
      <c r="P1225">
        <f>'T_TTAFStock'!N20</f>
        <v/>
      </c>
      <c r="Q1225">
        <f>'T_TTAFStock'!O20</f>
        <v/>
      </c>
      <c r="R1225">
        <f>'T_TTAFStock'!P20</f>
        <v/>
      </c>
      <c r="S1225">
        <f>'T_TTAFStock'!Q20</f>
        <v/>
      </c>
      <c r="T1225">
        <f>'T_TTAFStock'!R20</f>
        <v/>
      </c>
      <c r="U1225">
        <f>'T_TTAFStock'!S20</f>
        <v/>
      </c>
      <c r="V1225">
        <f>'T_TTAFStock'!T20</f>
        <v/>
      </c>
      <c r="W1225">
        <f>'T_TTAFStock'!U20</f>
        <v/>
      </c>
      <c r="X1225">
        <f>'T_TTAFStock'!V20</f>
        <v/>
      </c>
      <c r="Y1225">
        <f>'T_TTAFStock'!W20</f>
        <v/>
      </c>
      <c r="Z1225">
        <f>'T_TTAFStock'!X20</f>
        <v/>
      </c>
      <c r="AA1225">
        <f>'T_TTAFStock'!Y20</f>
        <v/>
      </c>
      <c r="AB1225">
        <f>'T_TTAFStock'!Z20</f>
        <v/>
      </c>
      <c r="AC1225">
        <f>'T_TTAFStock'!AA20</f>
        <v/>
      </c>
      <c r="AD1225">
        <f>'T_TTAFStock'!AB20</f>
        <v/>
      </c>
      <c r="AE1225">
        <f>'T_TTAFStock'!AC20</f>
        <v/>
      </c>
      <c r="AF1225">
        <f>'T_TTAFStock'!AD20</f>
        <v/>
      </c>
      <c r="AG1225">
        <f>'T_TTAFStock'!AE20</f>
        <v/>
      </c>
      <c r="AH1225">
        <f>'T_TTAFStock'!AF20</f>
        <v/>
      </c>
      <c r="AI1225">
        <f>'T_TTAFStock'!AG20</f>
        <v/>
      </c>
      <c r="AJ1225">
        <f>'T_TTAFStock'!AH20</f>
        <v/>
      </c>
      <c r="AK1225">
        <f>'T_TTAFStock'!AI20</f>
        <v/>
      </c>
      <c r="AL1225">
        <f>'T_TTAFStock'!AJ20</f>
        <v/>
      </c>
      <c r="AM1225">
        <f>'T_TTAFStock'!AK20</f>
        <v/>
      </c>
      <c r="AN1225">
        <f>'T_TTAFStock'!AL20</f>
        <v/>
      </c>
      <c r="AO1225">
        <f>'T_TTAFStock'!AM20</f>
        <v/>
      </c>
      <c r="AP1225">
        <f>'T_TTAFStock'!AN20</f>
        <v/>
      </c>
      <c r="AQ1225">
        <f>'T_TTAFStock'!AO20</f>
        <v/>
      </c>
      <c r="AR1225">
        <f>'T_TTAFStock'!AP20</f>
        <v/>
      </c>
      <c r="AS1225">
        <f>'T_TTAFStock'!AQ20</f>
        <v/>
      </c>
      <c r="AT1225">
        <f>'T_TTAFStock'!AR20</f>
        <v/>
      </c>
      <c r="AU1225">
        <f>'T_TTAFStock'!AS20</f>
        <v/>
      </c>
      <c r="AV1225">
        <f>'T_TTAFStock'!AT20</f>
        <v/>
      </c>
      <c r="AW1225">
        <f>'T_TTAFStock'!AU20</f>
        <v/>
      </c>
      <c r="AX1225">
        <f>'T_TTAFStock'!AV20</f>
        <v/>
      </c>
      <c r="AY1225">
        <f>'T_TTAFStock'!AW20</f>
        <v/>
      </c>
      <c r="AZ1225">
        <f>'T_TTAFStock'!AX20</f>
        <v/>
      </c>
      <c r="BA1225">
        <f>'T_TTAFStock'!AY20</f>
        <v/>
      </c>
      <c r="BB1225">
        <f>'T_TTAFStock'!AZ20</f>
        <v/>
      </c>
      <c r="BC1225">
        <f>'T_TTAFStock'!BA20</f>
        <v/>
      </c>
      <c r="BD1225">
        <f>'T_TTAFStock'!BB20</f>
        <v/>
      </c>
      <c r="BE1225">
        <f>'T_TTAFStock'!BC20</f>
        <v/>
      </c>
      <c r="BF1225">
        <f>'T_TTAFStock'!BD20</f>
        <v/>
      </c>
      <c r="BG1225">
        <f>'T_TTAFStock'!BE20</f>
        <v/>
      </c>
      <c r="BH1225">
        <f>'T_TTAFStock'!BF20</f>
        <v/>
      </c>
      <c r="BI1225">
        <f>'T_TTAFStock'!BG20</f>
        <v/>
      </c>
      <c r="BJ1225">
        <f>'T_TTAFStock'!BH20</f>
        <v/>
      </c>
      <c r="BK1225">
        <f>'T_TTAFStock'!BI20</f>
        <v/>
      </c>
      <c r="BL1225">
        <f>'T_TTAFStock'!BJ20</f>
        <v/>
      </c>
      <c r="BM1225">
        <f>'T_TTAFStock'!BK20</f>
        <v/>
      </c>
      <c r="BN1225">
        <f>'T_TTAFStock'!BL20</f>
        <v/>
      </c>
      <c r="BO1225">
        <f>'T_TTAFStock'!BM20</f>
        <v/>
      </c>
      <c r="BP1225">
        <f>'T_TTAFStock'!BN20</f>
        <v/>
      </c>
      <c r="BQ1225">
        <f>'T_TTAFStock'!BO20</f>
        <v/>
      </c>
      <c r="BR1225">
        <f>'T_TTAFStock'!BP20</f>
        <v/>
      </c>
      <c r="BS1225">
        <f>'T_TTAFStock'!BQ20</f>
        <v/>
      </c>
      <c r="BT1225">
        <f>'T_TTAFStock'!BR20</f>
        <v/>
      </c>
      <c r="BU1225">
        <f>'T_TTAFStock'!BS20</f>
        <v/>
      </c>
      <c r="BV1225">
        <f>'T_TTAFStock'!BT20</f>
        <v/>
      </c>
      <c r="BW1225">
        <f>'T_TTAFStock'!BU20</f>
        <v/>
      </c>
      <c r="BX1225">
        <f>'T_TTAFStock'!BV20</f>
        <v/>
      </c>
      <c r="BY1225">
        <f>'T_TTAFStock'!BW20</f>
        <v/>
      </c>
      <c r="BZ1225">
        <f>'T_TTAFStock'!BX20</f>
        <v/>
      </c>
      <c r="CA1225">
        <f>'T_TTAFStock'!BY20</f>
        <v/>
      </c>
      <c r="CB1225">
        <f>'T_TTAFStock'!BZ20</f>
        <v/>
      </c>
      <c r="CC1225">
        <f>'T_TTAFStock'!CA20</f>
        <v/>
      </c>
      <c r="CD1225">
        <f>'T_TTAFStock'!CB20</f>
        <v/>
      </c>
      <c r="CE1225">
        <f>'T_TTAFStock'!CC20</f>
        <v/>
      </c>
      <c r="CF1225">
        <f>'T_TTAFStock'!CD20</f>
        <v/>
      </c>
      <c r="CG1225">
        <f>'T_TTAFStock'!CE20</f>
        <v/>
      </c>
      <c r="CH1225">
        <f>'T_TTAFStock'!CF20</f>
        <v/>
      </c>
      <c r="CI1225">
        <f>'T_TTAFStock'!CG20</f>
        <v/>
      </c>
      <c r="CJ1225">
        <f>'T_TTAFStock'!CH20</f>
        <v/>
      </c>
      <c r="CK1225">
        <f>'T_TTAFStock'!CI20</f>
        <v/>
      </c>
      <c r="CL1225">
        <f>'T_TTAFStock'!CJ20</f>
        <v/>
      </c>
      <c r="CM1225">
        <f>'T_TTAFStock'!CK20</f>
        <v/>
      </c>
      <c r="CN1225">
        <f>'T_TTAFStock'!CL20</f>
        <v/>
      </c>
      <c r="CO1225">
        <f>'T_TTAFStock'!CM20</f>
        <v/>
      </c>
      <c r="CP1225">
        <f>'T_TTAFStock'!CN20</f>
        <v/>
      </c>
      <c r="CQ1225">
        <f>'T_TTAFStock'!CO20</f>
        <v/>
      </c>
      <c r="CR1225">
        <f>'T_TTAFStock'!CP20</f>
        <v/>
      </c>
      <c r="CS1225">
        <f>'T_TTAFStock'!CQ20</f>
        <v/>
      </c>
      <c r="CT1225">
        <f>'T_TTAFStock'!CR20</f>
        <v/>
      </c>
      <c r="CU1225">
        <f>'T_TTAFStock'!CS20</f>
        <v/>
      </c>
      <c r="CV1225">
        <f>'T_TTAFStock'!CT20</f>
        <v/>
      </c>
      <c r="CW1225">
        <f>'T_TTAFStock'!CU20</f>
        <v/>
      </c>
      <c r="CX1225">
        <f>'T_TTAFStock'!CV20</f>
        <v/>
      </c>
      <c r="CY1225">
        <f>'T_TTAFStock'!CW20</f>
        <v/>
      </c>
      <c r="CZ1225">
        <f>'T_TTAFStock'!CX20</f>
        <v/>
      </c>
      <c r="DA1225">
        <f>'T_TTAFStock'!CY20</f>
        <v/>
      </c>
      <c r="DB1225">
        <f>'T_TTAFStock'!CZ20</f>
        <v/>
      </c>
      <c r="DC1225">
        <f>'T_TTAFStock'!DA20</f>
        <v/>
      </c>
    </row>
    <row r="1226">
      <c r="B1226" t="inlineStr">
        <is>
          <t>自社在庫(実績,kg)</t>
        </is>
      </c>
      <c r="D1226">
        <f>'T_SelfStock'!B20</f>
        <v/>
      </c>
      <c r="E1226">
        <f>'T_SelfStock'!C20</f>
        <v/>
      </c>
      <c r="F1226">
        <f>'T_SelfStock'!D20</f>
        <v/>
      </c>
      <c r="G1226">
        <f>'T_SelfStock'!E20</f>
        <v/>
      </c>
      <c r="H1226">
        <f>'T_SelfStock'!F20</f>
        <v/>
      </c>
      <c r="I1226">
        <f>'T_SelfStock'!G20</f>
        <v/>
      </c>
      <c r="J1226">
        <f>'T_SelfStock'!H20</f>
        <v/>
      </c>
      <c r="K1226">
        <f>'T_SelfStock'!I20</f>
        <v/>
      </c>
      <c r="L1226">
        <f>'T_SelfStock'!J20</f>
        <v/>
      </c>
      <c r="M1226">
        <f>'T_SelfStock'!K20</f>
        <v/>
      </c>
      <c r="N1226">
        <f>'T_SelfStock'!L20</f>
        <v/>
      </c>
      <c r="O1226">
        <f>'T_SelfStock'!M20</f>
        <v/>
      </c>
      <c r="P1226">
        <f>'T_SelfStock'!N20</f>
        <v/>
      </c>
      <c r="Q1226">
        <f>'T_SelfStock'!O20</f>
        <v/>
      </c>
      <c r="R1226">
        <f>'T_SelfStock'!P20</f>
        <v/>
      </c>
      <c r="S1226">
        <f>'T_SelfStock'!Q20</f>
        <v/>
      </c>
      <c r="T1226">
        <f>'T_SelfStock'!R20</f>
        <v/>
      </c>
      <c r="U1226">
        <f>'T_SelfStock'!S20</f>
        <v/>
      </c>
      <c r="V1226">
        <f>'T_SelfStock'!T20</f>
        <v/>
      </c>
      <c r="W1226">
        <f>'T_SelfStock'!U20</f>
        <v/>
      </c>
      <c r="X1226">
        <f>'T_SelfStock'!V20</f>
        <v/>
      </c>
      <c r="Y1226">
        <f>'T_SelfStock'!W20</f>
        <v/>
      </c>
      <c r="Z1226">
        <f>'T_SelfStock'!X20</f>
        <v/>
      </c>
      <c r="AA1226">
        <f>'T_SelfStock'!Y20</f>
        <v/>
      </c>
      <c r="AB1226">
        <f>'T_SelfStock'!Z20</f>
        <v/>
      </c>
      <c r="AC1226">
        <f>'T_SelfStock'!AA20</f>
        <v/>
      </c>
      <c r="AD1226">
        <f>'T_SelfStock'!AB20</f>
        <v/>
      </c>
      <c r="AE1226">
        <f>'T_SelfStock'!AC20</f>
        <v/>
      </c>
      <c r="AF1226">
        <f>'T_SelfStock'!AD20</f>
        <v/>
      </c>
      <c r="AG1226">
        <f>'T_SelfStock'!AE20</f>
        <v/>
      </c>
      <c r="AH1226">
        <f>'T_SelfStock'!AF20</f>
        <v/>
      </c>
      <c r="AI1226">
        <f>'T_SelfStock'!AG20</f>
        <v/>
      </c>
      <c r="AJ1226">
        <f>'T_SelfStock'!AH20</f>
        <v/>
      </c>
      <c r="AK1226">
        <f>'T_SelfStock'!AI20</f>
        <v/>
      </c>
      <c r="AL1226">
        <f>'T_SelfStock'!AJ20</f>
        <v/>
      </c>
      <c r="AM1226">
        <f>'T_SelfStock'!AK20</f>
        <v/>
      </c>
      <c r="AN1226">
        <f>'T_SelfStock'!AL20</f>
        <v/>
      </c>
      <c r="AO1226">
        <f>'T_SelfStock'!AM20</f>
        <v/>
      </c>
      <c r="AP1226">
        <f>'T_SelfStock'!AN20</f>
        <v/>
      </c>
      <c r="AQ1226">
        <f>'T_SelfStock'!AO20</f>
        <v/>
      </c>
      <c r="AR1226">
        <f>'T_SelfStock'!AP20</f>
        <v/>
      </c>
      <c r="AS1226">
        <f>'T_SelfStock'!AQ20</f>
        <v/>
      </c>
      <c r="AT1226">
        <f>'T_SelfStock'!AR20</f>
        <v/>
      </c>
      <c r="AU1226">
        <f>'T_SelfStock'!AS20</f>
        <v/>
      </c>
      <c r="AV1226">
        <f>'T_SelfStock'!AT20</f>
        <v/>
      </c>
      <c r="AW1226">
        <f>'T_SelfStock'!AU20</f>
        <v/>
      </c>
      <c r="AX1226">
        <f>'T_SelfStock'!AV20</f>
        <v/>
      </c>
      <c r="AY1226">
        <f>'T_SelfStock'!AW20</f>
        <v/>
      </c>
      <c r="AZ1226">
        <f>'T_SelfStock'!AX20</f>
        <v/>
      </c>
      <c r="BA1226">
        <f>'T_SelfStock'!AY20</f>
        <v/>
      </c>
      <c r="BB1226">
        <f>'T_SelfStock'!AZ20</f>
        <v/>
      </c>
      <c r="BC1226">
        <f>'T_SelfStock'!BA20</f>
        <v/>
      </c>
      <c r="BD1226">
        <f>'T_SelfStock'!BB20</f>
        <v/>
      </c>
      <c r="BE1226">
        <f>'T_SelfStock'!BC20</f>
        <v/>
      </c>
      <c r="BF1226">
        <f>'T_SelfStock'!BD20</f>
        <v/>
      </c>
      <c r="BG1226">
        <f>'T_SelfStock'!BE20</f>
        <v/>
      </c>
      <c r="BH1226">
        <f>'T_SelfStock'!BF20</f>
        <v/>
      </c>
      <c r="BI1226">
        <f>'T_SelfStock'!BG20</f>
        <v/>
      </c>
      <c r="BJ1226">
        <f>'T_SelfStock'!BH20</f>
        <v/>
      </c>
      <c r="BK1226">
        <f>'T_SelfStock'!BI20</f>
        <v/>
      </c>
      <c r="BL1226">
        <f>'T_SelfStock'!BJ20</f>
        <v/>
      </c>
      <c r="BM1226">
        <f>'T_SelfStock'!BK20</f>
        <v/>
      </c>
      <c r="BN1226">
        <f>'T_SelfStock'!BL20</f>
        <v/>
      </c>
      <c r="BO1226">
        <f>'T_SelfStock'!BM20</f>
        <v/>
      </c>
      <c r="BP1226">
        <f>'T_SelfStock'!BN20</f>
        <v/>
      </c>
      <c r="BQ1226">
        <f>'T_SelfStock'!BO20</f>
        <v/>
      </c>
      <c r="BR1226">
        <f>'T_SelfStock'!BP20</f>
        <v/>
      </c>
      <c r="BS1226">
        <f>'T_SelfStock'!BQ20</f>
        <v/>
      </c>
      <c r="BT1226">
        <f>'T_SelfStock'!BR20</f>
        <v/>
      </c>
      <c r="BU1226">
        <f>'T_SelfStock'!BS20</f>
        <v/>
      </c>
      <c r="BV1226">
        <f>'T_SelfStock'!BT20</f>
        <v/>
      </c>
      <c r="BW1226">
        <f>'T_SelfStock'!BU20</f>
        <v/>
      </c>
      <c r="BX1226">
        <f>'T_SelfStock'!BV20</f>
        <v/>
      </c>
      <c r="BY1226">
        <f>'T_SelfStock'!BW20</f>
        <v/>
      </c>
      <c r="BZ1226">
        <f>'T_SelfStock'!BX20</f>
        <v/>
      </c>
      <c r="CA1226">
        <f>'T_SelfStock'!BY20</f>
        <v/>
      </c>
      <c r="CB1226">
        <f>'T_SelfStock'!BZ20</f>
        <v/>
      </c>
      <c r="CC1226">
        <f>'T_SelfStock'!CA20</f>
        <v/>
      </c>
      <c r="CD1226">
        <f>'T_SelfStock'!CB20</f>
        <v/>
      </c>
      <c r="CE1226">
        <f>'T_SelfStock'!CC20</f>
        <v/>
      </c>
      <c r="CF1226">
        <f>'T_SelfStock'!CD20</f>
        <v/>
      </c>
      <c r="CG1226">
        <f>'T_SelfStock'!CE20</f>
        <v/>
      </c>
      <c r="CH1226">
        <f>'T_SelfStock'!CF20</f>
        <v/>
      </c>
      <c r="CI1226">
        <f>'T_SelfStock'!CG20</f>
        <v/>
      </c>
      <c r="CJ1226">
        <f>'T_SelfStock'!CH20</f>
        <v/>
      </c>
      <c r="CK1226">
        <f>'T_SelfStock'!CI20</f>
        <v/>
      </c>
      <c r="CL1226">
        <f>'T_SelfStock'!CJ20</f>
        <v/>
      </c>
      <c r="CM1226">
        <f>'T_SelfStock'!CK20</f>
        <v/>
      </c>
      <c r="CN1226">
        <f>'T_SelfStock'!CL20</f>
        <v/>
      </c>
      <c r="CO1226">
        <f>'T_SelfStock'!CM20</f>
        <v/>
      </c>
      <c r="CP1226">
        <f>'T_SelfStock'!CN20</f>
        <v/>
      </c>
      <c r="CQ1226">
        <f>'T_SelfStock'!CO20</f>
        <v/>
      </c>
      <c r="CR1226">
        <f>'T_SelfStock'!CP20</f>
        <v/>
      </c>
      <c r="CS1226">
        <f>'T_SelfStock'!CQ20</f>
        <v/>
      </c>
      <c r="CT1226">
        <f>'T_SelfStock'!CR20</f>
        <v/>
      </c>
      <c r="CU1226">
        <f>'T_SelfStock'!CS20</f>
        <v/>
      </c>
      <c r="CV1226">
        <f>'T_SelfStock'!CT20</f>
        <v/>
      </c>
      <c r="CW1226">
        <f>'T_SelfStock'!CU20</f>
        <v/>
      </c>
      <c r="CX1226">
        <f>'T_SelfStock'!CV20</f>
        <v/>
      </c>
      <c r="CY1226">
        <f>'T_SelfStock'!CW20</f>
        <v/>
      </c>
      <c r="CZ1226">
        <f>'T_SelfStock'!CX20</f>
        <v/>
      </c>
      <c r="DA1226">
        <f>'T_SelfStock'!CY20</f>
        <v/>
      </c>
      <c r="DB1226">
        <f>'T_SelfStock'!CZ20</f>
        <v/>
      </c>
      <c r="DC1226">
        <f>'T_SelfStock'!DA20</f>
        <v/>
      </c>
    </row>
    <row r="1227">
      <c r="B1227" t="inlineStr">
        <is>
          <t>Order(発注予定,kg)</t>
        </is>
      </c>
      <c r="D1227">
        <f>IF(SUMIFS(T_PlannedOrders[EffectiveQty],T_PlannedOrders[Part Name],$A1217,T_PlannedOrders[WeekIndex],1)=0,"",SUMIFS(T_PlannedOrders[EffectiveQty],T_PlannedOrders[Part Name],$A1217,T_PlannedOrders[WeekIndex],1)&amp;" ("&amp;TEXT(SUMPRODUCT(MAX((T_PlannedOrders[Part Name]=$A1217)*(T_PlannedOrders[WeekIndex]=1)*(T_PlannedOrders[EffectiveQty]&gt;0)*T_PlannedOrders[Order_Month])),"m月")&amp;"発注)")</f>
        <v/>
      </c>
      <c r="E1227">
        <f>IF(SUMIFS(T_PlannedOrders[EffectiveQty],T_PlannedOrders[Part Name],$A1217,T_PlannedOrders[WeekIndex],2)=0,"",SUMIFS(T_PlannedOrders[EffectiveQty],T_PlannedOrders[Part Name],$A1217,T_PlannedOrders[WeekIndex],2)&amp;" ("&amp;TEXT(SUMPRODUCT(MAX((T_PlannedOrders[Part Name]=$A1217)*(T_PlannedOrders[WeekIndex]=2)*(T_PlannedOrders[EffectiveQty]&gt;0)*T_PlannedOrders[Order_Month])),"m月")&amp;"発注)")</f>
        <v/>
      </c>
      <c r="F1227">
        <f>IF(SUMIFS(T_PlannedOrders[EffectiveQty],T_PlannedOrders[Part Name],$A1217,T_PlannedOrders[WeekIndex],3)=0,"",SUMIFS(T_PlannedOrders[EffectiveQty],T_PlannedOrders[Part Name],$A1217,T_PlannedOrders[WeekIndex],3)&amp;" ("&amp;TEXT(SUMPRODUCT(MAX((T_PlannedOrders[Part Name]=$A1217)*(T_PlannedOrders[WeekIndex]=3)*(T_PlannedOrders[EffectiveQty]&gt;0)*T_PlannedOrders[Order_Month])),"m月")&amp;"発注)")</f>
        <v/>
      </c>
      <c r="G1227">
        <f>IF(SUMIFS(T_PlannedOrders[EffectiveQty],T_PlannedOrders[Part Name],$A1217,T_PlannedOrders[WeekIndex],4)=0,"",SUMIFS(T_PlannedOrders[EffectiveQty],T_PlannedOrders[Part Name],$A1217,T_PlannedOrders[WeekIndex],4)&amp;" ("&amp;TEXT(SUMPRODUCT(MAX((T_PlannedOrders[Part Name]=$A1217)*(T_PlannedOrders[WeekIndex]=4)*(T_PlannedOrders[EffectiveQty]&gt;0)*T_PlannedOrders[Order_Month])),"m月")&amp;"発注)")</f>
        <v/>
      </c>
      <c r="H1227">
        <f>IF(SUMIFS(T_PlannedOrders[EffectiveQty],T_PlannedOrders[Part Name],$A1217,T_PlannedOrders[WeekIndex],5)=0,"",SUMIFS(T_PlannedOrders[EffectiveQty],T_PlannedOrders[Part Name],$A1217,T_PlannedOrders[WeekIndex],5)&amp;" ("&amp;TEXT(SUMPRODUCT(MAX((T_PlannedOrders[Part Name]=$A1217)*(T_PlannedOrders[WeekIndex]=5)*(T_PlannedOrders[EffectiveQty]&gt;0)*T_PlannedOrders[Order_Month])),"m月")&amp;"発注)")</f>
        <v/>
      </c>
      <c r="I1227">
        <f>IF(SUMIFS(T_PlannedOrders[EffectiveQty],T_PlannedOrders[Part Name],$A1217,T_PlannedOrders[WeekIndex],6)=0,"",SUMIFS(T_PlannedOrders[EffectiveQty],T_PlannedOrders[Part Name],$A1217,T_PlannedOrders[WeekIndex],6)&amp;" ("&amp;TEXT(SUMPRODUCT(MAX((T_PlannedOrders[Part Name]=$A1217)*(T_PlannedOrders[WeekIndex]=6)*(T_PlannedOrders[EffectiveQty]&gt;0)*T_PlannedOrders[Order_Month])),"m月")&amp;"発注)")</f>
        <v/>
      </c>
      <c r="J1227">
        <f>IF(SUMIFS(T_PlannedOrders[EffectiveQty],T_PlannedOrders[Part Name],$A1217,T_PlannedOrders[WeekIndex],7)=0,"",SUMIFS(T_PlannedOrders[EffectiveQty],T_PlannedOrders[Part Name],$A1217,T_PlannedOrders[WeekIndex],7)&amp;" ("&amp;TEXT(SUMPRODUCT(MAX((T_PlannedOrders[Part Name]=$A1217)*(T_PlannedOrders[WeekIndex]=7)*(T_PlannedOrders[EffectiveQty]&gt;0)*T_PlannedOrders[Order_Month])),"m月")&amp;"発注)")</f>
        <v/>
      </c>
      <c r="K1227">
        <f>IF(SUMIFS(T_PlannedOrders[EffectiveQty],T_PlannedOrders[Part Name],$A1217,T_PlannedOrders[WeekIndex],8)=0,"",SUMIFS(T_PlannedOrders[EffectiveQty],T_PlannedOrders[Part Name],$A1217,T_PlannedOrders[WeekIndex],8)&amp;" ("&amp;TEXT(SUMPRODUCT(MAX((T_PlannedOrders[Part Name]=$A1217)*(T_PlannedOrders[WeekIndex]=8)*(T_PlannedOrders[EffectiveQty]&gt;0)*T_PlannedOrders[Order_Month])),"m月")&amp;"発注)")</f>
        <v/>
      </c>
      <c r="L1227">
        <f>IF(SUMIFS(T_PlannedOrders[EffectiveQty],T_PlannedOrders[Part Name],$A1217,T_PlannedOrders[WeekIndex],9)=0,"",SUMIFS(T_PlannedOrders[EffectiveQty],T_PlannedOrders[Part Name],$A1217,T_PlannedOrders[WeekIndex],9)&amp;" ("&amp;TEXT(SUMPRODUCT(MAX((T_PlannedOrders[Part Name]=$A1217)*(T_PlannedOrders[WeekIndex]=9)*(T_PlannedOrders[EffectiveQty]&gt;0)*T_PlannedOrders[Order_Month])),"m月")&amp;"発注)")</f>
        <v/>
      </c>
      <c r="M1227">
        <f>IF(SUMIFS(T_PlannedOrders[EffectiveQty],T_PlannedOrders[Part Name],$A1217,T_PlannedOrders[WeekIndex],10)=0,"",SUMIFS(T_PlannedOrders[EffectiveQty],T_PlannedOrders[Part Name],$A1217,T_PlannedOrders[WeekIndex],10)&amp;" ("&amp;TEXT(SUMPRODUCT(MAX((T_PlannedOrders[Part Name]=$A1217)*(T_PlannedOrders[WeekIndex]=10)*(T_PlannedOrders[EffectiveQty]&gt;0)*T_PlannedOrders[Order_Month])),"m月")&amp;"発注)")</f>
        <v/>
      </c>
      <c r="N1227">
        <f>IF(SUMIFS(T_PlannedOrders[EffectiveQty],T_PlannedOrders[Part Name],$A1217,T_PlannedOrders[WeekIndex],11)=0,"",SUMIFS(T_PlannedOrders[EffectiveQty],T_PlannedOrders[Part Name],$A1217,T_PlannedOrders[WeekIndex],11)&amp;" ("&amp;TEXT(SUMPRODUCT(MAX((T_PlannedOrders[Part Name]=$A1217)*(T_PlannedOrders[WeekIndex]=11)*(T_PlannedOrders[EffectiveQty]&gt;0)*T_PlannedOrders[Order_Month])),"m月")&amp;"発注)")</f>
        <v/>
      </c>
      <c r="O1227">
        <f>IF(SUMIFS(T_PlannedOrders[EffectiveQty],T_PlannedOrders[Part Name],$A1217,T_PlannedOrders[WeekIndex],12)=0,"",SUMIFS(T_PlannedOrders[EffectiveQty],T_PlannedOrders[Part Name],$A1217,T_PlannedOrders[WeekIndex],12)&amp;" ("&amp;TEXT(SUMPRODUCT(MAX((T_PlannedOrders[Part Name]=$A1217)*(T_PlannedOrders[WeekIndex]=12)*(T_PlannedOrders[EffectiveQty]&gt;0)*T_PlannedOrders[Order_Month])),"m月")&amp;"発注)")</f>
        <v/>
      </c>
      <c r="P1227">
        <f>IF(SUMIFS(T_PlannedOrders[EffectiveQty],T_PlannedOrders[Part Name],$A1217,T_PlannedOrders[WeekIndex],13)=0,"",SUMIFS(T_PlannedOrders[EffectiveQty],T_PlannedOrders[Part Name],$A1217,T_PlannedOrders[WeekIndex],13)&amp;" ("&amp;TEXT(SUMPRODUCT(MAX((T_PlannedOrders[Part Name]=$A1217)*(T_PlannedOrders[WeekIndex]=13)*(T_PlannedOrders[EffectiveQty]&gt;0)*T_PlannedOrders[Order_Month])),"m月")&amp;"発注)")</f>
        <v/>
      </c>
      <c r="Q1227">
        <f>IF(SUMIFS(T_PlannedOrders[EffectiveQty],T_PlannedOrders[Part Name],$A1217,T_PlannedOrders[WeekIndex],14)=0,"",SUMIFS(T_PlannedOrders[EffectiveQty],T_PlannedOrders[Part Name],$A1217,T_PlannedOrders[WeekIndex],14)&amp;" ("&amp;TEXT(SUMPRODUCT(MAX((T_PlannedOrders[Part Name]=$A1217)*(T_PlannedOrders[WeekIndex]=14)*(T_PlannedOrders[EffectiveQty]&gt;0)*T_PlannedOrders[Order_Month])),"m月")&amp;"発注)")</f>
        <v/>
      </c>
      <c r="R1227">
        <f>IF(SUMIFS(T_PlannedOrders[EffectiveQty],T_PlannedOrders[Part Name],$A1217,T_PlannedOrders[WeekIndex],15)=0,"",SUMIFS(T_PlannedOrders[EffectiveQty],T_PlannedOrders[Part Name],$A1217,T_PlannedOrders[WeekIndex],15)&amp;" ("&amp;TEXT(SUMPRODUCT(MAX((T_PlannedOrders[Part Name]=$A1217)*(T_PlannedOrders[WeekIndex]=15)*(T_PlannedOrders[EffectiveQty]&gt;0)*T_PlannedOrders[Order_Month])),"m月")&amp;"発注)")</f>
        <v/>
      </c>
      <c r="S1227">
        <f>IF(SUMIFS(T_PlannedOrders[EffectiveQty],T_PlannedOrders[Part Name],$A1217,T_PlannedOrders[WeekIndex],16)=0,"",SUMIFS(T_PlannedOrders[EffectiveQty],T_PlannedOrders[Part Name],$A1217,T_PlannedOrders[WeekIndex],16)&amp;" ("&amp;TEXT(SUMPRODUCT(MAX((T_PlannedOrders[Part Name]=$A1217)*(T_PlannedOrders[WeekIndex]=16)*(T_PlannedOrders[EffectiveQty]&gt;0)*T_PlannedOrders[Order_Month])),"m月")&amp;"発注)")</f>
        <v/>
      </c>
      <c r="T1227">
        <f>IF(SUMIFS(T_PlannedOrders[EffectiveQty],T_PlannedOrders[Part Name],$A1217,T_PlannedOrders[WeekIndex],17)=0,"",SUMIFS(T_PlannedOrders[EffectiveQty],T_PlannedOrders[Part Name],$A1217,T_PlannedOrders[WeekIndex],17)&amp;" ("&amp;TEXT(SUMPRODUCT(MAX((T_PlannedOrders[Part Name]=$A1217)*(T_PlannedOrders[WeekIndex]=17)*(T_PlannedOrders[EffectiveQty]&gt;0)*T_PlannedOrders[Order_Month])),"m月")&amp;"発注)")</f>
        <v/>
      </c>
      <c r="U1227">
        <f>IF(SUMIFS(T_PlannedOrders[EffectiveQty],T_PlannedOrders[Part Name],$A1217,T_PlannedOrders[WeekIndex],18)=0,"",SUMIFS(T_PlannedOrders[EffectiveQty],T_PlannedOrders[Part Name],$A1217,T_PlannedOrders[WeekIndex],18)&amp;" ("&amp;TEXT(SUMPRODUCT(MAX((T_PlannedOrders[Part Name]=$A1217)*(T_PlannedOrders[WeekIndex]=18)*(T_PlannedOrders[EffectiveQty]&gt;0)*T_PlannedOrders[Order_Month])),"m月")&amp;"発注)")</f>
        <v/>
      </c>
      <c r="V1227">
        <f>IF(SUMIFS(T_PlannedOrders[EffectiveQty],T_PlannedOrders[Part Name],$A1217,T_PlannedOrders[WeekIndex],19)=0,"",SUMIFS(T_PlannedOrders[EffectiveQty],T_PlannedOrders[Part Name],$A1217,T_PlannedOrders[WeekIndex],19)&amp;" ("&amp;TEXT(SUMPRODUCT(MAX((T_PlannedOrders[Part Name]=$A1217)*(T_PlannedOrders[WeekIndex]=19)*(T_PlannedOrders[EffectiveQty]&gt;0)*T_PlannedOrders[Order_Month])),"m月")&amp;"発注)")</f>
        <v/>
      </c>
      <c r="W1227">
        <f>IF(SUMIFS(T_PlannedOrders[EffectiveQty],T_PlannedOrders[Part Name],$A1217,T_PlannedOrders[WeekIndex],20)=0,"",SUMIFS(T_PlannedOrders[EffectiveQty],T_PlannedOrders[Part Name],$A1217,T_PlannedOrders[WeekIndex],20)&amp;" ("&amp;TEXT(SUMPRODUCT(MAX((T_PlannedOrders[Part Name]=$A1217)*(T_PlannedOrders[WeekIndex]=20)*(T_PlannedOrders[EffectiveQty]&gt;0)*T_PlannedOrders[Order_Month])),"m月")&amp;"発注)")</f>
        <v/>
      </c>
      <c r="X1227">
        <f>IF(SUMIFS(T_PlannedOrders[EffectiveQty],T_PlannedOrders[Part Name],$A1217,T_PlannedOrders[WeekIndex],21)=0,"",SUMIFS(T_PlannedOrders[EffectiveQty],T_PlannedOrders[Part Name],$A1217,T_PlannedOrders[WeekIndex],21)&amp;" ("&amp;TEXT(SUMPRODUCT(MAX((T_PlannedOrders[Part Name]=$A1217)*(T_PlannedOrders[WeekIndex]=21)*(T_PlannedOrders[EffectiveQty]&gt;0)*T_PlannedOrders[Order_Month])),"m月")&amp;"発注)")</f>
        <v/>
      </c>
      <c r="Y1227">
        <f>IF(SUMIFS(T_PlannedOrders[EffectiveQty],T_PlannedOrders[Part Name],$A1217,T_PlannedOrders[WeekIndex],22)=0,"",SUMIFS(T_PlannedOrders[EffectiveQty],T_PlannedOrders[Part Name],$A1217,T_PlannedOrders[WeekIndex],22)&amp;" ("&amp;TEXT(SUMPRODUCT(MAX((T_PlannedOrders[Part Name]=$A1217)*(T_PlannedOrders[WeekIndex]=22)*(T_PlannedOrders[EffectiveQty]&gt;0)*T_PlannedOrders[Order_Month])),"m月")&amp;"発注)")</f>
        <v/>
      </c>
      <c r="Z1227">
        <f>IF(SUMIFS(T_PlannedOrders[EffectiveQty],T_PlannedOrders[Part Name],$A1217,T_PlannedOrders[WeekIndex],23)=0,"",SUMIFS(T_PlannedOrders[EffectiveQty],T_PlannedOrders[Part Name],$A1217,T_PlannedOrders[WeekIndex],23)&amp;" ("&amp;TEXT(SUMPRODUCT(MAX((T_PlannedOrders[Part Name]=$A1217)*(T_PlannedOrders[WeekIndex]=23)*(T_PlannedOrders[EffectiveQty]&gt;0)*T_PlannedOrders[Order_Month])),"m月")&amp;"発注)")</f>
        <v/>
      </c>
      <c r="AA1227">
        <f>IF(SUMIFS(T_PlannedOrders[EffectiveQty],T_PlannedOrders[Part Name],$A1217,T_PlannedOrders[WeekIndex],24)=0,"",SUMIFS(T_PlannedOrders[EffectiveQty],T_PlannedOrders[Part Name],$A1217,T_PlannedOrders[WeekIndex],24)&amp;" ("&amp;TEXT(SUMPRODUCT(MAX((T_PlannedOrders[Part Name]=$A1217)*(T_PlannedOrders[WeekIndex]=24)*(T_PlannedOrders[EffectiveQty]&gt;0)*T_PlannedOrders[Order_Month])),"m月")&amp;"発注)")</f>
        <v/>
      </c>
      <c r="AB1227">
        <f>IF(SUMIFS(T_PlannedOrders[EffectiveQty],T_PlannedOrders[Part Name],$A1217,T_PlannedOrders[WeekIndex],25)=0,"",SUMIFS(T_PlannedOrders[EffectiveQty],T_PlannedOrders[Part Name],$A1217,T_PlannedOrders[WeekIndex],25)&amp;" ("&amp;TEXT(SUMPRODUCT(MAX((T_PlannedOrders[Part Name]=$A1217)*(T_PlannedOrders[WeekIndex]=25)*(T_PlannedOrders[EffectiveQty]&gt;0)*T_PlannedOrders[Order_Month])),"m月")&amp;"発注)")</f>
        <v/>
      </c>
      <c r="AC1227">
        <f>IF(SUMIFS(T_PlannedOrders[EffectiveQty],T_PlannedOrders[Part Name],$A1217,T_PlannedOrders[WeekIndex],26)=0,"",SUMIFS(T_PlannedOrders[EffectiveQty],T_PlannedOrders[Part Name],$A1217,T_PlannedOrders[WeekIndex],26)&amp;" ("&amp;TEXT(SUMPRODUCT(MAX((T_PlannedOrders[Part Name]=$A1217)*(T_PlannedOrders[WeekIndex]=26)*(T_PlannedOrders[EffectiveQty]&gt;0)*T_PlannedOrders[Order_Month])),"m月")&amp;"発注)")</f>
        <v/>
      </c>
      <c r="AD1227">
        <f>IF(SUMIFS(T_PlannedOrders[EffectiveQty],T_PlannedOrders[Part Name],$A1217,T_PlannedOrders[WeekIndex],27)=0,"",SUMIFS(T_PlannedOrders[EffectiveQty],T_PlannedOrders[Part Name],$A1217,T_PlannedOrders[WeekIndex],27)&amp;" ("&amp;TEXT(SUMPRODUCT(MAX((T_PlannedOrders[Part Name]=$A1217)*(T_PlannedOrders[WeekIndex]=27)*(T_PlannedOrders[EffectiveQty]&gt;0)*T_PlannedOrders[Order_Month])),"m月")&amp;"発注)")</f>
        <v/>
      </c>
      <c r="AE1227">
        <f>IF(SUMIFS(T_PlannedOrders[EffectiveQty],T_PlannedOrders[Part Name],$A1217,T_PlannedOrders[WeekIndex],28)=0,"",SUMIFS(T_PlannedOrders[EffectiveQty],T_PlannedOrders[Part Name],$A1217,T_PlannedOrders[WeekIndex],28)&amp;" ("&amp;TEXT(SUMPRODUCT(MAX((T_PlannedOrders[Part Name]=$A1217)*(T_PlannedOrders[WeekIndex]=28)*(T_PlannedOrders[EffectiveQty]&gt;0)*T_PlannedOrders[Order_Month])),"m月")&amp;"発注)")</f>
        <v/>
      </c>
      <c r="AF1227">
        <f>IF(SUMIFS(T_PlannedOrders[EffectiveQty],T_PlannedOrders[Part Name],$A1217,T_PlannedOrders[WeekIndex],29)=0,"",SUMIFS(T_PlannedOrders[EffectiveQty],T_PlannedOrders[Part Name],$A1217,T_PlannedOrders[WeekIndex],29)&amp;" ("&amp;TEXT(SUMPRODUCT(MAX((T_PlannedOrders[Part Name]=$A1217)*(T_PlannedOrders[WeekIndex]=29)*(T_PlannedOrders[EffectiveQty]&gt;0)*T_PlannedOrders[Order_Month])),"m月")&amp;"発注)")</f>
        <v/>
      </c>
      <c r="AG1227">
        <f>IF(SUMIFS(T_PlannedOrders[EffectiveQty],T_PlannedOrders[Part Name],$A1217,T_PlannedOrders[WeekIndex],30)=0,"",SUMIFS(T_PlannedOrders[EffectiveQty],T_PlannedOrders[Part Name],$A1217,T_PlannedOrders[WeekIndex],30)&amp;" ("&amp;TEXT(SUMPRODUCT(MAX((T_PlannedOrders[Part Name]=$A1217)*(T_PlannedOrders[WeekIndex]=30)*(T_PlannedOrders[EffectiveQty]&gt;0)*T_PlannedOrders[Order_Month])),"m月")&amp;"発注)")</f>
        <v/>
      </c>
      <c r="AH1227">
        <f>IF(SUMIFS(T_PlannedOrders[EffectiveQty],T_PlannedOrders[Part Name],$A1217,T_PlannedOrders[WeekIndex],31)=0,"",SUMIFS(T_PlannedOrders[EffectiveQty],T_PlannedOrders[Part Name],$A1217,T_PlannedOrders[WeekIndex],31)&amp;" ("&amp;TEXT(SUMPRODUCT(MAX((T_PlannedOrders[Part Name]=$A1217)*(T_PlannedOrders[WeekIndex]=31)*(T_PlannedOrders[EffectiveQty]&gt;0)*T_PlannedOrders[Order_Month])),"m月")&amp;"発注)")</f>
        <v/>
      </c>
      <c r="AI1227">
        <f>IF(SUMIFS(T_PlannedOrders[EffectiveQty],T_PlannedOrders[Part Name],$A1217,T_PlannedOrders[WeekIndex],32)=0,"",SUMIFS(T_PlannedOrders[EffectiveQty],T_PlannedOrders[Part Name],$A1217,T_PlannedOrders[WeekIndex],32)&amp;" ("&amp;TEXT(SUMPRODUCT(MAX((T_PlannedOrders[Part Name]=$A1217)*(T_PlannedOrders[WeekIndex]=32)*(T_PlannedOrders[EffectiveQty]&gt;0)*T_PlannedOrders[Order_Month])),"m月")&amp;"発注)")</f>
        <v/>
      </c>
      <c r="AJ1227">
        <f>IF(SUMIFS(T_PlannedOrders[EffectiveQty],T_PlannedOrders[Part Name],$A1217,T_PlannedOrders[WeekIndex],33)=0,"",SUMIFS(T_PlannedOrders[EffectiveQty],T_PlannedOrders[Part Name],$A1217,T_PlannedOrders[WeekIndex],33)&amp;" ("&amp;TEXT(SUMPRODUCT(MAX((T_PlannedOrders[Part Name]=$A1217)*(T_PlannedOrders[WeekIndex]=33)*(T_PlannedOrders[EffectiveQty]&gt;0)*T_PlannedOrders[Order_Month])),"m月")&amp;"発注)")</f>
        <v/>
      </c>
      <c r="AK1227">
        <f>IF(SUMIFS(T_PlannedOrders[EffectiveQty],T_PlannedOrders[Part Name],$A1217,T_PlannedOrders[WeekIndex],34)=0,"",SUMIFS(T_PlannedOrders[EffectiveQty],T_PlannedOrders[Part Name],$A1217,T_PlannedOrders[WeekIndex],34)&amp;" ("&amp;TEXT(SUMPRODUCT(MAX((T_PlannedOrders[Part Name]=$A1217)*(T_PlannedOrders[WeekIndex]=34)*(T_PlannedOrders[EffectiveQty]&gt;0)*T_PlannedOrders[Order_Month])),"m月")&amp;"発注)")</f>
        <v/>
      </c>
      <c r="AL1227">
        <f>IF(SUMIFS(T_PlannedOrders[EffectiveQty],T_PlannedOrders[Part Name],$A1217,T_PlannedOrders[WeekIndex],35)=0,"",SUMIFS(T_PlannedOrders[EffectiveQty],T_PlannedOrders[Part Name],$A1217,T_PlannedOrders[WeekIndex],35)&amp;" ("&amp;TEXT(SUMPRODUCT(MAX((T_PlannedOrders[Part Name]=$A1217)*(T_PlannedOrders[WeekIndex]=35)*(T_PlannedOrders[EffectiveQty]&gt;0)*T_PlannedOrders[Order_Month])),"m月")&amp;"発注)")</f>
        <v/>
      </c>
      <c r="AM1227">
        <f>IF(SUMIFS(T_PlannedOrders[EffectiveQty],T_PlannedOrders[Part Name],$A1217,T_PlannedOrders[WeekIndex],36)=0,"",SUMIFS(T_PlannedOrders[EffectiveQty],T_PlannedOrders[Part Name],$A1217,T_PlannedOrders[WeekIndex],36)&amp;" ("&amp;TEXT(SUMPRODUCT(MAX((T_PlannedOrders[Part Name]=$A1217)*(T_PlannedOrders[WeekIndex]=36)*(T_PlannedOrders[EffectiveQty]&gt;0)*T_PlannedOrders[Order_Month])),"m月")&amp;"発注)")</f>
        <v/>
      </c>
      <c r="AN1227">
        <f>IF(SUMIFS(T_PlannedOrders[EffectiveQty],T_PlannedOrders[Part Name],$A1217,T_PlannedOrders[WeekIndex],37)=0,"",SUMIFS(T_PlannedOrders[EffectiveQty],T_PlannedOrders[Part Name],$A1217,T_PlannedOrders[WeekIndex],37)&amp;" ("&amp;TEXT(SUMPRODUCT(MAX((T_PlannedOrders[Part Name]=$A1217)*(T_PlannedOrders[WeekIndex]=37)*(T_PlannedOrders[EffectiveQty]&gt;0)*T_PlannedOrders[Order_Month])),"m月")&amp;"発注)")</f>
        <v/>
      </c>
      <c r="AO1227">
        <f>IF(SUMIFS(T_PlannedOrders[EffectiveQty],T_PlannedOrders[Part Name],$A1217,T_PlannedOrders[WeekIndex],38)=0,"",SUMIFS(T_PlannedOrders[EffectiveQty],T_PlannedOrders[Part Name],$A1217,T_PlannedOrders[WeekIndex],38)&amp;" ("&amp;TEXT(SUMPRODUCT(MAX((T_PlannedOrders[Part Name]=$A1217)*(T_PlannedOrders[WeekIndex]=38)*(T_PlannedOrders[EffectiveQty]&gt;0)*T_PlannedOrders[Order_Month])),"m月")&amp;"発注)")</f>
        <v/>
      </c>
      <c r="AP1227">
        <f>IF(SUMIFS(T_PlannedOrders[EffectiveQty],T_PlannedOrders[Part Name],$A1217,T_PlannedOrders[WeekIndex],39)=0,"",SUMIFS(T_PlannedOrders[EffectiveQty],T_PlannedOrders[Part Name],$A1217,T_PlannedOrders[WeekIndex],39)&amp;" ("&amp;TEXT(SUMPRODUCT(MAX((T_PlannedOrders[Part Name]=$A1217)*(T_PlannedOrders[WeekIndex]=39)*(T_PlannedOrders[EffectiveQty]&gt;0)*T_PlannedOrders[Order_Month])),"m月")&amp;"発注)")</f>
        <v/>
      </c>
      <c r="AQ1227">
        <f>IF(SUMIFS(T_PlannedOrders[EffectiveQty],T_PlannedOrders[Part Name],$A1217,T_PlannedOrders[WeekIndex],40)=0,"",SUMIFS(T_PlannedOrders[EffectiveQty],T_PlannedOrders[Part Name],$A1217,T_PlannedOrders[WeekIndex],40)&amp;" ("&amp;TEXT(SUMPRODUCT(MAX((T_PlannedOrders[Part Name]=$A1217)*(T_PlannedOrders[WeekIndex]=40)*(T_PlannedOrders[EffectiveQty]&gt;0)*T_PlannedOrders[Order_Month])),"m月")&amp;"発注)")</f>
        <v/>
      </c>
      <c r="AR1227">
        <f>IF(SUMIFS(T_PlannedOrders[EffectiveQty],T_PlannedOrders[Part Name],$A1217,T_PlannedOrders[WeekIndex],41)=0,"",SUMIFS(T_PlannedOrders[EffectiveQty],T_PlannedOrders[Part Name],$A1217,T_PlannedOrders[WeekIndex],41)&amp;" ("&amp;TEXT(SUMPRODUCT(MAX((T_PlannedOrders[Part Name]=$A1217)*(T_PlannedOrders[WeekIndex]=41)*(T_PlannedOrders[EffectiveQty]&gt;0)*T_PlannedOrders[Order_Month])),"m月")&amp;"発注)")</f>
        <v/>
      </c>
      <c r="AS1227">
        <f>IF(SUMIFS(T_PlannedOrders[EffectiveQty],T_PlannedOrders[Part Name],$A1217,T_PlannedOrders[WeekIndex],42)=0,"",SUMIFS(T_PlannedOrders[EffectiveQty],T_PlannedOrders[Part Name],$A1217,T_PlannedOrders[WeekIndex],42)&amp;" ("&amp;TEXT(SUMPRODUCT(MAX((T_PlannedOrders[Part Name]=$A1217)*(T_PlannedOrders[WeekIndex]=42)*(T_PlannedOrders[EffectiveQty]&gt;0)*T_PlannedOrders[Order_Month])),"m月")&amp;"発注)")</f>
        <v/>
      </c>
      <c r="AT1227">
        <f>IF(SUMIFS(T_PlannedOrders[EffectiveQty],T_PlannedOrders[Part Name],$A1217,T_PlannedOrders[WeekIndex],43)=0,"",SUMIFS(T_PlannedOrders[EffectiveQty],T_PlannedOrders[Part Name],$A1217,T_PlannedOrders[WeekIndex],43)&amp;" ("&amp;TEXT(SUMPRODUCT(MAX((T_PlannedOrders[Part Name]=$A1217)*(T_PlannedOrders[WeekIndex]=43)*(T_PlannedOrders[EffectiveQty]&gt;0)*T_PlannedOrders[Order_Month])),"m月")&amp;"発注)")</f>
        <v/>
      </c>
      <c r="AU1227">
        <f>IF(SUMIFS(T_PlannedOrders[EffectiveQty],T_PlannedOrders[Part Name],$A1217,T_PlannedOrders[WeekIndex],44)=0,"",SUMIFS(T_PlannedOrders[EffectiveQty],T_PlannedOrders[Part Name],$A1217,T_PlannedOrders[WeekIndex],44)&amp;" ("&amp;TEXT(SUMPRODUCT(MAX((T_PlannedOrders[Part Name]=$A1217)*(T_PlannedOrders[WeekIndex]=44)*(T_PlannedOrders[EffectiveQty]&gt;0)*T_PlannedOrders[Order_Month])),"m月")&amp;"発注)")</f>
        <v/>
      </c>
      <c r="AV1227">
        <f>IF(SUMIFS(T_PlannedOrders[EffectiveQty],T_PlannedOrders[Part Name],$A1217,T_PlannedOrders[WeekIndex],45)=0,"",SUMIFS(T_PlannedOrders[EffectiveQty],T_PlannedOrders[Part Name],$A1217,T_PlannedOrders[WeekIndex],45)&amp;" ("&amp;TEXT(SUMPRODUCT(MAX((T_PlannedOrders[Part Name]=$A1217)*(T_PlannedOrders[WeekIndex]=45)*(T_PlannedOrders[EffectiveQty]&gt;0)*T_PlannedOrders[Order_Month])),"m月")&amp;"発注)")</f>
        <v/>
      </c>
      <c r="AW1227">
        <f>IF(SUMIFS(T_PlannedOrders[EffectiveQty],T_PlannedOrders[Part Name],$A1217,T_PlannedOrders[WeekIndex],46)=0,"",SUMIFS(T_PlannedOrders[EffectiveQty],T_PlannedOrders[Part Name],$A1217,T_PlannedOrders[WeekIndex],46)&amp;" ("&amp;TEXT(SUMPRODUCT(MAX((T_PlannedOrders[Part Name]=$A1217)*(T_PlannedOrders[WeekIndex]=46)*(T_PlannedOrders[EffectiveQty]&gt;0)*T_PlannedOrders[Order_Month])),"m月")&amp;"発注)")</f>
        <v/>
      </c>
      <c r="AX1227">
        <f>IF(SUMIFS(T_PlannedOrders[EffectiveQty],T_PlannedOrders[Part Name],$A1217,T_PlannedOrders[WeekIndex],47)=0,"",SUMIFS(T_PlannedOrders[EffectiveQty],T_PlannedOrders[Part Name],$A1217,T_PlannedOrders[WeekIndex],47)&amp;" ("&amp;TEXT(SUMPRODUCT(MAX((T_PlannedOrders[Part Name]=$A1217)*(T_PlannedOrders[WeekIndex]=47)*(T_PlannedOrders[EffectiveQty]&gt;0)*T_PlannedOrders[Order_Month])),"m月")&amp;"発注)")</f>
        <v/>
      </c>
      <c r="AY1227">
        <f>IF(SUMIFS(T_PlannedOrders[EffectiveQty],T_PlannedOrders[Part Name],$A1217,T_PlannedOrders[WeekIndex],48)=0,"",SUMIFS(T_PlannedOrders[EffectiveQty],T_PlannedOrders[Part Name],$A1217,T_PlannedOrders[WeekIndex],48)&amp;" ("&amp;TEXT(SUMPRODUCT(MAX((T_PlannedOrders[Part Name]=$A1217)*(T_PlannedOrders[WeekIndex]=48)*(T_PlannedOrders[EffectiveQty]&gt;0)*T_PlannedOrders[Order_Month])),"m月")&amp;"発注)")</f>
        <v/>
      </c>
      <c r="AZ1227">
        <f>IF(SUMIFS(T_PlannedOrders[EffectiveQty],T_PlannedOrders[Part Name],$A1217,T_PlannedOrders[WeekIndex],49)=0,"",SUMIFS(T_PlannedOrders[EffectiveQty],T_PlannedOrders[Part Name],$A1217,T_PlannedOrders[WeekIndex],49)&amp;" ("&amp;TEXT(SUMPRODUCT(MAX((T_PlannedOrders[Part Name]=$A1217)*(T_PlannedOrders[WeekIndex]=49)*(T_PlannedOrders[EffectiveQty]&gt;0)*T_PlannedOrders[Order_Month])),"m月")&amp;"発注)")</f>
        <v/>
      </c>
      <c r="BA1227">
        <f>IF(SUMIFS(T_PlannedOrders[EffectiveQty],T_PlannedOrders[Part Name],$A1217,T_PlannedOrders[WeekIndex],50)=0,"",SUMIFS(T_PlannedOrders[EffectiveQty],T_PlannedOrders[Part Name],$A1217,T_PlannedOrders[WeekIndex],50)&amp;" ("&amp;TEXT(SUMPRODUCT(MAX((T_PlannedOrders[Part Name]=$A1217)*(T_PlannedOrders[WeekIndex]=50)*(T_PlannedOrders[EffectiveQty]&gt;0)*T_PlannedOrders[Order_Month])),"m月")&amp;"発注)")</f>
        <v/>
      </c>
      <c r="BB1227">
        <f>IF(SUMIFS(T_PlannedOrders[EffectiveQty],T_PlannedOrders[Part Name],$A1217,T_PlannedOrders[WeekIndex],51)=0,"",SUMIFS(T_PlannedOrders[EffectiveQty],T_PlannedOrders[Part Name],$A1217,T_PlannedOrders[WeekIndex],51)&amp;" ("&amp;TEXT(SUMPRODUCT(MAX((T_PlannedOrders[Part Name]=$A1217)*(T_PlannedOrders[WeekIndex]=51)*(T_PlannedOrders[EffectiveQty]&gt;0)*T_PlannedOrders[Order_Month])),"m月")&amp;"発注)")</f>
        <v/>
      </c>
      <c r="BC1227">
        <f>IF(SUMIFS(T_PlannedOrders[EffectiveQty],T_PlannedOrders[Part Name],$A1217,T_PlannedOrders[WeekIndex],52)=0,"",SUMIFS(T_PlannedOrders[EffectiveQty],T_PlannedOrders[Part Name],$A1217,T_PlannedOrders[WeekIndex],52)&amp;" ("&amp;TEXT(SUMPRODUCT(MAX((T_PlannedOrders[Part Name]=$A1217)*(T_PlannedOrders[WeekIndex]=52)*(T_PlannedOrders[EffectiveQty]&gt;0)*T_PlannedOrders[Order_Month])),"m月")&amp;"発注)")</f>
        <v/>
      </c>
      <c r="BD1227">
        <f>IF(SUMIFS(T_PlannedOrders[EffectiveQty],T_PlannedOrders[Part Name],$A1217,T_PlannedOrders[WeekIndex],53)=0,"",SUMIFS(T_PlannedOrders[EffectiveQty],T_PlannedOrders[Part Name],$A1217,T_PlannedOrders[WeekIndex],53)&amp;" ("&amp;TEXT(SUMPRODUCT(MAX((T_PlannedOrders[Part Name]=$A1217)*(T_PlannedOrders[WeekIndex]=53)*(T_PlannedOrders[EffectiveQty]&gt;0)*T_PlannedOrders[Order_Month])),"m月")&amp;"発注)")</f>
        <v/>
      </c>
      <c r="BE1227">
        <f>IF(SUMIFS(T_PlannedOrders[EffectiveQty],T_PlannedOrders[Part Name],$A1217,T_PlannedOrders[WeekIndex],54)=0,"",SUMIFS(T_PlannedOrders[EffectiveQty],T_PlannedOrders[Part Name],$A1217,T_PlannedOrders[WeekIndex],54)&amp;" ("&amp;TEXT(SUMPRODUCT(MAX((T_PlannedOrders[Part Name]=$A1217)*(T_PlannedOrders[WeekIndex]=54)*(T_PlannedOrders[EffectiveQty]&gt;0)*T_PlannedOrders[Order_Month])),"m月")&amp;"発注)")</f>
        <v/>
      </c>
      <c r="BF1227">
        <f>IF(SUMIFS(T_PlannedOrders[EffectiveQty],T_PlannedOrders[Part Name],$A1217,T_PlannedOrders[WeekIndex],55)=0,"",SUMIFS(T_PlannedOrders[EffectiveQty],T_PlannedOrders[Part Name],$A1217,T_PlannedOrders[WeekIndex],55)&amp;" ("&amp;TEXT(SUMPRODUCT(MAX((T_PlannedOrders[Part Name]=$A1217)*(T_PlannedOrders[WeekIndex]=55)*(T_PlannedOrders[EffectiveQty]&gt;0)*T_PlannedOrders[Order_Month])),"m月")&amp;"発注)")</f>
        <v/>
      </c>
      <c r="BG1227">
        <f>IF(SUMIFS(T_PlannedOrders[EffectiveQty],T_PlannedOrders[Part Name],$A1217,T_PlannedOrders[WeekIndex],56)=0,"",SUMIFS(T_PlannedOrders[EffectiveQty],T_PlannedOrders[Part Name],$A1217,T_PlannedOrders[WeekIndex],56)&amp;" ("&amp;TEXT(SUMPRODUCT(MAX((T_PlannedOrders[Part Name]=$A1217)*(T_PlannedOrders[WeekIndex]=56)*(T_PlannedOrders[EffectiveQty]&gt;0)*T_PlannedOrders[Order_Month])),"m月")&amp;"発注)")</f>
        <v/>
      </c>
      <c r="BH1227">
        <f>IF(SUMIFS(T_PlannedOrders[EffectiveQty],T_PlannedOrders[Part Name],$A1217,T_PlannedOrders[WeekIndex],57)=0,"",SUMIFS(T_PlannedOrders[EffectiveQty],T_PlannedOrders[Part Name],$A1217,T_PlannedOrders[WeekIndex],57)&amp;" ("&amp;TEXT(SUMPRODUCT(MAX((T_PlannedOrders[Part Name]=$A1217)*(T_PlannedOrders[WeekIndex]=57)*(T_PlannedOrders[EffectiveQty]&gt;0)*T_PlannedOrders[Order_Month])),"m月")&amp;"発注)")</f>
        <v/>
      </c>
      <c r="BI1227">
        <f>IF(SUMIFS(T_PlannedOrders[EffectiveQty],T_PlannedOrders[Part Name],$A1217,T_PlannedOrders[WeekIndex],58)=0,"",SUMIFS(T_PlannedOrders[EffectiveQty],T_PlannedOrders[Part Name],$A1217,T_PlannedOrders[WeekIndex],58)&amp;" ("&amp;TEXT(SUMPRODUCT(MAX((T_PlannedOrders[Part Name]=$A1217)*(T_PlannedOrders[WeekIndex]=58)*(T_PlannedOrders[EffectiveQty]&gt;0)*T_PlannedOrders[Order_Month])),"m月")&amp;"発注)")</f>
        <v/>
      </c>
      <c r="BJ1227">
        <f>IF(SUMIFS(T_PlannedOrders[EffectiveQty],T_PlannedOrders[Part Name],$A1217,T_PlannedOrders[WeekIndex],59)=0,"",SUMIFS(T_PlannedOrders[EffectiveQty],T_PlannedOrders[Part Name],$A1217,T_PlannedOrders[WeekIndex],59)&amp;" ("&amp;TEXT(SUMPRODUCT(MAX((T_PlannedOrders[Part Name]=$A1217)*(T_PlannedOrders[WeekIndex]=59)*(T_PlannedOrders[EffectiveQty]&gt;0)*T_PlannedOrders[Order_Month])),"m月")&amp;"発注)")</f>
        <v/>
      </c>
      <c r="BK1227">
        <f>IF(SUMIFS(T_PlannedOrders[EffectiveQty],T_PlannedOrders[Part Name],$A1217,T_PlannedOrders[WeekIndex],60)=0,"",SUMIFS(T_PlannedOrders[EffectiveQty],T_PlannedOrders[Part Name],$A1217,T_PlannedOrders[WeekIndex],60)&amp;" ("&amp;TEXT(SUMPRODUCT(MAX((T_PlannedOrders[Part Name]=$A1217)*(T_PlannedOrders[WeekIndex]=60)*(T_PlannedOrders[EffectiveQty]&gt;0)*T_PlannedOrders[Order_Month])),"m月")&amp;"発注)")</f>
        <v/>
      </c>
      <c r="BL1227">
        <f>IF(SUMIFS(T_PlannedOrders[EffectiveQty],T_PlannedOrders[Part Name],$A1217,T_PlannedOrders[WeekIndex],61)=0,"",SUMIFS(T_PlannedOrders[EffectiveQty],T_PlannedOrders[Part Name],$A1217,T_PlannedOrders[WeekIndex],61)&amp;" ("&amp;TEXT(SUMPRODUCT(MAX((T_PlannedOrders[Part Name]=$A1217)*(T_PlannedOrders[WeekIndex]=61)*(T_PlannedOrders[EffectiveQty]&gt;0)*T_PlannedOrders[Order_Month])),"m月")&amp;"発注)")</f>
        <v/>
      </c>
      <c r="BM1227">
        <f>IF(SUMIFS(T_PlannedOrders[EffectiveQty],T_PlannedOrders[Part Name],$A1217,T_PlannedOrders[WeekIndex],62)=0,"",SUMIFS(T_PlannedOrders[EffectiveQty],T_PlannedOrders[Part Name],$A1217,T_PlannedOrders[WeekIndex],62)&amp;" ("&amp;TEXT(SUMPRODUCT(MAX((T_PlannedOrders[Part Name]=$A1217)*(T_PlannedOrders[WeekIndex]=62)*(T_PlannedOrders[EffectiveQty]&gt;0)*T_PlannedOrders[Order_Month])),"m月")&amp;"発注)")</f>
        <v/>
      </c>
      <c r="BN1227">
        <f>IF(SUMIFS(T_PlannedOrders[EffectiveQty],T_PlannedOrders[Part Name],$A1217,T_PlannedOrders[WeekIndex],63)=0,"",SUMIFS(T_PlannedOrders[EffectiveQty],T_PlannedOrders[Part Name],$A1217,T_PlannedOrders[WeekIndex],63)&amp;" ("&amp;TEXT(SUMPRODUCT(MAX((T_PlannedOrders[Part Name]=$A1217)*(T_PlannedOrders[WeekIndex]=63)*(T_PlannedOrders[EffectiveQty]&gt;0)*T_PlannedOrders[Order_Month])),"m月")&amp;"発注)")</f>
        <v/>
      </c>
      <c r="BO1227">
        <f>IF(SUMIFS(T_PlannedOrders[EffectiveQty],T_PlannedOrders[Part Name],$A1217,T_PlannedOrders[WeekIndex],64)=0,"",SUMIFS(T_PlannedOrders[EffectiveQty],T_PlannedOrders[Part Name],$A1217,T_PlannedOrders[WeekIndex],64)&amp;" ("&amp;TEXT(SUMPRODUCT(MAX((T_PlannedOrders[Part Name]=$A1217)*(T_PlannedOrders[WeekIndex]=64)*(T_PlannedOrders[EffectiveQty]&gt;0)*T_PlannedOrders[Order_Month])),"m月")&amp;"発注)")</f>
        <v/>
      </c>
      <c r="BP1227">
        <f>IF(SUMIFS(T_PlannedOrders[EffectiveQty],T_PlannedOrders[Part Name],$A1217,T_PlannedOrders[WeekIndex],65)=0,"",SUMIFS(T_PlannedOrders[EffectiveQty],T_PlannedOrders[Part Name],$A1217,T_PlannedOrders[WeekIndex],65)&amp;" ("&amp;TEXT(SUMPRODUCT(MAX((T_PlannedOrders[Part Name]=$A1217)*(T_PlannedOrders[WeekIndex]=65)*(T_PlannedOrders[EffectiveQty]&gt;0)*T_PlannedOrders[Order_Month])),"m月")&amp;"発注)")</f>
        <v/>
      </c>
      <c r="BQ1227">
        <f>IF(SUMIFS(T_PlannedOrders[EffectiveQty],T_PlannedOrders[Part Name],$A1217,T_PlannedOrders[WeekIndex],66)=0,"",SUMIFS(T_PlannedOrders[EffectiveQty],T_PlannedOrders[Part Name],$A1217,T_PlannedOrders[WeekIndex],66)&amp;" ("&amp;TEXT(SUMPRODUCT(MAX((T_PlannedOrders[Part Name]=$A1217)*(T_PlannedOrders[WeekIndex]=66)*(T_PlannedOrders[EffectiveQty]&gt;0)*T_PlannedOrders[Order_Month])),"m月")&amp;"発注)")</f>
        <v/>
      </c>
      <c r="BR1227">
        <f>IF(SUMIFS(T_PlannedOrders[EffectiveQty],T_PlannedOrders[Part Name],$A1217,T_PlannedOrders[WeekIndex],67)=0,"",SUMIFS(T_PlannedOrders[EffectiveQty],T_PlannedOrders[Part Name],$A1217,T_PlannedOrders[WeekIndex],67)&amp;" ("&amp;TEXT(SUMPRODUCT(MAX((T_PlannedOrders[Part Name]=$A1217)*(T_PlannedOrders[WeekIndex]=67)*(T_PlannedOrders[EffectiveQty]&gt;0)*T_PlannedOrders[Order_Month])),"m月")&amp;"発注)")</f>
        <v/>
      </c>
      <c r="BS1227">
        <f>IF(SUMIFS(T_PlannedOrders[EffectiveQty],T_PlannedOrders[Part Name],$A1217,T_PlannedOrders[WeekIndex],68)=0,"",SUMIFS(T_PlannedOrders[EffectiveQty],T_PlannedOrders[Part Name],$A1217,T_PlannedOrders[WeekIndex],68)&amp;" ("&amp;TEXT(SUMPRODUCT(MAX((T_PlannedOrders[Part Name]=$A1217)*(T_PlannedOrders[WeekIndex]=68)*(T_PlannedOrders[EffectiveQty]&gt;0)*T_PlannedOrders[Order_Month])),"m月")&amp;"発注)")</f>
        <v/>
      </c>
      <c r="BT1227">
        <f>IF(SUMIFS(T_PlannedOrders[EffectiveQty],T_PlannedOrders[Part Name],$A1217,T_PlannedOrders[WeekIndex],69)=0,"",SUMIFS(T_PlannedOrders[EffectiveQty],T_PlannedOrders[Part Name],$A1217,T_PlannedOrders[WeekIndex],69)&amp;" ("&amp;TEXT(SUMPRODUCT(MAX((T_PlannedOrders[Part Name]=$A1217)*(T_PlannedOrders[WeekIndex]=69)*(T_PlannedOrders[EffectiveQty]&gt;0)*T_PlannedOrders[Order_Month])),"m月")&amp;"発注)")</f>
        <v/>
      </c>
      <c r="BU1227">
        <f>IF(SUMIFS(T_PlannedOrders[EffectiveQty],T_PlannedOrders[Part Name],$A1217,T_PlannedOrders[WeekIndex],70)=0,"",SUMIFS(T_PlannedOrders[EffectiveQty],T_PlannedOrders[Part Name],$A1217,T_PlannedOrders[WeekIndex],70)&amp;" ("&amp;TEXT(SUMPRODUCT(MAX((T_PlannedOrders[Part Name]=$A1217)*(T_PlannedOrders[WeekIndex]=70)*(T_PlannedOrders[EffectiveQty]&gt;0)*T_PlannedOrders[Order_Month])),"m月")&amp;"発注)")</f>
        <v/>
      </c>
      <c r="BV1227">
        <f>IF(SUMIFS(T_PlannedOrders[EffectiveQty],T_PlannedOrders[Part Name],$A1217,T_PlannedOrders[WeekIndex],71)=0,"",SUMIFS(T_PlannedOrders[EffectiveQty],T_PlannedOrders[Part Name],$A1217,T_PlannedOrders[WeekIndex],71)&amp;" ("&amp;TEXT(SUMPRODUCT(MAX((T_PlannedOrders[Part Name]=$A1217)*(T_PlannedOrders[WeekIndex]=71)*(T_PlannedOrders[EffectiveQty]&gt;0)*T_PlannedOrders[Order_Month])),"m月")&amp;"発注)")</f>
        <v/>
      </c>
      <c r="BW1227">
        <f>IF(SUMIFS(T_PlannedOrders[EffectiveQty],T_PlannedOrders[Part Name],$A1217,T_PlannedOrders[WeekIndex],72)=0,"",SUMIFS(T_PlannedOrders[EffectiveQty],T_PlannedOrders[Part Name],$A1217,T_PlannedOrders[WeekIndex],72)&amp;" ("&amp;TEXT(SUMPRODUCT(MAX((T_PlannedOrders[Part Name]=$A1217)*(T_PlannedOrders[WeekIndex]=72)*(T_PlannedOrders[EffectiveQty]&gt;0)*T_PlannedOrders[Order_Month])),"m月")&amp;"発注)")</f>
        <v/>
      </c>
      <c r="BX1227">
        <f>IF(SUMIFS(T_PlannedOrders[EffectiveQty],T_PlannedOrders[Part Name],$A1217,T_PlannedOrders[WeekIndex],73)=0,"",SUMIFS(T_PlannedOrders[EffectiveQty],T_PlannedOrders[Part Name],$A1217,T_PlannedOrders[WeekIndex],73)&amp;" ("&amp;TEXT(SUMPRODUCT(MAX((T_PlannedOrders[Part Name]=$A1217)*(T_PlannedOrders[WeekIndex]=73)*(T_PlannedOrders[EffectiveQty]&gt;0)*T_PlannedOrders[Order_Month])),"m月")&amp;"発注)")</f>
        <v/>
      </c>
      <c r="BY1227">
        <f>IF(SUMIFS(T_PlannedOrders[EffectiveQty],T_PlannedOrders[Part Name],$A1217,T_PlannedOrders[WeekIndex],74)=0,"",SUMIFS(T_PlannedOrders[EffectiveQty],T_PlannedOrders[Part Name],$A1217,T_PlannedOrders[WeekIndex],74)&amp;" ("&amp;TEXT(SUMPRODUCT(MAX((T_PlannedOrders[Part Name]=$A1217)*(T_PlannedOrders[WeekIndex]=74)*(T_PlannedOrders[EffectiveQty]&gt;0)*T_PlannedOrders[Order_Month])),"m月")&amp;"発注)")</f>
        <v/>
      </c>
      <c r="BZ1227">
        <f>IF(SUMIFS(T_PlannedOrders[EffectiveQty],T_PlannedOrders[Part Name],$A1217,T_PlannedOrders[WeekIndex],75)=0,"",SUMIFS(T_PlannedOrders[EffectiveQty],T_PlannedOrders[Part Name],$A1217,T_PlannedOrders[WeekIndex],75)&amp;" ("&amp;TEXT(SUMPRODUCT(MAX((T_PlannedOrders[Part Name]=$A1217)*(T_PlannedOrders[WeekIndex]=75)*(T_PlannedOrders[EffectiveQty]&gt;0)*T_PlannedOrders[Order_Month])),"m月")&amp;"発注)")</f>
        <v/>
      </c>
      <c r="CA1227">
        <f>IF(SUMIFS(T_PlannedOrders[EffectiveQty],T_PlannedOrders[Part Name],$A1217,T_PlannedOrders[WeekIndex],76)=0,"",SUMIFS(T_PlannedOrders[EffectiveQty],T_PlannedOrders[Part Name],$A1217,T_PlannedOrders[WeekIndex],76)&amp;" ("&amp;TEXT(SUMPRODUCT(MAX((T_PlannedOrders[Part Name]=$A1217)*(T_PlannedOrders[WeekIndex]=76)*(T_PlannedOrders[EffectiveQty]&gt;0)*T_PlannedOrders[Order_Month])),"m月")&amp;"発注)")</f>
        <v/>
      </c>
      <c r="CB1227">
        <f>IF(SUMIFS(T_PlannedOrders[EffectiveQty],T_PlannedOrders[Part Name],$A1217,T_PlannedOrders[WeekIndex],77)=0,"",SUMIFS(T_PlannedOrders[EffectiveQty],T_PlannedOrders[Part Name],$A1217,T_PlannedOrders[WeekIndex],77)&amp;" ("&amp;TEXT(SUMPRODUCT(MAX((T_PlannedOrders[Part Name]=$A1217)*(T_PlannedOrders[WeekIndex]=77)*(T_PlannedOrders[EffectiveQty]&gt;0)*T_PlannedOrders[Order_Month])),"m月")&amp;"発注)")</f>
        <v/>
      </c>
      <c r="CC1227">
        <f>IF(SUMIFS(T_PlannedOrders[EffectiveQty],T_PlannedOrders[Part Name],$A1217,T_PlannedOrders[WeekIndex],78)=0,"",SUMIFS(T_PlannedOrders[EffectiveQty],T_PlannedOrders[Part Name],$A1217,T_PlannedOrders[WeekIndex],78)&amp;" ("&amp;TEXT(SUMPRODUCT(MAX((T_PlannedOrders[Part Name]=$A1217)*(T_PlannedOrders[WeekIndex]=78)*(T_PlannedOrders[EffectiveQty]&gt;0)*T_PlannedOrders[Order_Month])),"m月")&amp;"発注)")</f>
        <v/>
      </c>
      <c r="CD1227">
        <f>IF(SUMIFS(T_PlannedOrders[EffectiveQty],T_PlannedOrders[Part Name],$A1217,T_PlannedOrders[WeekIndex],79)=0,"",SUMIFS(T_PlannedOrders[EffectiveQty],T_PlannedOrders[Part Name],$A1217,T_PlannedOrders[WeekIndex],79)&amp;" ("&amp;TEXT(SUMPRODUCT(MAX((T_PlannedOrders[Part Name]=$A1217)*(T_PlannedOrders[WeekIndex]=79)*(T_PlannedOrders[EffectiveQty]&gt;0)*T_PlannedOrders[Order_Month])),"m月")&amp;"発注)")</f>
        <v/>
      </c>
      <c r="CE1227">
        <f>IF(SUMIFS(T_PlannedOrders[EffectiveQty],T_PlannedOrders[Part Name],$A1217,T_PlannedOrders[WeekIndex],80)=0,"",SUMIFS(T_PlannedOrders[EffectiveQty],T_PlannedOrders[Part Name],$A1217,T_PlannedOrders[WeekIndex],80)&amp;" ("&amp;TEXT(SUMPRODUCT(MAX((T_PlannedOrders[Part Name]=$A1217)*(T_PlannedOrders[WeekIndex]=80)*(T_PlannedOrders[EffectiveQty]&gt;0)*T_PlannedOrders[Order_Month])),"m月")&amp;"発注)")</f>
        <v/>
      </c>
      <c r="CF1227">
        <f>IF(SUMIFS(T_PlannedOrders[EffectiveQty],T_PlannedOrders[Part Name],$A1217,T_PlannedOrders[WeekIndex],81)=0,"",SUMIFS(T_PlannedOrders[EffectiveQty],T_PlannedOrders[Part Name],$A1217,T_PlannedOrders[WeekIndex],81)&amp;" ("&amp;TEXT(SUMPRODUCT(MAX((T_PlannedOrders[Part Name]=$A1217)*(T_PlannedOrders[WeekIndex]=81)*(T_PlannedOrders[EffectiveQty]&gt;0)*T_PlannedOrders[Order_Month])),"m月")&amp;"発注)")</f>
        <v/>
      </c>
      <c r="CG1227">
        <f>IF(SUMIFS(T_PlannedOrders[EffectiveQty],T_PlannedOrders[Part Name],$A1217,T_PlannedOrders[WeekIndex],82)=0,"",SUMIFS(T_PlannedOrders[EffectiveQty],T_PlannedOrders[Part Name],$A1217,T_PlannedOrders[WeekIndex],82)&amp;" ("&amp;TEXT(SUMPRODUCT(MAX((T_PlannedOrders[Part Name]=$A1217)*(T_PlannedOrders[WeekIndex]=82)*(T_PlannedOrders[EffectiveQty]&gt;0)*T_PlannedOrders[Order_Month])),"m月")&amp;"発注)")</f>
        <v/>
      </c>
      <c r="CH1227">
        <f>IF(SUMIFS(T_PlannedOrders[EffectiveQty],T_PlannedOrders[Part Name],$A1217,T_PlannedOrders[WeekIndex],83)=0,"",SUMIFS(T_PlannedOrders[EffectiveQty],T_PlannedOrders[Part Name],$A1217,T_PlannedOrders[WeekIndex],83)&amp;" ("&amp;TEXT(SUMPRODUCT(MAX((T_PlannedOrders[Part Name]=$A1217)*(T_PlannedOrders[WeekIndex]=83)*(T_PlannedOrders[EffectiveQty]&gt;0)*T_PlannedOrders[Order_Month])),"m月")&amp;"発注)")</f>
        <v/>
      </c>
      <c r="CI1227">
        <f>IF(SUMIFS(T_PlannedOrders[EffectiveQty],T_PlannedOrders[Part Name],$A1217,T_PlannedOrders[WeekIndex],84)=0,"",SUMIFS(T_PlannedOrders[EffectiveQty],T_PlannedOrders[Part Name],$A1217,T_PlannedOrders[WeekIndex],84)&amp;" ("&amp;TEXT(SUMPRODUCT(MAX((T_PlannedOrders[Part Name]=$A1217)*(T_PlannedOrders[WeekIndex]=84)*(T_PlannedOrders[EffectiveQty]&gt;0)*T_PlannedOrders[Order_Month])),"m月")&amp;"発注)")</f>
        <v/>
      </c>
      <c r="CJ1227">
        <f>IF(SUMIFS(T_PlannedOrders[EffectiveQty],T_PlannedOrders[Part Name],$A1217,T_PlannedOrders[WeekIndex],85)=0,"",SUMIFS(T_PlannedOrders[EffectiveQty],T_PlannedOrders[Part Name],$A1217,T_PlannedOrders[WeekIndex],85)&amp;" ("&amp;TEXT(SUMPRODUCT(MAX((T_PlannedOrders[Part Name]=$A1217)*(T_PlannedOrders[WeekIndex]=85)*(T_PlannedOrders[EffectiveQty]&gt;0)*T_PlannedOrders[Order_Month])),"m月")&amp;"発注)")</f>
        <v/>
      </c>
      <c r="CK1227">
        <f>IF(SUMIFS(T_PlannedOrders[EffectiveQty],T_PlannedOrders[Part Name],$A1217,T_PlannedOrders[WeekIndex],86)=0,"",SUMIFS(T_PlannedOrders[EffectiveQty],T_PlannedOrders[Part Name],$A1217,T_PlannedOrders[WeekIndex],86)&amp;" ("&amp;TEXT(SUMPRODUCT(MAX((T_PlannedOrders[Part Name]=$A1217)*(T_PlannedOrders[WeekIndex]=86)*(T_PlannedOrders[EffectiveQty]&gt;0)*T_PlannedOrders[Order_Month])),"m月")&amp;"発注)")</f>
        <v/>
      </c>
      <c r="CL1227">
        <f>IF(SUMIFS(T_PlannedOrders[EffectiveQty],T_PlannedOrders[Part Name],$A1217,T_PlannedOrders[WeekIndex],87)=0,"",SUMIFS(T_PlannedOrders[EffectiveQty],T_PlannedOrders[Part Name],$A1217,T_PlannedOrders[WeekIndex],87)&amp;" ("&amp;TEXT(SUMPRODUCT(MAX((T_PlannedOrders[Part Name]=$A1217)*(T_PlannedOrders[WeekIndex]=87)*(T_PlannedOrders[EffectiveQty]&gt;0)*T_PlannedOrders[Order_Month])),"m月")&amp;"発注)")</f>
        <v/>
      </c>
      <c r="CM1227">
        <f>IF(SUMIFS(T_PlannedOrders[EffectiveQty],T_PlannedOrders[Part Name],$A1217,T_PlannedOrders[WeekIndex],88)=0,"",SUMIFS(T_PlannedOrders[EffectiveQty],T_PlannedOrders[Part Name],$A1217,T_PlannedOrders[WeekIndex],88)&amp;" ("&amp;TEXT(SUMPRODUCT(MAX((T_PlannedOrders[Part Name]=$A1217)*(T_PlannedOrders[WeekIndex]=88)*(T_PlannedOrders[EffectiveQty]&gt;0)*T_PlannedOrders[Order_Month])),"m月")&amp;"発注)")</f>
        <v/>
      </c>
      <c r="CN1227">
        <f>IF(SUMIFS(T_PlannedOrders[EffectiveQty],T_PlannedOrders[Part Name],$A1217,T_PlannedOrders[WeekIndex],89)=0,"",SUMIFS(T_PlannedOrders[EffectiveQty],T_PlannedOrders[Part Name],$A1217,T_PlannedOrders[WeekIndex],89)&amp;" ("&amp;TEXT(SUMPRODUCT(MAX((T_PlannedOrders[Part Name]=$A1217)*(T_PlannedOrders[WeekIndex]=89)*(T_PlannedOrders[EffectiveQty]&gt;0)*T_PlannedOrders[Order_Month])),"m月")&amp;"発注)")</f>
        <v/>
      </c>
      <c r="CO1227">
        <f>IF(SUMIFS(T_PlannedOrders[EffectiveQty],T_PlannedOrders[Part Name],$A1217,T_PlannedOrders[WeekIndex],90)=0,"",SUMIFS(T_PlannedOrders[EffectiveQty],T_PlannedOrders[Part Name],$A1217,T_PlannedOrders[WeekIndex],90)&amp;" ("&amp;TEXT(SUMPRODUCT(MAX((T_PlannedOrders[Part Name]=$A1217)*(T_PlannedOrders[WeekIndex]=90)*(T_PlannedOrders[EffectiveQty]&gt;0)*T_PlannedOrders[Order_Month])),"m月")&amp;"発注)")</f>
        <v/>
      </c>
      <c r="CP1227">
        <f>IF(SUMIFS(T_PlannedOrders[EffectiveQty],T_PlannedOrders[Part Name],$A1217,T_PlannedOrders[WeekIndex],91)=0,"",SUMIFS(T_PlannedOrders[EffectiveQty],T_PlannedOrders[Part Name],$A1217,T_PlannedOrders[WeekIndex],91)&amp;" ("&amp;TEXT(SUMPRODUCT(MAX((T_PlannedOrders[Part Name]=$A1217)*(T_PlannedOrders[WeekIndex]=91)*(T_PlannedOrders[EffectiveQty]&gt;0)*T_PlannedOrders[Order_Month])),"m月")&amp;"発注)")</f>
        <v/>
      </c>
      <c r="CQ1227">
        <f>IF(SUMIFS(T_PlannedOrders[EffectiveQty],T_PlannedOrders[Part Name],$A1217,T_PlannedOrders[WeekIndex],92)=0,"",SUMIFS(T_PlannedOrders[EffectiveQty],T_PlannedOrders[Part Name],$A1217,T_PlannedOrders[WeekIndex],92)&amp;" ("&amp;TEXT(SUMPRODUCT(MAX((T_PlannedOrders[Part Name]=$A1217)*(T_PlannedOrders[WeekIndex]=92)*(T_PlannedOrders[EffectiveQty]&gt;0)*T_PlannedOrders[Order_Month])),"m月")&amp;"発注)")</f>
        <v/>
      </c>
      <c r="CR1227">
        <f>IF(SUMIFS(T_PlannedOrders[EffectiveQty],T_PlannedOrders[Part Name],$A1217,T_PlannedOrders[WeekIndex],93)=0,"",SUMIFS(T_PlannedOrders[EffectiveQty],T_PlannedOrders[Part Name],$A1217,T_PlannedOrders[WeekIndex],93)&amp;" ("&amp;TEXT(SUMPRODUCT(MAX((T_PlannedOrders[Part Name]=$A1217)*(T_PlannedOrders[WeekIndex]=93)*(T_PlannedOrders[EffectiveQty]&gt;0)*T_PlannedOrders[Order_Month])),"m月")&amp;"発注)")</f>
        <v/>
      </c>
      <c r="CS1227">
        <f>IF(SUMIFS(T_PlannedOrders[EffectiveQty],T_PlannedOrders[Part Name],$A1217,T_PlannedOrders[WeekIndex],94)=0,"",SUMIFS(T_PlannedOrders[EffectiveQty],T_PlannedOrders[Part Name],$A1217,T_PlannedOrders[WeekIndex],94)&amp;" ("&amp;TEXT(SUMPRODUCT(MAX((T_PlannedOrders[Part Name]=$A1217)*(T_PlannedOrders[WeekIndex]=94)*(T_PlannedOrders[EffectiveQty]&gt;0)*T_PlannedOrders[Order_Month])),"m月")&amp;"発注)")</f>
        <v/>
      </c>
      <c r="CT1227">
        <f>IF(SUMIFS(T_PlannedOrders[EffectiveQty],T_PlannedOrders[Part Name],$A1217,T_PlannedOrders[WeekIndex],95)=0,"",SUMIFS(T_PlannedOrders[EffectiveQty],T_PlannedOrders[Part Name],$A1217,T_PlannedOrders[WeekIndex],95)&amp;" ("&amp;TEXT(SUMPRODUCT(MAX((T_PlannedOrders[Part Name]=$A1217)*(T_PlannedOrders[WeekIndex]=95)*(T_PlannedOrders[EffectiveQty]&gt;0)*T_PlannedOrders[Order_Month])),"m月")&amp;"発注)")</f>
        <v/>
      </c>
      <c r="CU1227">
        <f>IF(SUMIFS(T_PlannedOrders[EffectiveQty],T_PlannedOrders[Part Name],$A1217,T_PlannedOrders[WeekIndex],96)=0,"",SUMIFS(T_PlannedOrders[EffectiveQty],T_PlannedOrders[Part Name],$A1217,T_PlannedOrders[WeekIndex],96)&amp;" ("&amp;TEXT(SUMPRODUCT(MAX((T_PlannedOrders[Part Name]=$A1217)*(T_PlannedOrders[WeekIndex]=96)*(T_PlannedOrders[EffectiveQty]&gt;0)*T_PlannedOrders[Order_Month])),"m月")&amp;"発注)")</f>
        <v/>
      </c>
      <c r="CV1227">
        <f>IF(SUMIFS(T_PlannedOrders[EffectiveQty],T_PlannedOrders[Part Name],$A1217,T_PlannedOrders[WeekIndex],97)=0,"",SUMIFS(T_PlannedOrders[EffectiveQty],T_PlannedOrders[Part Name],$A1217,T_PlannedOrders[WeekIndex],97)&amp;" ("&amp;TEXT(SUMPRODUCT(MAX((T_PlannedOrders[Part Name]=$A1217)*(T_PlannedOrders[WeekIndex]=97)*(T_PlannedOrders[EffectiveQty]&gt;0)*T_PlannedOrders[Order_Month])),"m月")&amp;"発注)")</f>
        <v/>
      </c>
      <c r="CW1227">
        <f>IF(SUMIFS(T_PlannedOrders[EffectiveQty],T_PlannedOrders[Part Name],$A1217,T_PlannedOrders[WeekIndex],98)=0,"",SUMIFS(T_PlannedOrders[EffectiveQty],T_PlannedOrders[Part Name],$A1217,T_PlannedOrders[WeekIndex],98)&amp;" ("&amp;TEXT(SUMPRODUCT(MAX((T_PlannedOrders[Part Name]=$A1217)*(T_PlannedOrders[WeekIndex]=98)*(T_PlannedOrders[EffectiveQty]&gt;0)*T_PlannedOrders[Order_Month])),"m月")&amp;"発注)")</f>
        <v/>
      </c>
      <c r="CX1227">
        <f>IF(SUMIFS(T_PlannedOrders[EffectiveQty],T_PlannedOrders[Part Name],$A1217,T_PlannedOrders[WeekIndex],99)=0,"",SUMIFS(T_PlannedOrders[EffectiveQty],T_PlannedOrders[Part Name],$A1217,T_PlannedOrders[WeekIndex],99)&amp;" ("&amp;TEXT(SUMPRODUCT(MAX((T_PlannedOrders[Part Name]=$A1217)*(T_PlannedOrders[WeekIndex]=99)*(T_PlannedOrders[EffectiveQty]&gt;0)*T_PlannedOrders[Order_Month])),"m月")&amp;"発注)")</f>
        <v/>
      </c>
      <c r="CY1227">
        <f>IF(SUMIFS(T_PlannedOrders[EffectiveQty],T_PlannedOrders[Part Name],$A1217,T_PlannedOrders[WeekIndex],100)=0,"",SUMIFS(T_PlannedOrders[EffectiveQty],T_PlannedOrders[Part Name],$A1217,T_PlannedOrders[WeekIndex],100)&amp;" ("&amp;TEXT(SUMPRODUCT(MAX((T_PlannedOrders[Part Name]=$A1217)*(T_PlannedOrders[WeekIndex]=100)*(T_PlannedOrders[EffectiveQty]&gt;0)*T_PlannedOrders[Order_Month])),"m月")&amp;"発注)")</f>
        <v/>
      </c>
      <c r="CZ1227">
        <f>IF(SUMIFS(T_PlannedOrders[EffectiveQty],T_PlannedOrders[Part Name],$A1217,T_PlannedOrders[WeekIndex],101)=0,"",SUMIFS(T_PlannedOrders[EffectiveQty],T_PlannedOrders[Part Name],$A1217,T_PlannedOrders[WeekIndex],101)&amp;" ("&amp;TEXT(SUMPRODUCT(MAX((T_PlannedOrders[Part Name]=$A1217)*(T_PlannedOrders[WeekIndex]=101)*(T_PlannedOrders[EffectiveQty]&gt;0)*T_PlannedOrders[Order_Month])),"m月")&amp;"発注)")</f>
        <v/>
      </c>
      <c r="DA1227">
        <f>IF(SUMIFS(T_PlannedOrders[EffectiveQty],T_PlannedOrders[Part Name],$A1217,T_PlannedOrders[WeekIndex],102)=0,"",SUMIFS(T_PlannedOrders[EffectiveQty],T_PlannedOrders[Part Name],$A1217,T_PlannedOrders[WeekIndex],102)&amp;" ("&amp;TEXT(SUMPRODUCT(MAX((T_PlannedOrders[Part Name]=$A1217)*(T_PlannedOrders[WeekIndex]=102)*(T_PlannedOrders[EffectiveQty]&gt;0)*T_PlannedOrders[Order_Month])),"m月")&amp;"発注)")</f>
        <v/>
      </c>
      <c r="DB1227">
        <f>IF(SUMIFS(T_PlannedOrders[EffectiveQty],T_PlannedOrders[Part Name],$A1217,T_PlannedOrders[WeekIndex],103)=0,"",SUMIFS(T_PlannedOrders[EffectiveQty],T_PlannedOrders[Part Name],$A1217,T_PlannedOrders[WeekIndex],103)&amp;" ("&amp;TEXT(SUMPRODUCT(MAX((T_PlannedOrders[Part Name]=$A1217)*(T_PlannedOrders[WeekIndex]=103)*(T_PlannedOrders[EffectiveQty]&gt;0)*T_PlannedOrders[Order_Month])),"m月")&amp;"発注)")</f>
        <v/>
      </c>
      <c r="DC1227">
        <f>IF(SUMIFS(T_PlannedOrders[EffectiveQty],T_PlannedOrders[Part Name],$A1217,T_PlannedOrders[WeekIndex],104)=0,"",SUMIFS(T_PlannedOrders[EffectiveQty],T_PlannedOrders[Part Name],$A1217,T_PlannedOrders[WeekIndex],104)&amp;" ("&amp;TEXT(SUMPRODUCT(MAX((T_PlannedOrders[Part Name]=$A1217)*(T_PlannedOrders[WeekIndex]=104)*(T_PlannedOrders[EffectiveQty]&gt;0)*T_PlannedOrders[Order_Month])),"m月")&amp;"発注)")</f>
        <v/>
      </c>
    </row>
    <row r="1228">
      <c r="B1228" s="5" t="inlineStr">
        <is>
          <t>合計在庫(週末時点,kg)</t>
        </is>
      </c>
      <c r="D1228">
        <f>'Grid_Stock'!B16</f>
        <v/>
      </c>
      <c r="E1228">
        <f>'Grid_Stock'!C16</f>
        <v/>
      </c>
      <c r="F1228">
        <f>'Grid_Stock'!D16</f>
        <v/>
      </c>
      <c r="G1228">
        <f>'Grid_Stock'!E16</f>
        <v/>
      </c>
      <c r="H1228">
        <f>'Grid_Stock'!F16</f>
        <v/>
      </c>
      <c r="I1228">
        <f>'Grid_Stock'!G16</f>
        <v/>
      </c>
      <c r="J1228">
        <f>'Grid_Stock'!H16</f>
        <v/>
      </c>
      <c r="K1228">
        <f>'Grid_Stock'!I16</f>
        <v/>
      </c>
      <c r="L1228">
        <f>'Grid_Stock'!J16</f>
        <v/>
      </c>
      <c r="M1228">
        <f>'Grid_Stock'!K16</f>
        <v/>
      </c>
      <c r="N1228">
        <f>'Grid_Stock'!L16</f>
        <v/>
      </c>
      <c r="O1228">
        <f>'Grid_Stock'!M16</f>
        <v/>
      </c>
      <c r="P1228">
        <f>'Grid_Stock'!N16</f>
        <v/>
      </c>
      <c r="Q1228">
        <f>'Grid_Stock'!O16</f>
        <v/>
      </c>
      <c r="R1228">
        <f>'Grid_Stock'!P16</f>
        <v/>
      </c>
      <c r="S1228">
        <f>'Grid_Stock'!Q16</f>
        <v/>
      </c>
      <c r="T1228">
        <f>'Grid_Stock'!R16</f>
        <v/>
      </c>
      <c r="U1228">
        <f>'Grid_Stock'!S16</f>
        <v/>
      </c>
      <c r="V1228">
        <f>'Grid_Stock'!T16</f>
        <v/>
      </c>
      <c r="W1228">
        <f>'Grid_Stock'!U16</f>
        <v/>
      </c>
      <c r="X1228">
        <f>'Grid_Stock'!V16</f>
        <v/>
      </c>
      <c r="Y1228">
        <f>'Grid_Stock'!W16</f>
        <v/>
      </c>
      <c r="Z1228">
        <f>'Grid_Stock'!X16</f>
        <v/>
      </c>
      <c r="AA1228">
        <f>'Grid_Stock'!Y16</f>
        <v/>
      </c>
      <c r="AB1228">
        <f>'Grid_Stock'!Z16</f>
        <v/>
      </c>
      <c r="AC1228">
        <f>'Grid_Stock'!AA16</f>
        <v/>
      </c>
      <c r="AD1228">
        <f>'Grid_Stock'!AB16</f>
        <v/>
      </c>
      <c r="AE1228">
        <f>'Grid_Stock'!AC16</f>
        <v/>
      </c>
      <c r="AF1228">
        <f>'Grid_Stock'!AD16</f>
        <v/>
      </c>
      <c r="AG1228">
        <f>'Grid_Stock'!AE16</f>
        <v/>
      </c>
      <c r="AH1228">
        <f>'Grid_Stock'!AF16</f>
        <v/>
      </c>
      <c r="AI1228">
        <f>'Grid_Stock'!AG16</f>
        <v/>
      </c>
      <c r="AJ1228">
        <f>'Grid_Stock'!AH16</f>
        <v/>
      </c>
      <c r="AK1228">
        <f>'Grid_Stock'!AI16</f>
        <v/>
      </c>
      <c r="AL1228">
        <f>'Grid_Stock'!AJ16</f>
        <v/>
      </c>
      <c r="AM1228">
        <f>'Grid_Stock'!AK16</f>
        <v/>
      </c>
      <c r="AN1228">
        <f>'Grid_Stock'!AL16</f>
        <v/>
      </c>
      <c r="AO1228">
        <f>'Grid_Stock'!AM16</f>
        <v/>
      </c>
      <c r="AP1228">
        <f>'Grid_Stock'!AN16</f>
        <v/>
      </c>
      <c r="AQ1228">
        <f>'Grid_Stock'!AO16</f>
        <v/>
      </c>
      <c r="AR1228">
        <f>'Grid_Stock'!AP16</f>
        <v/>
      </c>
      <c r="AS1228">
        <f>'Grid_Stock'!AQ16</f>
        <v/>
      </c>
      <c r="AT1228">
        <f>'Grid_Stock'!AR16</f>
        <v/>
      </c>
      <c r="AU1228">
        <f>'Grid_Stock'!AS16</f>
        <v/>
      </c>
      <c r="AV1228">
        <f>'Grid_Stock'!AT16</f>
        <v/>
      </c>
      <c r="AW1228">
        <f>'Grid_Stock'!AU16</f>
        <v/>
      </c>
      <c r="AX1228">
        <f>'Grid_Stock'!AV16</f>
        <v/>
      </c>
      <c r="AY1228">
        <f>'Grid_Stock'!AW16</f>
        <v/>
      </c>
      <c r="AZ1228">
        <f>'Grid_Stock'!AX16</f>
        <v/>
      </c>
      <c r="BA1228">
        <f>'Grid_Stock'!AY16</f>
        <v/>
      </c>
      <c r="BB1228">
        <f>'Grid_Stock'!AZ16</f>
        <v/>
      </c>
      <c r="BC1228">
        <f>'Grid_Stock'!BA16</f>
        <v/>
      </c>
      <c r="BD1228">
        <f>'Grid_Stock'!BB16</f>
        <v/>
      </c>
      <c r="BE1228">
        <f>'Grid_Stock'!BC16</f>
        <v/>
      </c>
      <c r="BF1228">
        <f>'Grid_Stock'!BD16</f>
        <v/>
      </c>
      <c r="BG1228">
        <f>'Grid_Stock'!BE16</f>
        <v/>
      </c>
      <c r="BH1228">
        <f>'Grid_Stock'!BF16</f>
        <v/>
      </c>
      <c r="BI1228">
        <f>'Grid_Stock'!BG16</f>
        <v/>
      </c>
      <c r="BJ1228">
        <f>'Grid_Stock'!BH16</f>
        <v/>
      </c>
      <c r="BK1228">
        <f>'Grid_Stock'!BI16</f>
        <v/>
      </c>
      <c r="BL1228">
        <f>'Grid_Stock'!BJ16</f>
        <v/>
      </c>
      <c r="BM1228">
        <f>'Grid_Stock'!BK16</f>
        <v/>
      </c>
      <c r="BN1228">
        <f>'Grid_Stock'!BL16</f>
        <v/>
      </c>
      <c r="BO1228">
        <f>'Grid_Stock'!BM16</f>
        <v/>
      </c>
      <c r="BP1228">
        <f>'Grid_Stock'!BN16</f>
        <v/>
      </c>
      <c r="BQ1228">
        <f>'Grid_Stock'!BO16</f>
        <v/>
      </c>
      <c r="BR1228">
        <f>'Grid_Stock'!BP16</f>
        <v/>
      </c>
      <c r="BS1228">
        <f>'Grid_Stock'!BQ16</f>
        <v/>
      </c>
      <c r="BT1228">
        <f>'Grid_Stock'!BR16</f>
        <v/>
      </c>
      <c r="BU1228">
        <f>'Grid_Stock'!BS16</f>
        <v/>
      </c>
      <c r="BV1228">
        <f>'Grid_Stock'!BT16</f>
        <v/>
      </c>
      <c r="BW1228">
        <f>'Grid_Stock'!BU16</f>
        <v/>
      </c>
      <c r="BX1228">
        <f>'Grid_Stock'!BV16</f>
        <v/>
      </c>
      <c r="BY1228">
        <f>'Grid_Stock'!BW16</f>
        <v/>
      </c>
      <c r="BZ1228">
        <f>'Grid_Stock'!BX16</f>
        <v/>
      </c>
      <c r="CA1228">
        <f>'Grid_Stock'!BY16</f>
        <v/>
      </c>
      <c r="CB1228">
        <f>'Grid_Stock'!BZ16</f>
        <v/>
      </c>
      <c r="CC1228">
        <f>'Grid_Stock'!CA16</f>
        <v/>
      </c>
      <c r="CD1228">
        <f>'Grid_Stock'!CB16</f>
        <v/>
      </c>
      <c r="CE1228">
        <f>'Grid_Stock'!CC16</f>
        <v/>
      </c>
      <c r="CF1228">
        <f>'Grid_Stock'!CD16</f>
        <v/>
      </c>
      <c r="CG1228">
        <f>'Grid_Stock'!CE16</f>
        <v/>
      </c>
      <c r="CH1228">
        <f>'Grid_Stock'!CF16</f>
        <v/>
      </c>
      <c r="CI1228">
        <f>'Grid_Stock'!CG16</f>
        <v/>
      </c>
      <c r="CJ1228">
        <f>'Grid_Stock'!CH16</f>
        <v/>
      </c>
      <c r="CK1228">
        <f>'Grid_Stock'!CI16</f>
        <v/>
      </c>
      <c r="CL1228">
        <f>'Grid_Stock'!CJ16</f>
        <v/>
      </c>
      <c r="CM1228">
        <f>'Grid_Stock'!CK16</f>
        <v/>
      </c>
      <c r="CN1228">
        <f>'Grid_Stock'!CL16</f>
        <v/>
      </c>
      <c r="CO1228">
        <f>'Grid_Stock'!CM16</f>
        <v/>
      </c>
      <c r="CP1228">
        <f>'Grid_Stock'!CN16</f>
        <v/>
      </c>
      <c r="CQ1228">
        <f>'Grid_Stock'!CO16</f>
        <v/>
      </c>
      <c r="CR1228">
        <f>'Grid_Stock'!CP16</f>
        <v/>
      </c>
      <c r="CS1228">
        <f>'Grid_Stock'!CQ16</f>
        <v/>
      </c>
      <c r="CT1228">
        <f>'Grid_Stock'!CR16</f>
        <v/>
      </c>
      <c r="CU1228">
        <f>'Grid_Stock'!CS16</f>
        <v/>
      </c>
      <c r="CV1228">
        <f>'Grid_Stock'!CT16</f>
        <v/>
      </c>
      <c r="CW1228">
        <f>'Grid_Stock'!CU16</f>
        <v/>
      </c>
      <c r="CX1228">
        <f>'Grid_Stock'!CV16</f>
        <v/>
      </c>
      <c r="CY1228">
        <f>'Grid_Stock'!CW16</f>
        <v/>
      </c>
      <c r="CZ1228">
        <f>'Grid_Stock'!CX16</f>
        <v/>
      </c>
      <c r="DA1228">
        <f>'Grid_Stock'!CY16</f>
        <v/>
      </c>
      <c r="DB1228">
        <f>'Grid_Stock'!CZ16</f>
        <v/>
      </c>
      <c r="DC1228">
        <f>'Grid_Stock'!DA16</f>
        <v/>
      </c>
    </row>
    <row r="1229">
      <c r="B1229" s="23" t="inlineStr">
        <is>
          <t>（発注の目安はDashboardの基準在庫[下限/上限]と色分けを参照）</t>
        </is>
      </c>
    </row>
    <row r="1231">
      <c r="A1231" s="21" t="inlineStr">
        <is>
          <t>Ester Film</t>
        </is>
      </c>
      <c r="B1231" s="21" t="inlineStr">
        <is>
          <t>Ester Film</t>
        </is>
      </c>
      <c r="C1231" s="22" t="n"/>
      <c r="D1231" s="21" t="n"/>
      <c r="E1231" s="21" t="n"/>
      <c r="F1231" s="21" t="n"/>
      <c r="G1231" s="21" t="n"/>
      <c r="H1231" s="21" t="n"/>
      <c r="I1231" s="21" t="n"/>
      <c r="J1231" s="21" t="n"/>
      <c r="K1231" s="21" t="n"/>
      <c r="L1231" s="21" t="n"/>
      <c r="M1231" s="21" t="n"/>
      <c r="N1231" s="21" t="n"/>
      <c r="O1231" s="21" t="n"/>
      <c r="P1231" s="21" t="n"/>
      <c r="Q1231" s="21" t="n"/>
      <c r="R1231" s="21" t="n"/>
      <c r="S1231" s="21" t="n"/>
      <c r="T1231" s="21" t="n"/>
      <c r="U1231" s="21" t="n"/>
      <c r="V1231" s="21" t="n"/>
      <c r="W1231" s="21" t="n"/>
      <c r="X1231" s="21" t="n"/>
      <c r="Y1231" s="21" t="n"/>
      <c r="Z1231" s="21" t="n"/>
      <c r="AA1231" s="21" t="n"/>
      <c r="AB1231" s="21" t="n"/>
      <c r="AC1231" s="21" t="n"/>
      <c r="AD1231" s="21" t="n"/>
      <c r="AE1231" s="21" t="n"/>
      <c r="AF1231" s="21" t="n"/>
      <c r="AG1231" s="21" t="n"/>
      <c r="AH1231" s="21" t="n"/>
      <c r="AI1231" s="21" t="n"/>
      <c r="AJ1231" s="21" t="n"/>
      <c r="AK1231" s="21" t="n"/>
      <c r="AL1231" s="21" t="n"/>
      <c r="AM1231" s="21" t="n"/>
      <c r="AN1231" s="21" t="n"/>
      <c r="AO1231" s="21" t="n"/>
      <c r="AP1231" s="21" t="n"/>
      <c r="AQ1231" s="21" t="n"/>
      <c r="AR1231" s="21" t="n"/>
      <c r="AS1231" s="21" t="n"/>
      <c r="AT1231" s="21" t="n"/>
      <c r="AU1231" s="21" t="n"/>
      <c r="AV1231" s="21" t="n"/>
      <c r="AW1231" s="21" t="n"/>
      <c r="AX1231" s="21" t="n"/>
      <c r="AY1231" s="21" t="n"/>
      <c r="AZ1231" s="21" t="n"/>
      <c r="BA1231" s="21" t="n"/>
      <c r="BB1231" s="21" t="n"/>
      <c r="BC1231" s="21" t="n"/>
      <c r="BD1231" s="21" t="n"/>
      <c r="BE1231" s="21" t="n"/>
      <c r="BF1231" s="21" t="n"/>
      <c r="BG1231" s="21" t="n"/>
      <c r="BH1231" s="21" t="n"/>
      <c r="BI1231" s="21" t="n"/>
      <c r="BJ1231" s="21" t="n"/>
      <c r="BK1231" s="21" t="n"/>
      <c r="BL1231" s="21" t="n"/>
      <c r="BM1231" s="21" t="n"/>
      <c r="BN1231" s="21" t="n"/>
      <c r="BO1231" s="21" t="n"/>
      <c r="BP1231" s="21" t="n"/>
      <c r="BQ1231" s="21" t="n"/>
      <c r="BR1231" s="21" t="n"/>
      <c r="BS1231" s="21" t="n"/>
      <c r="BT1231" s="21" t="n"/>
      <c r="BU1231" s="21" t="n"/>
      <c r="BV1231" s="21" t="n"/>
      <c r="BW1231" s="21" t="n"/>
      <c r="BX1231" s="21" t="n"/>
      <c r="BY1231" s="21" t="n"/>
      <c r="BZ1231" s="21" t="n"/>
      <c r="CA1231" s="21" t="n"/>
      <c r="CB1231" s="21" t="n"/>
      <c r="CC1231" s="21" t="n"/>
      <c r="CD1231" s="21" t="n"/>
      <c r="CE1231" s="21" t="n"/>
      <c r="CF1231" s="21" t="n"/>
      <c r="CG1231" s="21" t="n"/>
      <c r="CH1231" s="21" t="n"/>
      <c r="CI1231" s="21" t="n"/>
      <c r="CJ1231" s="21" t="n"/>
      <c r="CK1231" s="21" t="n"/>
      <c r="CL1231" s="21" t="n"/>
      <c r="CM1231" s="21" t="n"/>
      <c r="CN1231" s="21" t="n"/>
      <c r="CO1231" s="21" t="n"/>
      <c r="CP1231" s="21" t="n"/>
      <c r="CQ1231" s="21" t="n"/>
      <c r="CR1231" s="21" t="n"/>
      <c r="CS1231" s="21" t="n"/>
      <c r="CT1231" s="21" t="n"/>
      <c r="CU1231" s="21" t="n"/>
      <c r="CV1231" s="21" t="n"/>
      <c r="CW1231" s="21" t="n"/>
      <c r="CX1231" s="21" t="n"/>
      <c r="CY1231" s="21" t="n"/>
      <c r="CZ1231" s="21" t="n"/>
      <c r="DA1231" s="21" t="n"/>
      <c r="DB1231" s="21" t="n"/>
      <c r="DC1231" s="21" t="n"/>
    </row>
    <row r="1232">
      <c r="B1232" t="inlineStr">
        <is>
          <t>Ester Film</t>
        </is>
      </c>
      <c r="C1232" t="inlineStr">
        <is>
          <t>No. of batches</t>
        </is>
      </c>
      <c r="D1232">
        <f>IFERROR(INDEX(PP_Grid[#Data],$DD1232,2),0)</f>
        <v/>
      </c>
      <c r="E1232">
        <f>IFERROR(INDEX(PP_Grid[#Data],$DD1232,3),0)</f>
        <v/>
      </c>
      <c r="F1232">
        <f>IFERROR(INDEX(PP_Grid[#Data],$DD1232,4),0)</f>
        <v/>
      </c>
      <c r="G1232">
        <f>IFERROR(INDEX(PP_Grid[#Data],$DD1232,5),0)</f>
        <v/>
      </c>
      <c r="H1232">
        <f>IFERROR(INDEX(PP_Grid[#Data],$DD1232,6),0)</f>
        <v/>
      </c>
      <c r="I1232">
        <f>IFERROR(INDEX(PP_Grid[#Data],$DD1232,7),0)</f>
        <v/>
      </c>
      <c r="J1232">
        <f>IFERROR(INDEX(PP_Grid[#Data],$DD1232,8),0)</f>
        <v/>
      </c>
      <c r="K1232">
        <f>IFERROR(INDEX(PP_Grid[#Data],$DD1232,9),0)</f>
        <v/>
      </c>
      <c r="L1232">
        <f>IFERROR(INDEX(PP_Grid[#Data],$DD1232,10),0)</f>
        <v/>
      </c>
      <c r="M1232">
        <f>IFERROR(INDEX(PP_Grid[#Data],$DD1232,11),0)</f>
        <v/>
      </c>
      <c r="N1232">
        <f>IFERROR(INDEX(PP_Grid[#Data],$DD1232,12),0)</f>
        <v/>
      </c>
      <c r="O1232">
        <f>IFERROR(INDEX(PP_Grid[#Data],$DD1232,13),0)</f>
        <v/>
      </c>
      <c r="P1232">
        <f>IFERROR(INDEX(PP_Grid[#Data],$DD1232,14),0)</f>
        <v/>
      </c>
      <c r="Q1232">
        <f>IFERROR(INDEX(PP_Grid[#Data],$DD1232,15),0)</f>
        <v/>
      </c>
      <c r="R1232">
        <f>IFERROR(INDEX(PP_Grid[#Data],$DD1232,16),0)</f>
        <v/>
      </c>
      <c r="S1232">
        <f>IFERROR(INDEX(PP_Grid[#Data],$DD1232,17),0)</f>
        <v/>
      </c>
      <c r="T1232">
        <f>IFERROR(INDEX(PP_Grid[#Data],$DD1232,18),0)</f>
        <v/>
      </c>
      <c r="U1232">
        <f>IFERROR(INDEX(PP_Grid[#Data],$DD1232,19),0)</f>
        <v/>
      </c>
      <c r="V1232">
        <f>IFERROR(INDEX(PP_Grid[#Data],$DD1232,20),0)</f>
        <v/>
      </c>
      <c r="W1232">
        <f>IFERROR(INDEX(PP_Grid[#Data],$DD1232,21),0)</f>
        <v/>
      </c>
      <c r="X1232">
        <f>IFERROR(INDEX(PP_Grid[#Data],$DD1232,22),0)</f>
        <v/>
      </c>
      <c r="Y1232">
        <f>IFERROR(INDEX(PP_Grid[#Data],$DD1232,23),0)</f>
        <v/>
      </c>
      <c r="Z1232">
        <f>IFERROR(INDEX(PP_Grid[#Data],$DD1232,24),0)</f>
        <v/>
      </c>
      <c r="AA1232">
        <f>IFERROR(INDEX(PP_Grid[#Data],$DD1232,25),0)</f>
        <v/>
      </c>
      <c r="AB1232">
        <f>IFERROR(INDEX(PP_Grid[#Data],$DD1232,26),0)</f>
        <v/>
      </c>
      <c r="AC1232">
        <f>IFERROR(INDEX(PP_Grid[#Data],$DD1232,27),0)</f>
        <v/>
      </c>
      <c r="AD1232">
        <f>IFERROR(INDEX(PP_Grid[#Data],$DD1232,28),0)</f>
        <v/>
      </c>
      <c r="AE1232">
        <f>IFERROR(INDEX(PP_Grid[#Data],$DD1232,29),0)</f>
        <v/>
      </c>
      <c r="AF1232">
        <f>IFERROR(INDEX(PP_Grid[#Data],$DD1232,30),0)</f>
        <v/>
      </c>
      <c r="AG1232">
        <f>IFERROR(INDEX(PP_Grid[#Data],$DD1232,31),0)</f>
        <v/>
      </c>
      <c r="AH1232">
        <f>IFERROR(INDEX(PP_Grid[#Data],$DD1232,32),0)</f>
        <v/>
      </c>
      <c r="AI1232">
        <f>IFERROR(INDEX(PP_Grid[#Data],$DD1232,33),0)</f>
        <v/>
      </c>
      <c r="AJ1232">
        <f>IFERROR(INDEX(PP_Grid[#Data],$DD1232,34),0)</f>
        <v/>
      </c>
      <c r="AK1232">
        <f>IFERROR(INDEX(PP_Grid[#Data],$DD1232,35),0)</f>
        <v/>
      </c>
      <c r="AL1232">
        <f>IFERROR(INDEX(PP_Grid[#Data],$DD1232,36),0)</f>
        <v/>
      </c>
      <c r="AM1232">
        <f>IFERROR(INDEX(PP_Grid[#Data],$DD1232,37),0)</f>
        <v/>
      </c>
      <c r="AN1232">
        <f>IFERROR(INDEX(PP_Grid[#Data],$DD1232,38),0)</f>
        <v/>
      </c>
      <c r="AO1232">
        <f>IFERROR(INDEX(PP_Grid[#Data],$DD1232,39),0)</f>
        <v/>
      </c>
      <c r="AP1232">
        <f>IFERROR(INDEX(PP_Grid[#Data],$DD1232,40),0)</f>
        <v/>
      </c>
      <c r="AQ1232">
        <f>IFERROR(INDEX(PP_Grid[#Data],$DD1232,41),0)</f>
        <v/>
      </c>
      <c r="AR1232">
        <f>IFERROR(INDEX(PP_Grid[#Data],$DD1232,42),0)</f>
        <v/>
      </c>
      <c r="AS1232">
        <f>IFERROR(INDEX(PP_Grid[#Data],$DD1232,43),0)</f>
        <v/>
      </c>
      <c r="AT1232">
        <f>IFERROR(INDEX(PP_Grid[#Data],$DD1232,44),0)</f>
        <v/>
      </c>
      <c r="AU1232">
        <f>IFERROR(INDEX(PP_Grid[#Data],$DD1232,45),0)</f>
        <v/>
      </c>
      <c r="AV1232">
        <f>IFERROR(INDEX(PP_Grid[#Data],$DD1232,46),0)</f>
        <v/>
      </c>
      <c r="AW1232">
        <f>IFERROR(INDEX(PP_Grid[#Data],$DD1232,47),0)</f>
        <v/>
      </c>
      <c r="AX1232">
        <f>IFERROR(INDEX(PP_Grid[#Data],$DD1232,48),0)</f>
        <v/>
      </c>
      <c r="AY1232">
        <f>IFERROR(INDEX(PP_Grid[#Data],$DD1232,49),0)</f>
        <v/>
      </c>
      <c r="AZ1232">
        <f>IFERROR(INDEX(PP_Grid[#Data],$DD1232,50),0)</f>
        <v/>
      </c>
      <c r="BA1232">
        <f>IFERROR(INDEX(PP_Grid[#Data],$DD1232,51),0)</f>
        <v/>
      </c>
      <c r="BB1232">
        <f>IFERROR(INDEX(PP_Grid[#Data],$DD1232,52),0)</f>
        <v/>
      </c>
      <c r="BC1232">
        <f>IFERROR(INDEX(PP_Grid[#Data],$DD1232,53),0)</f>
        <v/>
      </c>
      <c r="BD1232">
        <f>IFERROR(INDEX(PP_Grid[#Data],$DD1232,54),0)</f>
        <v/>
      </c>
      <c r="BE1232">
        <f>IFERROR(INDEX(PP_Grid[#Data],$DD1232,55),0)</f>
        <v/>
      </c>
      <c r="BF1232">
        <f>IFERROR(INDEX(PP_Grid[#Data],$DD1232,56),0)</f>
        <v/>
      </c>
      <c r="BG1232">
        <f>IFERROR(INDEX(PP_Grid[#Data],$DD1232,57),0)</f>
        <v/>
      </c>
      <c r="BH1232">
        <f>IFERROR(INDEX(PP_Grid[#Data],$DD1232,58),0)</f>
        <v/>
      </c>
      <c r="BI1232">
        <f>IFERROR(INDEX(PP_Grid[#Data],$DD1232,59),0)</f>
        <v/>
      </c>
      <c r="BJ1232">
        <f>IFERROR(INDEX(PP_Grid[#Data],$DD1232,60),0)</f>
        <v/>
      </c>
      <c r="BK1232">
        <f>IFERROR(INDEX(PP_Grid[#Data],$DD1232,61),0)</f>
        <v/>
      </c>
      <c r="BL1232">
        <f>IFERROR(INDEX(PP_Grid[#Data],$DD1232,62),0)</f>
        <v/>
      </c>
      <c r="BM1232">
        <f>IFERROR(INDEX(PP_Grid[#Data],$DD1232,63),0)</f>
        <v/>
      </c>
      <c r="BN1232">
        <f>IFERROR(INDEX(PP_Grid[#Data],$DD1232,64),0)</f>
        <v/>
      </c>
      <c r="BO1232">
        <f>IFERROR(INDEX(PP_Grid[#Data],$DD1232,65),0)</f>
        <v/>
      </c>
      <c r="BP1232">
        <f>IFERROR(INDEX(PP_Grid[#Data],$DD1232,66),0)</f>
        <v/>
      </c>
      <c r="BQ1232">
        <f>IFERROR(INDEX(PP_Grid[#Data],$DD1232,67),0)</f>
        <v/>
      </c>
      <c r="BR1232">
        <f>IFERROR(INDEX(PP_Grid[#Data],$DD1232,68),0)</f>
        <v/>
      </c>
      <c r="BS1232">
        <f>IFERROR(INDEX(PP_Grid[#Data],$DD1232,69),0)</f>
        <v/>
      </c>
      <c r="BT1232">
        <f>IFERROR(INDEX(PP_Grid[#Data],$DD1232,70),0)</f>
        <v/>
      </c>
      <c r="BU1232">
        <f>IFERROR(INDEX(PP_Grid[#Data],$DD1232,71),0)</f>
        <v/>
      </c>
      <c r="BV1232">
        <f>IFERROR(INDEX(PP_Grid[#Data],$DD1232,72),0)</f>
        <v/>
      </c>
      <c r="BW1232">
        <f>IFERROR(INDEX(PP_Grid[#Data],$DD1232,73),0)</f>
        <v/>
      </c>
      <c r="BX1232">
        <f>IFERROR(INDEX(PP_Grid[#Data],$DD1232,74),0)</f>
        <v/>
      </c>
      <c r="BY1232">
        <f>IFERROR(INDEX(PP_Grid[#Data],$DD1232,75),0)</f>
        <v/>
      </c>
      <c r="BZ1232">
        <f>IFERROR(INDEX(PP_Grid[#Data],$DD1232,76),0)</f>
        <v/>
      </c>
      <c r="CA1232">
        <f>IFERROR(INDEX(PP_Grid[#Data],$DD1232,77),0)</f>
        <v/>
      </c>
      <c r="CB1232">
        <f>IFERROR(INDEX(PP_Grid[#Data],$DD1232,78),0)</f>
        <v/>
      </c>
      <c r="CC1232">
        <f>IFERROR(INDEX(PP_Grid[#Data],$DD1232,79),0)</f>
        <v/>
      </c>
      <c r="CD1232">
        <f>IFERROR(INDEX(PP_Grid[#Data],$DD1232,80),0)</f>
        <v/>
      </c>
      <c r="CE1232">
        <f>IFERROR(INDEX(PP_Grid[#Data],$DD1232,81),0)</f>
        <v/>
      </c>
      <c r="CF1232">
        <f>IFERROR(INDEX(PP_Grid[#Data],$DD1232,82),0)</f>
        <v/>
      </c>
      <c r="CG1232">
        <f>IFERROR(INDEX(PP_Grid[#Data],$DD1232,83),0)</f>
        <v/>
      </c>
      <c r="CH1232">
        <f>IFERROR(INDEX(PP_Grid[#Data],$DD1232,84),0)</f>
        <v/>
      </c>
      <c r="CI1232">
        <f>IFERROR(INDEX(PP_Grid[#Data],$DD1232,85),0)</f>
        <v/>
      </c>
      <c r="CJ1232">
        <f>IFERROR(INDEX(PP_Grid[#Data],$DD1232,86),0)</f>
        <v/>
      </c>
      <c r="CK1232">
        <f>IFERROR(INDEX(PP_Grid[#Data],$DD1232,87),0)</f>
        <v/>
      </c>
      <c r="CL1232">
        <f>IFERROR(INDEX(PP_Grid[#Data],$DD1232,88),0)</f>
        <v/>
      </c>
      <c r="CM1232">
        <f>IFERROR(INDEX(PP_Grid[#Data],$DD1232,89),0)</f>
        <v/>
      </c>
      <c r="CN1232">
        <f>IFERROR(INDEX(PP_Grid[#Data],$DD1232,90),0)</f>
        <v/>
      </c>
      <c r="CO1232">
        <f>IFERROR(INDEX(PP_Grid[#Data],$DD1232,91),0)</f>
        <v/>
      </c>
      <c r="CP1232">
        <f>IFERROR(INDEX(PP_Grid[#Data],$DD1232,92),0)</f>
        <v/>
      </c>
      <c r="CQ1232">
        <f>IFERROR(INDEX(PP_Grid[#Data],$DD1232,93),0)</f>
        <v/>
      </c>
      <c r="CR1232">
        <f>IFERROR(INDEX(PP_Grid[#Data],$DD1232,94),0)</f>
        <v/>
      </c>
      <c r="CS1232">
        <f>IFERROR(INDEX(PP_Grid[#Data],$DD1232,95),0)</f>
        <v/>
      </c>
      <c r="CT1232">
        <f>IFERROR(INDEX(PP_Grid[#Data],$DD1232,96),0)</f>
        <v/>
      </c>
      <c r="CU1232">
        <f>IFERROR(INDEX(PP_Grid[#Data],$DD1232,97),0)</f>
        <v/>
      </c>
      <c r="CV1232">
        <f>IFERROR(INDEX(PP_Grid[#Data],$DD1232,98),0)</f>
        <v/>
      </c>
      <c r="CW1232">
        <f>IFERROR(INDEX(PP_Grid[#Data],$DD1232,99),0)</f>
        <v/>
      </c>
      <c r="CX1232">
        <f>IFERROR(INDEX(PP_Grid[#Data],$DD1232,100),0)</f>
        <v/>
      </c>
      <c r="CY1232">
        <f>IFERROR(INDEX(PP_Grid[#Data],$DD1232,101),0)</f>
        <v/>
      </c>
      <c r="CZ1232">
        <f>IFERROR(INDEX(PP_Grid[#Data],$DD1232,102),0)</f>
        <v/>
      </c>
      <c r="DA1232">
        <f>IFERROR(INDEX(PP_Grid[#Data],$DD1232,103),0)</f>
        <v/>
      </c>
      <c r="DB1232">
        <f>IFERROR(INDEX(PP_Grid[#Data],$DD1232,104),0)</f>
        <v/>
      </c>
      <c r="DC1232">
        <f>IFERROR(INDEX(PP_Grid[#Data],$DD1232,105),0)</f>
        <v/>
      </c>
      <c r="DD1232" s="12">
        <f>IFERROR(MATCH($B1232,PP_Grid[Intermediate],0),99999)</f>
        <v/>
      </c>
    </row>
    <row r="1233">
      <c r="B1233" t="inlineStr">
        <is>
          <t>使用量(kg)</t>
        </is>
      </c>
      <c r="C1233">
        <f>SUMIFS(M_BOM[RM_Qty_Per_Batch],M_BOM[Intermediate],$B1232,M_BOM[Part Name],$A1231)</f>
        <v/>
      </c>
      <c r="D1233">
        <f>$C1233*D1232</f>
        <v/>
      </c>
      <c r="E1233">
        <f>$C1233*E1232</f>
        <v/>
      </c>
      <c r="F1233">
        <f>$C1233*F1232</f>
        <v/>
      </c>
      <c r="G1233">
        <f>$C1233*G1232</f>
        <v/>
      </c>
      <c r="H1233">
        <f>$C1233*H1232</f>
        <v/>
      </c>
      <c r="I1233">
        <f>$C1233*I1232</f>
        <v/>
      </c>
      <c r="J1233">
        <f>$C1233*J1232</f>
        <v/>
      </c>
      <c r="K1233">
        <f>$C1233*K1232</f>
        <v/>
      </c>
      <c r="L1233">
        <f>$C1233*L1232</f>
        <v/>
      </c>
      <c r="M1233">
        <f>$C1233*M1232</f>
        <v/>
      </c>
      <c r="N1233">
        <f>$C1233*N1232</f>
        <v/>
      </c>
      <c r="O1233">
        <f>$C1233*O1232</f>
        <v/>
      </c>
      <c r="P1233">
        <f>$C1233*P1232</f>
        <v/>
      </c>
      <c r="Q1233">
        <f>$C1233*Q1232</f>
        <v/>
      </c>
      <c r="R1233">
        <f>$C1233*R1232</f>
        <v/>
      </c>
      <c r="S1233">
        <f>$C1233*S1232</f>
        <v/>
      </c>
      <c r="T1233">
        <f>$C1233*T1232</f>
        <v/>
      </c>
      <c r="U1233">
        <f>$C1233*U1232</f>
        <v/>
      </c>
      <c r="V1233">
        <f>$C1233*V1232</f>
        <v/>
      </c>
      <c r="W1233">
        <f>$C1233*W1232</f>
        <v/>
      </c>
      <c r="X1233">
        <f>$C1233*X1232</f>
        <v/>
      </c>
      <c r="Y1233">
        <f>$C1233*Y1232</f>
        <v/>
      </c>
      <c r="Z1233">
        <f>$C1233*Z1232</f>
        <v/>
      </c>
      <c r="AA1233">
        <f>$C1233*AA1232</f>
        <v/>
      </c>
      <c r="AB1233">
        <f>$C1233*AB1232</f>
        <v/>
      </c>
      <c r="AC1233">
        <f>$C1233*AC1232</f>
        <v/>
      </c>
      <c r="AD1233">
        <f>$C1233*AD1232</f>
        <v/>
      </c>
      <c r="AE1233">
        <f>$C1233*AE1232</f>
        <v/>
      </c>
      <c r="AF1233">
        <f>$C1233*AF1232</f>
        <v/>
      </c>
      <c r="AG1233">
        <f>$C1233*AG1232</f>
        <v/>
      </c>
      <c r="AH1233">
        <f>$C1233*AH1232</f>
        <v/>
      </c>
      <c r="AI1233">
        <f>$C1233*AI1232</f>
        <v/>
      </c>
      <c r="AJ1233">
        <f>$C1233*AJ1232</f>
        <v/>
      </c>
      <c r="AK1233">
        <f>$C1233*AK1232</f>
        <v/>
      </c>
      <c r="AL1233">
        <f>$C1233*AL1232</f>
        <v/>
      </c>
      <c r="AM1233">
        <f>$C1233*AM1232</f>
        <v/>
      </c>
      <c r="AN1233">
        <f>$C1233*AN1232</f>
        <v/>
      </c>
      <c r="AO1233">
        <f>$C1233*AO1232</f>
        <v/>
      </c>
      <c r="AP1233">
        <f>$C1233*AP1232</f>
        <v/>
      </c>
      <c r="AQ1233">
        <f>$C1233*AQ1232</f>
        <v/>
      </c>
      <c r="AR1233">
        <f>$C1233*AR1232</f>
        <v/>
      </c>
      <c r="AS1233">
        <f>$C1233*AS1232</f>
        <v/>
      </c>
      <c r="AT1233">
        <f>$C1233*AT1232</f>
        <v/>
      </c>
      <c r="AU1233">
        <f>$C1233*AU1232</f>
        <v/>
      </c>
      <c r="AV1233">
        <f>$C1233*AV1232</f>
        <v/>
      </c>
      <c r="AW1233">
        <f>$C1233*AW1232</f>
        <v/>
      </c>
      <c r="AX1233">
        <f>$C1233*AX1232</f>
        <v/>
      </c>
      <c r="AY1233">
        <f>$C1233*AY1232</f>
        <v/>
      </c>
      <c r="AZ1233">
        <f>$C1233*AZ1232</f>
        <v/>
      </c>
      <c r="BA1233">
        <f>$C1233*BA1232</f>
        <v/>
      </c>
      <c r="BB1233">
        <f>$C1233*BB1232</f>
        <v/>
      </c>
      <c r="BC1233">
        <f>$C1233*BC1232</f>
        <v/>
      </c>
      <c r="BD1233">
        <f>$C1233*BD1232</f>
        <v/>
      </c>
      <c r="BE1233">
        <f>$C1233*BE1232</f>
        <v/>
      </c>
      <c r="BF1233">
        <f>$C1233*BF1232</f>
        <v/>
      </c>
      <c r="BG1233">
        <f>$C1233*BG1232</f>
        <v/>
      </c>
      <c r="BH1233">
        <f>$C1233*BH1232</f>
        <v/>
      </c>
      <c r="BI1233">
        <f>$C1233*BI1232</f>
        <v/>
      </c>
      <c r="BJ1233">
        <f>$C1233*BJ1232</f>
        <v/>
      </c>
      <c r="BK1233">
        <f>$C1233*BK1232</f>
        <v/>
      </c>
      <c r="BL1233">
        <f>$C1233*BL1232</f>
        <v/>
      </c>
      <c r="BM1233">
        <f>$C1233*BM1232</f>
        <v/>
      </c>
      <c r="BN1233">
        <f>$C1233*BN1232</f>
        <v/>
      </c>
      <c r="BO1233">
        <f>$C1233*BO1232</f>
        <v/>
      </c>
      <c r="BP1233">
        <f>$C1233*BP1232</f>
        <v/>
      </c>
      <c r="BQ1233">
        <f>$C1233*BQ1232</f>
        <v/>
      </c>
      <c r="BR1233">
        <f>$C1233*BR1232</f>
        <v/>
      </c>
      <c r="BS1233">
        <f>$C1233*BS1232</f>
        <v/>
      </c>
      <c r="BT1233">
        <f>$C1233*BT1232</f>
        <v/>
      </c>
      <c r="BU1233">
        <f>$C1233*BU1232</f>
        <v/>
      </c>
      <c r="BV1233">
        <f>$C1233*BV1232</f>
        <v/>
      </c>
      <c r="BW1233">
        <f>$C1233*BW1232</f>
        <v/>
      </c>
      <c r="BX1233">
        <f>$C1233*BX1232</f>
        <v/>
      </c>
      <c r="BY1233">
        <f>$C1233*BY1232</f>
        <v/>
      </c>
      <c r="BZ1233">
        <f>$C1233*BZ1232</f>
        <v/>
      </c>
      <c r="CA1233">
        <f>$C1233*CA1232</f>
        <v/>
      </c>
      <c r="CB1233">
        <f>$C1233*CB1232</f>
        <v/>
      </c>
      <c r="CC1233">
        <f>$C1233*CC1232</f>
        <v/>
      </c>
      <c r="CD1233">
        <f>$C1233*CD1232</f>
        <v/>
      </c>
      <c r="CE1233">
        <f>$C1233*CE1232</f>
        <v/>
      </c>
      <c r="CF1233">
        <f>$C1233*CF1232</f>
        <v/>
      </c>
      <c r="CG1233">
        <f>$C1233*CG1232</f>
        <v/>
      </c>
      <c r="CH1233">
        <f>$C1233*CH1232</f>
        <v/>
      </c>
      <c r="CI1233">
        <f>$C1233*CI1232</f>
        <v/>
      </c>
      <c r="CJ1233">
        <f>$C1233*CJ1232</f>
        <v/>
      </c>
      <c r="CK1233">
        <f>$C1233*CK1232</f>
        <v/>
      </c>
      <c r="CL1233">
        <f>$C1233*CL1232</f>
        <v/>
      </c>
      <c r="CM1233">
        <f>$C1233*CM1232</f>
        <v/>
      </c>
      <c r="CN1233">
        <f>$C1233*CN1232</f>
        <v/>
      </c>
      <c r="CO1233">
        <f>$C1233*CO1232</f>
        <v/>
      </c>
      <c r="CP1233">
        <f>$C1233*CP1232</f>
        <v/>
      </c>
      <c r="CQ1233">
        <f>$C1233*CQ1232</f>
        <v/>
      </c>
      <c r="CR1233">
        <f>$C1233*CR1232</f>
        <v/>
      </c>
      <c r="CS1233">
        <f>$C1233*CS1232</f>
        <v/>
      </c>
      <c r="CT1233">
        <f>$C1233*CT1232</f>
        <v/>
      </c>
      <c r="CU1233">
        <f>$C1233*CU1232</f>
        <v/>
      </c>
      <c r="CV1233">
        <f>$C1233*CV1232</f>
        <v/>
      </c>
      <c r="CW1233">
        <f>$C1233*CW1232</f>
        <v/>
      </c>
      <c r="CX1233">
        <f>$C1233*CX1232</f>
        <v/>
      </c>
      <c r="CY1233">
        <f>$C1233*CY1232</f>
        <v/>
      </c>
      <c r="CZ1233">
        <f>$C1233*CZ1232</f>
        <v/>
      </c>
      <c r="DA1233">
        <f>$C1233*DA1232</f>
        <v/>
      </c>
      <c r="DB1233">
        <f>$C1233*DB1232</f>
        <v/>
      </c>
      <c r="DC1233">
        <f>$C1233*DC1232</f>
        <v/>
      </c>
    </row>
    <row r="1234">
      <c r="B1234" s="5" t="inlineStr">
        <is>
          <t>合計使用量(kg)/週</t>
        </is>
      </c>
      <c r="D1234">
        <f>'Grid_Requirement'!B53</f>
        <v/>
      </c>
      <c r="E1234">
        <f>'Grid_Requirement'!C53</f>
        <v/>
      </c>
      <c r="F1234">
        <f>'Grid_Requirement'!D53</f>
        <v/>
      </c>
      <c r="G1234">
        <f>'Grid_Requirement'!E53</f>
        <v/>
      </c>
      <c r="H1234">
        <f>'Grid_Requirement'!F53</f>
        <v/>
      </c>
      <c r="I1234">
        <f>'Grid_Requirement'!G53</f>
        <v/>
      </c>
      <c r="J1234">
        <f>'Grid_Requirement'!H53</f>
        <v/>
      </c>
      <c r="K1234">
        <f>'Grid_Requirement'!I53</f>
        <v/>
      </c>
      <c r="L1234">
        <f>'Grid_Requirement'!J53</f>
        <v/>
      </c>
      <c r="M1234">
        <f>'Grid_Requirement'!K53</f>
        <v/>
      </c>
      <c r="N1234">
        <f>'Grid_Requirement'!L53</f>
        <v/>
      </c>
      <c r="O1234">
        <f>'Grid_Requirement'!M53</f>
        <v/>
      </c>
      <c r="P1234">
        <f>'Grid_Requirement'!N53</f>
        <v/>
      </c>
      <c r="Q1234">
        <f>'Grid_Requirement'!O53</f>
        <v/>
      </c>
      <c r="R1234">
        <f>'Grid_Requirement'!P53</f>
        <v/>
      </c>
      <c r="S1234">
        <f>'Grid_Requirement'!Q53</f>
        <v/>
      </c>
      <c r="T1234">
        <f>'Grid_Requirement'!R53</f>
        <v/>
      </c>
      <c r="U1234">
        <f>'Grid_Requirement'!S53</f>
        <v/>
      </c>
      <c r="V1234">
        <f>'Grid_Requirement'!T53</f>
        <v/>
      </c>
      <c r="W1234">
        <f>'Grid_Requirement'!U53</f>
        <v/>
      </c>
      <c r="X1234">
        <f>'Grid_Requirement'!V53</f>
        <v/>
      </c>
      <c r="Y1234">
        <f>'Grid_Requirement'!W53</f>
        <v/>
      </c>
      <c r="Z1234">
        <f>'Grid_Requirement'!X53</f>
        <v/>
      </c>
      <c r="AA1234">
        <f>'Grid_Requirement'!Y53</f>
        <v/>
      </c>
      <c r="AB1234">
        <f>'Grid_Requirement'!Z53</f>
        <v/>
      </c>
      <c r="AC1234">
        <f>'Grid_Requirement'!AA53</f>
        <v/>
      </c>
      <c r="AD1234">
        <f>'Grid_Requirement'!AB53</f>
        <v/>
      </c>
      <c r="AE1234">
        <f>'Grid_Requirement'!AC53</f>
        <v/>
      </c>
      <c r="AF1234">
        <f>'Grid_Requirement'!AD53</f>
        <v/>
      </c>
      <c r="AG1234">
        <f>'Grid_Requirement'!AE53</f>
        <v/>
      </c>
      <c r="AH1234">
        <f>'Grid_Requirement'!AF53</f>
        <v/>
      </c>
      <c r="AI1234">
        <f>'Grid_Requirement'!AG53</f>
        <v/>
      </c>
      <c r="AJ1234">
        <f>'Grid_Requirement'!AH53</f>
        <v/>
      </c>
      <c r="AK1234">
        <f>'Grid_Requirement'!AI53</f>
        <v/>
      </c>
      <c r="AL1234">
        <f>'Grid_Requirement'!AJ53</f>
        <v/>
      </c>
      <c r="AM1234">
        <f>'Grid_Requirement'!AK53</f>
        <v/>
      </c>
      <c r="AN1234">
        <f>'Grid_Requirement'!AL53</f>
        <v/>
      </c>
      <c r="AO1234">
        <f>'Grid_Requirement'!AM53</f>
        <v/>
      </c>
      <c r="AP1234">
        <f>'Grid_Requirement'!AN53</f>
        <v/>
      </c>
      <c r="AQ1234">
        <f>'Grid_Requirement'!AO53</f>
        <v/>
      </c>
      <c r="AR1234">
        <f>'Grid_Requirement'!AP53</f>
        <v/>
      </c>
      <c r="AS1234">
        <f>'Grid_Requirement'!AQ53</f>
        <v/>
      </c>
      <c r="AT1234">
        <f>'Grid_Requirement'!AR53</f>
        <v/>
      </c>
      <c r="AU1234">
        <f>'Grid_Requirement'!AS53</f>
        <v/>
      </c>
      <c r="AV1234">
        <f>'Grid_Requirement'!AT53</f>
        <v/>
      </c>
      <c r="AW1234">
        <f>'Grid_Requirement'!AU53</f>
        <v/>
      </c>
      <c r="AX1234">
        <f>'Grid_Requirement'!AV53</f>
        <v/>
      </c>
      <c r="AY1234">
        <f>'Grid_Requirement'!AW53</f>
        <v/>
      </c>
      <c r="AZ1234">
        <f>'Grid_Requirement'!AX53</f>
        <v/>
      </c>
      <c r="BA1234">
        <f>'Grid_Requirement'!AY53</f>
        <v/>
      </c>
      <c r="BB1234">
        <f>'Grid_Requirement'!AZ53</f>
        <v/>
      </c>
      <c r="BC1234">
        <f>'Grid_Requirement'!BA53</f>
        <v/>
      </c>
      <c r="BD1234">
        <f>'Grid_Requirement'!BB53</f>
        <v/>
      </c>
      <c r="BE1234">
        <f>'Grid_Requirement'!BC53</f>
        <v/>
      </c>
      <c r="BF1234">
        <f>'Grid_Requirement'!BD53</f>
        <v/>
      </c>
      <c r="BG1234">
        <f>'Grid_Requirement'!BE53</f>
        <v/>
      </c>
      <c r="BH1234">
        <f>'Grid_Requirement'!BF53</f>
        <v/>
      </c>
      <c r="BI1234">
        <f>'Grid_Requirement'!BG53</f>
        <v/>
      </c>
      <c r="BJ1234">
        <f>'Grid_Requirement'!BH53</f>
        <v/>
      </c>
      <c r="BK1234">
        <f>'Grid_Requirement'!BI53</f>
        <v/>
      </c>
      <c r="BL1234">
        <f>'Grid_Requirement'!BJ53</f>
        <v/>
      </c>
      <c r="BM1234">
        <f>'Grid_Requirement'!BK53</f>
        <v/>
      </c>
      <c r="BN1234">
        <f>'Grid_Requirement'!BL53</f>
        <v/>
      </c>
      <c r="BO1234">
        <f>'Grid_Requirement'!BM53</f>
        <v/>
      </c>
      <c r="BP1234">
        <f>'Grid_Requirement'!BN53</f>
        <v/>
      </c>
      <c r="BQ1234">
        <f>'Grid_Requirement'!BO53</f>
        <v/>
      </c>
      <c r="BR1234">
        <f>'Grid_Requirement'!BP53</f>
        <v/>
      </c>
      <c r="BS1234">
        <f>'Grid_Requirement'!BQ53</f>
        <v/>
      </c>
      <c r="BT1234">
        <f>'Grid_Requirement'!BR53</f>
        <v/>
      </c>
      <c r="BU1234">
        <f>'Grid_Requirement'!BS53</f>
        <v/>
      </c>
      <c r="BV1234">
        <f>'Grid_Requirement'!BT53</f>
        <v/>
      </c>
      <c r="BW1234">
        <f>'Grid_Requirement'!BU53</f>
        <v/>
      </c>
      <c r="BX1234">
        <f>'Grid_Requirement'!BV53</f>
        <v/>
      </c>
      <c r="BY1234">
        <f>'Grid_Requirement'!BW53</f>
        <v/>
      </c>
      <c r="BZ1234">
        <f>'Grid_Requirement'!BX53</f>
        <v/>
      </c>
      <c r="CA1234">
        <f>'Grid_Requirement'!BY53</f>
        <v/>
      </c>
      <c r="CB1234">
        <f>'Grid_Requirement'!BZ53</f>
        <v/>
      </c>
      <c r="CC1234">
        <f>'Grid_Requirement'!CA53</f>
        <v/>
      </c>
      <c r="CD1234">
        <f>'Grid_Requirement'!CB53</f>
        <v/>
      </c>
      <c r="CE1234">
        <f>'Grid_Requirement'!CC53</f>
        <v/>
      </c>
      <c r="CF1234">
        <f>'Grid_Requirement'!CD53</f>
        <v/>
      </c>
      <c r="CG1234">
        <f>'Grid_Requirement'!CE53</f>
        <v/>
      </c>
      <c r="CH1234">
        <f>'Grid_Requirement'!CF53</f>
        <v/>
      </c>
      <c r="CI1234">
        <f>'Grid_Requirement'!CG53</f>
        <v/>
      </c>
      <c r="CJ1234">
        <f>'Grid_Requirement'!CH53</f>
        <v/>
      </c>
      <c r="CK1234">
        <f>'Grid_Requirement'!CI53</f>
        <v/>
      </c>
      <c r="CL1234">
        <f>'Grid_Requirement'!CJ53</f>
        <v/>
      </c>
      <c r="CM1234">
        <f>'Grid_Requirement'!CK53</f>
        <v/>
      </c>
      <c r="CN1234">
        <f>'Grid_Requirement'!CL53</f>
        <v/>
      </c>
      <c r="CO1234">
        <f>'Grid_Requirement'!CM53</f>
        <v/>
      </c>
      <c r="CP1234">
        <f>'Grid_Requirement'!CN53</f>
        <v/>
      </c>
      <c r="CQ1234">
        <f>'Grid_Requirement'!CO53</f>
        <v/>
      </c>
      <c r="CR1234">
        <f>'Grid_Requirement'!CP53</f>
        <v/>
      </c>
      <c r="CS1234">
        <f>'Grid_Requirement'!CQ53</f>
        <v/>
      </c>
      <c r="CT1234">
        <f>'Grid_Requirement'!CR53</f>
        <v/>
      </c>
      <c r="CU1234">
        <f>'Grid_Requirement'!CS53</f>
        <v/>
      </c>
      <c r="CV1234">
        <f>'Grid_Requirement'!CT53</f>
        <v/>
      </c>
      <c r="CW1234">
        <f>'Grid_Requirement'!CU53</f>
        <v/>
      </c>
      <c r="CX1234">
        <f>'Grid_Requirement'!CV53</f>
        <v/>
      </c>
      <c r="CY1234">
        <f>'Grid_Requirement'!CW53</f>
        <v/>
      </c>
      <c r="CZ1234">
        <f>'Grid_Requirement'!CX53</f>
        <v/>
      </c>
      <c r="DA1234">
        <f>'Grid_Requirement'!CY53</f>
        <v/>
      </c>
      <c r="DB1234">
        <f>'Grid_Requirement'!CZ53</f>
        <v/>
      </c>
      <c r="DC1234">
        <f>'Grid_Requirement'!DA53</f>
        <v/>
      </c>
    </row>
    <row r="1235">
      <c r="B1235" t="inlineStr">
        <is>
          <t>TTAF在庫(実績,kg)</t>
        </is>
      </c>
      <c r="D1235">
        <f>'T_TTAFStock'!B57</f>
        <v/>
      </c>
      <c r="E1235">
        <f>'T_TTAFStock'!C57</f>
        <v/>
      </c>
      <c r="F1235">
        <f>'T_TTAFStock'!D57</f>
        <v/>
      </c>
      <c r="G1235">
        <f>'T_TTAFStock'!E57</f>
        <v/>
      </c>
      <c r="H1235">
        <f>'T_TTAFStock'!F57</f>
        <v/>
      </c>
      <c r="I1235">
        <f>'T_TTAFStock'!G57</f>
        <v/>
      </c>
      <c r="J1235">
        <f>'T_TTAFStock'!H57</f>
        <v/>
      </c>
      <c r="K1235">
        <f>'T_TTAFStock'!I57</f>
        <v/>
      </c>
      <c r="L1235">
        <f>'T_TTAFStock'!J57</f>
        <v/>
      </c>
      <c r="M1235">
        <f>'T_TTAFStock'!K57</f>
        <v/>
      </c>
      <c r="N1235">
        <f>'T_TTAFStock'!L57</f>
        <v/>
      </c>
      <c r="O1235">
        <f>'T_TTAFStock'!M57</f>
        <v/>
      </c>
      <c r="P1235">
        <f>'T_TTAFStock'!N57</f>
        <v/>
      </c>
      <c r="Q1235">
        <f>'T_TTAFStock'!O57</f>
        <v/>
      </c>
      <c r="R1235">
        <f>'T_TTAFStock'!P57</f>
        <v/>
      </c>
      <c r="S1235">
        <f>'T_TTAFStock'!Q57</f>
        <v/>
      </c>
      <c r="T1235">
        <f>'T_TTAFStock'!R57</f>
        <v/>
      </c>
      <c r="U1235">
        <f>'T_TTAFStock'!S57</f>
        <v/>
      </c>
      <c r="V1235">
        <f>'T_TTAFStock'!T57</f>
        <v/>
      </c>
      <c r="W1235">
        <f>'T_TTAFStock'!U57</f>
        <v/>
      </c>
      <c r="X1235">
        <f>'T_TTAFStock'!V57</f>
        <v/>
      </c>
      <c r="Y1235">
        <f>'T_TTAFStock'!W57</f>
        <v/>
      </c>
      <c r="Z1235">
        <f>'T_TTAFStock'!X57</f>
        <v/>
      </c>
      <c r="AA1235">
        <f>'T_TTAFStock'!Y57</f>
        <v/>
      </c>
      <c r="AB1235">
        <f>'T_TTAFStock'!Z57</f>
        <v/>
      </c>
      <c r="AC1235">
        <f>'T_TTAFStock'!AA57</f>
        <v/>
      </c>
      <c r="AD1235">
        <f>'T_TTAFStock'!AB57</f>
        <v/>
      </c>
      <c r="AE1235">
        <f>'T_TTAFStock'!AC57</f>
        <v/>
      </c>
      <c r="AF1235">
        <f>'T_TTAFStock'!AD57</f>
        <v/>
      </c>
      <c r="AG1235">
        <f>'T_TTAFStock'!AE57</f>
        <v/>
      </c>
      <c r="AH1235">
        <f>'T_TTAFStock'!AF57</f>
        <v/>
      </c>
      <c r="AI1235">
        <f>'T_TTAFStock'!AG57</f>
        <v/>
      </c>
      <c r="AJ1235">
        <f>'T_TTAFStock'!AH57</f>
        <v/>
      </c>
      <c r="AK1235">
        <f>'T_TTAFStock'!AI57</f>
        <v/>
      </c>
      <c r="AL1235">
        <f>'T_TTAFStock'!AJ57</f>
        <v/>
      </c>
      <c r="AM1235">
        <f>'T_TTAFStock'!AK57</f>
        <v/>
      </c>
      <c r="AN1235">
        <f>'T_TTAFStock'!AL57</f>
        <v/>
      </c>
      <c r="AO1235">
        <f>'T_TTAFStock'!AM57</f>
        <v/>
      </c>
      <c r="AP1235">
        <f>'T_TTAFStock'!AN57</f>
        <v/>
      </c>
      <c r="AQ1235">
        <f>'T_TTAFStock'!AO57</f>
        <v/>
      </c>
      <c r="AR1235">
        <f>'T_TTAFStock'!AP57</f>
        <v/>
      </c>
      <c r="AS1235">
        <f>'T_TTAFStock'!AQ57</f>
        <v/>
      </c>
      <c r="AT1235">
        <f>'T_TTAFStock'!AR57</f>
        <v/>
      </c>
      <c r="AU1235">
        <f>'T_TTAFStock'!AS57</f>
        <v/>
      </c>
      <c r="AV1235">
        <f>'T_TTAFStock'!AT57</f>
        <v/>
      </c>
      <c r="AW1235">
        <f>'T_TTAFStock'!AU57</f>
        <v/>
      </c>
      <c r="AX1235">
        <f>'T_TTAFStock'!AV57</f>
        <v/>
      </c>
      <c r="AY1235">
        <f>'T_TTAFStock'!AW57</f>
        <v/>
      </c>
      <c r="AZ1235">
        <f>'T_TTAFStock'!AX57</f>
        <v/>
      </c>
      <c r="BA1235">
        <f>'T_TTAFStock'!AY57</f>
        <v/>
      </c>
      <c r="BB1235">
        <f>'T_TTAFStock'!AZ57</f>
        <v/>
      </c>
      <c r="BC1235">
        <f>'T_TTAFStock'!BA57</f>
        <v/>
      </c>
      <c r="BD1235">
        <f>'T_TTAFStock'!BB57</f>
        <v/>
      </c>
      <c r="BE1235">
        <f>'T_TTAFStock'!BC57</f>
        <v/>
      </c>
      <c r="BF1235">
        <f>'T_TTAFStock'!BD57</f>
        <v/>
      </c>
      <c r="BG1235">
        <f>'T_TTAFStock'!BE57</f>
        <v/>
      </c>
      <c r="BH1235">
        <f>'T_TTAFStock'!BF57</f>
        <v/>
      </c>
      <c r="BI1235">
        <f>'T_TTAFStock'!BG57</f>
        <v/>
      </c>
      <c r="BJ1235">
        <f>'T_TTAFStock'!BH57</f>
        <v/>
      </c>
      <c r="BK1235">
        <f>'T_TTAFStock'!BI57</f>
        <v/>
      </c>
      <c r="BL1235">
        <f>'T_TTAFStock'!BJ57</f>
        <v/>
      </c>
      <c r="BM1235">
        <f>'T_TTAFStock'!BK57</f>
        <v/>
      </c>
      <c r="BN1235">
        <f>'T_TTAFStock'!BL57</f>
        <v/>
      </c>
      <c r="BO1235">
        <f>'T_TTAFStock'!BM57</f>
        <v/>
      </c>
      <c r="BP1235">
        <f>'T_TTAFStock'!BN57</f>
        <v/>
      </c>
      <c r="BQ1235">
        <f>'T_TTAFStock'!BO57</f>
        <v/>
      </c>
      <c r="BR1235">
        <f>'T_TTAFStock'!BP57</f>
        <v/>
      </c>
      <c r="BS1235">
        <f>'T_TTAFStock'!BQ57</f>
        <v/>
      </c>
      <c r="BT1235">
        <f>'T_TTAFStock'!BR57</f>
        <v/>
      </c>
      <c r="BU1235">
        <f>'T_TTAFStock'!BS57</f>
        <v/>
      </c>
      <c r="BV1235">
        <f>'T_TTAFStock'!BT57</f>
        <v/>
      </c>
      <c r="BW1235">
        <f>'T_TTAFStock'!BU57</f>
        <v/>
      </c>
      <c r="BX1235">
        <f>'T_TTAFStock'!BV57</f>
        <v/>
      </c>
      <c r="BY1235">
        <f>'T_TTAFStock'!BW57</f>
        <v/>
      </c>
      <c r="BZ1235">
        <f>'T_TTAFStock'!BX57</f>
        <v/>
      </c>
      <c r="CA1235">
        <f>'T_TTAFStock'!BY57</f>
        <v/>
      </c>
      <c r="CB1235">
        <f>'T_TTAFStock'!BZ57</f>
        <v/>
      </c>
      <c r="CC1235">
        <f>'T_TTAFStock'!CA57</f>
        <v/>
      </c>
      <c r="CD1235">
        <f>'T_TTAFStock'!CB57</f>
        <v/>
      </c>
      <c r="CE1235">
        <f>'T_TTAFStock'!CC57</f>
        <v/>
      </c>
      <c r="CF1235">
        <f>'T_TTAFStock'!CD57</f>
        <v/>
      </c>
      <c r="CG1235">
        <f>'T_TTAFStock'!CE57</f>
        <v/>
      </c>
      <c r="CH1235">
        <f>'T_TTAFStock'!CF57</f>
        <v/>
      </c>
      <c r="CI1235">
        <f>'T_TTAFStock'!CG57</f>
        <v/>
      </c>
      <c r="CJ1235">
        <f>'T_TTAFStock'!CH57</f>
        <v/>
      </c>
      <c r="CK1235">
        <f>'T_TTAFStock'!CI57</f>
        <v/>
      </c>
      <c r="CL1235">
        <f>'T_TTAFStock'!CJ57</f>
        <v/>
      </c>
      <c r="CM1235">
        <f>'T_TTAFStock'!CK57</f>
        <v/>
      </c>
      <c r="CN1235">
        <f>'T_TTAFStock'!CL57</f>
        <v/>
      </c>
      <c r="CO1235">
        <f>'T_TTAFStock'!CM57</f>
        <v/>
      </c>
      <c r="CP1235">
        <f>'T_TTAFStock'!CN57</f>
        <v/>
      </c>
      <c r="CQ1235">
        <f>'T_TTAFStock'!CO57</f>
        <v/>
      </c>
      <c r="CR1235">
        <f>'T_TTAFStock'!CP57</f>
        <v/>
      </c>
      <c r="CS1235">
        <f>'T_TTAFStock'!CQ57</f>
        <v/>
      </c>
      <c r="CT1235">
        <f>'T_TTAFStock'!CR57</f>
        <v/>
      </c>
      <c r="CU1235">
        <f>'T_TTAFStock'!CS57</f>
        <v/>
      </c>
      <c r="CV1235">
        <f>'T_TTAFStock'!CT57</f>
        <v/>
      </c>
      <c r="CW1235">
        <f>'T_TTAFStock'!CU57</f>
        <v/>
      </c>
      <c r="CX1235">
        <f>'T_TTAFStock'!CV57</f>
        <v/>
      </c>
      <c r="CY1235">
        <f>'T_TTAFStock'!CW57</f>
        <v/>
      </c>
      <c r="CZ1235">
        <f>'T_TTAFStock'!CX57</f>
        <v/>
      </c>
      <c r="DA1235">
        <f>'T_TTAFStock'!CY57</f>
        <v/>
      </c>
      <c r="DB1235">
        <f>'T_TTAFStock'!CZ57</f>
        <v/>
      </c>
      <c r="DC1235">
        <f>'T_TTAFStock'!DA57</f>
        <v/>
      </c>
    </row>
    <row r="1236">
      <c r="B1236" t="inlineStr">
        <is>
          <t>自社在庫(実績,kg)</t>
        </is>
      </c>
      <c r="D1236">
        <f>'T_SelfStock'!B57</f>
        <v/>
      </c>
      <c r="E1236">
        <f>'T_SelfStock'!C57</f>
        <v/>
      </c>
      <c r="F1236">
        <f>'T_SelfStock'!D57</f>
        <v/>
      </c>
      <c r="G1236">
        <f>'T_SelfStock'!E57</f>
        <v/>
      </c>
      <c r="H1236">
        <f>'T_SelfStock'!F57</f>
        <v/>
      </c>
      <c r="I1236">
        <f>'T_SelfStock'!G57</f>
        <v/>
      </c>
      <c r="J1236">
        <f>'T_SelfStock'!H57</f>
        <v/>
      </c>
      <c r="K1236">
        <f>'T_SelfStock'!I57</f>
        <v/>
      </c>
      <c r="L1236">
        <f>'T_SelfStock'!J57</f>
        <v/>
      </c>
      <c r="M1236">
        <f>'T_SelfStock'!K57</f>
        <v/>
      </c>
      <c r="N1236">
        <f>'T_SelfStock'!L57</f>
        <v/>
      </c>
      <c r="O1236">
        <f>'T_SelfStock'!M57</f>
        <v/>
      </c>
      <c r="P1236">
        <f>'T_SelfStock'!N57</f>
        <v/>
      </c>
      <c r="Q1236">
        <f>'T_SelfStock'!O57</f>
        <v/>
      </c>
      <c r="R1236">
        <f>'T_SelfStock'!P57</f>
        <v/>
      </c>
      <c r="S1236">
        <f>'T_SelfStock'!Q57</f>
        <v/>
      </c>
      <c r="T1236">
        <f>'T_SelfStock'!R57</f>
        <v/>
      </c>
      <c r="U1236">
        <f>'T_SelfStock'!S57</f>
        <v/>
      </c>
      <c r="V1236">
        <f>'T_SelfStock'!T57</f>
        <v/>
      </c>
      <c r="W1236">
        <f>'T_SelfStock'!U57</f>
        <v/>
      </c>
      <c r="X1236">
        <f>'T_SelfStock'!V57</f>
        <v/>
      </c>
      <c r="Y1236">
        <f>'T_SelfStock'!W57</f>
        <v/>
      </c>
      <c r="Z1236">
        <f>'T_SelfStock'!X57</f>
        <v/>
      </c>
      <c r="AA1236">
        <f>'T_SelfStock'!Y57</f>
        <v/>
      </c>
      <c r="AB1236">
        <f>'T_SelfStock'!Z57</f>
        <v/>
      </c>
      <c r="AC1236">
        <f>'T_SelfStock'!AA57</f>
        <v/>
      </c>
      <c r="AD1236">
        <f>'T_SelfStock'!AB57</f>
        <v/>
      </c>
      <c r="AE1236">
        <f>'T_SelfStock'!AC57</f>
        <v/>
      </c>
      <c r="AF1236">
        <f>'T_SelfStock'!AD57</f>
        <v/>
      </c>
      <c r="AG1236">
        <f>'T_SelfStock'!AE57</f>
        <v/>
      </c>
      <c r="AH1236">
        <f>'T_SelfStock'!AF57</f>
        <v/>
      </c>
      <c r="AI1236">
        <f>'T_SelfStock'!AG57</f>
        <v/>
      </c>
      <c r="AJ1236">
        <f>'T_SelfStock'!AH57</f>
        <v/>
      </c>
      <c r="AK1236">
        <f>'T_SelfStock'!AI57</f>
        <v/>
      </c>
      <c r="AL1236">
        <f>'T_SelfStock'!AJ57</f>
        <v/>
      </c>
      <c r="AM1236">
        <f>'T_SelfStock'!AK57</f>
        <v/>
      </c>
      <c r="AN1236">
        <f>'T_SelfStock'!AL57</f>
        <v/>
      </c>
      <c r="AO1236">
        <f>'T_SelfStock'!AM57</f>
        <v/>
      </c>
      <c r="AP1236">
        <f>'T_SelfStock'!AN57</f>
        <v/>
      </c>
      <c r="AQ1236">
        <f>'T_SelfStock'!AO57</f>
        <v/>
      </c>
      <c r="AR1236">
        <f>'T_SelfStock'!AP57</f>
        <v/>
      </c>
      <c r="AS1236">
        <f>'T_SelfStock'!AQ57</f>
        <v/>
      </c>
      <c r="AT1236">
        <f>'T_SelfStock'!AR57</f>
        <v/>
      </c>
      <c r="AU1236">
        <f>'T_SelfStock'!AS57</f>
        <v/>
      </c>
      <c r="AV1236">
        <f>'T_SelfStock'!AT57</f>
        <v/>
      </c>
      <c r="AW1236">
        <f>'T_SelfStock'!AU57</f>
        <v/>
      </c>
      <c r="AX1236">
        <f>'T_SelfStock'!AV57</f>
        <v/>
      </c>
      <c r="AY1236">
        <f>'T_SelfStock'!AW57</f>
        <v/>
      </c>
      <c r="AZ1236">
        <f>'T_SelfStock'!AX57</f>
        <v/>
      </c>
      <c r="BA1236">
        <f>'T_SelfStock'!AY57</f>
        <v/>
      </c>
      <c r="BB1236">
        <f>'T_SelfStock'!AZ57</f>
        <v/>
      </c>
      <c r="BC1236">
        <f>'T_SelfStock'!BA57</f>
        <v/>
      </c>
      <c r="BD1236">
        <f>'T_SelfStock'!BB57</f>
        <v/>
      </c>
      <c r="BE1236">
        <f>'T_SelfStock'!BC57</f>
        <v/>
      </c>
      <c r="BF1236">
        <f>'T_SelfStock'!BD57</f>
        <v/>
      </c>
      <c r="BG1236">
        <f>'T_SelfStock'!BE57</f>
        <v/>
      </c>
      <c r="BH1236">
        <f>'T_SelfStock'!BF57</f>
        <v/>
      </c>
      <c r="BI1236">
        <f>'T_SelfStock'!BG57</f>
        <v/>
      </c>
      <c r="BJ1236">
        <f>'T_SelfStock'!BH57</f>
        <v/>
      </c>
      <c r="BK1236">
        <f>'T_SelfStock'!BI57</f>
        <v/>
      </c>
      <c r="BL1236">
        <f>'T_SelfStock'!BJ57</f>
        <v/>
      </c>
      <c r="BM1236">
        <f>'T_SelfStock'!BK57</f>
        <v/>
      </c>
      <c r="BN1236">
        <f>'T_SelfStock'!BL57</f>
        <v/>
      </c>
      <c r="BO1236">
        <f>'T_SelfStock'!BM57</f>
        <v/>
      </c>
      <c r="BP1236">
        <f>'T_SelfStock'!BN57</f>
        <v/>
      </c>
      <c r="BQ1236">
        <f>'T_SelfStock'!BO57</f>
        <v/>
      </c>
      <c r="BR1236">
        <f>'T_SelfStock'!BP57</f>
        <v/>
      </c>
      <c r="BS1236">
        <f>'T_SelfStock'!BQ57</f>
        <v/>
      </c>
      <c r="BT1236">
        <f>'T_SelfStock'!BR57</f>
        <v/>
      </c>
      <c r="BU1236">
        <f>'T_SelfStock'!BS57</f>
        <v/>
      </c>
      <c r="BV1236">
        <f>'T_SelfStock'!BT57</f>
        <v/>
      </c>
      <c r="BW1236">
        <f>'T_SelfStock'!BU57</f>
        <v/>
      </c>
      <c r="BX1236">
        <f>'T_SelfStock'!BV57</f>
        <v/>
      </c>
      <c r="BY1236">
        <f>'T_SelfStock'!BW57</f>
        <v/>
      </c>
      <c r="BZ1236">
        <f>'T_SelfStock'!BX57</f>
        <v/>
      </c>
      <c r="CA1236">
        <f>'T_SelfStock'!BY57</f>
        <v/>
      </c>
      <c r="CB1236">
        <f>'T_SelfStock'!BZ57</f>
        <v/>
      </c>
      <c r="CC1236">
        <f>'T_SelfStock'!CA57</f>
        <v/>
      </c>
      <c r="CD1236">
        <f>'T_SelfStock'!CB57</f>
        <v/>
      </c>
      <c r="CE1236">
        <f>'T_SelfStock'!CC57</f>
        <v/>
      </c>
      <c r="CF1236">
        <f>'T_SelfStock'!CD57</f>
        <v/>
      </c>
      <c r="CG1236">
        <f>'T_SelfStock'!CE57</f>
        <v/>
      </c>
      <c r="CH1236">
        <f>'T_SelfStock'!CF57</f>
        <v/>
      </c>
      <c r="CI1236">
        <f>'T_SelfStock'!CG57</f>
        <v/>
      </c>
      <c r="CJ1236">
        <f>'T_SelfStock'!CH57</f>
        <v/>
      </c>
      <c r="CK1236">
        <f>'T_SelfStock'!CI57</f>
        <v/>
      </c>
      <c r="CL1236">
        <f>'T_SelfStock'!CJ57</f>
        <v/>
      </c>
      <c r="CM1236">
        <f>'T_SelfStock'!CK57</f>
        <v/>
      </c>
      <c r="CN1236">
        <f>'T_SelfStock'!CL57</f>
        <v/>
      </c>
      <c r="CO1236">
        <f>'T_SelfStock'!CM57</f>
        <v/>
      </c>
      <c r="CP1236">
        <f>'T_SelfStock'!CN57</f>
        <v/>
      </c>
      <c r="CQ1236">
        <f>'T_SelfStock'!CO57</f>
        <v/>
      </c>
      <c r="CR1236">
        <f>'T_SelfStock'!CP57</f>
        <v/>
      </c>
      <c r="CS1236">
        <f>'T_SelfStock'!CQ57</f>
        <v/>
      </c>
      <c r="CT1236">
        <f>'T_SelfStock'!CR57</f>
        <v/>
      </c>
      <c r="CU1236">
        <f>'T_SelfStock'!CS57</f>
        <v/>
      </c>
      <c r="CV1236">
        <f>'T_SelfStock'!CT57</f>
        <v/>
      </c>
      <c r="CW1236">
        <f>'T_SelfStock'!CU57</f>
        <v/>
      </c>
      <c r="CX1236">
        <f>'T_SelfStock'!CV57</f>
        <v/>
      </c>
      <c r="CY1236">
        <f>'T_SelfStock'!CW57</f>
        <v/>
      </c>
      <c r="CZ1236">
        <f>'T_SelfStock'!CX57</f>
        <v/>
      </c>
      <c r="DA1236">
        <f>'T_SelfStock'!CY57</f>
        <v/>
      </c>
      <c r="DB1236">
        <f>'T_SelfStock'!CZ57</f>
        <v/>
      </c>
      <c r="DC1236">
        <f>'T_SelfStock'!DA57</f>
        <v/>
      </c>
    </row>
    <row r="1237">
      <c r="B1237" t="inlineStr">
        <is>
          <t>Order(発注予定,kg)</t>
        </is>
      </c>
      <c r="D1237">
        <f>IF(SUMIFS(T_PlannedOrders[EffectiveQty],T_PlannedOrders[Part Name],$A1231,T_PlannedOrders[WeekIndex],1)=0,"",SUMIFS(T_PlannedOrders[EffectiveQty],T_PlannedOrders[Part Name],$A1231,T_PlannedOrders[WeekIndex],1)&amp;" ("&amp;TEXT(SUMPRODUCT(MAX((T_PlannedOrders[Part Name]=$A1231)*(T_PlannedOrders[WeekIndex]=1)*(T_PlannedOrders[EffectiveQty]&gt;0)*T_PlannedOrders[Order_Month])),"m月")&amp;"発注)")</f>
        <v/>
      </c>
      <c r="E1237">
        <f>IF(SUMIFS(T_PlannedOrders[EffectiveQty],T_PlannedOrders[Part Name],$A1231,T_PlannedOrders[WeekIndex],2)=0,"",SUMIFS(T_PlannedOrders[EffectiveQty],T_PlannedOrders[Part Name],$A1231,T_PlannedOrders[WeekIndex],2)&amp;" ("&amp;TEXT(SUMPRODUCT(MAX((T_PlannedOrders[Part Name]=$A1231)*(T_PlannedOrders[WeekIndex]=2)*(T_PlannedOrders[EffectiveQty]&gt;0)*T_PlannedOrders[Order_Month])),"m月")&amp;"発注)")</f>
        <v/>
      </c>
      <c r="F1237">
        <f>IF(SUMIFS(T_PlannedOrders[EffectiveQty],T_PlannedOrders[Part Name],$A1231,T_PlannedOrders[WeekIndex],3)=0,"",SUMIFS(T_PlannedOrders[EffectiveQty],T_PlannedOrders[Part Name],$A1231,T_PlannedOrders[WeekIndex],3)&amp;" ("&amp;TEXT(SUMPRODUCT(MAX((T_PlannedOrders[Part Name]=$A1231)*(T_PlannedOrders[WeekIndex]=3)*(T_PlannedOrders[EffectiveQty]&gt;0)*T_PlannedOrders[Order_Month])),"m月")&amp;"発注)")</f>
        <v/>
      </c>
      <c r="G1237">
        <f>IF(SUMIFS(T_PlannedOrders[EffectiveQty],T_PlannedOrders[Part Name],$A1231,T_PlannedOrders[WeekIndex],4)=0,"",SUMIFS(T_PlannedOrders[EffectiveQty],T_PlannedOrders[Part Name],$A1231,T_PlannedOrders[WeekIndex],4)&amp;" ("&amp;TEXT(SUMPRODUCT(MAX((T_PlannedOrders[Part Name]=$A1231)*(T_PlannedOrders[WeekIndex]=4)*(T_PlannedOrders[EffectiveQty]&gt;0)*T_PlannedOrders[Order_Month])),"m月")&amp;"発注)")</f>
        <v/>
      </c>
      <c r="H1237">
        <f>IF(SUMIFS(T_PlannedOrders[EffectiveQty],T_PlannedOrders[Part Name],$A1231,T_PlannedOrders[WeekIndex],5)=0,"",SUMIFS(T_PlannedOrders[EffectiveQty],T_PlannedOrders[Part Name],$A1231,T_PlannedOrders[WeekIndex],5)&amp;" ("&amp;TEXT(SUMPRODUCT(MAX((T_PlannedOrders[Part Name]=$A1231)*(T_PlannedOrders[WeekIndex]=5)*(T_PlannedOrders[EffectiveQty]&gt;0)*T_PlannedOrders[Order_Month])),"m月")&amp;"発注)")</f>
        <v/>
      </c>
      <c r="I1237">
        <f>IF(SUMIFS(T_PlannedOrders[EffectiveQty],T_PlannedOrders[Part Name],$A1231,T_PlannedOrders[WeekIndex],6)=0,"",SUMIFS(T_PlannedOrders[EffectiveQty],T_PlannedOrders[Part Name],$A1231,T_PlannedOrders[WeekIndex],6)&amp;" ("&amp;TEXT(SUMPRODUCT(MAX((T_PlannedOrders[Part Name]=$A1231)*(T_PlannedOrders[WeekIndex]=6)*(T_PlannedOrders[EffectiveQty]&gt;0)*T_PlannedOrders[Order_Month])),"m月")&amp;"発注)")</f>
        <v/>
      </c>
      <c r="J1237">
        <f>IF(SUMIFS(T_PlannedOrders[EffectiveQty],T_PlannedOrders[Part Name],$A1231,T_PlannedOrders[WeekIndex],7)=0,"",SUMIFS(T_PlannedOrders[EffectiveQty],T_PlannedOrders[Part Name],$A1231,T_PlannedOrders[WeekIndex],7)&amp;" ("&amp;TEXT(SUMPRODUCT(MAX((T_PlannedOrders[Part Name]=$A1231)*(T_PlannedOrders[WeekIndex]=7)*(T_PlannedOrders[EffectiveQty]&gt;0)*T_PlannedOrders[Order_Month])),"m月")&amp;"発注)")</f>
        <v/>
      </c>
      <c r="K1237">
        <f>IF(SUMIFS(T_PlannedOrders[EffectiveQty],T_PlannedOrders[Part Name],$A1231,T_PlannedOrders[WeekIndex],8)=0,"",SUMIFS(T_PlannedOrders[EffectiveQty],T_PlannedOrders[Part Name],$A1231,T_PlannedOrders[WeekIndex],8)&amp;" ("&amp;TEXT(SUMPRODUCT(MAX((T_PlannedOrders[Part Name]=$A1231)*(T_PlannedOrders[WeekIndex]=8)*(T_PlannedOrders[EffectiveQty]&gt;0)*T_PlannedOrders[Order_Month])),"m月")&amp;"発注)")</f>
        <v/>
      </c>
      <c r="L1237">
        <f>IF(SUMIFS(T_PlannedOrders[EffectiveQty],T_PlannedOrders[Part Name],$A1231,T_PlannedOrders[WeekIndex],9)=0,"",SUMIFS(T_PlannedOrders[EffectiveQty],T_PlannedOrders[Part Name],$A1231,T_PlannedOrders[WeekIndex],9)&amp;" ("&amp;TEXT(SUMPRODUCT(MAX((T_PlannedOrders[Part Name]=$A1231)*(T_PlannedOrders[WeekIndex]=9)*(T_PlannedOrders[EffectiveQty]&gt;0)*T_PlannedOrders[Order_Month])),"m月")&amp;"発注)")</f>
        <v/>
      </c>
      <c r="M1237">
        <f>IF(SUMIFS(T_PlannedOrders[EffectiveQty],T_PlannedOrders[Part Name],$A1231,T_PlannedOrders[WeekIndex],10)=0,"",SUMIFS(T_PlannedOrders[EffectiveQty],T_PlannedOrders[Part Name],$A1231,T_PlannedOrders[WeekIndex],10)&amp;" ("&amp;TEXT(SUMPRODUCT(MAX((T_PlannedOrders[Part Name]=$A1231)*(T_PlannedOrders[WeekIndex]=10)*(T_PlannedOrders[EffectiveQty]&gt;0)*T_PlannedOrders[Order_Month])),"m月")&amp;"発注)")</f>
        <v/>
      </c>
      <c r="N1237">
        <f>IF(SUMIFS(T_PlannedOrders[EffectiveQty],T_PlannedOrders[Part Name],$A1231,T_PlannedOrders[WeekIndex],11)=0,"",SUMIFS(T_PlannedOrders[EffectiveQty],T_PlannedOrders[Part Name],$A1231,T_PlannedOrders[WeekIndex],11)&amp;" ("&amp;TEXT(SUMPRODUCT(MAX((T_PlannedOrders[Part Name]=$A1231)*(T_PlannedOrders[WeekIndex]=11)*(T_PlannedOrders[EffectiveQty]&gt;0)*T_PlannedOrders[Order_Month])),"m月")&amp;"発注)")</f>
        <v/>
      </c>
      <c r="O1237">
        <f>IF(SUMIFS(T_PlannedOrders[EffectiveQty],T_PlannedOrders[Part Name],$A1231,T_PlannedOrders[WeekIndex],12)=0,"",SUMIFS(T_PlannedOrders[EffectiveQty],T_PlannedOrders[Part Name],$A1231,T_PlannedOrders[WeekIndex],12)&amp;" ("&amp;TEXT(SUMPRODUCT(MAX((T_PlannedOrders[Part Name]=$A1231)*(T_PlannedOrders[WeekIndex]=12)*(T_PlannedOrders[EffectiveQty]&gt;0)*T_PlannedOrders[Order_Month])),"m月")&amp;"発注)")</f>
        <v/>
      </c>
      <c r="P1237">
        <f>IF(SUMIFS(T_PlannedOrders[EffectiveQty],T_PlannedOrders[Part Name],$A1231,T_PlannedOrders[WeekIndex],13)=0,"",SUMIFS(T_PlannedOrders[EffectiveQty],T_PlannedOrders[Part Name],$A1231,T_PlannedOrders[WeekIndex],13)&amp;" ("&amp;TEXT(SUMPRODUCT(MAX((T_PlannedOrders[Part Name]=$A1231)*(T_PlannedOrders[WeekIndex]=13)*(T_PlannedOrders[EffectiveQty]&gt;0)*T_PlannedOrders[Order_Month])),"m月")&amp;"発注)")</f>
        <v/>
      </c>
      <c r="Q1237">
        <f>IF(SUMIFS(T_PlannedOrders[EffectiveQty],T_PlannedOrders[Part Name],$A1231,T_PlannedOrders[WeekIndex],14)=0,"",SUMIFS(T_PlannedOrders[EffectiveQty],T_PlannedOrders[Part Name],$A1231,T_PlannedOrders[WeekIndex],14)&amp;" ("&amp;TEXT(SUMPRODUCT(MAX((T_PlannedOrders[Part Name]=$A1231)*(T_PlannedOrders[WeekIndex]=14)*(T_PlannedOrders[EffectiveQty]&gt;0)*T_PlannedOrders[Order_Month])),"m月")&amp;"発注)")</f>
        <v/>
      </c>
      <c r="R1237">
        <f>IF(SUMIFS(T_PlannedOrders[EffectiveQty],T_PlannedOrders[Part Name],$A1231,T_PlannedOrders[WeekIndex],15)=0,"",SUMIFS(T_PlannedOrders[EffectiveQty],T_PlannedOrders[Part Name],$A1231,T_PlannedOrders[WeekIndex],15)&amp;" ("&amp;TEXT(SUMPRODUCT(MAX((T_PlannedOrders[Part Name]=$A1231)*(T_PlannedOrders[WeekIndex]=15)*(T_PlannedOrders[EffectiveQty]&gt;0)*T_PlannedOrders[Order_Month])),"m月")&amp;"発注)")</f>
        <v/>
      </c>
      <c r="S1237">
        <f>IF(SUMIFS(T_PlannedOrders[EffectiveQty],T_PlannedOrders[Part Name],$A1231,T_PlannedOrders[WeekIndex],16)=0,"",SUMIFS(T_PlannedOrders[EffectiveQty],T_PlannedOrders[Part Name],$A1231,T_PlannedOrders[WeekIndex],16)&amp;" ("&amp;TEXT(SUMPRODUCT(MAX((T_PlannedOrders[Part Name]=$A1231)*(T_PlannedOrders[WeekIndex]=16)*(T_PlannedOrders[EffectiveQty]&gt;0)*T_PlannedOrders[Order_Month])),"m月")&amp;"発注)")</f>
        <v/>
      </c>
      <c r="T1237">
        <f>IF(SUMIFS(T_PlannedOrders[EffectiveQty],T_PlannedOrders[Part Name],$A1231,T_PlannedOrders[WeekIndex],17)=0,"",SUMIFS(T_PlannedOrders[EffectiveQty],T_PlannedOrders[Part Name],$A1231,T_PlannedOrders[WeekIndex],17)&amp;" ("&amp;TEXT(SUMPRODUCT(MAX((T_PlannedOrders[Part Name]=$A1231)*(T_PlannedOrders[WeekIndex]=17)*(T_PlannedOrders[EffectiveQty]&gt;0)*T_PlannedOrders[Order_Month])),"m月")&amp;"発注)")</f>
        <v/>
      </c>
      <c r="U1237">
        <f>IF(SUMIFS(T_PlannedOrders[EffectiveQty],T_PlannedOrders[Part Name],$A1231,T_PlannedOrders[WeekIndex],18)=0,"",SUMIFS(T_PlannedOrders[EffectiveQty],T_PlannedOrders[Part Name],$A1231,T_PlannedOrders[WeekIndex],18)&amp;" ("&amp;TEXT(SUMPRODUCT(MAX((T_PlannedOrders[Part Name]=$A1231)*(T_PlannedOrders[WeekIndex]=18)*(T_PlannedOrders[EffectiveQty]&gt;0)*T_PlannedOrders[Order_Month])),"m月")&amp;"発注)")</f>
        <v/>
      </c>
      <c r="V1237">
        <f>IF(SUMIFS(T_PlannedOrders[EffectiveQty],T_PlannedOrders[Part Name],$A1231,T_PlannedOrders[WeekIndex],19)=0,"",SUMIFS(T_PlannedOrders[EffectiveQty],T_PlannedOrders[Part Name],$A1231,T_PlannedOrders[WeekIndex],19)&amp;" ("&amp;TEXT(SUMPRODUCT(MAX((T_PlannedOrders[Part Name]=$A1231)*(T_PlannedOrders[WeekIndex]=19)*(T_PlannedOrders[EffectiveQty]&gt;0)*T_PlannedOrders[Order_Month])),"m月")&amp;"発注)")</f>
        <v/>
      </c>
      <c r="W1237">
        <f>IF(SUMIFS(T_PlannedOrders[EffectiveQty],T_PlannedOrders[Part Name],$A1231,T_PlannedOrders[WeekIndex],20)=0,"",SUMIFS(T_PlannedOrders[EffectiveQty],T_PlannedOrders[Part Name],$A1231,T_PlannedOrders[WeekIndex],20)&amp;" ("&amp;TEXT(SUMPRODUCT(MAX((T_PlannedOrders[Part Name]=$A1231)*(T_PlannedOrders[WeekIndex]=20)*(T_PlannedOrders[EffectiveQty]&gt;0)*T_PlannedOrders[Order_Month])),"m月")&amp;"発注)")</f>
        <v/>
      </c>
      <c r="X1237">
        <f>IF(SUMIFS(T_PlannedOrders[EffectiveQty],T_PlannedOrders[Part Name],$A1231,T_PlannedOrders[WeekIndex],21)=0,"",SUMIFS(T_PlannedOrders[EffectiveQty],T_PlannedOrders[Part Name],$A1231,T_PlannedOrders[WeekIndex],21)&amp;" ("&amp;TEXT(SUMPRODUCT(MAX((T_PlannedOrders[Part Name]=$A1231)*(T_PlannedOrders[WeekIndex]=21)*(T_PlannedOrders[EffectiveQty]&gt;0)*T_PlannedOrders[Order_Month])),"m月")&amp;"発注)")</f>
        <v/>
      </c>
      <c r="Y1237">
        <f>IF(SUMIFS(T_PlannedOrders[EffectiveQty],T_PlannedOrders[Part Name],$A1231,T_PlannedOrders[WeekIndex],22)=0,"",SUMIFS(T_PlannedOrders[EffectiveQty],T_PlannedOrders[Part Name],$A1231,T_PlannedOrders[WeekIndex],22)&amp;" ("&amp;TEXT(SUMPRODUCT(MAX((T_PlannedOrders[Part Name]=$A1231)*(T_PlannedOrders[WeekIndex]=22)*(T_PlannedOrders[EffectiveQty]&gt;0)*T_PlannedOrders[Order_Month])),"m月")&amp;"発注)")</f>
        <v/>
      </c>
      <c r="Z1237">
        <f>IF(SUMIFS(T_PlannedOrders[EffectiveQty],T_PlannedOrders[Part Name],$A1231,T_PlannedOrders[WeekIndex],23)=0,"",SUMIFS(T_PlannedOrders[EffectiveQty],T_PlannedOrders[Part Name],$A1231,T_PlannedOrders[WeekIndex],23)&amp;" ("&amp;TEXT(SUMPRODUCT(MAX((T_PlannedOrders[Part Name]=$A1231)*(T_PlannedOrders[WeekIndex]=23)*(T_PlannedOrders[EffectiveQty]&gt;0)*T_PlannedOrders[Order_Month])),"m月")&amp;"発注)")</f>
        <v/>
      </c>
      <c r="AA1237">
        <f>IF(SUMIFS(T_PlannedOrders[EffectiveQty],T_PlannedOrders[Part Name],$A1231,T_PlannedOrders[WeekIndex],24)=0,"",SUMIFS(T_PlannedOrders[EffectiveQty],T_PlannedOrders[Part Name],$A1231,T_PlannedOrders[WeekIndex],24)&amp;" ("&amp;TEXT(SUMPRODUCT(MAX((T_PlannedOrders[Part Name]=$A1231)*(T_PlannedOrders[WeekIndex]=24)*(T_PlannedOrders[EffectiveQty]&gt;0)*T_PlannedOrders[Order_Month])),"m月")&amp;"発注)")</f>
        <v/>
      </c>
      <c r="AB1237">
        <f>IF(SUMIFS(T_PlannedOrders[EffectiveQty],T_PlannedOrders[Part Name],$A1231,T_PlannedOrders[WeekIndex],25)=0,"",SUMIFS(T_PlannedOrders[EffectiveQty],T_PlannedOrders[Part Name],$A1231,T_PlannedOrders[WeekIndex],25)&amp;" ("&amp;TEXT(SUMPRODUCT(MAX((T_PlannedOrders[Part Name]=$A1231)*(T_PlannedOrders[WeekIndex]=25)*(T_PlannedOrders[EffectiveQty]&gt;0)*T_PlannedOrders[Order_Month])),"m月")&amp;"発注)")</f>
        <v/>
      </c>
      <c r="AC1237">
        <f>IF(SUMIFS(T_PlannedOrders[EffectiveQty],T_PlannedOrders[Part Name],$A1231,T_PlannedOrders[WeekIndex],26)=0,"",SUMIFS(T_PlannedOrders[EffectiveQty],T_PlannedOrders[Part Name],$A1231,T_PlannedOrders[WeekIndex],26)&amp;" ("&amp;TEXT(SUMPRODUCT(MAX((T_PlannedOrders[Part Name]=$A1231)*(T_PlannedOrders[WeekIndex]=26)*(T_PlannedOrders[EffectiveQty]&gt;0)*T_PlannedOrders[Order_Month])),"m月")&amp;"発注)")</f>
        <v/>
      </c>
      <c r="AD1237">
        <f>IF(SUMIFS(T_PlannedOrders[EffectiveQty],T_PlannedOrders[Part Name],$A1231,T_PlannedOrders[WeekIndex],27)=0,"",SUMIFS(T_PlannedOrders[EffectiveQty],T_PlannedOrders[Part Name],$A1231,T_PlannedOrders[WeekIndex],27)&amp;" ("&amp;TEXT(SUMPRODUCT(MAX((T_PlannedOrders[Part Name]=$A1231)*(T_PlannedOrders[WeekIndex]=27)*(T_PlannedOrders[EffectiveQty]&gt;0)*T_PlannedOrders[Order_Month])),"m月")&amp;"発注)")</f>
        <v/>
      </c>
      <c r="AE1237">
        <f>IF(SUMIFS(T_PlannedOrders[EffectiveQty],T_PlannedOrders[Part Name],$A1231,T_PlannedOrders[WeekIndex],28)=0,"",SUMIFS(T_PlannedOrders[EffectiveQty],T_PlannedOrders[Part Name],$A1231,T_PlannedOrders[WeekIndex],28)&amp;" ("&amp;TEXT(SUMPRODUCT(MAX((T_PlannedOrders[Part Name]=$A1231)*(T_PlannedOrders[WeekIndex]=28)*(T_PlannedOrders[EffectiveQty]&gt;0)*T_PlannedOrders[Order_Month])),"m月")&amp;"発注)")</f>
        <v/>
      </c>
      <c r="AF1237">
        <f>IF(SUMIFS(T_PlannedOrders[EffectiveQty],T_PlannedOrders[Part Name],$A1231,T_PlannedOrders[WeekIndex],29)=0,"",SUMIFS(T_PlannedOrders[EffectiveQty],T_PlannedOrders[Part Name],$A1231,T_PlannedOrders[WeekIndex],29)&amp;" ("&amp;TEXT(SUMPRODUCT(MAX((T_PlannedOrders[Part Name]=$A1231)*(T_PlannedOrders[WeekIndex]=29)*(T_PlannedOrders[EffectiveQty]&gt;0)*T_PlannedOrders[Order_Month])),"m月")&amp;"発注)")</f>
        <v/>
      </c>
      <c r="AG1237">
        <f>IF(SUMIFS(T_PlannedOrders[EffectiveQty],T_PlannedOrders[Part Name],$A1231,T_PlannedOrders[WeekIndex],30)=0,"",SUMIFS(T_PlannedOrders[EffectiveQty],T_PlannedOrders[Part Name],$A1231,T_PlannedOrders[WeekIndex],30)&amp;" ("&amp;TEXT(SUMPRODUCT(MAX((T_PlannedOrders[Part Name]=$A1231)*(T_PlannedOrders[WeekIndex]=30)*(T_PlannedOrders[EffectiveQty]&gt;0)*T_PlannedOrders[Order_Month])),"m月")&amp;"発注)")</f>
        <v/>
      </c>
      <c r="AH1237">
        <f>IF(SUMIFS(T_PlannedOrders[EffectiveQty],T_PlannedOrders[Part Name],$A1231,T_PlannedOrders[WeekIndex],31)=0,"",SUMIFS(T_PlannedOrders[EffectiveQty],T_PlannedOrders[Part Name],$A1231,T_PlannedOrders[WeekIndex],31)&amp;" ("&amp;TEXT(SUMPRODUCT(MAX((T_PlannedOrders[Part Name]=$A1231)*(T_PlannedOrders[WeekIndex]=31)*(T_PlannedOrders[EffectiveQty]&gt;0)*T_PlannedOrders[Order_Month])),"m月")&amp;"発注)")</f>
        <v/>
      </c>
      <c r="AI1237">
        <f>IF(SUMIFS(T_PlannedOrders[EffectiveQty],T_PlannedOrders[Part Name],$A1231,T_PlannedOrders[WeekIndex],32)=0,"",SUMIFS(T_PlannedOrders[EffectiveQty],T_PlannedOrders[Part Name],$A1231,T_PlannedOrders[WeekIndex],32)&amp;" ("&amp;TEXT(SUMPRODUCT(MAX((T_PlannedOrders[Part Name]=$A1231)*(T_PlannedOrders[WeekIndex]=32)*(T_PlannedOrders[EffectiveQty]&gt;0)*T_PlannedOrders[Order_Month])),"m月")&amp;"発注)")</f>
        <v/>
      </c>
      <c r="AJ1237">
        <f>IF(SUMIFS(T_PlannedOrders[EffectiveQty],T_PlannedOrders[Part Name],$A1231,T_PlannedOrders[WeekIndex],33)=0,"",SUMIFS(T_PlannedOrders[EffectiveQty],T_PlannedOrders[Part Name],$A1231,T_PlannedOrders[WeekIndex],33)&amp;" ("&amp;TEXT(SUMPRODUCT(MAX((T_PlannedOrders[Part Name]=$A1231)*(T_PlannedOrders[WeekIndex]=33)*(T_PlannedOrders[EffectiveQty]&gt;0)*T_PlannedOrders[Order_Month])),"m月")&amp;"発注)")</f>
        <v/>
      </c>
      <c r="AK1237">
        <f>IF(SUMIFS(T_PlannedOrders[EffectiveQty],T_PlannedOrders[Part Name],$A1231,T_PlannedOrders[WeekIndex],34)=0,"",SUMIFS(T_PlannedOrders[EffectiveQty],T_PlannedOrders[Part Name],$A1231,T_PlannedOrders[WeekIndex],34)&amp;" ("&amp;TEXT(SUMPRODUCT(MAX((T_PlannedOrders[Part Name]=$A1231)*(T_PlannedOrders[WeekIndex]=34)*(T_PlannedOrders[EffectiveQty]&gt;0)*T_PlannedOrders[Order_Month])),"m月")&amp;"発注)")</f>
        <v/>
      </c>
      <c r="AL1237">
        <f>IF(SUMIFS(T_PlannedOrders[EffectiveQty],T_PlannedOrders[Part Name],$A1231,T_PlannedOrders[WeekIndex],35)=0,"",SUMIFS(T_PlannedOrders[EffectiveQty],T_PlannedOrders[Part Name],$A1231,T_PlannedOrders[WeekIndex],35)&amp;" ("&amp;TEXT(SUMPRODUCT(MAX((T_PlannedOrders[Part Name]=$A1231)*(T_PlannedOrders[WeekIndex]=35)*(T_PlannedOrders[EffectiveQty]&gt;0)*T_PlannedOrders[Order_Month])),"m月")&amp;"発注)")</f>
        <v/>
      </c>
      <c r="AM1237">
        <f>IF(SUMIFS(T_PlannedOrders[EffectiveQty],T_PlannedOrders[Part Name],$A1231,T_PlannedOrders[WeekIndex],36)=0,"",SUMIFS(T_PlannedOrders[EffectiveQty],T_PlannedOrders[Part Name],$A1231,T_PlannedOrders[WeekIndex],36)&amp;" ("&amp;TEXT(SUMPRODUCT(MAX((T_PlannedOrders[Part Name]=$A1231)*(T_PlannedOrders[WeekIndex]=36)*(T_PlannedOrders[EffectiveQty]&gt;0)*T_PlannedOrders[Order_Month])),"m月")&amp;"発注)")</f>
        <v/>
      </c>
      <c r="AN1237">
        <f>IF(SUMIFS(T_PlannedOrders[EffectiveQty],T_PlannedOrders[Part Name],$A1231,T_PlannedOrders[WeekIndex],37)=0,"",SUMIFS(T_PlannedOrders[EffectiveQty],T_PlannedOrders[Part Name],$A1231,T_PlannedOrders[WeekIndex],37)&amp;" ("&amp;TEXT(SUMPRODUCT(MAX((T_PlannedOrders[Part Name]=$A1231)*(T_PlannedOrders[WeekIndex]=37)*(T_PlannedOrders[EffectiveQty]&gt;0)*T_PlannedOrders[Order_Month])),"m月")&amp;"発注)")</f>
        <v/>
      </c>
      <c r="AO1237">
        <f>IF(SUMIFS(T_PlannedOrders[EffectiveQty],T_PlannedOrders[Part Name],$A1231,T_PlannedOrders[WeekIndex],38)=0,"",SUMIFS(T_PlannedOrders[EffectiveQty],T_PlannedOrders[Part Name],$A1231,T_PlannedOrders[WeekIndex],38)&amp;" ("&amp;TEXT(SUMPRODUCT(MAX((T_PlannedOrders[Part Name]=$A1231)*(T_PlannedOrders[WeekIndex]=38)*(T_PlannedOrders[EffectiveQty]&gt;0)*T_PlannedOrders[Order_Month])),"m月")&amp;"発注)")</f>
        <v/>
      </c>
      <c r="AP1237">
        <f>IF(SUMIFS(T_PlannedOrders[EffectiveQty],T_PlannedOrders[Part Name],$A1231,T_PlannedOrders[WeekIndex],39)=0,"",SUMIFS(T_PlannedOrders[EffectiveQty],T_PlannedOrders[Part Name],$A1231,T_PlannedOrders[WeekIndex],39)&amp;" ("&amp;TEXT(SUMPRODUCT(MAX((T_PlannedOrders[Part Name]=$A1231)*(T_PlannedOrders[WeekIndex]=39)*(T_PlannedOrders[EffectiveQty]&gt;0)*T_PlannedOrders[Order_Month])),"m月")&amp;"発注)")</f>
        <v/>
      </c>
      <c r="AQ1237">
        <f>IF(SUMIFS(T_PlannedOrders[EffectiveQty],T_PlannedOrders[Part Name],$A1231,T_PlannedOrders[WeekIndex],40)=0,"",SUMIFS(T_PlannedOrders[EffectiveQty],T_PlannedOrders[Part Name],$A1231,T_PlannedOrders[WeekIndex],40)&amp;" ("&amp;TEXT(SUMPRODUCT(MAX((T_PlannedOrders[Part Name]=$A1231)*(T_PlannedOrders[WeekIndex]=40)*(T_PlannedOrders[EffectiveQty]&gt;0)*T_PlannedOrders[Order_Month])),"m月")&amp;"発注)")</f>
        <v/>
      </c>
      <c r="AR1237">
        <f>IF(SUMIFS(T_PlannedOrders[EffectiveQty],T_PlannedOrders[Part Name],$A1231,T_PlannedOrders[WeekIndex],41)=0,"",SUMIFS(T_PlannedOrders[EffectiveQty],T_PlannedOrders[Part Name],$A1231,T_PlannedOrders[WeekIndex],41)&amp;" ("&amp;TEXT(SUMPRODUCT(MAX((T_PlannedOrders[Part Name]=$A1231)*(T_PlannedOrders[WeekIndex]=41)*(T_PlannedOrders[EffectiveQty]&gt;0)*T_PlannedOrders[Order_Month])),"m月")&amp;"発注)")</f>
        <v/>
      </c>
      <c r="AS1237">
        <f>IF(SUMIFS(T_PlannedOrders[EffectiveQty],T_PlannedOrders[Part Name],$A1231,T_PlannedOrders[WeekIndex],42)=0,"",SUMIFS(T_PlannedOrders[EffectiveQty],T_PlannedOrders[Part Name],$A1231,T_PlannedOrders[WeekIndex],42)&amp;" ("&amp;TEXT(SUMPRODUCT(MAX((T_PlannedOrders[Part Name]=$A1231)*(T_PlannedOrders[WeekIndex]=42)*(T_PlannedOrders[EffectiveQty]&gt;0)*T_PlannedOrders[Order_Month])),"m月")&amp;"発注)")</f>
        <v/>
      </c>
      <c r="AT1237">
        <f>IF(SUMIFS(T_PlannedOrders[EffectiveQty],T_PlannedOrders[Part Name],$A1231,T_PlannedOrders[WeekIndex],43)=0,"",SUMIFS(T_PlannedOrders[EffectiveQty],T_PlannedOrders[Part Name],$A1231,T_PlannedOrders[WeekIndex],43)&amp;" ("&amp;TEXT(SUMPRODUCT(MAX((T_PlannedOrders[Part Name]=$A1231)*(T_PlannedOrders[WeekIndex]=43)*(T_PlannedOrders[EffectiveQty]&gt;0)*T_PlannedOrders[Order_Month])),"m月")&amp;"発注)")</f>
        <v/>
      </c>
      <c r="AU1237">
        <f>IF(SUMIFS(T_PlannedOrders[EffectiveQty],T_PlannedOrders[Part Name],$A1231,T_PlannedOrders[WeekIndex],44)=0,"",SUMIFS(T_PlannedOrders[EffectiveQty],T_PlannedOrders[Part Name],$A1231,T_PlannedOrders[WeekIndex],44)&amp;" ("&amp;TEXT(SUMPRODUCT(MAX((T_PlannedOrders[Part Name]=$A1231)*(T_PlannedOrders[WeekIndex]=44)*(T_PlannedOrders[EffectiveQty]&gt;0)*T_PlannedOrders[Order_Month])),"m月")&amp;"発注)")</f>
        <v/>
      </c>
      <c r="AV1237">
        <f>IF(SUMIFS(T_PlannedOrders[EffectiveQty],T_PlannedOrders[Part Name],$A1231,T_PlannedOrders[WeekIndex],45)=0,"",SUMIFS(T_PlannedOrders[EffectiveQty],T_PlannedOrders[Part Name],$A1231,T_PlannedOrders[WeekIndex],45)&amp;" ("&amp;TEXT(SUMPRODUCT(MAX((T_PlannedOrders[Part Name]=$A1231)*(T_PlannedOrders[WeekIndex]=45)*(T_PlannedOrders[EffectiveQty]&gt;0)*T_PlannedOrders[Order_Month])),"m月")&amp;"発注)")</f>
        <v/>
      </c>
      <c r="AW1237">
        <f>IF(SUMIFS(T_PlannedOrders[EffectiveQty],T_PlannedOrders[Part Name],$A1231,T_PlannedOrders[WeekIndex],46)=0,"",SUMIFS(T_PlannedOrders[EffectiveQty],T_PlannedOrders[Part Name],$A1231,T_PlannedOrders[WeekIndex],46)&amp;" ("&amp;TEXT(SUMPRODUCT(MAX((T_PlannedOrders[Part Name]=$A1231)*(T_PlannedOrders[WeekIndex]=46)*(T_PlannedOrders[EffectiveQty]&gt;0)*T_PlannedOrders[Order_Month])),"m月")&amp;"発注)")</f>
        <v/>
      </c>
      <c r="AX1237">
        <f>IF(SUMIFS(T_PlannedOrders[EffectiveQty],T_PlannedOrders[Part Name],$A1231,T_PlannedOrders[WeekIndex],47)=0,"",SUMIFS(T_PlannedOrders[EffectiveQty],T_PlannedOrders[Part Name],$A1231,T_PlannedOrders[WeekIndex],47)&amp;" ("&amp;TEXT(SUMPRODUCT(MAX((T_PlannedOrders[Part Name]=$A1231)*(T_PlannedOrders[WeekIndex]=47)*(T_PlannedOrders[EffectiveQty]&gt;0)*T_PlannedOrders[Order_Month])),"m月")&amp;"発注)")</f>
        <v/>
      </c>
      <c r="AY1237">
        <f>IF(SUMIFS(T_PlannedOrders[EffectiveQty],T_PlannedOrders[Part Name],$A1231,T_PlannedOrders[WeekIndex],48)=0,"",SUMIFS(T_PlannedOrders[EffectiveQty],T_PlannedOrders[Part Name],$A1231,T_PlannedOrders[WeekIndex],48)&amp;" ("&amp;TEXT(SUMPRODUCT(MAX((T_PlannedOrders[Part Name]=$A1231)*(T_PlannedOrders[WeekIndex]=48)*(T_PlannedOrders[EffectiveQty]&gt;0)*T_PlannedOrders[Order_Month])),"m月")&amp;"発注)")</f>
        <v/>
      </c>
      <c r="AZ1237">
        <f>IF(SUMIFS(T_PlannedOrders[EffectiveQty],T_PlannedOrders[Part Name],$A1231,T_PlannedOrders[WeekIndex],49)=0,"",SUMIFS(T_PlannedOrders[EffectiveQty],T_PlannedOrders[Part Name],$A1231,T_PlannedOrders[WeekIndex],49)&amp;" ("&amp;TEXT(SUMPRODUCT(MAX((T_PlannedOrders[Part Name]=$A1231)*(T_PlannedOrders[WeekIndex]=49)*(T_PlannedOrders[EffectiveQty]&gt;0)*T_PlannedOrders[Order_Month])),"m月")&amp;"発注)")</f>
        <v/>
      </c>
      <c r="BA1237">
        <f>IF(SUMIFS(T_PlannedOrders[EffectiveQty],T_PlannedOrders[Part Name],$A1231,T_PlannedOrders[WeekIndex],50)=0,"",SUMIFS(T_PlannedOrders[EffectiveQty],T_PlannedOrders[Part Name],$A1231,T_PlannedOrders[WeekIndex],50)&amp;" ("&amp;TEXT(SUMPRODUCT(MAX((T_PlannedOrders[Part Name]=$A1231)*(T_PlannedOrders[WeekIndex]=50)*(T_PlannedOrders[EffectiveQty]&gt;0)*T_PlannedOrders[Order_Month])),"m月")&amp;"発注)")</f>
        <v/>
      </c>
      <c r="BB1237">
        <f>IF(SUMIFS(T_PlannedOrders[EffectiveQty],T_PlannedOrders[Part Name],$A1231,T_PlannedOrders[WeekIndex],51)=0,"",SUMIFS(T_PlannedOrders[EffectiveQty],T_PlannedOrders[Part Name],$A1231,T_PlannedOrders[WeekIndex],51)&amp;" ("&amp;TEXT(SUMPRODUCT(MAX((T_PlannedOrders[Part Name]=$A1231)*(T_PlannedOrders[WeekIndex]=51)*(T_PlannedOrders[EffectiveQty]&gt;0)*T_PlannedOrders[Order_Month])),"m月")&amp;"発注)")</f>
        <v/>
      </c>
      <c r="BC1237">
        <f>IF(SUMIFS(T_PlannedOrders[EffectiveQty],T_PlannedOrders[Part Name],$A1231,T_PlannedOrders[WeekIndex],52)=0,"",SUMIFS(T_PlannedOrders[EffectiveQty],T_PlannedOrders[Part Name],$A1231,T_PlannedOrders[WeekIndex],52)&amp;" ("&amp;TEXT(SUMPRODUCT(MAX((T_PlannedOrders[Part Name]=$A1231)*(T_PlannedOrders[WeekIndex]=52)*(T_PlannedOrders[EffectiveQty]&gt;0)*T_PlannedOrders[Order_Month])),"m月")&amp;"発注)")</f>
        <v/>
      </c>
      <c r="BD1237">
        <f>IF(SUMIFS(T_PlannedOrders[EffectiveQty],T_PlannedOrders[Part Name],$A1231,T_PlannedOrders[WeekIndex],53)=0,"",SUMIFS(T_PlannedOrders[EffectiveQty],T_PlannedOrders[Part Name],$A1231,T_PlannedOrders[WeekIndex],53)&amp;" ("&amp;TEXT(SUMPRODUCT(MAX((T_PlannedOrders[Part Name]=$A1231)*(T_PlannedOrders[WeekIndex]=53)*(T_PlannedOrders[EffectiveQty]&gt;0)*T_PlannedOrders[Order_Month])),"m月")&amp;"発注)")</f>
        <v/>
      </c>
      <c r="BE1237">
        <f>IF(SUMIFS(T_PlannedOrders[EffectiveQty],T_PlannedOrders[Part Name],$A1231,T_PlannedOrders[WeekIndex],54)=0,"",SUMIFS(T_PlannedOrders[EffectiveQty],T_PlannedOrders[Part Name],$A1231,T_PlannedOrders[WeekIndex],54)&amp;" ("&amp;TEXT(SUMPRODUCT(MAX((T_PlannedOrders[Part Name]=$A1231)*(T_PlannedOrders[WeekIndex]=54)*(T_PlannedOrders[EffectiveQty]&gt;0)*T_PlannedOrders[Order_Month])),"m月")&amp;"発注)")</f>
        <v/>
      </c>
      <c r="BF1237">
        <f>IF(SUMIFS(T_PlannedOrders[EffectiveQty],T_PlannedOrders[Part Name],$A1231,T_PlannedOrders[WeekIndex],55)=0,"",SUMIFS(T_PlannedOrders[EffectiveQty],T_PlannedOrders[Part Name],$A1231,T_PlannedOrders[WeekIndex],55)&amp;" ("&amp;TEXT(SUMPRODUCT(MAX((T_PlannedOrders[Part Name]=$A1231)*(T_PlannedOrders[WeekIndex]=55)*(T_PlannedOrders[EffectiveQty]&gt;0)*T_PlannedOrders[Order_Month])),"m月")&amp;"発注)")</f>
        <v/>
      </c>
      <c r="BG1237">
        <f>IF(SUMIFS(T_PlannedOrders[EffectiveQty],T_PlannedOrders[Part Name],$A1231,T_PlannedOrders[WeekIndex],56)=0,"",SUMIFS(T_PlannedOrders[EffectiveQty],T_PlannedOrders[Part Name],$A1231,T_PlannedOrders[WeekIndex],56)&amp;" ("&amp;TEXT(SUMPRODUCT(MAX((T_PlannedOrders[Part Name]=$A1231)*(T_PlannedOrders[WeekIndex]=56)*(T_PlannedOrders[EffectiveQty]&gt;0)*T_PlannedOrders[Order_Month])),"m月")&amp;"発注)")</f>
        <v/>
      </c>
      <c r="BH1237">
        <f>IF(SUMIFS(T_PlannedOrders[EffectiveQty],T_PlannedOrders[Part Name],$A1231,T_PlannedOrders[WeekIndex],57)=0,"",SUMIFS(T_PlannedOrders[EffectiveQty],T_PlannedOrders[Part Name],$A1231,T_PlannedOrders[WeekIndex],57)&amp;" ("&amp;TEXT(SUMPRODUCT(MAX((T_PlannedOrders[Part Name]=$A1231)*(T_PlannedOrders[WeekIndex]=57)*(T_PlannedOrders[EffectiveQty]&gt;0)*T_PlannedOrders[Order_Month])),"m月")&amp;"発注)")</f>
        <v/>
      </c>
      <c r="BI1237">
        <f>IF(SUMIFS(T_PlannedOrders[EffectiveQty],T_PlannedOrders[Part Name],$A1231,T_PlannedOrders[WeekIndex],58)=0,"",SUMIFS(T_PlannedOrders[EffectiveQty],T_PlannedOrders[Part Name],$A1231,T_PlannedOrders[WeekIndex],58)&amp;" ("&amp;TEXT(SUMPRODUCT(MAX((T_PlannedOrders[Part Name]=$A1231)*(T_PlannedOrders[WeekIndex]=58)*(T_PlannedOrders[EffectiveQty]&gt;0)*T_PlannedOrders[Order_Month])),"m月")&amp;"発注)")</f>
        <v/>
      </c>
      <c r="BJ1237">
        <f>IF(SUMIFS(T_PlannedOrders[EffectiveQty],T_PlannedOrders[Part Name],$A1231,T_PlannedOrders[WeekIndex],59)=0,"",SUMIFS(T_PlannedOrders[EffectiveQty],T_PlannedOrders[Part Name],$A1231,T_PlannedOrders[WeekIndex],59)&amp;" ("&amp;TEXT(SUMPRODUCT(MAX((T_PlannedOrders[Part Name]=$A1231)*(T_PlannedOrders[WeekIndex]=59)*(T_PlannedOrders[EffectiveQty]&gt;0)*T_PlannedOrders[Order_Month])),"m月")&amp;"発注)")</f>
        <v/>
      </c>
      <c r="BK1237">
        <f>IF(SUMIFS(T_PlannedOrders[EffectiveQty],T_PlannedOrders[Part Name],$A1231,T_PlannedOrders[WeekIndex],60)=0,"",SUMIFS(T_PlannedOrders[EffectiveQty],T_PlannedOrders[Part Name],$A1231,T_PlannedOrders[WeekIndex],60)&amp;" ("&amp;TEXT(SUMPRODUCT(MAX((T_PlannedOrders[Part Name]=$A1231)*(T_PlannedOrders[WeekIndex]=60)*(T_PlannedOrders[EffectiveQty]&gt;0)*T_PlannedOrders[Order_Month])),"m月")&amp;"発注)")</f>
        <v/>
      </c>
      <c r="BL1237">
        <f>IF(SUMIFS(T_PlannedOrders[EffectiveQty],T_PlannedOrders[Part Name],$A1231,T_PlannedOrders[WeekIndex],61)=0,"",SUMIFS(T_PlannedOrders[EffectiveQty],T_PlannedOrders[Part Name],$A1231,T_PlannedOrders[WeekIndex],61)&amp;" ("&amp;TEXT(SUMPRODUCT(MAX((T_PlannedOrders[Part Name]=$A1231)*(T_PlannedOrders[WeekIndex]=61)*(T_PlannedOrders[EffectiveQty]&gt;0)*T_PlannedOrders[Order_Month])),"m月")&amp;"発注)")</f>
        <v/>
      </c>
      <c r="BM1237">
        <f>IF(SUMIFS(T_PlannedOrders[EffectiveQty],T_PlannedOrders[Part Name],$A1231,T_PlannedOrders[WeekIndex],62)=0,"",SUMIFS(T_PlannedOrders[EffectiveQty],T_PlannedOrders[Part Name],$A1231,T_PlannedOrders[WeekIndex],62)&amp;" ("&amp;TEXT(SUMPRODUCT(MAX((T_PlannedOrders[Part Name]=$A1231)*(T_PlannedOrders[WeekIndex]=62)*(T_PlannedOrders[EffectiveQty]&gt;0)*T_PlannedOrders[Order_Month])),"m月")&amp;"発注)")</f>
        <v/>
      </c>
      <c r="BN1237">
        <f>IF(SUMIFS(T_PlannedOrders[EffectiveQty],T_PlannedOrders[Part Name],$A1231,T_PlannedOrders[WeekIndex],63)=0,"",SUMIFS(T_PlannedOrders[EffectiveQty],T_PlannedOrders[Part Name],$A1231,T_PlannedOrders[WeekIndex],63)&amp;" ("&amp;TEXT(SUMPRODUCT(MAX((T_PlannedOrders[Part Name]=$A1231)*(T_PlannedOrders[WeekIndex]=63)*(T_PlannedOrders[EffectiveQty]&gt;0)*T_PlannedOrders[Order_Month])),"m月")&amp;"発注)")</f>
        <v/>
      </c>
      <c r="BO1237">
        <f>IF(SUMIFS(T_PlannedOrders[EffectiveQty],T_PlannedOrders[Part Name],$A1231,T_PlannedOrders[WeekIndex],64)=0,"",SUMIFS(T_PlannedOrders[EffectiveQty],T_PlannedOrders[Part Name],$A1231,T_PlannedOrders[WeekIndex],64)&amp;" ("&amp;TEXT(SUMPRODUCT(MAX((T_PlannedOrders[Part Name]=$A1231)*(T_PlannedOrders[WeekIndex]=64)*(T_PlannedOrders[EffectiveQty]&gt;0)*T_PlannedOrders[Order_Month])),"m月")&amp;"発注)")</f>
        <v/>
      </c>
      <c r="BP1237">
        <f>IF(SUMIFS(T_PlannedOrders[EffectiveQty],T_PlannedOrders[Part Name],$A1231,T_PlannedOrders[WeekIndex],65)=0,"",SUMIFS(T_PlannedOrders[EffectiveQty],T_PlannedOrders[Part Name],$A1231,T_PlannedOrders[WeekIndex],65)&amp;" ("&amp;TEXT(SUMPRODUCT(MAX((T_PlannedOrders[Part Name]=$A1231)*(T_PlannedOrders[WeekIndex]=65)*(T_PlannedOrders[EffectiveQty]&gt;0)*T_PlannedOrders[Order_Month])),"m月")&amp;"発注)")</f>
        <v/>
      </c>
      <c r="BQ1237">
        <f>IF(SUMIFS(T_PlannedOrders[EffectiveQty],T_PlannedOrders[Part Name],$A1231,T_PlannedOrders[WeekIndex],66)=0,"",SUMIFS(T_PlannedOrders[EffectiveQty],T_PlannedOrders[Part Name],$A1231,T_PlannedOrders[WeekIndex],66)&amp;" ("&amp;TEXT(SUMPRODUCT(MAX((T_PlannedOrders[Part Name]=$A1231)*(T_PlannedOrders[WeekIndex]=66)*(T_PlannedOrders[EffectiveQty]&gt;0)*T_PlannedOrders[Order_Month])),"m月")&amp;"発注)")</f>
        <v/>
      </c>
      <c r="BR1237">
        <f>IF(SUMIFS(T_PlannedOrders[EffectiveQty],T_PlannedOrders[Part Name],$A1231,T_PlannedOrders[WeekIndex],67)=0,"",SUMIFS(T_PlannedOrders[EffectiveQty],T_PlannedOrders[Part Name],$A1231,T_PlannedOrders[WeekIndex],67)&amp;" ("&amp;TEXT(SUMPRODUCT(MAX((T_PlannedOrders[Part Name]=$A1231)*(T_PlannedOrders[WeekIndex]=67)*(T_PlannedOrders[EffectiveQty]&gt;0)*T_PlannedOrders[Order_Month])),"m月")&amp;"発注)")</f>
        <v/>
      </c>
      <c r="BS1237">
        <f>IF(SUMIFS(T_PlannedOrders[EffectiveQty],T_PlannedOrders[Part Name],$A1231,T_PlannedOrders[WeekIndex],68)=0,"",SUMIFS(T_PlannedOrders[EffectiveQty],T_PlannedOrders[Part Name],$A1231,T_PlannedOrders[WeekIndex],68)&amp;" ("&amp;TEXT(SUMPRODUCT(MAX((T_PlannedOrders[Part Name]=$A1231)*(T_PlannedOrders[WeekIndex]=68)*(T_PlannedOrders[EffectiveQty]&gt;0)*T_PlannedOrders[Order_Month])),"m月")&amp;"発注)")</f>
        <v/>
      </c>
      <c r="BT1237">
        <f>IF(SUMIFS(T_PlannedOrders[EffectiveQty],T_PlannedOrders[Part Name],$A1231,T_PlannedOrders[WeekIndex],69)=0,"",SUMIFS(T_PlannedOrders[EffectiveQty],T_PlannedOrders[Part Name],$A1231,T_PlannedOrders[WeekIndex],69)&amp;" ("&amp;TEXT(SUMPRODUCT(MAX((T_PlannedOrders[Part Name]=$A1231)*(T_PlannedOrders[WeekIndex]=69)*(T_PlannedOrders[EffectiveQty]&gt;0)*T_PlannedOrders[Order_Month])),"m月")&amp;"発注)")</f>
        <v/>
      </c>
      <c r="BU1237">
        <f>IF(SUMIFS(T_PlannedOrders[EffectiveQty],T_PlannedOrders[Part Name],$A1231,T_PlannedOrders[WeekIndex],70)=0,"",SUMIFS(T_PlannedOrders[EffectiveQty],T_PlannedOrders[Part Name],$A1231,T_PlannedOrders[WeekIndex],70)&amp;" ("&amp;TEXT(SUMPRODUCT(MAX((T_PlannedOrders[Part Name]=$A1231)*(T_PlannedOrders[WeekIndex]=70)*(T_PlannedOrders[EffectiveQty]&gt;0)*T_PlannedOrders[Order_Month])),"m月")&amp;"発注)")</f>
        <v/>
      </c>
      <c r="BV1237">
        <f>IF(SUMIFS(T_PlannedOrders[EffectiveQty],T_PlannedOrders[Part Name],$A1231,T_PlannedOrders[WeekIndex],71)=0,"",SUMIFS(T_PlannedOrders[EffectiveQty],T_PlannedOrders[Part Name],$A1231,T_PlannedOrders[WeekIndex],71)&amp;" ("&amp;TEXT(SUMPRODUCT(MAX((T_PlannedOrders[Part Name]=$A1231)*(T_PlannedOrders[WeekIndex]=71)*(T_PlannedOrders[EffectiveQty]&gt;0)*T_PlannedOrders[Order_Month])),"m月")&amp;"発注)")</f>
        <v/>
      </c>
      <c r="BW1237">
        <f>IF(SUMIFS(T_PlannedOrders[EffectiveQty],T_PlannedOrders[Part Name],$A1231,T_PlannedOrders[WeekIndex],72)=0,"",SUMIFS(T_PlannedOrders[EffectiveQty],T_PlannedOrders[Part Name],$A1231,T_PlannedOrders[WeekIndex],72)&amp;" ("&amp;TEXT(SUMPRODUCT(MAX((T_PlannedOrders[Part Name]=$A1231)*(T_PlannedOrders[WeekIndex]=72)*(T_PlannedOrders[EffectiveQty]&gt;0)*T_PlannedOrders[Order_Month])),"m月")&amp;"発注)")</f>
        <v/>
      </c>
      <c r="BX1237">
        <f>IF(SUMIFS(T_PlannedOrders[EffectiveQty],T_PlannedOrders[Part Name],$A1231,T_PlannedOrders[WeekIndex],73)=0,"",SUMIFS(T_PlannedOrders[EffectiveQty],T_PlannedOrders[Part Name],$A1231,T_PlannedOrders[WeekIndex],73)&amp;" ("&amp;TEXT(SUMPRODUCT(MAX((T_PlannedOrders[Part Name]=$A1231)*(T_PlannedOrders[WeekIndex]=73)*(T_PlannedOrders[EffectiveQty]&gt;0)*T_PlannedOrders[Order_Month])),"m月")&amp;"発注)")</f>
        <v/>
      </c>
      <c r="BY1237">
        <f>IF(SUMIFS(T_PlannedOrders[EffectiveQty],T_PlannedOrders[Part Name],$A1231,T_PlannedOrders[WeekIndex],74)=0,"",SUMIFS(T_PlannedOrders[EffectiveQty],T_PlannedOrders[Part Name],$A1231,T_PlannedOrders[WeekIndex],74)&amp;" ("&amp;TEXT(SUMPRODUCT(MAX((T_PlannedOrders[Part Name]=$A1231)*(T_PlannedOrders[WeekIndex]=74)*(T_PlannedOrders[EffectiveQty]&gt;0)*T_PlannedOrders[Order_Month])),"m月")&amp;"発注)")</f>
        <v/>
      </c>
      <c r="BZ1237">
        <f>IF(SUMIFS(T_PlannedOrders[EffectiveQty],T_PlannedOrders[Part Name],$A1231,T_PlannedOrders[WeekIndex],75)=0,"",SUMIFS(T_PlannedOrders[EffectiveQty],T_PlannedOrders[Part Name],$A1231,T_PlannedOrders[WeekIndex],75)&amp;" ("&amp;TEXT(SUMPRODUCT(MAX((T_PlannedOrders[Part Name]=$A1231)*(T_PlannedOrders[WeekIndex]=75)*(T_PlannedOrders[EffectiveQty]&gt;0)*T_PlannedOrders[Order_Month])),"m月")&amp;"発注)")</f>
        <v/>
      </c>
      <c r="CA1237">
        <f>IF(SUMIFS(T_PlannedOrders[EffectiveQty],T_PlannedOrders[Part Name],$A1231,T_PlannedOrders[WeekIndex],76)=0,"",SUMIFS(T_PlannedOrders[EffectiveQty],T_PlannedOrders[Part Name],$A1231,T_PlannedOrders[WeekIndex],76)&amp;" ("&amp;TEXT(SUMPRODUCT(MAX((T_PlannedOrders[Part Name]=$A1231)*(T_PlannedOrders[WeekIndex]=76)*(T_PlannedOrders[EffectiveQty]&gt;0)*T_PlannedOrders[Order_Month])),"m月")&amp;"発注)")</f>
        <v/>
      </c>
      <c r="CB1237">
        <f>IF(SUMIFS(T_PlannedOrders[EffectiveQty],T_PlannedOrders[Part Name],$A1231,T_PlannedOrders[WeekIndex],77)=0,"",SUMIFS(T_PlannedOrders[EffectiveQty],T_PlannedOrders[Part Name],$A1231,T_PlannedOrders[WeekIndex],77)&amp;" ("&amp;TEXT(SUMPRODUCT(MAX((T_PlannedOrders[Part Name]=$A1231)*(T_PlannedOrders[WeekIndex]=77)*(T_PlannedOrders[EffectiveQty]&gt;0)*T_PlannedOrders[Order_Month])),"m月")&amp;"発注)")</f>
        <v/>
      </c>
      <c r="CC1237">
        <f>IF(SUMIFS(T_PlannedOrders[EffectiveQty],T_PlannedOrders[Part Name],$A1231,T_PlannedOrders[WeekIndex],78)=0,"",SUMIFS(T_PlannedOrders[EffectiveQty],T_PlannedOrders[Part Name],$A1231,T_PlannedOrders[WeekIndex],78)&amp;" ("&amp;TEXT(SUMPRODUCT(MAX((T_PlannedOrders[Part Name]=$A1231)*(T_PlannedOrders[WeekIndex]=78)*(T_PlannedOrders[EffectiveQty]&gt;0)*T_PlannedOrders[Order_Month])),"m月")&amp;"発注)")</f>
        <v/>
      </c>
      <c r="CD1237">
        <f>IF(SUMIFS(T_PlannedOrders[EffectiveQty],T_PlannedOrders[Part Name],$A1231,T_PlannedOrders[WeekIndex],79)=0,"",SUMIFS(T_PlannedOrders[EffectiveQty],T_PlannedOrders[Part Name],$A1231,T_PlannedOrders[WeekIndex],79)&amp;" ("&amp;TEXT(SUMPRODUCT(MAX((T_PlannedOrders[Part Name]=$A1231)*(T_PlannedOrders[WeekIndex]=79)*(T_PlannedOrders[EffectiveQty]&gt;0)*T_PlannedOrders[Order_Month])),"m月")&amp;"発注)")</f>
        <v/>
      </c>
      <c r="CE1237">
        <f>IF(SUMIFS(T_PlannedOrders[EffectiveQty],T_PlannedOrders[Part Name],$A1231,T_PlannedOrders[WeekIndex],80)=0,"",SUMIFS(T_PlannedOrders[EffectiveQty],T_PlannedOrders[Part Name],$A1231,T_PlannedOrders[WeekIndex],80)&amp;" ("&amp;TEXT(SUMPRODUCT(MAX((T_PlannedOrders[Part Name]=$A1231)*(T_PlannedOrders[WeekIndex]=80)*(T_PlannedOrders[EffectiveQty]&gt;0)*T_PlannedOrders[Order_Month])),"m月")&amp;"発注)")</f>
        <v/>
      </c>
      <c r="CF1237">
        <f>IF(SUMIFS(T_PlannedOrders[EffectiveQty],T_PlannedOrders[Part Name],$A1231,T_PlannedOrders[WeekIndex],81)=0,"",SUMIFS(T_PlannedOrders[EffectiveQty],T_PlannedOrders[Part Name],$A1231,T_PlannedOrders[WeekIndex],81)&amp;" ("&amp;TEXT(SUMPRODUCT(MAX((T_PlannedOrders[Part Name]=$A1231)*(T_PlannedOrders[WeekIndex]=81)*(T_PlannedOrders[EffectiveQty]&gt;0)*T_PlannedOrders[Order_Month])),"m月")&amp;"発注)")</f>
        <v/>
      </c>
      <c r="CG1237">
        <f>IF(SUMIFS(T_PlannedOrders[EffectiveQty],T_PlannedOrders[Part Name],$A1231,T_PlannedOrders[WeekIndex],82)=0,"",SUMIFS(T_PlannedOrders[EffectiveQty],T_PlannedOrders[Part Name],$A1231,T_PlannedOrders[WeekIndex],82)&amp;" ("&amp;TEXT(SUMPRODUCT(MAX((T_PlannedOrders[Part Name]=$A1231)*(T_PlannedOrders[WeekIndex]=82)*(T_PlannedOrders[EffectiveQty]&gt;0)*T_PlannedOrders[Order_Month])),"m月")&amp;"発注)")</f>
        <v/>
      </c>
      <c r="CH1237">
        <f>IF(SUMIFS(T_PlannedOrders[EffectiveQty],T_PlannedOrders[Part Name],$A1231,T_PlannedOrders[WeekIndex],83)=0,"",SUMIFS(T_PlannedOrders[EffectiveQty],T_PlannedOrders[Part Name],$A1231,T_PlannedOrders[WeekIndex],83)&amp;" ("&amp;TEXT(SUMPRODUCT(MAX((T_PlannedOrders[Part Name]=$A1231)*(T_PlannedOrders[WeekIndex]=83)*(T_PlannedOrders[EffectiveQty]&gt;0)*T_PlannedOrders[Order_Month])),"m月")&amp;"発注)")</f>
        <v/>
      </c>
      <c r="CI1237">
        <f>IF(SUMIFS(T_PlannedOrders[EffectiveQty],T_PlannedOrders[Part Name],$A1231,T_PlannedOrders[WeekIndex],84)=0,"",SUMIFS(T_PlannedOrders[EffectiveQty],T_PlannedOrders[Part Name],$A1231,T_PlannedOrders[WeekIndex],84)&amp;" ("&amp;TEXT(SUMPRODUCT(MAX((T_PlannedOrders[Part Name]=$A1231)*(T_PlannedOrders[WeekIndex]=84)*(T_PlannedOrders[EffectiveQty]&gt;0)*T_PlannedOrders[Order_Month])),"m月")&amp;"発注)")</f>
        <v/>
      </c>
      <c r="CJ1237">
        <f>IF(SUMIFS(T_PlannedOrders[EffectiveQty],T_PlannedOrders[Part Name],$A1231,T_PlannedOrders[WeekIndex],85)=0,"",SUMIFS(T_PlannedOrders[EffectiveQty],T_PlannedOrders[Part Name],$A1231,T_PlannedOrders[WeekIndex],85)&amp;" ("&amp;TEXT(SUMPRODUCT(MAX((T_PlannedOrders[Part Name]=$A1231)*(T_PlannedOrders[WeekIndex]=85)*(T_PlannedOrders[EffectiveQty]&gt;0)*T_PlannedOrders[Order_Month])),"m月")&amp;"発注)")</f>
        <v/>
      </c>
      <c r="CK1237">
        <f>IF(SUMIFS(T_PlannedOrders[EffectiveQty],T_PlannedOrders[Part Name],$A1231,T_PlannedOrders[WeekIndex],86)=0,"",SUMIFS(T_PlannedOrders[EffectiveQty],T_PlannedOrders[Part Name],$A1231,T_PlannedOrders[WeekIndex],86)&amp;" ("&amp;TEXT(SUMPRODUCT(MAX((T_PlannedOrders[Part Name]=$A1231)*(T_PlannedOrders[WeekIndex]=86)*(T_PlannedOrders[EffectiveQty]&gt;0)*T_PlannedOrders[Order_Month])),"m月")&amp;"発注)")</f>
        <v/>
      </c>
      <c r="CL1237">
        <f>IF(SUMIFS(T_PlannedOrders[EffectiveQty],T_PlannedOrders[Part Name],$A1231,T_PlannedOrders[WeekIndex],87)=0,"",SUMIFS(T_PlannedOrders[EffectiveQty],T_PlannedOrders[Part Name],$A1231,T_PlannedOrders[WeekIndex],87)&amp;" ("&amp;TEXT(SUMPRODUCT(MAX((T_PlannedOrders[Part Name]=$A1231)*(T_PlannedOrders[WeekIndex]=87)*(T_PlannedOrders[EffectiveQty]&gt;0)*T_PlannedOrders[Order_Month])),"m月")&amp;"発注)")</f>
        <v/>
      </c>
      <c r="CM1237">
        <f>IF(SUMIFS(T_PlannedOrders[EffectiveQty],T_PlannedOrders[Part Name],$A1231,T_PlannedOrders[WeekIndex],88)=0,"",SUMIFS(T_PlannedOrders[EffectiveQty],T_PlannedOrders[Part Name],$A1231,T_PlannedOrders[WeekIndex],88)&amp;" ("&amp;TEXT(SUMPRODUCT(MAX((T_PlannedOrders[Part Name]=$A1231)*(T_PlannedOrders[WeekIndex]=88)*(T_PlannedOrders[EffectiveQty]&gt;0)*T_PlannedOrders[Order_Month])),"m月")&amp;"発注)")</f>
        <v/>
      </c>
      <c r="CN1237">
        <f>IF(SUMIFS(T_PlannedOrders[EffectiveQty],T_PlannedOrders[Part Name],$A1231,T_PlannedOrders[WeekIndex],89)=0,"",SUMIFS(T_PlannedOrders[EffectiveQty],T_PlannedOrders[Part Name],$A1231,T_PlannedOrders[WeekIndex],89)&amp;" ("&amp;TEXT(SUMPRODUCT(MAX((T_PlannedOrders[Part Name]=$A1231)*(T_PlannedOrders[WeekIndex]=89)*(T_PlannedOrders[EffectiveQty]&gt;0)*T_PlannedOrders[Order_Month])),"m月")&amp;"発注)")</f>
        <v/>
      </c>
      <c r="CO1237">
        <f>IF(SUMIFS(T_PlannedOrders[EffectiveQty],T_PlannedOrders[Part Name],$A1231,T_PlannedOrders[WeekIndex],90)=0,"",SUMIFS(T_PlannedOrders[EffectiveQty],T_PlannedOrders[Part Name],$A1231,T_PlannedOrders[WeekIndex],90)&amp;" ("&amp;TEXT(SUMPRODUCT(MAX((T_PlannedOrders[Part Name]=$A1231)*(T_PlannedOrders[WeekIndex]=90)*(T_PlannedOrders[EffectiveQty]&gt;0)*T_PlannedOrders[Order_Month])),"m月")&amp;"発注)")</f>
        <v/>
      </c>
      <c r="CP1237">
        <f>IF(SUMIFS(T_PlannedOrders[EffectiveQty],T_PlannedOrders[Part Name],$A1231,T_PlannedOrders[WeekIndex],91)=0,"",SUMIFS(T_PlannedOrders[EffectiveQty],T_PlannedOrders[Part Name],$A1231,T_PlannedOrders[WeekIndex],91)&amp;" ("&amp;TEXT(SUMPRODUCT(MAX((T_PlannedOrders[Part Name]=$A1231)*(T_PlannedOrders[WeekIndex]=91)*(T_PlannedOrders[EffectiveQty]&gt;0)*T_PlannedOrders[Order_Month])),"m月")&amp;"発注)")</f>
        <v/>
      </c>
      <c r="CQ1237">
        <f>IF(SUMIFS(T_PlannedOrders[EffectiveQty],T_PlannedOrders[Part Name],$A1231,T_PlannedOrders[WeekIndex],92)=0,"",SUMIFS(T_PlannedOrders[EffectiveQty],T_PlannedOrders[Part Name],$A1231,T_PlannedOrders[WeekIndex],92)&amp;" ("&amp;TEXT(SUMPRODUCT(MAX((T_PlannedOrders[Part Name]=$A1231)*(T_PlannedOrders[WeekIndex]=92)*(T_PlannedOrders[EffectiveQty]&gt;0)*T_PlannedOrders[Order_Month])),"m月")&amp;"発注)")</f>
        <v/>
      </c>
      <c r="CR1237">
        <f>IF(SUMIFS(T_PlannedOrders[EffectiveQty],T_PlannedOrders[Part Name],$A1231,T_PlannedOrders[WeekIndex],93)=0,"",SUMIFS(T_PlannedOrders[EffectiveQty],T_PlannedOrders[Part Name],$A1231,T_PlannedOrders[WeekIndex],93)&amp;" ("&amp;TEXT(SUMPRODUCT(MAX((T_PlannedOrders[Part Name]=$A1231)*(T_PlannedOrders[WeekIndex]=93)*(T_PlannedOrders[EffectiveQty]&gt;0)*T_PlannedOrders[Order_Month])),"m月")&amp;"発注)")</f>
        <v/>
      </c>
      <c r="CS1237">
        <f>IF(SUMIFS(T_PlannedOrders[EffectiveQty],T_PlannedOrders[Part Name],$A1231,T_PlannedOrders[WeekIndex],94)=0,"",SUMIFS(T_PlannedOrders[EffectiveQty],T_PlannedOrders[Part Name],$A1231,T_PlannedOrders[WeekIndex],94)&amp;" ("&amp;TEXT(SUMPRODUCT(MAX((T_PlannedOrders[Part Name]=$A1231)*(T_PlannedOrders[WeekIndex]=94)*(T_PlannedOrders[EffectiveQty]&gt;0)*T_PlannedOrders[Order_Month])),"m月")&amp;"発注)")</f>
        <v/>
      </c>
      <c r="CT1237">
        <f>IF(SUMIFS(T_PlannedOrders[EffectiveQty],T_PlannedOrders[Part Name],$A1231,T_PlannedOrders[WeekIndex],95)=0,"",SUMIFS(T_PlannedOrders[EffectiveQty],T_PlannedOrders[Part Name],$A1231,T_PlannedOrders[WeekIndex],95)&amp;" ("&amp;TEXT(SUMPRODUCT(MAX((T_PlannedOrders[Part Name]=$A1231)*(T_PlannedOrders[WeekIndex]=95)*(T_PlannedOrders[EffectiveQty]&gt;0)*T_PlannedOrders[Order_Month])),"m月")&amp;"発注)")</f>
        <v/>
      </c>
      <c r="CU1237">
        <f>IF(SUMIFS(T_PlannedOrders[EffectiveQty],T_PlannedOrders[Part Name],$A1231,T_PlannedOrders[WeekIndex],96)=0,"",SUMIFS(T_PlannedOrders[EffectiveQty],T_PlannedOrders[Part Name],$A1231,T_PlannedOrders[WeekIndex],96)&amp;" ("&amp;TEXT(SUMPRODUCT(MAX((T_PlannedOrders[Part Name]=$A1231)*(T_PlannedOrders[WeekIndex]=96)*(T_PlannedOrders[EffectiveQty]&gt;0)*T_PlannedOrders[Order_Month])),"m月")&amp;"発注)")</f>
        <v/>
      </c>
      <c r="CV1237">
        <f>IF(SUMIFS(T_PlannedOrders[EffectiveQty],T_PlannedOrders[Part Name],$A1231,T_PlannedOrders[WeekIndex],97)=0,"",SUMIFS(T_PlannedOrders[EffectiveQty],T_PlannedOrders[Part Name],$A1231,T_PlannedOrders[WeekIndex],97)&amp;" ("&amp;TEXT(SUMPRODUCT(MAX((T_PlannedOrders[Part Name]=$A1231)*(T_PlannedOrders[WeekIndex]=97)*(T_PlannedOrders[EffectiveQty]&gt;0)*T_PlannedOrders[Order_Month])),"m月")&amp;"発注)")</f>
        <v/>
      </c>
      <c r="CW1237">
        <f>IF(SUMIFS(T_PlannedOrders[EffectiveQty],T_PlannedOrders[Part Name],$A1231,T_PlannedOrders[WeekIndex],98)=0,"",SUMIFS(T_PlannedOrders[EffectiveQty],T_PlannedOrders[Part Name],$A1231,T_PlannedOrders[WeekIndex],98)&amp;" ("&amp;TEXT(SUMPRODUCT(MAX((T_PlannedOrders[Part Name]=$A1231)*(T_PlannedOrders[WeekIndex]=98)*(T_PlannedOrders[EffectiveQty]&gt;0)*T_PlannedOrders[Order_Month])),"m月")&amp;"発注)")</f>
        <v/>
      </c>
      <c r="CX1237">
        <f>IF(SUMIFS(T_PlannedOrders[EffectiveQty],T_PlannedOrders[Part Name],$A1231,T_PlannedOrders[WeekIndex],99)=0,"",SUMIFS(T_PlannedOrders[EffectiveQty],T_PlannedOrders[Part Name],$A1231,T_PlannedOrders[WeekIndex],99)&amp;" ("&amp;TEXT(SUMPRODUCT(MAX((T_PlannedOrders[Part Name]=$A1231)*(T_PlannedOrders[WeekIndex]=99)*(T_PlannedOrders[EffectiveQty]&gt;0)*T_PlannedOrders[Order_Month])),"m月")&amp;"発注)")</f>
        <v/>
      </c>
      <c r="CY1237">
        <f>IF(SUMIFS(T_PlannedOrders[EffectiveQty],T_PlannedOrders[Part Name],$A1231,T_PlannedOrders[WeekIndex],100)=0,"",SUMIFS(T_PlannedOrders[EffectiveQty],T_PlannedOrders[Part Name],$A1231,T_PlannedOrders[WeekIndex],100)&amp;" ("&amp;TEXT(SUMPRODUCT(MAX((T_PlannedOrders[Part Name]=$A1231)*(T_PlannedOrders[WeekIndex]=100)*(T_PlannedOrders[EffectiveQty]&gt;0)*T_PlannedOrders[Order_Month])),"m月")&amp;"発注)")</f>
        <v/>
      </c>
      <c r="CZ1237">
        <f>IF(SUMIFS(T_PlannedOrders[EffectiveQty],T_PlannedOrders[Part Name],$A1231,T_PlannedOrders[WeekIndex],101)=0,"",SUMIFS(T_PlannedOrders[EffectiveQty],T_PlannedOrders[Part Name],$A1231,T_PlannedOrders[WeekIndex],101)&amp;" ("&amp;TEXT(SUMPRODUCT(MAX((T_PlannedOrders[Part Name]=$A1231)*(T_PlannedOrders[WeekIndex]=101)*(T_PlannedOrders[EffectiveQty]&gt;0)*T_PlannedOrders[Order_Month])),"m月")&amp;"発注)")</f>
        <v/>
      </c>
      <c r="DA1237">
        <f>IF(SUMIFS(T_PlannedOrders[EffectiveQty],T_PlannedOrders[Part Name],$A1231,T_PlannedOrders[WeekIndex],102)=0,"",SUMIFS(T_PlannedOrders[EffectiveQty],T_PlannedOrders[Part Name],$A1231,T_PlannedOrders[WeekIndex],102)&amp;" ("&amp;TEXT(SUMPRODUCT(MAX((T_PlannedOrders[Part Name]=$A1231)*(T_PlannedOrders[WeekIndex]=102)*(T_PlannedOrders[EffectiveQty]&gt;0)*T_PlannedOrders[Order_Month])),"m月")&amp;"発注)")</f>
        <v/>
      </c>
      <c r="DB1237">
        <f>IF(SUMIFS(T_PlannedOrders[EffectiveQty],T_PlannedOrders[Part Name],$A1231,T_PlannedOrders[WeekIndex],103)=0,"",SUMIFS(T_PlannedOrders[EffectiveQty],T_PlannedOrders[Part Name],$A1231,T_PlannedOrders[WeekIndex],103)&amp;" ("&amp;TEXT(SUMPRODUCT(MAX((T_PlannedOrders[Part Name]=$A1231)*(T_PlannedOrders[WeekIndex]=103)*(T_PlannedOrders[EffectiveQty]&gt;0)*T_PlannedOrders[Order_Month])),"m月")&amp;"発注)")</f>
        <v/>
      </c>
      <c r="DC1237">
        <f>IF(SUMIFS(T_PlannedOrders[EffectiveQty],T_PlannedOrders[Part Name],$A1231,T_PlannedOrders[WeekIndex],104)=0,"",SUMIFS(T_PlannedOrders[EffectiveQty],T_PlannedOrders[Part Name],$A1231,T_PlannedOrders[WeekIndex],104)&amp;" ("&amp;TEXT(SUMPRODUCT(MAX((T_PlannedOrders[Part Name]=$A1231)*(T_PlannedOrders[WeekIndex]=104)*(T_PlannedOrders[EffectiveQty]&gt;0)*T_PlannedOrders[Order_Month])),"m月")&amp;"発注)")</f>
        <v/>
      </c>
    </row>
    <row r="1238">
      <c r="B1238" s="5" t="inlineStr">
        <is>
          <t>合計在庫(週末時点,kg)</t>
        </is>
      </c>
      <c r="D1238">
        <f>'Grid_Stock'!B53</f>
        <v/>
      </c>
      <c r="E1238">
        <f>'Grid_Stock'!C53</f>
        <v/>
      </c>
      <c r="F1238">
        <f>'Grid_Stock'!D53</f>
        <v/>
      </c>
      <c r="G1238">
        <f>'Grid_Stock'!E53</f>
        <v/>
      </c>
      <c r="H1238">
        <f>'Grid_Stock'!F53</f>
        <v/>
      </c>
      <c r="I1238">
        <f>'Grid_Stock'!G53</f>
        <v/>
      </c>
      <c r="J1238">
        <f>'Grid_Stock'!H53</f>
        <v/>
      </c>
      <c r="K1238">
        <f>'Grid_Stock'!I53</f>
        <v/>
      </c>
      <c r="L1238">
        <f>'Grid_Stock'!J53</f>
        <v/>
      </c>
      <c r="M1238">
        <f>'Grid_Stock'!K53</f>
        <v/>
      </c>
      <c r="N1238">
        <f>'Grid_Stock'!L53</f>
        <v/>
      </c>
      <c r="O1238">
        <f>'Grid_Stock'!M53</f>
        <v/>
      </c>
      <c r="P1238">
        <f>'Grid_Stock'!N53</f>
        <v/>
      </c>
      <c r="Q1238">
        <f>'Grid_Stock'!O53</f>
        <v/>
      </c>
      <c r="R1238">
        <f>'Grid_Stock'!P53</f>
        <v/>
      </c>
      <c r="S1238">
        <f>'Grid_Stock'!Q53</f>
        <v/>
      </c>
      <c r="T1238">
        <f>'Grid_Stock'!R53</f>
        <v/>
      </c>
      <c r="U1238">
        <f>'Grid_Stock'!S53</f>
        <v/>
      </c>
      <c r="V1238">
        <f>'Grid_Stock'!T53</f>
        <v/>
      </c>
      <c r="W1238">
        <f>'Grid_Stock'!U53</f>
        <v/>
      </c>
      <c r="X1238">
        <f>'Grid_Stock'!V53</f>
        <v/>
      </c>
      <c r="Y1238">
        <f>'Grid_Stock'!W53</f>
        <v/>
      </c>
      <c r="Z1238">
        <f>'Grid_Stock'!X53</f>
        <v/>
      </c>
      <c r="AA1238">
        <f>'Grid_Stock'!Y53</f>
        <v/>
      </c>
      <c r="AB1238">
        <f>'Grid_Stock'!Z53</f>
        <v/>
      </c>
      <c r="AC1238">
        <f>'Grid_Stock'!AA53</f>
        <v/>
      </c>
      <c r="AD1238">
        <f>'Grid_Stock'!AB53</f>
        <v/>
      </c>
      <c r="AE1238">
        <f>'Grid_Stock'!AC53</f>
        <v/>
      </c>
      <c r="AF1238">
        <f>'Grid_Stock'!AD53</f>
        <v/>
      </c>
      <c r="AG1238">
        <f>'Grid_Stock'!AE53</f>
        <v/>
      </c>
      <c r="AH1238">
        <f>'Grid_Stock'!AF53</f>
        <v/>
      </c>
      <c r="AI1238">
        <f>'Grid_Stock'!AG53</f>
        <v/>
      </c>
      <c r="AJ1238">
        <f>'Grid_Stock'!AH53</f>
        <v/>
      </c>
      <c r="AK1238">
        <f>'Grid_Stock'!AI53</f>
        <v/>
      </c>
      <c r="AL1238">
        <f>'Grid_Stock'!AJ53</f>
        <v/>
      </c>
      <c r="AM1238">
        <f>'Grid_Stock'!AK53</f>
        <v/>
      </c>
      <c r="AN1238">
        <f>'Grid_Stock'!AL53</f>
        <v/>
      </c>
      <c r="AO1238">
        <f>'Grid_Stock'!AM53</f>
        <v/>
      </c>
      <c r="AP1238">
        <f>'Grid_Stock'!AN53</f>
        <v/>
      </c>
      <c r="AQ1238">
        <f>'Grid_Stock'!AO53</f>
        <v/>
      </c>
      <c r="AR1238">
        <f>'Grid_Stock'!AP53</f>
        <v/>
      </c>
      <c r="AS1238">
        <f>'Grid_Stock'!AQ53</f>
        <v/>
      </c>
      <c r="AT1238">
        <f>'Grid_Stock'!AR53</f>
        <v/>
      </c>
      <c r="AU1238">
        <f>'Grid_Stock'!AS53</f>
        <v/>
      </c>
      <c r="AV1238">
        <f>'Grid_Stock'!AT53</f>
        <v/>
      </c>
      <c r="AW1238">
        <f>'Grid_Stock'!AU53</f>
        <v/>
      </c>
      <c r="AX1238">
        <f>'Grid_Stock'!AV53</f>
        <v/>
      </c>
      <c r="AY1238">
        <f>'Grid_Stock'!AW53</f>
        <v/>
      </c>
      <c r="AZ1238">
        <f>'Grid_Stock'!AX53</f>
        <v/>
      </c>
      <c r="BA1238">
        <f>'Grid_Stock'!AY53</f>
        <v/>
      </c>
      <c r="BB1238">
        <f>'Grid_Stock'!AZ53</f>
        <v/>
      </c>
      <c r="BC1238">
        <f>'Grid_Stock'!BA53</f>
        <v/>
      </c>
      <c r="BD1238">
        <f>'Grid_Stock'!BB53</f>
        <v/>
      </c>
      <c r="BE1238">
        <f>'Grid_Stock'!BC53</f>
        <v/>
      </c>
      <c r="BF1238">
        <f>'Grid_Stock'!BD53</f>
        <v/>
      </c>
      <c r="BG1238">
        <f>'Grid_Stock'!BE53</f>
        <v/>
      </c>
      <c r="BH1238">
        <f>'Grid_Stock'!BF53</f>
        <v/>
      </c>
      <c r="BI1238">
        <f>'Grid_Stock'!BG53</f>
        <v/>
      </c>
      <c r="BJ1238">
        <f>'Grid_Stock'!BH53</f>
        <v/>
      </c>
      <c r="BK1238">
        <f>'Grid_Stock'!BI53</f>
        <v/>
      </c>
      <c r="BL1238">
        <f>'Grid_Stock'!BJ53</f>
        <v/>
      </c>
      <c r="BM1238">
        <f>'Grid_Stock'!BK53</f>
        <v/>
      </c>
      <c r="BN1238">
        <f>'Grid_Stock'!BL53</f>
        <v/>
      </c>
      <c r="BO1238">
        <f>'Grid_Stock'!BM53</f>
        <v/>
      </c>
      <c r="BP1238">
        <f>'Grid_Stock'!BN53</f>
        <v/>
      </c>
      <c r="BQ1238">
        <f>'Grid_Stock'!BO53</f>
        <v/>
      </c>
      <c r="BR1238">
        <f>'Grid_Stock'!BP53</f>
        <v/>
      </c>
      <c r="BS1238">
        <f>'Grid_Stock'!BQ53</f>
        <v/>
      </c>
      <c r="BT1238">
        <f>'Grid_Stock'!BR53</f>
        <v/>
      </c>
      <c r="BU1238">
        <f>'Grid_Stock'!BS53</f>
        <v/>
      </c>
      <c r="BV1238">
        <f>'Grid_Stock'!BT53</f>
        <v/>
      </c>
      <c r="BW1238">
        <f>'Grid_Stock'!BU53</f>
        <v/>
      </c>
      <c r="BX1238">
        <f>'Grid_Stock'!BV53</f>
        <v/>
      </c>
      <c r="BY1238">
        <f>'Grid_Stock'!BW53</f>
        <v/>
      </c>
      <c r="BZ1238">
        <f>'Grid_Stock'!BX53</f>
        <v/>
      </c>
      <c r="CA1238">
        <f>'Grid_Stock'!BY53</f>
        <v/>
      </c>
      <c r="CB1238">
        <f>'Grid_Stock'!BZ53</f>
        <v/>
      </c>
      <c r="CC1238">
        <f>'Grid_Stock'!CA53</f>
        <v/>
      </c>
      <c r="CD1238">
        <f>'Grid_Stock'!CB53</f>
        <v/>
      </c>
      <c r="CE1238">
        <f>'Grid_Stock'!CC53</f>
        <v/>
      </c>
      <c r="CF1238">
        <f>'Grid_Stock'!CD53</f>
        <v/>
      </c>
      <c r="CG1238">
        <f>'Grid_Stock'!CE53</f>
        <v/>
      </c>
      <c r="CH1238">
        <f>'Grid_Stock'!CF53</f>
        <v/>
      </c>
      <c r="CI1238">
        <f>'Grid_Stock'!CG53</f>
        <v/>
      </c>
      <c r="CJ1238">
        <f>'Grid_Stock'!CH53</f>
        <v/>
      </c>
      <c r="CK1238">
        <f>'Grid_Stock'!CI53</f>
        <v/>
      </c>
      <c r="CL1238">
        <f>'Grid_Stock'!CJ53</f>
        <v/>
      </c>
      <c r="CM1238">
        <f>'Grid_Stock'!CK53</f>
        <v/>
      </c>
      <c r="CN1238">
        <f>'Grid_Stock'!CL53</f>
        <v/>
      </c>
      <c r="CO1238">
        <f>'Grid_Stock'!CM53</f>
        <v/>
      </c>
      <c r="CP1238">
        <f>'Grid_Stock'!CN53</f>
        <v/>
      </c>
      <c r="CQ1238">
        <f>'Grid_Stock'!CO53</f>
        <v/>
      </c>
      <c r="CR1238">
        <f>'Grid_Stock'!CP53</f>
        <v/>
      </c>
      <c r="CS1238">
        <f>'Grid_Stock'!CQ53</f>
        <v/>
      </c>
      <c r="CT1238">
        <f>'Grid_Stock'!CR53</f>
        <v/>
      </c>
      <c r="CU1238">
        <f>'Grid_Stock'!CS53</f>
        <v/>
      </c>
      <c r="CV1238">
        <f>'Grid_Stock'!CT53</f>
        <v/>
      </c>
      <c r="CW1238">
        <f>'Grid_Stock'!CU53</f>
        <v/>
      </c>
      <c r="CX1238">
        <f>'Grid_Stock'!CV53</f>
        <v/>
      </c>
      <c r="CY1238">
        <f>'Grid_Stock'!CW53</f>
        <v/>
      </c>
      <c r="CZ1238">
        <f>'Grid_Stock'!CX53</f>
        <v/>
      </c>
      <c r="DA1238">
        <f>'Grid_Stock'!CY53</f>
        <v/>
      </c>
      <c r="DB1238">
        <f>'Grid_Stock'!CZ53</f>
        <v/>
      </c>
      <c r="DC1238">
        <f>'Grid_Stock'!DA53</f>
        <v/>
      </c>
    </row>
    <row r="1239">
      <c r="B1239" s="23" t="inlineStr">
        <is>
          <t>（発注の目安はDashboardの基準在庫[下限/上限]と色分けを参照）</t>
        </is>
      </c>
    </row>
    <row r="1241">
      <c r="A1241" s="21" t="inlineStr">
        <is>
          <t>PP Film</t>
        </is>
      </c>
      <c r="B1241" s="21" t="inlineStr">
        <is>
          <t>PP Film</t>
        </is>
      </c>
      <c r="C1241" s="22" t="n"/>
      <c r="D1241" s="21" t="n"/>
      <c r="E1241" s="21" t="n"/>
      <c r="F1241" s="21" t="n"/>
      <c r="G1241" s="21" t="n"/>
      <c r="H1241" s="21" t="n"/>
      <c r="I1241" s="21" t="n"/>
      <c r="J1241" s="21" t="n"/>
      <c r="K1241" s="21" t="n"/>
      <c r="L1241" s="21" t="n"/>
      <c r="M1241" s="21" t="n"/>
      <c r="N1241" s="21" t="n"/>
      <c r="O1241" s="21" t="n"/>
      <c r="P1241" s="21" t="n"/>
      <c r="Q1241" s="21" t="n"/>
      <c r="R1241" s="21" t="n"/>
      <c r="S1241" s="21" t="n"/>
      <c r="T1241" s="21" t="n"/>
      <c r="U1241" s="21" t="n"/>
      <c r="V1241" s="21" t="n"/>
      <c r="W1241" s="21" t="n"/>
      <c r="X1241" s="21" t="n"/>
      <c r="Y1241" s="21" t="n"/>
      <c r="Z1241" s="21" t="n"/>
      <c r="AA1241" s="21" t="n"/>
      <c r="AB1241" s="21" t="n"/>
      <c r="AC1241" s="21" t="n"/>
      <c r="AD1241" s="21" t="n"/>
      <c r="AE1241" s="21" t="n"/>
      <c r="AF1241" s="21" t="n"/>
      <c r="AG1241" s="21" t="n"/>
      <c r="AH1241" s="21" t="n"/>
      <c r="AI1241" s="21" t="n"/>
      <c r="AJ1241" s="21" t="n"/>
      <c r="AK1241" s="21" t="n"/>
      <c r="AL1241" s="21" t="n"/>
      <c r="AM1241" s="21" t="n"/>
      <c r="AN1241" s="21" t="n"/>
      <c r="AO1241" s="21" t="n"/>
      <c r="AP1241" s="21" t="n"/>
      <c r="AQ1241" s="21" t="n"/>
      <c r="AR1241" s="21" t="n"/>
      <c r="AS1241" s="21" t="n"/>
      <c r="AT1241" s="21" t="n"/>
      <c r="AU1241" s="21" t="n"/>
      <c r="AV1241" s="21" t="n"/>
      <c r="AW1241" s="21" t="n"/>
      <c r="AX1241" s="21" t="n"/>
      <c r="AY1241" s="21" t="n"/>
      <c r="AZ1241" s="21" t="n"/>
      <c r="BA1241" s="21" t="n"/>
      <c r="BB1241" s="21" t="n"/>
      <c r="BC1241" s="21" t="n"/>
      <c r="BD1241" s="21" t="n"/>
      <c r="BE1241" s="21" t="n"/>
      <c r="BF1241" s="21" t="n"/>
      <c r="BG1241" s="21" t="n"/>
      <c r="BH1241" s="21" t="n"/>
      <c r="BI1241" s="21" t="n"/>
      <c r="BJ1241" s="21" t="n"/>
      <c r="BK1241" s="21" t="n"/>
      <c r="BL1241" s="21" t="n"/>
      <c r="BM1241" s="21" t="n"/>
      <c r="BN1241" s="21" t="n"/>
      <c r="BO1241" s="21" t="n"/>
      <c r="BP1241" s="21" t="n"/>
      <c r="BQ1241" s="21" t="n"/>
      <c r="BR1241" s="21" t="n"/>
      <c r="BS1241" s="21" t="n"/>
      <c r="BT1241" s="21" t="n"/>
      <c r="BU1241" s="21" t="n"/>
      <c r="BV1241" s="21" t="n"/>
      <c r="BW1241" s="21" t="n"/>
      <c r="BX1241" s="21" t="n"/>
      <c r="BY1241" s="21" t="n"/>
      <c r="BZ1241" s="21" t="n"/>
      <c r="CA1241" s="21" t="n"/>
      <c r="CB1241" s="21" t="n"/>
      <c r="CC1241" s="21" t="n"/>
      <c r="CD1241" s="21" t="n"/>
      <c r="CE1241" s="21" t="n"/>
      <c r="CF1241" s="21" t="n"/>
      <c r="CG1241" s="21" t="n"/>
      <c r="CH1241" s="21" t="n"/>
      <c r="CI1241" s="21" t="n"/>
      <c r="CJ1241" s="21" t="n"/>
      <c r="CK1241" s="21" t="n"/>
      <c r="CL1241" s="21" t="n"/>
      <c r="CM1241" s="21" t="n"/>
      <c r="CN1241" s="21" t="n"/>
      <c r="CO1241" s="21" t="n"/>
      <c r="CP1241" s="21" t="n"/>
      <c r="CQ1241" s="21" t="n"/>
      <c r="CR1241" s="21" t="n"/>
      <c r="CS1241" s="21" t="n"/>
      <c r="CT1241" s="21" t="n"/>
      <c r="CU1241" s="21" t="n"/>
      <c r="CV1241" s="21" t="n"/>
      <c r="CW1241" s="21" t="n"/>
      <c r="CX1241" s="21" t="n"/>
      <c r="CY1241" s="21" t="n"/>
      <c r="CZ1241" s="21" t="n"/>
      <c r="DA1241" s="21" t="n"/>
      <c r="DB1241" s="21" t="n"/>
      <c r="DC1241" s="21" t="n"/>
    </row>
    <row r="1242">
      <c r="B1242" t="inlineStr">
        <is>
          <t>PP Film</t>
        </is>
      </c>
      <c r="C1242" t="inlineStr">
        <is>
          <t>No. of batches</t>
        </is>
      </c>
      <c r="D1242">
        <f>IFERROR(INDEX(PP_Grid[#Data],$DD1242,2),0)</f>
        <v/>
      </c>
      <c r="E1242">
        <f>IFERROR(INDEX(PP_Grid[#Data],$DD1242,3),0)</f>
        <v/>
      </c>
      <c r="F1242">
        <f>IFERROR(INDEX(PP_Grid[#Data],$DD1242,4),0)</f>
        <v/>
      </c>
      <c r="G1242">
        <f>IFERROR(INDEX(PP_Grid[#Data],$DD1242,5),0)</f>
        <v/>
      </c>
      <c r="H1242">
        <f>IFERROR(INDEX(PP_Grid[#Data],$DD1242,6),0)</f>
        <v/>
      </c>
      <c r="I1242">
        <f>IFERROR(INDEX(PP_Grid[#Data],$DD1242,7),0)</f>
        <v/>
      </c>
      <c r="J1242">
        <f>IFERROR(INDEX(PP_Grid[#Data],$DD1242,8),0)</f>
        <v/>
      </c>
      <c r="K1242">
        <f>IFERROR(INDEX(PP_Grid[#Data],$DD1242,9),0)</f>
        <v/>
      </c>
      <c r="L1242">
        <f>IFERROR(INDEX(PP_Grid[#Data],$DD1242,10),0)</f>
        <v/>
      </c>
      <c r="M1242">
        <f>IFERROR(INDEX(PP_Grid[#Data],$DD1242,11),0)</f>
        <v/>
      </c>
      <c r="N1242">
        <f>IFERROR(INDEX(PP_Grid[#Data],$DD1242,12),0)</f>
        <v/>
      </c>
      <c r="O1242">
        <f>IFERROR(INDEX(PP_Grid[#Data],$DD1242,13),0)</f>
        <v/>
      </c>
      <c r="P1242">
        <f>IFERROR(INDEX(PP_Grid[#Data],$DD1242,14),0)</f>
        <v/>
      </c>
      <c r="Q1242">
        <f>IFERROR(INDEX(PP_Grid[#Data],$DD1242,15),0)</f>
        <v/>
      </c>
      <c r="R1242">
        <f>IFERROR(INDEX(PP_Grid[#Data],$DD1242,16),0)</f>
        <v/>
      </c>
      <c r="S1242">
        <f>IFERROR(INDEX(PP_Grid[#Data],$DD1242,17),0)</f>
        <v/>
      </c>
      <c r="T1242">
        <f>IFERROR(INDEX(PP_Grid[#Data],$DD1242,18),0)</f>
        <v/>
      </c>
      <c r="U1242">
        <f>IFERROR(INDEX(PP_Grid[#Data],$DD1242,19),0)</f>
        <v/>
      </c>
      <c r="V1242">
        <f>IFERROR(INDEX(PP_Grid[#Data],$DD1242,20),0)</f>
        <v/>
      </c>
      <c r="W1242">
        <f>IFERROR(INDEX(PP_Grid[#Data],$DD1242,21),0)</f>
        <v/>
      </c>
      <c r="X1242">
        <f>IFERROR(INDEX(PP_Grid[#Data],$DD1242,22),0)</f>
        <v/>
      </c>
      <c r="Y1242">
        <f>IFERROR(INDEX(PP_Grid[#Data],$DD1242,23),0)</f>
        <v/>
      </c>
      <c r="Z1242">
        <f>IFERROR(INDEX(PP_Grid[#Data],$DD1242,24),0)</f>
        <v/>
      </c>
      <c r="AA1242">
        <f>IFERROR(INDEX(PP_Grid[#Data],$DD1242,25),0)</f>
        <v/>
      </c>
      <c r="AB1242">
        <f>IFERROR(INDEX(PP_Grid[#Data],$DD1242,26),0)</f>
        <v/>
      </c>
      <c r="AC1242">
        <f>IFERROR(INDEX(PP_Grid[#Data],$DD1242,27),0)</f>
        <v/>
      </c>
      <c r="AD1242">
        <f>IFERROR(INDEX(PP_Grid[#Data],$DD1242,28),0)</f>
        <v/>
      </c>
      <c r="AE1242">
        <f>IFERROR(INDEX(PP_Grid[#Data],$DD1242,29),0)</f>
        <v/>
      </c>
      <c r="AF1242">
        <f>IFERROR(INDEX(PP_Grid[#Data],$DD1242,30),0)</f>
        <v/>
      </c>
      <c r="AG1242">
        <f>IFERROR(INDEX(PP_Grid[#Data],$DD1242,31),0)</f>
        <v/>
      </c>
      <c r="AH1242">
        <f>IFERROR(INDEX(PP_Grid[#Data],$DD1242,32),0)</f>
        <v/>
      </c>
      <c r="AI1242">
        <f>IFERROR(INDEX(PP_Grid[#Data],$DD1242,33),0)</f>
        <v/>
      </c>
      <c r="AJ1242">
        <f>IFERROR(INDEX(PP_Grid[#Data],$DD1242,34),0)</f>
        <v/>
      </c>
      <c r="AK1242">
        <f>IFERROR(INDEX(PP_Grid[#Data],$DD1242,35),0)</f>
        <v/>
      </c>
      <c r="AL1242">
        <f>IFERROR(INDEX(PP_Grid[#Data],$DD1242,36),0)</f>
        <v/>
      </c>
      <c r="AM1242">
        <f>IFERROR(INDEX(PP_Grid[#Data],$DD1242,37),0)</f>
        <v/>
      </c>
      <c r="AN1242">
        <f>IFERROR(INDEX(PP_Grid[#Data],$DD1242,38),0)</f>
        <v/>
      </c>
      <c r="AO1242">
        <f>IFERROR(INDEX(PP_Grid[#Data],$DD1242,39),0)</f>
        <v/>
      </c>
      <c r="AP1242">
        <f>IFERROR(INDEX(PP_Grid[#Data],$DD1242,40),0)</f>
        <v/>
      </c>
      <c r="AQ1242">
        <f>IFERROR(INDEX(PP_Grid[#Data],$DD1242,41),0)</f>
        <v/>
      </c>
      <c r="AR1242">
        <f>IFERROR(INDEX(PP_Grid[#Data],$DD1242,42),0)</f>
        <v/>
      </c>
      <c r="AS1242">
        <f>IFERROR(INDEX(PP_Grid[#Data],$DD1242,43),0)</f>
        <v/>
      </c>
      <c r="AT1242">
        <f>IFERROR(INDEX(PP_Grid[#Data],$DD1242,44),0)</f>
        <v/>
      </c>
      <c r="AU1242">
        <f>IFERROR(INDEX(PP_Grid[#Data],$DD1242,45),0)</f>
        <v/>
      </c>
      <c r="AV1242">
        <f>IFERROR(INDEX(PP_Grid[#Data],$DD1242,46),0)</f>
        <v/>
      </c>
      <c r="AW1242">
        <f>IFERROR(INDEX(PP_Grid[#Data],$DD1242,47),0)</f>
        <v/>
      </c>
      <c r="AX1242">
        <f>IFERROR(INDEX(PP_Grid[#Data],$DD1242,48),0)</f>
        <v/>
      </c>
      <c r="AY1242">
        <f>IFERROR(INDEX(PP_Grid[#Data],$DD1242,49),0)</f>
        <v/>
      </c>
      <c r="AZ1242">
        <f>IFERROR(INDEX(PP_Grid[#Data],$DD1242,50),0)</f>
        <v/>
      </c>
      <c r="BA1242">
        <f>IFERROR(INDEX(PP_Grid[#Data],$DD1242,51),0)</f>
        <v/>
      </c>
      <c r="BB1242">
        <f>IFERROR(INDEX(PP_Grid[#Data],$DD1242,52),0)</f>
        <v/>
      </c>
      <c r="BC1242">
        <f>IFERROR(INDEX(PP_Grid[#Data],$DD1242,53),0)</f>
        <v/>
      </c>
      <c r="BD1242">
        <f>IFERROR(INDEX(PP_Grid[#Data],$DD1242,54),0)</f>
        <v/>
      </c>
      <c r="BE1242">
        <f>IFERROR(INDEX(PP_Grid[#Data],$DD1242,55),0)</f>
        <v/>
      </c>
      <c r="BF1242">
        <f>IFERROR(INDEX(PP_Grid[#Data],$DD1242,56),0)</f>
        <v/>
      </c>
      <c r="BG1242">
        <f>IFERROR(INDEX(PP_Grid[#Data],$DD1242,57),0)</f>
        <v/>
      </c>
      <c r="BH1242">
        <f>IFERROR(INDEX(PP_Grid[#Data],$DD1242,58),0)</f>
        <v/>
      </c>
      <c r="BI1242">
        <f>IFERROR(INDEX(PP_Grid[#Data],$DD1242,59),0)</f>
        <v/>
      </c>
      <c r="BJ1242">
        <f>IFERROR(INDEX(PP_Grid[#Data],$DD1242,60),0)</f>
        <v/>
      </c>
      <c r="BK1242">
        <f>IFERROR(INDEX(PP_Grid[#Data],$DD1242,61),0)</f>
        <v/>
      </c>
      <c r="BL1242">
        <f>IFERROR(INDEX(PP_Grid[#Data],$DD1242,62),0)</f>
        <v/>
      </c>
      <c r="BM1242">
        <f>IFERROR(INDEX(PP_Grid[#Data],$DD1242,63),0)</f>
        <v/>
      </c>
      <c r="BN1242">
        <f>IFERROR(INDEX(PP_Grid[#Data],$DD1242,64),0)</f>
        <v/>
      </c>
      <c r="BO1242">
        <f>IFERROR(INDEX(PP_Grid[#Data],$DD1242,65),0)</f>
        <v/>
      </c>
      <c r="BP1242">
        <f>IFERROR(INDEX(PP_Grid[#Data],$DD1242,66),0)</f>
        <v/>
      </c>
      <c r="BQ1242">
        <f>IFERROR(INDEX(PP_Grid[#Data],$DD1242,67),0)</f>
        <v/>
      </c>
      <c r="BR1242">
        <f>IFERROR(INDEX(PP_Grid[#Data],$DD1242,68),0)</f>
        <v/>
      </c>
      <c r="BS1242">
        <f>IFERROR(INDEX(PP_Grid[#Data],$DD1242,69),0)</f>
        <v/>
      </c>
      <c r="BT1242">
        <f>IFERROR(INDEX(PP_Grid[#Data],$DD1242,70),0)</f>
        <v/>
      </c>
      <c r="BU1242">
        <f>IFERROR(INDEX(PP_Grid[#Data],$DD1242,71),0)</f>
        <v/>
      </c>
      <c r="BV1242">
        <f>IFERROR(INDEX(PP_Grid[#Data],$DD1242,72),0)</f>
        <v/>
      </c>
      <c r="BW1242">
        <f>IFERROR(INDEX(PP_Grid[#Data],$DD1242,73),0)</f>
        <v/>
      </c>
      <c r="BX1242">
        <f>IFERROR(INDEX(PP_Grid[#Data],$DD1242,74),0)</f>
        <v/>
      </c>
      <c r="BY1242">
        <f>IFERROR(INDEX(PP_Grid[#Data],$DD1242,75),0)</f>
        <v/>
      </c>
      <c r="BZ1242">
        <f>IFERROR(INDEX(PP_Grid[#Data],$DD1242,76),0)</f>
        <v/>
      </c>
      <c r="CA1242">
        <f>IFERROR(INDEX(PP_Grid[#Data],$DD1242,77),0)</f>
        <v/>
      </c>
      <c r="CB1242">
        <f>IFERROR(INDEX(PP_Grid[#Data],$DD1242,78),0)</f>
        <v/>
      </c>
      <c r="CC1242">
        <f>IFERROR(INDEX(PP_Grid[#Data],$DD1242,79),0)</f>
        <v/>
      </c>
      <c r="CD1242">
        <f>IFERROR(INDEX(PP_Grid[#Data],$DD1242,80),0)</f>
        <v/>
      </c>
      <c r="CE1242">
        <f>IFERROR(INDEX(PP_Grid[#Data],$DD1242,81),0)</f>
        <v/>
      </c>
      <c r="CF1242">
        <f>IFERROR(INDEX(PP_Grid[#Data],$DD1242,82),0)</f>
        <v/>
      </c>
      <c r="CG1242">
        <f>IFERROR(INDEX(PP_Grid[#Data],$DD1242,83),0)</f>
        <v/>
      </c>
      <c r="CH1242">
        <f>IFERROR(INDEX(PP_Grid[#Data],$DD1242,84),0)</f>
        <v/>
      </c>
      <c r="CI1242">
        <f>IFERROR(INDEX(PP_Grid[#Data],$DD1242,85),0)</f>
        <v/>
      </c>
      <c r="CJ1242">
        <f>IFERROR(INDEX(PP_Grid[#Data],$DD1242,86),0)</f>
        <v/>
      </c>
      <c r="CK1242">
        <f>IFERROR(INDEX(PP_Grid[#Data],$DD1242,87),0)</f>
        <v/>
      </c>
      <c r="CL1242">
        <f>IFERROR(INDEX(PP_Grid[#Data],$DD1242,88),0)</f>
        <v/>
      </c>
      <c r="CM1242">
        <f>IFERROR(INDEX(PP_Grid[#Data],$DD1242,89),0)</f>
        <v/>
      </c>
      <c r="CN1242">
        <f>IFERROR(INDEX(PP_Grid[#Data],$DD1242,90),0)</f>
        <v/>
      </c>
      <c r="CO1242">
        <f>IFERROR(INDEX(PP_Grid[#Data],$DD1242,91),0)</f>
        <v/>
      </c>
      <c r="CP1242">
        <f>IFERROR(INDEX(PP_Grid[#Data],$DD1242,92),0)</f>
        <v/>
      </c>
      <c r="CQ1242">
        <f>IFERROR(INDEX(PP_Grid[#Data],$DD1242,93),0)</f>
        <v/>
      </c>
      <c r="CR1242">
        <f>IFERROR(INDEX(PP_Grid[#Data],$DD1242,94),0)</f>
        <v/>
      </c>
      <c r="CS1242">
        <f>IFERROR(INDEX(PP_Grid[#Data],$DD1242,95),0)</f>
        <v/>
      </c>
      <c r="CT1242">
        <f>IFERROR(INDEX(PP_Grid[#Data],$DD1242,96),0)</f>
        <v/>
      </c>
      <c r="CU1242">
        <f>IFERROR(INDEX(PP_Grid[#Data],$DD1242,97),0)</f>
        <v/>
      </c>
      <c r="CV1242">
        <f>IFERROR(INDEX(PP_Grid[#Data],$DD1242,98),0)</f>
        <v/>
      </c>
      <c r="CW1242">
        <f>IFERROR(INDEX(PP_Grid[#Data],$DD1242,99),0)</f>
        <v/>
      </c>
      <c r="CX1242">
        <f>IFERROR(INDEX(PP_Grid[#Data],$DD1242,100),0)</f>
        <v/>
      </c>
      <c r="CY1242">
        <f>IFERROR(INDEX(PP_Grid[#Data],$DD1242,101),0)</f>
        <v/>
      </c>
      <c r="CZ1242">
        <f>IFERROR(INDEX(PP_Grid[#Data],$DD1242,102),0)</f>
        <v/>
      </c>
      <c r="DA1242">
        <f>IFERROR(INDEX(PP_Grid[#Data],$DD1242,103),0)</f>
        <v/>
      </c>
      <c r="DB1242">
        <f>IFERROR(INDEX(PP_Grid[#Data],$DD1242,104),0)</f>
        <v/>
      </c>
      <c r="DC1242">
        <f>IFERROR(INDEX(PP_Grid[#Data],$DD1242,105),0)</f>
        <v/>
      </c>
      <c r="DD1242" s="12">
        <f>IFERROR(MATCH($B1242,PP_Grid[Intermediate],0),99999)</f>
        <v/>
      </c>
    </row>
    <row r="1243">
      <c r="B1243" t="inlineStr">
        <is>
          <t>使用量(kg)</t>
        </is>
      </c>
      <c r="C1243">
        <f>SUMIFS(M_BOM[RM_Qty_Per_Batch],M_BOM[Intermediate],$B1242,M_BOM[Part Name],$A1241)</f>
        <v/>
      </c>
      <c r="D1243">
        <f>$C1243*D1242</f>
        <v/>
      </c>
      <c r="E1243">
        <f>$C1243*E1242</f>
        <v/>
      </c>
      <c r="F1243">
        <f>$C1243*F1242</f>
        <v/>
      </c>
      <c r="G1243">
        <f>$C1243*G1242</f>
        <v/>
      </c>
      <c r="H1243">
        <f>$C1243*H1242</f>
        <v/>
      </c>
      <c r="I1243">
        <f>$C1243*I1242</f>
        <v/>
      </c>
      <c r="J1243">
        <f>$C1243*J1242</f>
        <v/>
      </c>
      <c r="K1243">
        <f>$C1243*K1242</f>
        <v/>
      </c>
      <c r="L1243">
        <f>$C1243*L1242</f>
        <v/>
      </c>
      <c r="M1243">
        <f>$C1243*M1242</f>
        <v/>
      </c>
      <c r="N1243">
        <f>$C1243*N1242</f>
        <v/>
      </c>
      <c r="O1243">
        <f>$C1243*O1242</f>
        <v/>
      </c>
      <c r="P1243">
        <f>$C1243*P1242</f>
        <v/>
      </c>
      <c r="Q1243">
        <f>$C1243*Q1242</f>
        <v/>
      </c>
      <c r="R1243">
        <f>$C1243*R1242</f>
        <v/>
      </c>
      <c r="S1243">
        <f>$C1243*S1242</f>
        <v/>
      </c>
      <c r="T1243">
        <f>$C1243*T1242</f>
        <v/>
      </c>
      <c r="U1243">
        <f>$C1243*U1242</f>
        <v/>
      </c>
      <c r="V1243">
        <f>$C1243*V1242</f>
        <v/>
      </c>
      <c r="W1243">
        <f>$C1243*W1242</f>
        <v/>
      </c>
      <c r="X1243">
        <f>$C1243*X1242</f>
        <v/>
      </c>
      <c r="Y1243">
        <f>$C1243*Y1242</f>
        <v/>
      </c>
      <c r="Z1243">
        <f>$C1243*Z1242</f>
        <v/>
      </c>
      <c r="AA1243">
        <f>$C1243*AA1242</f>
        <v/>
      </c>
      <c r="AB1243">
        <f>$C1243*AB1242</f>
        <v/>
      </c>
      <c r="AC1243">
        <f>$C1243*AC1242</f>
        <v/>
      </c>
      <c r="AD1243">
        <f>$C1243*AD1242</f>
        <v/>
      </c>
      <c r="AE1243">
        <f>$C1243*AE1242</f>
        <v/>
      </c>
      <c r="AF1243">
        <f>$C1243*AF1242</f>
        <v/>
      </c>
      <c r="AG1243">
        <f>$C1243*AG1242</f>
        <v/>
      </c>
      <c r="AH1243">
        <f>$C1243*AH1242</f>
        <v/>
      </c>
      <c r="AI1243">
        <f>$C1243*AI1242</f>
        <v/>
      </c>
      <c r="AJ1243">
        <f>$C1243*AJ1242</f>
        <v/>
      </c>
      <c r="AK1243">
        <f>$C1243*AK1242</f>
        <v/>
      </c>
      <c r="AL1243">
        <f>$C1243*AL1242</f>
        <v/>
      </c>
      <c r="AM1243">
        <f>$C1243*AM1242</f>
        <v/>
      </c>
      <c r="AN1243">
        <f>$C1243*AN1242</f>
        <v/>
      </c>
      <c r="AO1243">
        <f>$C1243*AO1242</f>
        <v/>
      </c>
      <c r="AP1243">
        <f>$C1243*AP1242</f>
        <v/>
      </c>
      <c r="AQ1243">
        <f>$C1243*AQ1242</f>
        <v/>
      </c>
      <c r="AR1243">
        <f>$C1243*AR1242</f>
        <v/>
      </c>
      <c r="AS1243">
        <f>$C1243*AS1242</f>
        <v/>
      </c>
      <c r="AT1243">
        <f>$C1243*AT1242</f>
        <v/>
      </c>
      <c r="AU1243">
        <f>$C1243*AU1242</f>
        <v/>
      </c>
      <c r="AV1243">
        <f>$C1243*AV1242</f>
        <v/>
      </c>
      <c r="AW1243">
        <f>$C1243*AW1242</f>
        <v/>
      </c>
      <c r="AX1243">
        <f>$C1243*AX1242</f>
        <v/>
      </c>
      <c r="AY1243">
        <f>$C1243*AY1242</f>
        <v/>
      </c>
      <c r="AZ1243">
        <f>$C1243*AZ1242</f>
        <v/>
      </c>
      <c r="BA1243">
        <f>$C1243*BA1242</f>
        <v/>
      </c>
      <c r="BB1243">
        <f>$C1243*BB1242</f>
        <v/>
      </c>
      <c r="BC1243">
        <f>$C1243*BC1242</f>
        <v/>
      </c>
      <c r="BD1243">
        <f>$C1243*BD1242</f>
        <v/>
      </c>
      <c r="BE1243">
        <f>$C1243*BE1242</f>
        <v/>
      </c>
      <c r="BF1243">
        <f>$C1243*BF1242</f>
        <v/>
      </c>
      <c r="BG1243">
        <f>$C1243*BG1242</f>
        <v/>
      </c>
      <c r="BH1243">
        <f>$C1243*BH1242</f>
        <v/>
      </c>
      <c r="BI1243">
        <f>$C1243*BI1242</f>
        <v/>
      </c>
      <c r="BJ1243">
        <f>$C1243*BJ1242</f>
        <v/>
      </c>
      <c r="BK1243">
        <f>$C1243*BK1242</f>
        <v/>
      </c>
      <c r="BL1243">
        <f>$C1243*BL1242</f>
        <v/>
      </c>
      <c r="BM1243">
        <f>$C1243*BM1242</f>
        <v/>
      </c>
      <c r="BN1243">
        <f>$C1243*BN1242</f>
        <v/>
      </c>
      <c r="BO1243">
        <f>$C1243*BO1242</f>
        <v/>
      </c>
      <c r="BP1243">
        <f>$C1243*BP1242</f>
        <v/>
      </c>
      <c r="BQ1243">
        <f>$C1243*BQ1242</f>
        <v/>
      </c>
      <c r="BR1243">
        <f>$C1243*BR1242</f>
        <v/>
      </c>
      <c r="BS1243">
        <f>$C1243*BS1242</f>
        <v/>
      </c>
      <c r="BT1243">
        <f>$C1243*BT1242</f>
        <v/>
      </c>
      <c r="BU1243">
        <f>$C1243*BU1242</f>
        <v/>
      </c>
      <c r="BV1243">
        <f>$C1243*BV1242</f>
        <v/>
      </c>
      <c r="BW1243">
        <f>$C1243*BW1242</f>
        <v/>
      </c>
      <c r="BX1243">
        <f>$C1243*BX1242</f>
        <v/>
      </c>
      <c r="BY1243">
        <f>$C1243*BY1242</f>
        <v/>
      </c>
      <c r="BZ1243">
        <f>$C1243*BZ1242</f>
        <v/>
      </c>
      <c r="CA1243">
        <f>$C1243*CA1242</f>
        <v/>
      </c>
      <c r="CB1243">
        <f>$C1243*CB1242</f>
        <v/>
      </c>
      <c r="CC1243">
        <f>$C1243*CC1242</f>
        <v/>
      </c>
      <c r="CD1243">
        <f>$C1243*CD1242</f>
        <v/>
      </c>
      <c r="CE1243">
        <f>$C1243*CE1242</f>
        <v/>
      </c>
      <c r="CF1243">
        <f>$C1243*CF1242</f>
        <v/>
      </c>
      <c r="CG1243">
        <f>$C1243*CG1242</f>
        <v/>
      </c>
      <c r="CH1243">
        <f>$C1243*CH1242</f>
        <v/>
      </c>
      <c r="CI1243">
        <f>$C1243*CI1242</f>
        <v/>
      </c>
      <c r="CJ1243">
        <f>$C1243*CJ1242</f>
        <v/>
      </c>
      <c r="CK1243">
        <f>$C1243*CK1242</f>
        <v/>
      </c>
      <c r="CL1243">
        <f>$C1243*CL1242</f>
        <v/>
      </c>
      <c r="CM1243">
        <f>$C1243*CM1242</f>
        <v/>
      </c>
      <c r="CN1243">
        <f>$C1243*CN1242</f>
        <v/>
      </c>
      <c r="CO1243">
        <f>$C1243*CO1242</f>
        <v/>
      </c>
      <c r="CP1243">
        <f>$C1243*CP1242</f>
        <v/>
      </c>
      <c r="CQ1243">
        <f>$C1243*CQ1242</f>
        <v/>
      </c>
      <c r="CR1243">
        <f>$C1243*CR1242</f>
        <v/>
      </c>
      <c r="CS1243">
        <f>$C1243*CS1242</f>
        <v/>
      </c>
      <c r="CT1243">
        <f>$C1243*CT1242</f>
        <v/>
      </c>
      <c r="CU1243">
        <f>$C1243*CU1242</f>
        <v/>
      </c>
      <c r="CV1243">
        <f>$C1243*CV1242</f>
        <v/>
      </c>
      <c r="CW1243">
        <f>$C1243*CW1242</f>
        <v/>
      </c>
      <c r="CX1243">
        <f>$C1243*CX1242</f>
        <v/>
      </c>
      <c r="CY1243">
        <f>$C1243*CY1242</f>
        <v/>
      </c>
      <c r="CZ1243">
        <f>$C1243*CZ1242</f>
        <v/>
      </c>
      <c r="DA1243">
        <f>$C1243*DA1242</f>
        <v/>
      </c>
      <c r="DB1243">
        <f>$C1243*DB1242</f>
        <v/>
      </c>
      <c r="DC1243">
        <f>$C1243*DC1242</f>
        <v/>
      </c>
    </row>
    <row r="1244">
      <c r="B1244" s="5" t="inlineStr">
        <is>
          <t>合計使用量(kg)/週</t>
        </is>
      </c>
      <c r="D1244">
        <f>'Grid_Requirement'!B54</f>
        <v/>
      </c>
      <c r="E1244">
        <f>'Grid_Requirement'!C54</f>
        <v/>
      </c>
      <c r="F1244">
        <f>'Grid_Requirement'!D54</f>
        <v/>
      </c>
      <c r="G1244">
        <f>'Grid_Requirement'!E54</f>
        <v/>
      </c>
      <c r="H1244">
        <f>'Grid_Requirement'!F54</f>
        <v/>
      </c>
      <c r="I1244">
        <f>'Grid_Requirement'!G54</f>
        <v/>
      </c>
      <c r="J1244">
        <f>'Grid_Requirement'!H54</f>
        <v/>
      </c>
      <c r="K1244">
        <f>'Grid_Requirement'!I54</f>
        <v/>
      </c>
      <c r="L1244">
        <f>'Grid_Requirement'!J54</f>
        <v/>
      </c>
      <c r="M1244">
        <f>'Grid_Requirement'!K54</f>
        <v/>
      </c>
      <c r="N1244">
        <f>'Grid_Requirement'!L54</f>
        <v/>
      </c>
      <c r="O1244">
        <f>'Grid_Requirement'!M54</f>
        <v/>
      </c>
      <c r="P1244">
        <f>'Grid_Requirement'!N54</f>
        <v/>
      </c>
      <c r="Q1244">
        <f>'Grid_Requirement'!O54</f>
        <v/>
      </c>
      <c r="R1244">
        <f>'Grid_Requirement'!P54</f>
        <v/>
      </c>
      <c r="S1244">
        <f>'Grid_Requirement'!Q54</f>
        <v/>
      </c>
      <c r="T1244">
        <f>'Grid_Requirement'!R54</f>
        <v/>
      </c>
      <c r="U1244">
        <f>'Grid_Requirement'!S54</f>
        <v/>
      </c>
      <c r="V1244">
        <f>'Grid_Requirement'!T54</f>
        <v/>
      </c>
      <c r="W1244">
        <f>'Grid_Requirement'!U54</f>
        <v/>
      </c>
      <c r="X1244">
        <f>'Grid_Requirement'!V54</f>
        <v/>
      </c>
      <c r="Y1244">
        <f>'Grid_Requirement'!W54</f>
        <v/>
      </c>
      <c r="Z1244">
        <f>'Grid_Requirement'!X54</f>
        <v/>
      </c>
      <c r="AA1244">
        <f>'Grid_Requirement'!Y54</f>
        <v/>
      </c>
      <c r="AB1244">
        <f>'Grid_Requirement'!Z54</f>
        <v/>
      </c>
      <c r="AC1244">
        <f>'Grid_Requirement'!AA54</f>
        <v/>
      </c>
      <c r="AD1244">
        <f>'Grid_Requirement'!AB54</f>
        <v/>
      </c>
      <c r="AE1244">
        <f>'Grid_Requirement'!AC54</f>
        <v/>
      </c>
      <c r="AF1244">
        <f>'Grid_Requirement'!AD54</f>
        <v/>
      </c>
      <c r="AG1244">
        <f>'Grid_Requirement'!AE54</f>
        <v/>
      </c>
      <c r="AH1244">
        <f>'Grid_Requirement'!AF54</f>
        <v/>
      </c>
      <c r="AI1244">
        <f>'Grid_Requirement'!AG54</f>
        <v/>
      </c>
      <c r="AJ1244">
        <f>'Grid_Requirement'!AH54</f>
        <v/>
      </c>
      <c r="AK1244">
        <f>'Grid_Requirement'!AI54</f>
        <v/>
      </c>
      <c r="AL1244">
        <f>'Grid_Requirement'!AJ54</f>
        <v/>
      </c>
      <c r="AM1244">
        <f>'Grid_Requirement'!AK54</f>
        <v/>
      </c>
      <c r="AN1244">
        <f>'Grid_Requirement'!AL54</f>
        <v/>
      </c>
      <c r="AO1244">
        <f>'Grid_Requirement'!AM54</f>
        <v/>
      </c>
      <c r="AP1244">
        <f>'Grid_Requirement'!AN54</f>
        <v/>
      </c>
      <c r="AQ1244">
        <f>'Grid_Requirement'!AO54</f>
        <v/>
      </c>
      <c r="AR1244">
        <f>'Grid_Requirement'!AP54</f>
        <v/>
      </c>
      <c r="AS1244">
        <f>'Grid_Requirement'!AQ54</f>
        <v/>
      </c>
      <c r="AT1244">
        <f>'Grid_Requirement'!AR54</f>
        <v/>
      </c>
      <c r="AU1244">
        <f>'Grid_Requirement'!AS54</f>
        <v/>
      </c>
      <c r="AV1244">
        <f>'Grid_Requirement'!AT54</f>
        <v/>
      </c>
      <c r="AW1244">
        <f>'Grid_Requirement'!AU54</f>
        <v/>
      </c>
      <c r="AX1244">
        <f>'Grid_Requirement'!AV54</f>
        <v/>
      </c>
      <c r="AY1244">
        <f>'Grid_Requirement'!AW54</f>
        <v/>
      </c>
      <c r="AZ1244">
        <f>'Grid_Requirement'!AX54</f>
        <v/>
      </c>
      <c r="BA1244">
        <f>'Grid_Requirement'!AY54</f>
        <v/>
      </c>
      <c r="BB1244">
        <f>'Grid_Requirement'!AZ54</f>
        <v/>
      </c>
      <c r="BC1244">
        <f>'Grid_Requirement'!BA54</f>
        <v/>
      </c>
      <c r="BD1244">
        <f>'Grid_Requirement'!BB54</f>
        <v/>
      </c>
      <c r="BE1244">
        <f>'Grid_Requirement'!BC54</f>
        <v/>
      </c>
      <c r="BF1244">
        <f>'Grid_Requirement'!BD54</f>
        <v/>
      </c>
      <c r="BG1244">
        <f>'Grid_Requirement'!BE54</f>
        <v/>
      </c>
      <c r="BH1244">
        <f>'Grid_Requirement'!BF54</f>
        <v/>
      </c>
      <c r="BI1244">
        <f>'Grid_Requirement'!BG54</f>
        <v/>
      </c>
      <c r="BJ1244">
        <f>'Grid_Requirement'!BH54</f>
        <v/>
      </c>
      <c r="BK1244">
        <f>'Grid_Requirement'!BI54</f>
        <v/>
      </c>
      <c r="BL1244">
        <f>'Grid_Requirement'!BJ54</f>
        <v/>
      </c>
      <c r="BM1244">
        <f>'Grid_Requirement'!BK54</f>
        <v/>
      </c>
      <c r="BN1244">
        <f>'Grid_Requirement'!BL54</f>
        <v/>
      </c>
      <c r="BO1244">
        <f>'Grid_Requirement'!BM54</f>
        <v/>
      </c>
      <c r="BP1244">
        <f>'Grid_Requirement'!BN54</f>
        <v/>
      </c>
      <c r="BQ1244">
        <f>'Grid_Requirement'!BO54</f>
        <v/>
      </c>
      <c r="BR1244">
        <f>'Grid_Requirement'!BP54</f>
        <v/>
      </c>
      <c r="BS1244">
        <f>'Grid_Requirement'!BQ54</f>
        <v/>
      </c>
      <c r="BT1244">
        <f>'Grid_Requirement'!BR54</f>
        <v/>
      </c>
      <c r="BU1244">
        <f>'Grid_Requirement'!BS54</f>
        <v/>
      </c>
      <c r="BV1244">
        <f>'Grid_Requirement'!BT54</f>
        <v/>
      </c>
      <c r="BW1244">
        <f>'Grid_Requirement'!BU54</f>
        <v/>
      </c>
      <c r="BX1244">
        <f>'Grid_Requirement'!BV54</f>
        <v/>
      </c>
      <c r="BY1244">
        <f>'Grid_Requirement'!BW54</f>
        <v/>
      </c>
      <c r="BZ1244">
        <f>'Grid_Requirement'!BX54</f>
        <v/>
      </c>
      <c r="CA1244">
        <f>'Grid_Requirement'!BY54</f>
        <v/>
      </c>
      <c r="CB1244">
        <f>'Grid_Requirement'!BZ54</f>
        <v/>
      </c>
      <c r="CC1244">
        <f>'Grid_Requirement'!CA54</f>
        <v/>
      </c>
      <c r="CD1244">
        <f>'Grid_Requirement'!CB54</f>
        <v/>
      </c>
      <c r="CE1244">
        <f>'Grid_Requirement'!CC54</f>
        <v/>
      </c>
      <c r="CF1244">
        <f>'Grid_Requirement'!CD54</f>
        <v/>
      </c>
      <c r="CG1244">
        <f>'Grid_Requirement'!CE54</f>
        <v/>
      </c>
      <c r="CH1244">
        <f>'Grid_Requirement'!CF54</f>
        <v/>
      </c>
      <c r="CI1244">
        <f>'Grid_Requirement'!CG54</f>
        <v/>
      </c>
      <c r="CJ1244">
        <f>'Grid_Requirement'!CH54</f>
        <v/>
      </c>
      <c r="CK1244">
        <f>'Grid_Requirement'!CI54</f>
        <v/>
      </c>
      <c r="CL1244">
        <f>'Grid_Requirement'!CJ54</f>
        <v/>
      </c>
      <c r="CM1244">
        <f>'Grid_Requirement'!CK54</f>
        <v/>
      </c>
      <c r="CN1244">
        <f>'Grid_Requirement'!CL54</f>
        <v/>
      </c>
      <c r="CO1244">
        <f>'Grid_Requirement'!CM54</f>
        <v/>
      </c>
      <c r="CP1244">
        <f>'Grid_Requirement'!CN54</f>
        <v/>
      </c>
      <c r="CQ1244">
        <f>'Grid_Requirement'!CO54</f>
        <v/>
      </c>
      <c r="CR1244">
        <f>'Grid_Requirement'!CP54</f>
        <v/>
      </c>
      <c r="CS1244">
        <f>'Grid_Requirement'!CQ54</f>
        <v/>
      </c>
      <c r="CT1244">
        <f>'Grid_Requirement'!CR54</f>
        <v/>
      </c>
      <c r="CU1244">
        <f>'Grid_Requirement'!CS54</f>
        <v/>
      </c>
      <c r="CV1244">
        <f>'Grid_Requirement'!CT54</f>
        <v/>
      </c>
      <c r="CW1244">
        <f>'Grid_Requirement'!CU54</f>
        <v/>
      </c>
      <c r="CX1244">
        <f>'Grid_Requirement'!CV54</f>
        <v/>
      </c>
      <c r="CY1244">
        <f>'Grid_Requirement'!CW54</f>
        <v/>
      </c>
      <c r="CZ1244">
        <f>'Grid_Requirement'!CX54</f>
        <v/>
      </c>
      <c r="DA1244">
        <f>'Grid_Requirement'!CY54</f>
        <v/>
      </c>
      <c r="DB1244">
        <f>'Grid_Requirement'!CZ54</f>
        <v/>
      </c>
      <c r="DC1244">
        <f>'Grid_Requirement'!DA54</f>
        <v/>
      </c>
    </row>
    <row r="1245">
      <c r="B1245" t="inlineStr">
        <is>
          <t>TTAF在庫(実績,kg)</t>
        </is>
      </c>
      <c r="D1245">
        <f>'T_TTAFStock'!B58</f>
        <v/>
      </c>
      <c r="E1245">
        <f>'T_TTAFStock'!C58</f>
        <v/>
      </c>
      <c r="F1245">
        <f>'T_TTAFStock'!D58</f>
        <v/>
      </c>
      <c r="G1245">
        <f>'T_TTAFStock'!E58</f>
        <v/>
      </c>
      <c r="H1245">
        <f>'T_TTAFStock'!F58</f>
        <v/>
      </c>
      <c r="I1245">
        <f>'T_TTAFStock'!G58</f>
        <v/>
      </c>
      <c r="J1245">
        <f>'T_TTAFStock'!H58</f>
        <v/>
      </c>
      <c r="K1245">
        <f>'T_TTAFStock'!I58</f>
        <v/>
      </c>
      <c r="L1245">
        <f>'T_TTAFStock'!J58</f>
        <v/>
      </c>
      <c r="M1245">
        <f>'T_TTAFStock'!K58</f>
        <v/>
      </c>
      <c r="N1245">
        <f>'T_TTAFStock'!L58</f>
        <v/>
      </c>
      <c r="O1245">
        <f>'T_TTAFStock'!M58</f>
        <v/>
      </c>
      <c r="P1245">
        <f>'T_TTAFStock'!N58</f>
        <v/>
      </c>
      <c r="Q1245">
        <f>'T_TTAFStock'!O58</f>
        <v/>
      </c>
      <c r="R1245">
        <f>'T_TTAFStock'!P58</f>
        <v/>
      </c>
      <c r="S1245">
        <f>'T_TTAFStock'!Q58</f>
        <v/>
      </c>
      <c r="T1245">
        <f>'T_TTAFStock'!R58</f>
        <v/>
      </c>
      <c r="U1245">
        <f>'T_TTAFStock'!S58</f>
        <v/>
      </c>
      <c r="V1245">
        <f>'T_TTAFStock'!T58</f>
        <v/>
      </c>
      <c r="W1245">
        <f>'T_TTAFStock'!U58</f>
        <v/>
      </c>
      <c r="X1245">
        <f>'T_TTAFStock'!V58</f>
        <v/>
      </c>
      <c r="Y1245">
        <f>'T_TTAFStock'!W58</f>
        <v/>
      </c>
      <c r="Z1245">
        <f>'T_TTAFStock'!X58</f>
        <v/>
      </c>
      <c r="AA1245">
        <f>'T_TTAFStock'!Y58</f>
        <v/>
      </c>
      <c r="AB1245">
        <f>'T_TTAFStock'!Z58</f>
        <v/>
      </c>
      <c r="AC1245">
        <f>'T_TTAFStock'!AA58</f>
        <v/>
      </c>
      <c r="AD1245">
        <f>'T_TTAFStock'!AB58</f>
        <v/>
      </c>
      <c r="AE1245">
        <f>'T_TTAFStock'!AC58</f>
        <v/>
      </c>
      <c r="AF1245">
        <f>'T_TTAFStock'!AD58</f>
        <v/>
      </c>
      <c r="AG1245">
        <f>'T_TTAFStock'!AE58</f>
        <v/>
      </c>
      <c r="AH1245">
        <f>'T_TTAFStock'!AF58</f>
        <v/>
      </c>
      <c r="AI1245">
        <f>'T_TTAFStock'!AG58</f>
        <v/>
      </c>
      <c r="AJ1245">
        <f>'T_TTAFStock'!AH58</f>
        <v/>
      </c>
      <c r="AK1245">
        <f>'T_TTAFStock'!AI58</f>
        <v/>
      </c>
      <c r="AL1245">
        <f>'T_TTAFStock'!AJ58</f>
        <v/>
      </c>
      <c r="AM1245">
        <f>'T_TTAFStock'!AK58</f>
        <v/>
      </c>
      <c r="AN1245">
        <f>'T_TTAFStock'!AL58</f>
        <v/>
      </c>
      <c r="AO1245">
        <f>'T_TTAFStock'!AM58</f>
        <v/>
      </c>
      <c r="AP1245">
        <f>'T_TTAFStock'!AN58</f>
        <v/>
      </c>
      <c r="AQ1245">
        <f>'T_TTAFStock'!AO58</f>
        <v/>
      </c>
      <c r="AR1245">
        <f>'T_TTAFStock'!AP58</f>
        <v/>
      </c>
      <c r="AS1245">
        <f>'T_TTAFStock'!AQ58</f>
        <v/>
      </c>
      <c r="AT1245">
        <f>'T_TTAFStock'!AR58</f>
        <v/>
      </c>
      <c r="AU1245">
        <f>'T_TTAFStock'!AS58</f>
        <v/>
      </c>
      <c r="AV1245">
        <f>'T_TTAFStock'!AT58</f>
        <v/>
      </c>
      <c r="AW1245">
        <f>'T_TTAFStock'!AU58</f>
        <v/>
      </c>
      <c r="AX1245">
        <f>'T_TTAFStock'!AV58</f>
        <v/>
      </c>
      <c r="AY1245">
        <f>'T_TTAFStock'!AW58</f>
        <v/>
      </c>
      <c r="AZ1245">
        <f>'T_TTAFStock'!AX58</f>
        <v/>
      </c>
      <c r="BA1245">
        <f>'T_TTAFStock'!AY58</f>
        <v/>
      </c>
      <c r="BB1245">
        <f>'T_TTAFStock'!AZ58</f>
        <v/>
      </c>
      <c r="BC1245">
        <f>'T_TTAFStock'!BA58</f>
        <v/>
      </c>
      <c r="BD1245">
        <f>'T_TTAFStock'!BB58</f>
        <v/>
      </c>
      <c r="BE1245">
        <f>'T_TTAFStock'!BC58</f>
        <v/>
      </c>
      <c r="BF1245">
        <f>'T_TTAFStock'!BD58</f>
        <v/>
      </c>
      <c r="BG1245">
        <f>'T_TTAFStock'!BE58</f>
        <v/>
      </c>
      <c r="BH1245">
        <f>'T_TTAFStock'!BF58</f>
        <v/>
      </c>
      <c r="BI1245">
        <f>'T_TTAFStock'!BG58</f>
        <v/>
      </c>
      <c r="BJ1245">
        <f>'T_TTAFStock'!BH58</f>
        <v/>
      </c>
      <c r="BK1245">
        <f>'T_TTAFStock'!BI58</f>
        <v/>
      </c>
      <c r="BL1245">
        <f>'T_TTAFStock'!BJ58</f>
        <v/>
      </c>
      <c r="BM1245">
        <f>'T_TTAFStock'!BK58</f>
        <v/>
      </c>
      <c r="BN1245">
        <f>'T_TTAFStock'!BL58</f>
        <v/>
      </c>
      <c r="BO1245">
        <f>'T_TTAFStock'!BM58</f>
        <v/>
      </c>
      <c r="BP1245">
        <f>'T_TTAFStock'!BN58</f>
        <v/>
      </c>
      <c r="BQ1245">
        <f>'T_TTAFStock'!BO58</f>
        <v/>
      </c>
      <c r="BR1245">
        <f>'T_TTAFStock'!BP58</f>
        <v/>
      </c>
      <c r="BS1245">
        <f>'T_TTAFStock'!BQ58</f>
        <v/>
      </c>
      <c r="BT1245">
        <f>'T_TTAFStock'!BR58</f>
        <v/>
      </c>
      <c r="BU1245">
        <f>'T_TTAFStock'!BS58</f>
        <v/>
      </c>
      <c r="BV1245">
        <f>'T_TTAFStock'!BT58</f>
        <v/>
      </c>
      <c r="BW1245">
        <f>'T_TTAFStock'!BU58</f>
        <v/>
      </c>
      <c r="BX1245">
        <f>'T_TTAFStock'!BV58</f>
        <v/>
      </c>
      <c r="BY1245">
        <f>'T_TTAFStock'!BW58</f>
        <v/>
      </c>
      <c r="BZ1245">
        <f>'T_TTAFStock'!BX58</f>
        <v/>
      </c>
      <c r="CA1245">
        <f>'T_TTAFStock'!BY58</f>
        <v/>
      </c>
      <c r="CB1245">
        <f>'T_TTAFStock'!BZ58</f>
        <v/>
      </c>
      <c r="CC1245">
        <f>'T_TTAFStock'!CA58</f>
        <v/>
      </c>
      <c r="CD1245">
        <f>'T_TTAFStock'!CB58</f>
        <v/>
      </c>
      <c r="CE1245">
        <f>'T_TTAFStock'!CC58</f>
        <v/>
      </c>
      <c r="CF1245">
        <f>'T_TTAFStock'!CD58</f>
        <v/>
      </c>
      <c r="CG1245">
        <f>'T_TTAFStock'!CE58</f>
        <v/>
      </c>
      <c r="CH1245">
        <f>'T_TTAFStock'!CF58</f>
        <v/>
      </c>
      <c r="CI1245">
        <f>'T_TTAFStock'!CG58</f>
        <v/>
      </c>
      <c r="CJ1245">
        <f>'T_TTAFStock'!CH58</f>
        <v/>
      </c>
      <c r="CK1245">
        <f>'T_TTAFStock'!CI58</f>
        <v/>
      </c>
      <c r="CL1245">
        <f>'T_TTAFStock'!CJ58</f>
        <v/>
      </c>
      <c r="CM1245">
        <f>'T_TTAFStock'!CK58</f>
        <v/>
      </c>
      <c r="CN1245">
        <f>'T_TTAFStock'!CL58</f>
        <v/>
      </c>
      <c r="CO1245">
        <f>'T_TTAFStock'!CM58</f>
        <v/>
      </c>
      <c r="CP1245">
        <f>'T_TTAFStock'!CN58</f>
        <v/>
      </c>
      <c r="CQ1245">
        <f>'T_TTAFStock'!CO58</f>
        <v/>
      </c>
      <c r="CR1245">
        <f>'T_TTAFStock'!CP58</f>
        <v/>
      </c>
      <c r="CS1245">
        <f>'T_TTAFStock'!CQ58</f>
        <v/>
      </c>
      <c r="CT1245">
        <f>'T_TTAFStock'!CR58</f>
        <v/>
      </c>
      <c r="CU1245">
        <f>'T_TTAFStock'!CS58</f>
        <v/>
      </c>
      <c r="CV1245">
        <f>'T_TTAFStock'!CT58</f>
        <v/>
      </c>
      <c r="CW1245">
        <f>'T_TTAFStock'!CU58</f>
        <v/>
      </c>
      <c r="CX1245">
        <f>'T_TTAFStock'!CV58</f>
        <v/>
      </c>
      <c r="CY1245">
        <f>'T_TTAFStock'!CW58</f>
        <v/>
      </c>
      <c r="CZ1245">
        <f>'T_TTAFStock'!CX58</f>
        <v/>
      </c>
      <c r="DA1245">
        <f>'T_TTAFStock'!CY58</f>
        <v/>
      </c>
      <c r="DB1245">
        <f>'T_TTAFStock'!CZ58</f>
        <v/>
      </c>
      <c r="DC1245">
        <f>'T_TTAFStock'!DA58</f>
        <v/>
      </c>
    </row>
    <row r="1246">
      <c r="B1246" t="inlineStr">
        <is>
          <t>自社在庫(実績,kg)</t>
        </is>
      </c>
      <c r="D1246">
        <f>'T_SelfStock'!B58</f>
        <v/>
      </c>
      <c r="E1246">
        <f>'T_SelfStock'!C58</f>
        <v/>
      </c>
      <c r="F1246">
        <f>'T_SelfStock'!D58</f>
        <v/>
      </c>
      <c r="G1246">
        <f>'T_SelfStock'!E58</f>
        <v/>
      </c>
      <c r="H1246">
        <f>'T_SelfStock'!F58</f>
        <v/>
      </c>
      <c r="I1246">
        <f>'T_SelfStock'!G58</f>
        <v/>
      </c>
      <c r="J1246">
        <f>'T_SelfStock'!H58</f>
        <v/>
      </c>
      <c r="K1246">
        <f>'T_SelfStock'!I58</f>
        <v/>
      </c>
      <c r="L1246">
        <f>'T_SelfStock'!J58</f>
        <v/>
      </c>
      <c r="M1246">
        <f>'T_SelfStock'!K58</f>
        <v/>
      </c>
      <c r="N1246">
        <f>'T_SelfStock'!L58</f>
        <v/>
      </c>
      <c r="O1246">
        <f>'T_SelfStock'!M58</f>
        <v/>
      </c>
      <c r="P1246">
        <f>'T_SelfStock'!N58</f>
        <v/>
      </c>
      <c r="Q1246">
        <f>'T_SelfStock'!O58</f>
        <v/>
      </c>
      <c r="R1246">
        <f>'T_SelfStock'!P58</f>
        <v/>
      </c>
      <c r="S1246">
        <f>'T_SelfStock'!Q58</f>
        <v/>
      </c>
      <c r="T1246">
        <f>'T_SelfStock'!R58</f>
        <v/>
      </c>
      <c r="U1246">
        <f>'T_SelfStock'!S58</f>
        <v/>
      </c>
      <c r="V1246">
        <f>'T_SelfStock'!T58</f>
        <v/>
      </c>
      <c r="W1246">
        <f>'T_SelfStock'!U58</f>
        <v/>
      </c>
      <c r="X1246">
        <f>'T_SelfStock'!V58</f>
        <v/>
      </c>
      <c r="Y1246">
        <f>'T_SelfStock'!W58</f>
        <v/>
      </c>
      <c r="Z1246">
        <f>'T_SelfStock'!X58</f>
        <v/>
      </c>
      <c r="AA1246">
        <f>'T_SelfStock'!Y58</f>
        <v/>
      </c>
      <c r="AB1246">
        <f>'T_SelfStock'!Z58</f>
        <v/>
      </c>
      <c r="AC1246">
        <f>'T_SelfStock'!AA58</f>
        <v/>
      </c>
      <c r="AD1246">
        <f>'T_SelfStock'!AB58</f>
        <v/>
      </c>
      <c r="AE1246">
        <f>'T_SelfStock'!AC58</f>
        <v/>
      </c>
      <c r="AF1246">
        <f>'T_SelfStock'!AD58</f>
        <v/>
      </c>
      <c r="AG1246">
        <f>'T_SelfStock'!AE58</f>
        <v/>
      </c>
      <c r="AH1246">
        <f>'T_SelfStock'!AF58</f>
        <v/>
      </c>
      <c r="AI1246">
        <f>'T_SelfStock'!AG58</f>
        <v/>
      </c>
      <c r="AJ1246">
        <f>'T_SelfStock'!AH58</f>
        <v/>
      </c>
      <c r="AK1246">
        <f>'T_SelfStock'!AI58</f>
        <v/>
      </c>
      <c r="AL1246">
        <f>'T_SelfStock'!AJ58</f>
        <v/>
      </c>
      <c r="AM1246">
        <f>'T_SelfStock'!AK58</f>
        <v/>
      </c>
      <c r="AN1246">
        <f>'T_SelfStock'!AL58</f>
        <v/>
      </c>
      <c r="AO1246">
        <f>'T_SelfStock'!AM58</f>
        <v/>
      </c>
      <c r="AP1246">
        <f>'T_SelfStock'!AN58</f>
        <v/>
      </c>
      <c r="AQ1246">
        <f>'T_SelfStock'!AO58</f>
        <v/>
      </c>
      <c r="AR1246">
        <f>'T_SelfStock'!AP58</f>
        <v/>
      </c>
      <c r="AS1246">
        <f>'T_SelfStock'!AQ58</f>
        <v/>
      </c>
      <c r="AT1246">
        <f>'T_SelfStock'!AR58</f>
        <v/>
      </c>
      <c r="AU1246">
        <f>'T_SelfStock'!AS58</f>
        <v/>
      </c>
      <c r="AV1246">
        <f>'T_SelfStock'!AT58</f>
        <v/>
      </c>
      <c r="AW1246">
        <f>'T_SelfStock'!AU58</f>
        <v/>
      </c>
      <c r="AX1246">
        <f>'T_SelfStock'!AV58</f>
        <v/>
      </c>
      <c r="AY1246">
        <f>'T_SelfStock'!AW58</f>
        <v/>
      </c>
      <c r="AZ1246">
        <f>'T_SelfStock'!AX58</f>
        <v/>
      </c>
      <c r="BA1246">
        <f>'T_SelfStock'!AY58</f>
        <v/>
      </c>
      <c r="BB1246">
        <f>'T_SelfStock'!AZ58</f>
        <v/>
      </c>
      <c r="BC1246">
        <f>'T_SelfStock'!BA58</f>
        <v/>
      </c>
      <c r="BD1246">
        <f>'T_SelfStock'!BB58</f>
        <v/>
      </c>
      <c r="BE1246">
        <f>'T_SelfStock'!BC58</f>
        <v/>
      </c>
      <c r="BF1246">
        <f>'T_SelfStock'!BD58</f>
        <v/>
      </c>
      <c r="BG1246">
        <f>'T_SelfStock'!BE58</f>
        <v/>
      </c>
      <c r="BH1246">
        <f>'T_SelfStock'!BF58</f>
        <v/>
      </c>
      <c r="BI1246">
        <f>'T_SelfStock'!BG58</f>
        <v/>
      </c>
      <c r="BJ1246">
        <f>'T_SelfStock'!BH58</f>
        <v/>
      </c>
      <c r="BK1246">
        <f>'T_SelfStock'!BI58</f>
        <v/>
      </c>
      <c r="BL1246">
        <f>'T_SelfStock'!BJ58</f>
        <v/>
      </c>
      <c r="BM1246">
        <f>'T_SelfStock'!BK58</f>
        <v/>
      </c>
      <c r="BN1246">
        <f>'T_SelfStock'!BL58</f>
        <v/>
      </c>
      <c r="BO1246">
        <f>'T_SelfStock'!BM58</f>
        <v/>
      </c>
      <c r="BP1246">
        <f>'T_SelfStock'!BN58</f>
        <v/>
      </c>
      <c r="BQ1246">
        <f>'T_SelfStock'!BO58</f>
        <v/>
      </c>
      <c r="BR1246">
        <f>'T_SelfStock'!BP58</f>
        <v/>
      </c>
      <c r="BS1246">
        <f>'T_SelfStock'!BQ58</f>
        <v/>
      </c>
      <c r="BT1246">
        <f>'T_SelfStock'!BR58</f>
        <v/>
      </c>
      <c r="BU1246">
        <f>'T_SelfStock'!BS58</f>
        <v/>
      </c>
      <c r="BV1246">
        <f>'T_SelfStock'!BT58</f>
        <v/>
      </c>
      <c r="BW1246">
        <f>'T_SelfStock'!BU58</f>
        <v/>
      </c>
      <c r="BX1246">
        <f>'T_SelfStock'!BV58</f>
        <v/>
      </c>
      <c r="BY1246">
        <f>'T_SelfStock'!BW58</f>
        <v/>
      </c>
      <c r="BZ1246">
        <f>'T_SelfStock'!BX58</f>
        <v/>
      </c>
      <c r="CA1246">
        <f>'T_SelfStock'!BY58</f>
        <v/>
      </c>
      <c r="CB1246">
        <f>'T_SelfStock'!BZ58</f>
        <v/>
      </c>
      <c r="CC1246">
        <f>'T_SelfStock'!CA58</f>
        <v/>
      </c>
      <c r="CD1246">
        <f>'T_SelfStock'!CB58</f>
        <v/>
      </c>
      <c r="CE1246">
        <f>'T_SelfStock'!CC58</f>
        <v/>
      </c>
      <c r="CF1246">
        <f>'T_SelfStock'!CD58</f>
        <v/>
      </c>
      <c r="CG1246">
        <f>'T_SelfStock'!CE58</f>
        <v/>
      </c>
      <c r="CH1246">
        <f>'T_SelfStock'!CF58</f>
        <v/>
      </c>
      <c r="CI1246">
        <f>'T_SelfStock'!CG58</f>
        <v/>
      </c>
      <c r="CJ1246">
        <f>'T_SelfStock'!CH58</f>
        <v/>
      </c>
      <c r="CK1246">
        <f>'T_SelfStock'!CI58</f>
        <v/>
      </c>
      <c r="CL1246">
        <f>'T_SelfStock'!CJ58</f>
        <v/>
      </c>
      <c r="CM1246">
        <f>'T_SelfStock'!CK58</f>
        <v/>
      </c>
      <c r="CN1246">
        <f>'T_SelfStock'!CL58</f>
        <v/>
      </c>
      <c r="CO1246">
        <f>'T_SelfStock'!CM58</f>
        <v/>
      </c>
      <c r="CP1246">
        <f>'T_SelfStock'!CN58</f>
        <v/>
      </c>
      <c r="CQ1246">
        <f>'T_SelfStock'!CO58</f>
        <v/>
      </c>
      <c r="CR1246">
        <f>'T_SelfStock'!CP58</f>
        <v/>
      </c>
      <c r="CS1246">
        <f>'T_SelfStock'!CQ58</f>
        <v/>
      </c>
      <c r="CT1246">
        <f>'T_SelfStock'!CR58</f>
        <v/>
      </c>
      <c r="CU1246">
        <f>'T_SelfStock'!CS58</f>
        <v/>
      </c>
      <c r="CV1246">
        <f>'T_SelfStock'!CT58</f>
        <v/>
      </c>
      <c r="CW1246">
        <f>'T_SelfStock'!CU58</f>
        <v/>
      </c>
      <c r="CX1246">
        <f>'T_SelfStock'!CV58</f>
        <v/>
      </c>
      <c r="CY1246">
        <f>'T_SelfStock'!CW58</f>
        <v/>
      </c>
      <c r="CZ1246">
        <f>'T_SelfStock'!CX58</f>
        <v/>
      </c>
      <c r="DA1246">
        <f>'T_SelfStock'!CY58</f>
        <v/>
      </c>
      <c r="DB1246">
        <f>'T_SelfStock'!CZ58</f>
        <v/>
      </c>
      <c r="DC1246">
        <f>'T_SelfStock'!DA58</f>
        <v/>
      </c>
    </row>
    <row r="1247">
      <c r="B1247" t="inlineStr">
        <is>
          <t>Order(発注予定,kg)</t>
        </is>
      </c>
      <c r="D1247">
        <f>IF(SUMIFS(T_PlannedOrders[EffectiveQty],T_PlannedOrders[Part Name],$A1241,T_PlannedOrders[WeekIndex],1)=0,"",SUMIFS(T_PlannedOrders[EffectiveQty],T_PlannedOrders[Part Name],$A1241,T_PlannedOrders[WeekIndex],1)&amp;" ("&amp;TEXT(SUMPRODUCT(MAX((T_PlannedOrders[Part Name]=$A1241)*(T_PlannedOrders[WeekIndex]=1)*(T_PlannedOrders[EffectiveQty]&gt;0)*T_PlannedOrders[Order_Month])),"m月")&amp;"発注)")</f>
        <v/>
      </c>
      <c r="E1247">
        <f>IF(SUMIFS(T_PlannedOrders[EffectiveQty],T_PlannedOrders[Part Name],$A1241,T_PlannedOrders[WeekIndex],2)=0,"",SUMIFS(T_PlannedOrders[EffectiveQty],T_PlannedOrders[Part Name],$A1241,T_PlannedOrders[WeekIndex],2)&amp;" ("&amp;TEXT(SUMPRODUCT(MAX((T_PlannedOrders[Part Name]=$A1241)*(T_PlannedOrders[WeekIndex]=2)*(T_PlannedOrders[EffectiveQty]&gt;0)*T_PlannedOrders[Order_Month])),"m月")&amp;"発注)")</f>
        <v/>
      </c>
      <c r="F1247">
        <f>IF(SUMIFS(T_PlannedOrders[EffectiveQty],T_PlannedOrders[Part Name],$A1241,T_PlannedOrders[WeekIndex],3)=0,"",SUMIFS(T_PlannedOrders[EffectiveQty],T_PlannedOrders[Part Name],$A1241,T_PlannedOrders[WeekIndex],3)&amp;" ("&amp;TEXT(SUMPRODUCT(MAX((T_PlannedOrders[Part Name]=$A1241)*(T_PlannedOrders[WeekIndex]=3)*(T_PlannedOrders[EffectiveQty]&gt;0)*T_PlannedOrders[Order_Month])),"m月")&amp;"発注)")</f>
        <v/>
      </c>
      <c r="G1247">
        <f>IF(SUMIFS(T_PlannedOrders[EffectiveQty],T_PlannedOrders[Part Name],$A1241,T_PlannedOrders[WeekIndex],4)=0,"",SUMIFS(T_PlannedOrders[EffectiveQty],T_PlannedOrders[Part Name],$A1241,T_PlannedOrders[WeekIndex],4)&amp;" ("&amp;TEXT(SUMPRODUCT(MAX((T_PlannedOrders[Part Name]=$A1241)*(T_PlannedOrders[WeekIndex]=4)*(T_PlannedOrders[EffectiveQty]&gt;0)*T_PlannedOrders[Order_Month])),"m月")&amp;"発注)")</f>
        <v/>
      </c>
      <c r="H1247">
        <f>IF(SUMIFS(T_PlannedOrders[EffectiveQty],T_PlannedOrders[Part Name],$A1241,T_PlannedOrders[WeekIndex],5)=0,"",SUMIFS(T_PlannedOrders[EffectiveQty],T_PlannedOrders[Part Name],$A1241,T_PlannedOrders[WeekIndex],5)&amp;" ("&amp;TEXT(SUMPRODUCT(MAX((T_PlannedOrders[Part Name]=$A1241)*(T_PlannedOrders[WeekIndex]=5)*(T_PlannedOrders[EffectiveQty]&gt;0)*T_PlannedOrders[Order_Month])),"m月")&amp;"発注)")</f>
        <v/>
      </c>
      <c r="I1247">
        <f>IF(SUMIFS(T_PlannedOrders[EffectiveQty],T_PlannedOrders[Part Name],$A1241,T_PlannedOrders[WeekIndex],6)=0,"",SUMIFS(T_PlannedOrders[EffectiveQty],T_PlannedOrders[Part Name],$A1241,T_PlannedOrders[WeekIndex],6)&amp;" ("&amp;TEXT(SUMPRODUCT(MAX((T_PlannedOrders[Part Name]=$A1241)*(T_PlannedOrders[WeekIndex]=6)*(T_PlannedOrders[EffectiveQty]&gt;0)*T_PlannedOrders[Order_Month])),"m月")&amp;"発注)")</f>
        <v/>
      </c>
      <c r="J1247">
        <f>IF(SUMIFS(T_PlannedOrders[EffectiveQty],T_PlannedOrders[Part Name],$A1241,T_PlannedOrders[WeekIndex],7)=0,"",SUMIFS(T_PlannedOrders[EffectiveQty],T_PlannedOrders[Part Name],$A1241,T_PlannedOrders[WeekIndex],7)&amp;" ("&amp;TEXT(SUMPRODUCT(MAX((T_PlannedOrders[Part Name]=$A1241)*(T_PlannedOrders[WeekIndex]=7)*(T_PlannedOrders[EffectiveQty]&gt;0)*T_PlannedOrders[Order_Month])),"m月")&amp;"発注)")</f>
        <v/>
      </c>
      <c r="K1247">
        <f>IF(SUMIFS(T_PlannedOrders[EffectiveQty],T_PlannedOrders[Part Name],$A1241,T_PlannedOrders[WeekIndex],8)=0,"",SUMIFS(T_PlannedOrders[EffectiveQty],T_PlannedOrders[Part Name],$A1241,T_PlannedOrders[WeekIndex],8)&amp;" ("&amp;TEXT(SUMPRODUCT(MAX((T_PlannedOrders[Part Name]=$A1241)*(T_PlannedOrders[WeekIndex]=8)*(T_PlannedOrders[EffectiveQty]&gt;0)*T_PlannedOrders[Order_Month])),"m月")&amp;"発注)")</f>
        <v/>
      </c>
      <c r="L1247">
        <f>IF(SUMIFS(T_PlannedOrders[EffectiveQty],T_PlannedOrders[Part Name],$A1241,T_PlannedOrders[WeekIndex],9)=0,"",SUMIFS(T_PlannedOrders[EffectiveQty],T_PlannedOrders[Part Name],$A1241,T_PlannedOrders[WeekIndex],9)&amp;" ("&amp;TEXT(SUMPRODUCT(MAX((T_PlannedOrders[Part Name]=$A1241)*(T_PlannedOrders[WeekIndex]=9)*(T_PlannedOrders[EffectiveQty]&gt;0)*T_PlannedOrders[Order_Month])),"m月")&amp;"発注)")</f>
        <v/>
      </c>
      <c r="M1247">
        <f>IF(SUMIFS(T_PlannedOrders[EffectiveQty],T_PlannedOrders[Part Name],$A1241,T_PlannedOrders[WeekIndex],10)=0,"",SUMIFS(T_PlannedOrders[EffectiveQty],T_PlannedOrders[Part Name],$A1241,T_PlannedOrders[WeekIndex],10)&amp;" ("&amp;TEXT(SUMPRODUCT(MAX((T_PlannedOrders[Part Name]=$A1241)*(T_PlannedOrders[WeekIndex]=10)*(T_PlannedOrders[EffectiveQty]&gt;0)*T_PlannedOrders[Order_Month])),"m月")&amp;"発注)")</f>
        <v/>
      </c>
      <c r="N1247">
        <f>IF(SUMIFS(T_PlannedOrders[EffectiveQty],T_PlannedOrders[Part Name],$A1241,T_PlannedOrders[WeekIndex],11)=0,"",SUMIFS(T_PlannedOrders[EffectiveQty],T_PlannedOrders[Part Name],$A1241,T_PlannedOrders[WeekIndex],11)&amp;" ("&amp;TEXT(SUMPRODUCT(MAX((T_PlannedOrders[Part Name]=$A1241)*(T_PlannedOrders[WeekIndex]=11)*(T_PlannedOrders[EffectiveQty]&gt;0)*T_PlannedOrders[Order_Month])),"m月")&amp;"発注)")</f>
        <v/>
      </c>
      <c r="O1247">
        <f>IF(SUMIFS(T_PlannedOrders[EffectiveQty],T_PlannedOrders[Part Name],$A1241,T_PlannedOrders[WeekIndex],12)=0,"",SUMIFS(T_PlannedOrders[EffectiveQty],T_PlannedOrders[Part Name],$A1241,T_PlannedOrders[WeekIndex],12)&amp;" ("&amp;TEXT(SUMPRODUCT(MAX((T_PlannedOrders[Part Name]=$A1241)*(T_PlannedOrders[WeekIndex]=12)*(T_PlannedOrders[EffectiveQty]&gt;0)*T_PlannedOrders[Order_Month])),"m月")&amp;"発注)")</f>
        <v/>
      </c>
      <c r="P1247">
        <f>IF(SUMIFS(T_PlannedOrders[EffectiveQty],T_PlannedOrders[Part Name],$A1241,T_PlannedOrders[WeekIndex],13)=0,"",SUMIFS(T_PlannedOrders[EffectiveQty],T_PlannedOrders[Part Name],$A1241,T_PlannedOrders[WeekIndex],13)&amp;" ("&amp;TEXT(SUMPRODUCT(MAX((T_PlannedOrders[Part Name]=$A1241)*(T_PlannedOrders[WeekIndex]=13)*(T_PlannedOrders[EffectiveQty]&gt;0)*T_PlannedOrders[Order_Month])),"m月")&amp;"発注)")</f>
        <v/>
      </c>
      <c r="Q1247">
        <f>IF(SUMIFS(T_PlannedOrders[EffectiveQty],T_PlannedOrders[Part Name],$A1241,T_PlannedOrders[WeekIndex],14)=0,"",SUMIFS(T_PlannedOrders[EffectiveQty],T_PlannedOrders[Part Name],$A1241,T_PlannedOrders[WeekIndex],14)&amp;" ("&amp;TEXT(SUMPRODUCT(MAX((T_PlannedOrders[Part Name]=$A1241)*(T_PlannedOrders[WeekIndex]=14)*(T_PlannedOrders[EffectiveQty]&gt;0)*T_PlannedOrders[Order_Month])),"m月")&amp;"発注)")</f>
        <v/>
      </c>
      <c r="R1247">
        <f>IF(SUMIFS(T_PlannedOrders[EffectiveQty],T_PlannedOrders[Part Name],$A1241,T_PlannedOrders[WeekIndex],15)=0,"",SUMIFS(T_PlannedOrders[EffectiveQty],T_PlannedOrders[Part Name],$A1241,T_PlannedOrders[WeekIndex],15)&amp;" ("&amp;TEXT(SUMPRODUCT(MAX((T_PlannedOrders[Part Name]=$A1241)*(T_PlannedOrders[WeekIndex]=15)*(T_PlannedOrders[EffectiveQty]&gt;0)*T_PlannedOrders[Order_Month])),"m月")&amp;"発注)")</f>
        <v/>
      </c>
      <c r="S1247">
        <f>IF(SUMIFS(T_PlannedOrders[EffectiveQty],T_PlannedOrders[Part Name],$A1241,T_PlannedOrders[WeekIndex],16)=0,"",SUMIFS(T_PlannedOrders[EffectiveQty],T_PlannedOrders[Part Name],$A1241,T_PlannedOrders[WeekIndex],16)&amp;" ("&amp;TEXT(SUMPRODUCT(MAX((T_PlannedOrders[Part Name]=$A1241)*(T_PlannedOrders[WeekIndex]=16)*(T_PlannedOrders[EffectiveQty]&gt;0)*T_PlannedOrders[Order_Month])),"m月")&amp;"発注)")</f>
        <v/>
      </c>
      <c r="T1247">
        <f>IF(SUMIFS(T_PlannedOrders[EffectiveQty],T_PlannedOrders[Part Name],$A1241,T_PlannedOrders[WeekIndex],17)=0,"",SUMIFS(T_PlannedOrders[EffectiveQty],T_PlannedOrders[Part Name],$A1241,T_PlannedOrders[WeekIndex],17)&amp;" ("&amp;TEXT(SUMPRODUCT(MAX((T_PlannedOrders[Part Name]=$A1241)*(T_PlannedOrders[WeekIndex]=17)*(T_PlannedOrders[EffectiveQty]&gt;0)*T_PlannedOrders[Order_Month])),"m月")&amp;"発注)")</f>
        <v/>
      </c>
      <c r="U1247">
        <f>IF(SUMIFS(T_PlannedOrders[EffectiveQty],T_PlannedOrders[Part Name],$A1241,T_PlannedOrders[WeekIndex],18)=0,"",SUMIFS(T_PlannedOrders[EffectiveQty],T_PlannedOrders[Part Name],$A1241,T_PlannedOrders[WeekIndex],18)&amp;" ("&amp;TEXT(SUMPRODUCT(MAX((T_PlannedOrders[Part Name]=$A1241)*(T_PlannedOrders[WeekIndex]=18)*(T_PlannedOrders[EffectiveQty]&gt;0)*T_PlannedOrders[Order_Month])),"m月")&amp;"発注)")</f>
        <v/>
      </c>
      <c r="V1247">
        <f>IF(SUMIFS(T_PlannedOrders[EffectiveQty],T_PlannedOrders[Part Name],$A1241,T_PlannedOrders[WeekIndex],19)=0,"",SUMIFS(T_PlannedOrders[EffectiveQty],T_PlannedOrders[Part Name],$A1241,T_PlannedOrders[WeekIndex],19)&amp;" ("&amp;TEXT(SUMPRODUCT(MAX((T_PlannedOrders[Part Name]=$A1241)*(T_PlannedOrders[WeekIndex]=19)*(T_PlannedOrders[EffectiveQty]&gt;0)*T_PlannedOrders[Order_Month])),"m月")&amp;"発注)")</f>
        <v/>
      </c>
      <c r="W1247">
        <f>IF(SUMIFS(T_PlannedOrders[EffectiveQty],T_PlannedOrders[Part Name],$A1241,T_PlannedOrders[WeekIndex],20)=0,"",SUMIFS(T_PlannedOrders[EffectiveQty],T_PlannedOrders[Part Name],$A1241,T_PlannedOrders[WeekIndex],20)&amp;" ("&amp;TEXT(SUMPRODUCT(MAX((T_PlannedOrders[Part Name]=$A1241)*(T_PlannedOrders[WeekIndex]=20)*(T_PlannedOrders[EffectiveQty]&gt;0)*T_PlannedOrders[Order_Month])),"m月")&amp;"発注)")</f>
        <v/>
      </c>
      <c r="X1247">
        <f>IF(SUMIFS(T_PlannedOrders[EffectiveQty],T_PlannedOrders[Part Name],$A1241,T_PlannedOrders[WeekIndex],21)=0,"",SUMIFS(T_PlannedOrders[EffectiveQty],T_PlannedOrders[Part Name],$A1241,T_PlannedOrders[WeekIndex],21)&amp;" ("&amp;TEXT(SUMPRODUCT(MAX((T_PlannedOrders[Part Name]=$A1241)*(T_PlannedOrders[WeekIndex]=21)*(T_PlannedOrders[EffectiveQty]&gt;0)*T_PlannedOrders[Order_Month])),"m月")&amp;"発注)")</f>
        <v/>
      </c>
      <c r="Y1247">
        <f>IF(SUMIFS(T_PlannedOrders[EffectiveQty],T_PlannedOrders[Part Name],$A1241,T_PlannedOrders[WeekIndex],22)=0,"",SUMIFS(T_PlannedOrders[EffectiveQty],T_PlannedOrders[Part Name],$A1241,T_PlannedOrders[WeekIndex],22)&amp;" ("&amp;TEXT(SUMPRODUCT(MAX((T_PlannedOrders[Part Name]=$A1241)*(T_PlannedOrders[WeekIndex]=22)*(T_PlannedOrders[EffectiveQty]&gt;0)*T_PlannedOrders[Order_Month])),"m月")&amp;"発注)")</f>
        <v/>
      </c>
      <c r="Z1247">
        <f>IF(SUMIFS(T_PlannedOrders[EffectiveQty],T_PlannedOrders[Part Name],$A1241,T_PlannedOrders[WeekIndex],23)=0,"",SUMIFS(T_PlannedOrders[EffectiveQty],T_PlannedOrders[Part Name],$A1241,T_PlannedOrders[WeekIndex],23)&amp;" ("&amp;TEXT(SUMPRODUCT(MAX((T_PlannedOrders[Part Name]=$A1241)*(T_PlannedOrders[WeekIndex]=23)*(T_PlannedOrders[EffectiveQty]&gt;0)*T_PlannedOrders[Order_Month])),"m月")&amp;"発注)")</f>
        <v/>
      </c>
      <c r="AA1247">
        <f>IF(SUMIFS(T_PlannedOrders[EffectiveQty],T_PlannedOrders[Part Name],$A1241,T_PlannedOrders[WeekIndex],24)=0,"",SUMIFS(T_PlannedOrders[EffectiveQty],T_PlannedOrders[Part Name],$A1241,T_PlannedOrders[WeekIndex],24)&amp;" ("&amp;TEXT(SUMPRODUCT(MAX((T_PlannedOrders[Part Name]=$A1241)*(T_PlannedOrders[WeekIndex]=24)*(T_PlannedOrders[EffectiveQty]&gt;0)*T_PlannedOrders[Order_Month])),"m月")&amp;"発注)")</f>
        <v/>
      </c>
      <c r="AB1247">
        <f>IF(SUMIFS(T_PlannedOrders[EffectiveQty],T_PlannedOrders[Part Name],$A1241,T_PlannedOrders[WeekIndex],25)=0,"",SUMIFS(T_PlannedOrders[EffectiveQty],T_PlannedOrders[Part Name],$A1241,T_PlannedOrders[WeekIndex],25)&amp;" ("&amp;TEXT(SUMPRODUCT(MAX((T_PlannedOrders[Part Name]=$A1241)*(T_PlannedOrders[WeekIndex]=25)*(T_PlannedOrders[EffectiveQty]&gt;0)*T_PlannedOrders[Order_Month])),"m月")&amp;"発注)")</f>
        <v/>
      </c>
      <c r="AC1247">
        <f>IF(SUMIFS(T_PlannedOrders[EffectiveQty],T_PlannedOrders[Part Name],$A1241,T_PlannedOrders[WeekIndex],26)=0,"",SUMIFS(T_PlannedOrders[EffectiveQty],T_PlannedOrders[Part Name],$A1241,T_PlannedOrders[WeekIndex],26)&amp;" ("&amp;TEXT(SUMPRODUCT(MAX((T_PlannedOrders[Part Name]=$A1241)*(T_PlannedOrders[WeekIndex]=26)*(T_PlannedOrders[EffectiveQty]&gt;0)*T_PlannedOrders[Order_Month])),"m月")&amp;"発注)")</f>
        <v/>
      </c>
      <c r="AD1247">
        <f>IF(SUMIFS(T_PlannedOrders[EffectiveQty],T_PlannedOrders[Part Name],$A1241,T_PlannedOrders[WeekIndex],27)=0,"",SUMIFS(T_PlannedOrders[EffectiveQty],T_PlannedOrders[Part Name],$A1241,T_PlannedOrders[WeekIndex],27)&amp;" ("&amp;TEXT(SUMPRODUCT(MAX((T_PlannedOrders[Part Name]=$A1241)*(T_PlannedOrders[WeekIndex]=27)*(T_PlannedOrders[EffectiveQty]&gt;0)*T_PlannedOrders[Order_Month])),"m月")&amp;"発注)")</f>
        <v/>
      </c>
      <c r="AE1247">
        <f>IF(SUMIFS(T_PlannedOrders[EffectiveQty],T_PlannedOrders[Part Name],$A1241,T_PlannedOrders[WeekIndex],28)=0,"",SUMIFS(T_PlannedOrders[EffectiveQty],T_PlannedOrders[Part Name],$A1241,T_PlannedOrders[WeekIndex],28)&amp;" ("&amp;TEXT(SUMPRODUCT(MAX((T_PlannedOrders[Part Name]=$A1241)*(T_PlannedOrders[WeekIndex]=28)*(T_PlannedOrders[EffectiveQty]&gt;0)*T_PlannedOrders[Order_Month])),"m月")&amp;"発注)")</f>
        <v/>
      </c>
      <c r="AF1247">
        <f>IF(SUMIFS(T_PlannedOrders[EffectiveQty],T_PlannedOrders[Part Name],$A1241,T_PlannedOrders[WeekIndex],29)=0,"",SUMIFS(T_PlannedOrders[EffectiveQty],T_PlannedOrders[Part Name],$A1241,T_PlannedOrders[WeekIndex],29)&amp;" ("&amp;TEXT(SUMPRODUCT(MAX((T_PlannedOrders[Part Name]=$A1241)*(T_PlannedOrders[WeekIndex]=29)*(T_PlannedOrders[EffectiveQty]&gt;0)*T_PlannedOrders[Order_Month])),"m月")&amp;"発注)")</f>
        <v/>
      </c>
      <c r="AG1247">
        <f>IF(SUMIFS(T_PlannedOrders[EffectiveQty],T_PlannedOrders[Part Name],$A1241,T_PlannedOrders[WeekIndex],30)=0,"",SUMIFS(T_PlannedOrders[EffectiveQty],T_PlannedOrders[Part Name],$A1241,T_PlannedOrders[WeekIndex],30)&amp;" ("&amp;TEXT(SUMPRODUCT(MAX((T_PlannedOrders[Part Name]=$A1241)*(T_PlannedOrders[WeekIndex]=30)*(T_PlannedOrders[EffectiveQty]&gt;0)*T_PlannedOrders[Order_Month])),"m月")&amp;"発注)")</f>
        <v/>
      </c>
      <c r="AH1247">
        <f>IF(SUMIFS(T_PlannedOrders[EffectiveQty],T_PlannedOrders[Part Name],$A1241,T_PlannedOrders[WeekIndex],31)=0,"",SUMIFS(T_PlannedOrders[EffectiveQty],T_PlannedOrders[Part Name],$A1241,T_PlannedOrders[WeekIndex],31)&amp;" ("&amp;TEXT(SUMPRODUCT(MAX((T_PlannedOrders[Part Name]=$A1241)*(T_PlannedOrders[WeekIndex]=31)*(T_PlannedOrders[EffectiveQty]&gt;0)*T_PlannedOrders[Order_Month])),"m月")&amp;"発注)")</f>
        <v/>
      </c>
      <c r="AI1247">
        <f>IF(SUMIFS(T_PlannedOrders[EffectiveQty],T_PlannedOrders[Part Name],$A1241,T_PlannedOrders[WeekIndex],32)=0,"",SUMIFS(T_PlannedOrders[EffectiveQty],T_PlannedOrders[Part Name],$A1241,T_PlannedOrders[WeekIndex],32)&amp;" ("&amp;TEXT(SUMPRODUCT(MAX((T_PlannedOrders[Part Name]=$A1241)*(T_PlannedOrders[WeekIndex]=32)*(T_PlannedOrders[EffectiveQty]&gt;0)*T_PlannedOrders[Order_Month])),"m月")&amp;"発注)")</f>
        <v/>
      </c>
      <c r="AJ1247">
        <f>IF(SUMIFS(T_PlannedOrders[EffectiveQty],T_PlannedOrders[Part Name],$A1241,T_PlannedOrders[WeekIndex],33)=0,"",SUMIFS(T_PlannedOrders[EffectiveQty],T_PlannedOrders[Part Name],$A1241,T_PlannedOrders[WeekIndex],33)&amp;" ("&amp;TEXT(SUMPRODUCT(MAX((T_PlannedOrders[Part Name]=$A1241)*(T_PlannedOrders[WeekIndex]=33)*(T_PlannedOrders[EffectiveQty]&gt;0)*T_PlannedOrders[Order_Month])),"m月")&amp;"発注)")</f>
        <v/>
      </c>
      <c r="AK1247">
        <f>IF(SUMIFS(T_PlannedOrders[EffectiveQty],T_PlannedOrders[Part Name],$A1241,T_PlannedOrders[WeekIndex],34)=0,"",SUMIFS(T_PlannedOrders[EffectiveQty],T_PlannedOrders[Part Name],$A1241,T_PlannedOrders[WeekIndex],34)&amp;" ("&amp;TEXT(SUMPRODUCT(MAX((T_PlannedOrders[Part Name]=$A1241)*(T_PlannedOrders[WeekIndex]=34)*(T_PlannedOrders[EffectiveQty]&gt;0)*T_PlannedOrders[Order_Month])),"m月")&amp;"発注)")</f>
        <v/>
      </c>
      <c r="AL1247">
        <f>IF(SUMIFS(T_PlannedOrders[EffectiveQty],T_PlannedOrders[Part Name],$A1241,T_PlannedOrders[WeekIndex],35)=0,"",SUMIFS(T_PlannedOrders[EffectiveQty],T_PlannedOrders[Part Name],$A1241,T_PlannedOrders[WeekIndex],35)&amp;" ("&amp;TEXT(SUMPRODUCT(MAX((T_PlannedOrders[Part Name]=$A1241)*(T_PlannedOrders[WeekIndex]=35)*(T_PlannedOrders[EffectiveQty]&gt;0)*T_PlannedOrders[Order_Month])),"m月")&amp;"発注)")</f>
        <v/>
      </c>
      <c r="AM1247">
        <f>IF(SUMIFS(T_PlannedOrders[EffectiveQty],T_PlannedOrders[Part Name],$A1241,T_PlannedOrders[WeekIndex],36)=0,"",SUMIFS(T_PlannedOrders[EffectiveQty],T_PlannedOrders[Part Name],$A1241,T_PlannedOrders[WeekIndex],36)&amp;" ("&amp;TEXT(SUMPRODUCT(MAX((T_PlannedOrders[Part Name]=$A1241)*(T_PlannedOrders[WeekIndex]=36)*(T_PlannedOrders[EffectiveQty]&gt;0)*T_PlannedOrders[Order_Month])),"m月")&amp;"発注)")</f>
        <v/>
      </c>
      <c r="AN1247">
        <f>IF(SUMIFS(T_PlannedOrders[EffectiveQty],T_PlannedOrders[Part Name],$A1241,T_PlannedOrders[WeekIndex],37)=0,"",SUMIFS(T_PlannedOrders[EffectiveQty],T_PlannedOrders[Part Name],$A1241,T_PlannedOrders[WeekIndex],37)&amp;" ("&amp;TEXT(SUMPRODUCT(MAX((T_PlannedOrders[Part Name]=$A1241)*(T_PlannedOrders[WeekIndex]=37)*(T_PlannedOrders[EffectiveQty]&gt;0)*T_PlannedOrders[Order_Month])),"m月")&amp;"発注)")</f>
        <v/>
      </c>
      <c r="AO1247">
        <f>IF(SUMIFS(T_PlannedOrders[EffectiveQty],T_PlannedOrders[Part Name],$A1241,T_PlannedOrders[WeekIndex],38)=0,"",SUMIFS(T_PlannedOrders[EffectiveQty],T_PlannedOrders[Part Name],$A1241,T_PlannedOrders[WeekIndex],38)&amp;" ("&amp;TEXT(SUMPRODUCT(MAX((T_PlannedOrders[Part Name]=$A1241)*(T_PlannedOrders[WeekIndex]=38)*(T_PlannedOrders[EffectiveQty]&gt;0)*T_PlannedOrders[Order_Month])),"m月")&amp;"発注)")</f>
        <v/>
      </c>
      <c r="AP1247">
        <f>IF(SUMIFS(T_PlannedOrders[EffectiveQty],T_PlannedOrders[Part Name],$A1241,T_PlannedOrders[WeekIndex],39)=0,"",SUMIFS(T_PlannedOrders[EffectiveQty],T_PlannedOrders[Part Name],$A1241,T_PlannedOrders[WeekIndex],39)&amp;" ("&amp;TEXT(SUMPRODUCT(MAX((T_PlannedOrders[Part Name]=$A1241)*(T_PlannedOrders[WeekIndex]=39)*(T_PlannedOrders[EffectiveQty]&gt;0)*T_PlannedOrders[Order_Month])),"m月")&amp;"発注)")</f>
        <v/>
      </c>
      <c r="AQ1247">
        <f>IF(SUMIFS(T_PlannedOrders[EffectiveQty],T_PlannedOrders[Part Name],$A1241,T_PlannedOrders[WeekIndex],40)=0,"",SUMIFS(T_PlannedOrders[EffectiveQty],T_PlannedOrders[Part Name],$A1241,T_PlannedOrders[WeekIndex],40)&amp;" ("&amp;TEXT(SUMPRODUCT(MAX((T_PlannedOrders[Part Name]=$A1241)*(T_PlannedOrders[WeekIndex]=40)*(T_PlannedOrders[EffectiveQty]&gt;0)*T_PlannedOrders[Order_Month])),"m月")&amp;"発注)")</f>
        <v/>
      </c>
      <c r="AR1247">
        <f>IF(SUMIFS(T_PlannedOrders[EffectiveQty],T_PlannedOrders[Part Name],$A1241,T_PlannedOrders[WeekIndex],41)=0,"",SUMIFS(T_PlannedOrders[EffectiveQty],T_PlannedOrders[Part Name],$A1241,T_PlannedOrders[WeekIndex],41)&amp;" ("&amp;TEXT(SUMPRODUCT(MAX((T_PlannedOrders[Part Name]=$A1241)*(T_PlannedOrders[WeekIndex]=41)*(T_PlannedOrders[EffectiveQty]&gt;0)*T_PlannedOrders[Order_Month])),"m月")&amp;"発注)")</f>
        <v/>
      </c>
      <c r="AS1247">
        <f>IF(SUMIFS(T_PlannedOrders[EffectiveQty],T_PlannedOrders[Part Name],$A1241,T_PlannedOrders[WeekIndex],42)=0,"",SUMIFS(T_PlannedOrders[EffectiveQty],T_PlannedOrders[Part Name],$A1241,T_PlannedOrders[WeekIndex],42)&amp;" ("&amp;TEXT(SUMPRODUCT(MAX((T_PlannedOrders[Part Name]=$A1241)*(T_PlannedOrders[WeekIndex]=42)*(T_PlannedOrders[EffectiveQty]&gt;0)*T_PlannedOrders[Order_Month])),"m月")&amp;"発注)")</f>
        <v/>
      </c>
      <c r="AT1247">
        <f>IF(SUMIFS(T_PlannedOrders[EffectiveQty],T_PlannedOrders[Part Name],$A1241,T_PlannedOrders[WeekIndex],43)=0,"",SUMIFS(T_PlannedOrders[EffectiveQty],T_PlannedOrders[Part Name],$A1241,T_PlannedOrders[WeekIndex],43)&amp;" ("&amp;TEXT(SUMPRODUCT(MAX((T_PlannedOrders[Part Name]=$A1241)*(T_PlannedOrders[WeekIndex]=43)*(T_PlannedOrders[EffectiveQty]&gt;0)*T_PlannedOrders[Order_Month])),"m月")&amp;"発注)")</f>
        <v/>
      </c>
      <c r="AU1247">
        <f>IF(SUMIFS(T_PlannedOrders[EffectiveQty],T_PlannedOrders[Part Name],$A1241,T_PlannedOrders[WeekIndex],44)=0,"",SUMIFS(T_PlannedOrders[EffectiveQty],T_PlannedOrders[Part Name],$A1241,T_PlannedOrders[WeekIndex],44)&amp;" ("&amp;TEXT(SUMPRODUCT(MAX((T_PlannedOrders[Part Name]=$A1241)*(T_PlannedOrders[WeekIndex]=44)*(T_PlannedOrders[EffectiveQty]&gt;0)*T_PlannedOrders[Order_Month])),"m月")&amp;"発注)")</f>
        <v/>
      </c>
      <c r="AV1247">
        <f>IF(SUMIFS(T_PlannedOrders[EffectiveQty],T_PlannedOrders[Part Name],$A1241,T_PlannedOrders[WeekIndex],45)=0,"",SUMIFS(T_PlannedOrders[EffectiveQty],T_PlannedOrders[Part Name],$A1241,T_PlannedOrders[WeekIndex],45)&amp;" ("&amp;TEXT(SUMPRODUCT(MAX((T_PlannedOrders[Part Name]=$A1241)*(T_PlannedOrders[WeekIndex]=45)*(T_PlannedOrders[EffectiveQty]&gt;0)*T_PlannedOrders[Order_Month])),"m月")&amp;"発注)")</f>
        <v/>
      </c>
      <c r="AW1247">
        <f>IF(SUMIFS(T_PlannedOrders[EffectiveQty],T_PlannedOrders[Part Name],$A1241,T_PlannedOrders[WeekIndex],46)=0,"",SUMIFS(T_PlannedOrders[EffectiveQty],T_PlannedOrders[Part Name],$A1241,T_PlannedOrders[WeekIndex],46)&amp;" ("&amp;TEXT(SUMPRODUCT(MAX((T_PlannedOrders[Part Name]=$A1241)*(T_PlannedOrders[WeekIndex]=46)*(T_PlannedOrders[EffectiveQty]&gt;0)*T_PlannedOrders[Order_Month])),"m月")&amp;"発注)")</f>
        <v/>
      </c>
      <c r="AX1247">
        <f>IF(SUMIFS(T_PlannedOrders[EffectiveQty],T_PlannedOrders[Part Name],$A1241,T_PlannedOrders[WeekIndex],47)=0,"",SUMIFS(T_PlannedOrders[EffectiveQty],T_PlannedOrders[Part Name],$A1241,T_PlannedOrders[WeekIndex],47)&amp;" ("&amp;TEXT(SUMPRODUCT(MAX((T_PlannedOrders[Part Name]=$A1241)*(T_PlannedOrders[WeekIndex]=47)*(T_PlannedOrders[EffectiveQty]&gt;0)*T_PlannedOrders[Order_Month])),"m月")&amp;"発注)")</f>
        <v/>
      </c>
      <c r="AY1247">
        <f>IF(SUMIFS(T_PlannedOrders[EffectiveQty],T_PlannedOrders[Part Name],$A1241,T_PlannedOrders[WeekIndex],48)=0,"",SUMIFS(T_PlannedOrders[EffectiveQty],T_PlannedOrders[Part Name],$A1241,T_PlannedOrders[WeekIndex],48)&amp;" ("&amp;TEXT(SUMPRODUCT(MAX((T_PlannedOrders[Part Name]=$A1241)*(T_PlannedOrders[WeekIndex]=48)*(T_PlannedOrders[EffectiveQty]&gt;0)*T_PlannedOrders[Order_Month])),"m月")&amp;"発注)")</f>
        <v/>
      </c>
      <c r="AZ1247">
        <f>IF(SUMIFS(T_PlannedOrders[EffectiveQty],T_PlannedOrders[Part Name],$A1241,T_PlannedOrders[WeekIndex],49)=0,"",SUMIFS(T_PlannedOrders[EffectiveQty],T_PlannedOrders[Part Name],$A1241,T_PlannedOrders[WeekIndex],49)&amp;" ("&amp;TEXT(SUMPRODUCT(MAX((T_PlannedOrders[Part Name]=$A1241)*(T_PlannedOrders[WeekIndex]=49)*(T_PlannedOrders[EffectiveQty]&gt;0)*T_PlannedOrders[Order_Month])),"m月")&amp;"発注)")</f>
        <v/>
      </c>
      <c r="BA1247">
        <f>IF(SUMIFS(T_PlannedOrders[EffectiveQty],T_PlannedOrders[Part Name],$A1241,T_PlannedOrders[WeekIndex],50)=0,"",SUMIFS(T_PlannedOrders[EffectiveQty],T_PlannedOrders[Part Name],$A1241,T_PlannedOrders[WeekIndex],50)&amp;" ("&amp;TEXT(SUMPRODUCT(MAX((T_PlannedOrders[Part Name]=$A1241)*(T_PlannedOrders[WeekIndex]=50)*(T_PlannedOrders[EffectiveQty]&gt;0)*T_PlannedOrders[Order_Month])),"m月")&amp;"発注)")</f>
        <v/>
      </c>
      <c r="BB1247">
        <f>IF(SUMIFS(T_PlannedOrders[EffectiveQty],T_PlannedOrders[Part Name],$A1241,T_PlannedOrders[WeekIndex],51)=0,"",SUMIFS(T_PlannedOrders[EffectiveQty],T_PlannedOrders[Part Name],$A1241,T_PlannedOrders[WeekIndex],51)&amp;" ("&amp;TEXT(SUMPRODUCT(MAX((T_PlannedOrders[Part Name]=$A1241)*(T_PlannedOrders[WeekIndex]=51)*(T_PlannedOrders[EffectiveQty]&gt;0)*T_PlannedOrders[Order_Month])),"m月")&amp;"発注)")</f>
        <v/>
      </c>
      <c r="BC1247">
        <f>IF(SUMIFS(T_PlannedOrders[EffectiveQty],T_PlannedOrders[Part Name],$A1241,T_PlannedOrders[WeekIndex],52)=0,"",SUMIFS(T_PlannedOrders[EffectiveQty],T_PlannedOrders[Part Name],$A1241,T_PlannedOrders[WeekIndex],52)&amp;" ("&amp;TEXT(SUMPRODUCT(MAX((T_PlannedOrders[Part Name]=$A1241)*(T_PlannedOrders[WeekIndex]=52)*(T_PlannedOrders[EffectiveQty]&gt;0)*T_PlannedOrders[Order_Month])),"m月")&amp;"発注)")</f>
        <v/>
      </c>
      <c r="BD1247">
        <f>IF(SUMIFS(T_PlannedOrders[EffectiveQty],T_PlannedOrders[Part Name],$A1241,T_PlannedOrders[WeekIndex],53)=0,"",SUMIFS(T_PlannedOrders[EffectiveQty],T_PlannedOrders[Part Name],$A1241,T_PlannedOrders[WeekIndex],53)&amp;" ("&amp;TEXT(SUMPRODUCT(MAX((T_PlannedOrders[Part Name]=$A1241)*(T_PlannedOrders[WeekIndex]=53)*(T_PlannedOrders[EffectiveQty]&gt;0)*T_PlannedOrders[Order_Month])),"m月")&amp;"発注)")</f>
        <v/>
      </c>
      <c r="BE1247">
        <f>IF(SUMIFS(T_PlannedOrders[EffectiveQty],T_PlannedOrders[Part Name],$A1241,T_PlannedOrders[WeekIndex],54)=0,"",SUMIFS(T_PlannedOrders[EffectiveQty],T_PlannedOrders[Part Name],$A1241,T_PlannedOrders[WeekIndex],54)&amp;" ("&amp;TEXT(SUMPRODUCT(MAX((T_PlannedOrders[Part Name]=$A1241)*(T_PlannedOrders[WeekIndex]=54)*(T_PlannedOrders[EffectiveQty]&gt;0)*T_PlannedOrders[Order_Month])),"m月")&amp;"発注)")</f>
        <v/>
      </c>
      <c r="BF1247">
        <f>IF(SUMIFS(T_PlannedOrders[EffectiveQty],T_PlannedOrders[Part Name],$A1241,T_PlannedOrders[WeekIndex],55)=0,"",SUMIFS(T_PlannedOrders[EffectiveQty],T_PlannedOrders[Part Name],$A1241,T_PlannedOrders[WeekIndex],55)&amp;" ("&amp;TEXT(SUMPRODUCT(MAX((T_PlannedOrders[Part Name]=$A1241)*(T_PlannedOrders[WeekIndex]=55)*(T_PlannedOrders[EffectiveQty]&gt;0)*T_PlannedOrders[Order_Month])),"m月")&amp;"発注)")</f>
        <v/>
      </c>
      <c r="BG1247">
        <f>IF(SUMIFS(T_PlannedOrders[EffectiveQty],T_PlannedOrders[Part Name],$A1241,T_PlannedOrders[WeekIndex],56)=0,"",SUMIFS(T_PlannedOrders[EffectiveQty],T_PlannedOrders[Part Name],$A1241,T_PlannedOrders[WeekIndex],56)&amp;" ("&amp;TEXT(SUMPRODUCT(MAX((T_PlannedOrders[Part Name]=$A1241)*(T_PlannedOrders[WeekIndex]=56)*(T_PlannedOrders[EffectiveQty]&gt;0)*T_PlannedOrders[Order_Month])),"m月")&amp;"発注)")</f>
        <v/>
      </c>
      <c r="BH1247">
        <f>IF(SUMIFS(T_PlannedOrders[EffectiveQty],T_PlannedOrders[Part Name],$A1241,T_PlannedOrders[WeekIndex],57)=0,"",SUMIFS(T_PlannedOrders[EffectiveQty],T_PlannedOrders[Part Name],$A1241,T_PlannedOrders[WeekIndex],57)&amp;" ("&amp;TEXT(SUMPRODUCT(MAX((T_PlannedOrders[Part Name]=$A1241)*(T_PlannedOrders[WeekIndex]=57)*(T_PlannedOrders[EffectiveQty]&gt;0)*T_PlannedOrders[Order_Month])),"m月")&amp;"発注)")</f>
        <v/>
      </c>
      <c r="BI1247">
        <f>IF(SUMIFS(T_PlannedOrders[EffectiveQty],T_PlannedOrders[Part Name],$A1241,T_PlannedOrders[WeekIndex],58)=0,"",SUMIFS(T_PlannedOrders[EffectiveQty],T_PlannedOrders[Part Name],$A1241,T_PlannedOrders[WeekIndex],58)&amp;" ("&amp;TEXT(SUMPRODUCT(MAX((T_PlannedOrders[Part Name]=$A1241)*(T_PlannedOrders[WeekIndex]=58)*(T_PlannedOrders[EffectiveQty]&gt;0)*T_PlannedOrders[Order_Month])),"m月")&amp;"発注)")</f>
        <v/>
      </c>
      <c r="BJ1247">
        <f>IF(SUMIFS(T_PlannedOrders[EffectiveQty],T_PlannedOrders[Part Name],$A1241,T_PlannedOrders[WeekIndex],59)=0,"",SUMIFS(T_PlannedOrders[EffectiveQty],T_PlannedOrders[Part Name],$A1241,T_PlannedOrders[WeekIndex],59)&amp;" ("&amp;TEXT(SUMPRODUCT(MAX((T_PlannedOrders[Part Name]=$A1241)*(T_PlannedOrders[WeekIndex]=59)*(T_PlannedOrders[EffectiveQty]&gt;0)*T_PlannedOrders[Order_Month])),"m月")&amp;"発注)")</f>
        <v/>
      </c>
      <c r="BK1247">
        <f>IF(SUMIFS(T_PlannedOrders[EffectiveQty],T_PlannedOrders[Part Name],$A1241,T_PlannedOrders[WeekIndex],60)=0,"",SUMIFS(T_PlannedOrders[EffectiveQty],T_PlannedOrders[Part Name],$A1241,T_PlannedOrders[WeekIndex],60)&amp;" ("&amp;TEXT(SUMPRODUCT(MAX((T_PlannedOrders[Part Name]=$A1241)*(T_PlannedOrders[WeekIndex]=60)*(T_PlannedOrders[EffectiveQty]&gt;0)*T_PlannedOrders[Order_Month])),"m月")&amp;"発注)")</f>
        <v/>
      </c>
      <c r="BL1247">
        <f>IF(SUMIFS(T_PlannedOrders[EffectiveQty],T_PlannedOrders[Part Name],$A1241,T_PlannedOrders[WeekIndex],61)=0,"",SUMIFS(T_PlannedOrders[EffectiveQty],T_PlannedOrders[Part Name],$A1241,T_PlannedOrders[WeekIndex],61)&amp;" ("&amp;TEXT(SUMPRODUCT(MAX((T_PlannedOrders[Part Name]=$A1241)*(T_PlannedOrders[WeekIndex]=61)*(T_PlannedOrders[EffectiveQty]&gt;0)*T_PlannedOrders[Order_Month])),"m月")&amp;"発注)")</f>
        <v/>
      </c>
      <c r="BM1247">
        <f>IF(SUMIFS(T_PlannedOrders[EffectiveQty],T_PlannedOrders[Part Name],$A1241,T_PlannedOrders[WeekIndex],62)=0,"",SUMIFS(T_PlannedOrders[EffectiveQty],T_PlannedOrders[Part Name],$A1241,T_PlannedOrders[WeekIndex],62)&amp;" ("&amp;TEXT(SUMPRODUCT(MAX((T_PlannedOrders[Part Name]=$A1241)*(T_PlannedOrders[WeekIndex]=62)*(T_PlannedOrders[EffectiveQty]&gt;0)*T_PlannedOrders[Order_Month])),"m月")&amp;"発注)")</f>
        <v/>
      </c>
      <c r="BN1247">
        <f>IF(SUMIFS(T_PlannedOrders[EffectiveQty],T_PlannedOrders[Part Name],$A1241,T_PlannedOrders[WeekIndex],63)=0,"",SUMIFS(T_PlannedOrders[EffectiveQty],T_PlannedOrders[Part Name],$A1241,T_PlannedOrders[WeekIndex],63)&amp;" ("&amp;TEXT(SUMPRODUCT(MAX((T_PlannedOrders[Part Name]=$A1241)*(T_PlannedOrders[WeekIndex]=63)*(T_PlannedOrders[EffectiveQty]&gt;0)*T_PlannedOrders[Order_Month])),"m月")&amp;"発注)")</f>
        <v/>
      </c>
      <c r="BO1247">
        <f>IF(SUMIFS(T_PlannedOrders[EffectiveQty],T_PlannedOrders[Part Name],$A1241,T_PlannedOrders[WeekIndex],64)=0,"",SUMIFS(T_PlannedOrders[EffectiveQty],T_PlannedOrders[Part Name],$A1241,T_PlannedOrders[WeekIndex],64)&amp;" ("&amp;TEXT(SUMPRODUCT(MAX((T_PlannedOrders[Part Name]=$A1241)*(T_PlannedOrders[WeekIndex]=64)*(T_PlannedOrders[EffectiveQty]&gt;0)*T_PlannedOrders[Order_Month])),"m月")&amp;"発注)")</f>
        <v/>
      </c>
      <c r="BP1247">
        <f>IF(SUMIFS(T_PlannedOrders[EffectiveQty],T_PlannedOrders[Part Name],$A1241,T_PlannedOrders[WeekIndex],65)=0,"",SUMIFS(T_PlannedOrders[EffectiveQty],T_PlannedOrders[Part Name],$A1241,T_PlannedOrders[WeekIndex],65)&amp;" ("&amp;TEXT(SUMPRODUCT(MAX((T_PlannedOrders[Part Name]=$A1241)*(T_PlannedOrders[WeekIndex]=65)*(T_PlannedOrders[EffectiveQty]&gt;0)*T_PlannedOrders[Order_Month])),"m月")&amp;"発注)")</f>
        <v/>
      </c>
      <c r="BQ1247">
        <f>IF(SUMIFS(T_PlannedOrders[EffectiveQty],T_PlannedOrders[Part Name],$A1241,T_PlannedOrders[WeekIndex],66)=0,"",SUMIFS(T_PlannedOrders[EffectiveQty],T_PlannedOrders[Part Name],$A1241,T_PlannedOrders[WeekIndex],66)&amp;" ("&amp;TEXT(SUMPRODUCT(MAX((T_PlannedOrders[Part Name]=$A1241)*(T_PlannedOrders[WeekIndex]=66)*(T_PlannedOrders[EffectiveQty]&gt;0)*T_PlannedOrders[Order_Month])),"m月")&amp;"発注)")</f>
        <v/>
      </c>
      <c r="BR1247">
        <f>IF(SUMIFS(T_PlannedOrders[EffectiveQty],T_PlannedOrders[Part Name],$A1241,T_PlannedOrders[WeekIndex],67)=0,"",SUMIFS(T_PlannedOrders[EffectiveQty],T_PlannedOrders[Part Name],$A1241,T_PlannedOrders[WeekIndex],67)&amp;" ("&amp;TEXT(SUMPRODUCT(MAX((T_PlannedOrders[Part Name]=$A1241)*(T_PlannedOrders[WeekIndex]=67)*(T_PlannedOrders[EffectiveQty]&gt;0)*T_PlannedOrders[Order_Month])),"m月")&amp;"発注)")</f>
        <v/>
      </c>
      <c r="BS1247">
        <f>IF(SUMIFS(T_PlannedOrders[EffectiveQty],T_PlannedOrders[Part Name],$A1241,T_PlannedOrders[WeekIndex],68)=0,"",SUMIFS(T_PlannedOrders[EffectiveQty],T_PlannedOrders[Part Name],$A1241,T_PlannedOrders[WeekIndex],68)&amp;" ("&amp;TEXT(SUMPRODUCT(MAX((T_PlannedOrders[Part Name]=$A1241)*(T_PlannedOrders[WeekIndex]=68)*(T_PlannedOrders[EffectiveQty]&gt;0)*T_PlannedOrders[Order_Month])),"m月")&amp;"発注)")</f>
        <v/>
      </c>
      <c r="BT1247">
        <f>IF(SUMIFS(T_PlannedOrders[EffectiveQty],T_PlannedOrders[Part Name],$A1241,T_PlannedOrders[WeekIndex],69)=0,"",SUMIFS(T_PlannedOrders[EffectiveQty],T_PlannedOrders[Part Name],$A1241,T_PlannedOrders[WeekIndex],69)&amp;" ("&amp;TEXT(SUMPRODUCT(MAX((T_PlannedOrders[Part Name]=$A1241)*(T_PlannedOrders[WeekIndex]=69)*(T_PlannedOrders[EffectiveQty]&gt;0)*T_PlannedOrders[Order_Month])),"m月")&amp;"発注)")</f>
        <v/>
      </c>
      <c r="BU1247">
        <f>IF(SUMIFS(T_PlannedOrders[EffectiveQty],T_PlannedOrders[Part Name],$A1241,T_PlannedOrders[WeekIndex],70)=0,"",SUMIFS(T_PlannedOrders[EffectiveQty],T_PlannedOrders[Part Name],$A1241,T_PlannedOrders[WeekIndex],70)&amp;" ("&amp;TEXT(SUMPRODUCT(MAX((T_PlannedOrders[Part Name]=$A1241)*(T_PlannedOrders[WeekIndex]=70)*(T_PlannedOrders[EffectiveQty]&gt;0)*T_PlannedOrders[Order_Month])),"m月")&amp;"発注)")</f>
        <v/>
      </c>
      <c r="BV1247">
        <f>IF(SUMIFS(T_PlannedOrders[EffectiveQty],T_PlannedOrders[Part Name],$A1241,T_PlannedOrders[WeekIndex],71)=0,"",SUMIFS(T_PlannedOrders[EffectiveQty],T_PlannedOrders[Part Name],$A1241,T_PlannedOrders[WeekIndex],71)&amp;" ("&amp;TEXT(SUMPRODUCT(MAX((T_PlannedOrders[Part Name]=$A1241)*(T_PlannedOrders[WeekIndex]=71)*(T_PlannedOrders[EffectiveQty]&gt;0)*T_PlannedOrders[Order_Month])),"m月")&amp;"発注)")</f>
        <v/>
      </c>
      <c r="BW1247">
        <f>IF(SUMIFS(T_PlannedOrders[EffectiveQty],T_PlannedOrders[Part Name],$A1241,T_PlannedOrders[WeekIndex],72)=0,"",SUMIFS(T_PlannedOrders[EffectiveQty],T_PlannedOrders[Part Name],$A1241,T_PlannedOrders[WeekIndex],72)&amp;" ("&amp;TEXT(SUMPRODUCT(MAX((T_PlannedOrders[Part Name]=$A1241)*(T_PlannedOrders[WeekIndex]=72)*(T_PlannedOrders[EffectiveQty]&gt;0)*T_PlannedOrders[Order_Month])),"m月")&amp;"発注)")</f>
        <v/>
      </c>
      <c r="BX1247">
        <f>IF(SUMIFS(T_PlannedOrders[EffectiveQty],T_PlannedOrders[Part Name],$A1241,T_PlannedOrders[WeekIndex],73)=0,"",SUMIFS(T_PlannedOrders[EffectiveQty],T_PlannedOrders[Part Name],$A1241,T_PlannedOrders[WeekIndex],73)&amp;" ("&amp;TEXT(SUMPRODUCT(MAX((T_PlannedOrders[Part Name]=$A1241)*(T_PlannedOrders[WeekIndex]=73)*(T_PlannedOrders[EffectiveQty]&gt;0)*T_PlannedOrders[Order_Month])),"m月")&amp;"発注)")</f>
        <v/>
      </c>
      <c r="BY1247">
        <f>IF(SUMIFS(T_PlannedOrders[EffectiveQty],T_PlannedOrders[Part Name],$A1241,T_PlannedOrders[WeekIndex],74)=0,"",SUMIFS(T_PlannedOrders[EffectiveQty],T_PlannedOrders[Part Name],$A1241,T_PlannedOrders[WeekIndex],74)&amp;" ("&amp;TEXT(SUMPRODUCT(MAX((T_PlannedOrders[Part Name]=$A1241)*(T_PlannedOrders[WeekIndex]=74)*(T_PlannedOrders[EffectiveQty]&gt;0)*T_PlannedOrders[Order_Month])),"m月")&amp;"発注)")</f>
        <v/>
      </c>
      <c r="BZ1247">
        <f>IF(SUMIFS(T_PlannedOrders[EffectiveQty],T_PlannedOrders[Part Name],$A1241,T_PlannedOrders[WeekIndex],75)=0,"",SUMIFS(T_PlannedOrders[EffectiveQty],T_PlannedOrders[Part Name],$A1241,T_PlannedOrders[WeekIndex],75)&amp;" ("&amp;TEXT(SUMPRODUCT(MAX((T_PlannedOrders[Part Name]=$A1241)*(T_PlannedOrders[WeekIndex]=75)*(T_PlannedOrders[EffectiveQty]&gt;0)*T_PlannedOrders[Order_Month])),"m月")&amp;"発注)")</f>
        <v/>
      </c>
      <c r="CA1247">
        <f>IF(SUMIFS(T_PlannedOrders[EffectiveQty],T_PlannedOrders[Part Name],$A1241,T_PlannedOrders[WeekIndex],76)=0,"",SUMIFS(T_PlannedOrders[EffectiveQty],T_PlannedOrders[Part Name],$A1241,T_PlannedOrders[WeekIndex],76)&amp;" ("&amp;TEXT(SUMPRODUCT(MAX((T_PlannedOrders[Part Name]=$A1241)*(T_PlannedOrders[WeekIndex]=76)*(T_PlannedOrders[EffectiveQty]&gt;0)*T_PlannedOrders[Order_Month])),"m月")&amp;"発注)")</f>
        <v/>
      </c>
      <c r="CB1247">
        <f>IF(SUMIFS(T_PlannedOrders[EffectiveQty],T_PlannedOrders[Part Name],$A1241,T_PlannedOrders[WeekIndex],77)=0,"",SUMIFS(T_PlannedOrders[EffectiveQty],T_PlannedOrders[Part Name],$A1241,T_PlannedOrders[WeekIndex],77)&amp;" ("&amp;TEXT(SUMPRODUCT(MAX((T_PlannedOrders[Part Name]=$A1241)*(T_PlannedOrders[WeekIndex]=77)*(T_PlannedOrders[EffectiveQty]&gt;0)*T_PlannedOrders[Order_Month])),"m月")&amp;"発注)")</f>
        <v/>
      </c>
      <c r="CC1247">
        <f>IF(SUMIFS(T_PlannedOrders[EffectiveQty],T_PlannedOrders[Part Name],$A1241,T_PlannedOrders[WeekIndex],78)=0,"",SUMIFS(T_PlannedOrders[EffectiveQty],T_PlannedOrders[Part Name],$A1241,T_PlannedOrders[WeekIndex],78)&amp;" ("&amp;TEXT(SUMPRODUCT(MAX((T_PlannedOrders[Part Name]=$A1241)*(T_PlannedOrders[WeekIndex]=78)*(T_PlannedOrders[EffectiveQty]&gt;0)*T_PlannedOrders[Order_Month])),"m月")&amp;"発注)")</f>
        <v/>
      </c>
      <c r="CD1247">
        <f>IF(SUMIFS(T_PlannedOrders[EffectiveQty],T_PlannedOrders[Part Name],$A1241,T_PlannedOrders[WeekIndex],79)=0,"",SUMIFS(T_PlannedOrders[EffectiveQty],T_PlannedOrders[Part Name],$A1241,T_PlannedOrders[WeekIndex],79)&amp;" ("&amp;TEXT(SUMPRODUCT(MAX((T_PlannedOrders[Part Name]=$A1241)*(T_PlannedOrders[WeekIndex]=79)*(T_PlannedOrders[EffectiveQty]&gt;0)*T_PlannedOrders[Order_Month])),"m月")&amp;"発注)")</f>
        <v/>
      </c>
      <c r="CE1247">
        <f>IF(SUMIFS(T_PlannedOrders[EffectiveQty],T_PlannedOrders[Part Name],$A1241,T_PlannedOrders[WeekIndex],80)=0,"",SUMIFS(T_PlannedOrders[EffectiveQty],T_PlannedOrders[Part Name],$A1241,T_PlannedOrders[WeekIndex],80)&amp;" ("&amp;TEXT(SUMPRODUCT(MAX((T_PlannedOrders[Part Name]=$A1241)*(T_PlannedOrders[WeekIndex]=80)*(T_PlannedOrders[EffectiveQty]&gt;0)*T_PlannedOrders[Order_Month])),"m月")&amp;"発注)")</f>
        <v/>
      </c>
      <c r="CF1247">
        <f>IF(SUMIFS(T_PlannedOrders[EffectiveQty],T_PlannedOrders[Part Name],$A1241,T_PlannedOrders[WeekIndex],81)=0,"",SUMIFS(T_PlannedOrders[EffectiveQty],T_PlannedOrders[Part Name],$A1241,T_PlannedOrders[WeekIndex],81)&amp;" ("&amp;TEXT(SUMPRODUCT(MAX((T_PlannedOrders[Part Name]=$A1241)*(T_PlannedOrders[WeekIndex]=81)*(T_PlannedOrders[EffectiveQty]&gt;0)*T_PlannedOrders[Order_Month])),"m月")&amp;"発注)")</f>
        <v/>
      </c>
      <c r="CG1247">
        <f>IF(SUMIFS(T_PlannedOrders[EffectiveQty],T_PlannedOrders[Part Name],$A1241,T_PlannedOrders[WeekIndex],82)=0,"",SUMIFS(T_PlannedOrders[EffectiveQty],T_PlannedOrders[Part Name],$A1241,T_PlannedOrders[WeekIndex],82)&amp;" ("&amp;TEXT(SUMPRODUCT(MAX((T_PlannedOrders[Part Name]=$A1241)*(T_PlannedOrders[WeekIndex]=82)*(T_PlannedOrders[EffectiveQty]&gt;0)*T_PlannedOrders[Order_Month])),"m月")&amp;"発注)")</f>
        <v/>
      </c>
      <c r="CH1247">
        <f>IF(SUMIFS(T_PlannedOrders[EffectiveQty],T_PlannedOrders[Part Name],$A1241,T_PlannedOrders[WeekIndex],83)=0,"",SUMIFS(T_PlannedOrders[EffectiveQty],T_PlannedOrders[Part Name],$A1241,T_PlannedOrders[WeekIndex],83)&amp;" ("&amp;TEXT(SUMPRODUCT(MAX((T_PlannedOrders[Part Name]=$A1241)*(T_PlannedOrders[WeekIndex]=83)*(T_PlannedOrders[EffectiveQty]&gt;0)*T_PlannedOrders[Order_Month])),"m月")&amp;"発注)")</f>
        <v/>
      </c>
      <c r="CI1247">
        <f>IF(SUMIFS(T_PlannedOrders[EffectiveQty],T_PlannedOrders[Part Name],$A1241,T_PlannedOrders[WeekIndex],84)=0,"",SUMIFS(T_PlannedOrders[EffectiveQty],T_PlannedOrders[Part Name],$A1241,T_PlannedOrders[WeekIndex],84)&amp;" ("&amp;TEXT(SUMPRODUCT(MAX((T_PlannedOrders[Part Name]=$A1241)*(T_PlannedOrders[WeekIndex]=84)*(T_PlannedOrders[EffectiveQty]&gt;0)*T_PlannedOrders[Order_Month])),"m月")&amp;"発注)")</f>
        <v/>
      </c>
      <c r="CJ1247">
        <f>IF(SUMIFS(T_PlannedOrders[EffectiveQty],T_PlannedOrders[Part Name],$A1241,T_PlannedOrders[WeekIndex],85)=0,"",SUMIFS(T_PlannedOrders[EffectiveQty],T_PlannedOrders[Part Name],$A1241,T_PlannedOrders[WeekIndex],85)&amp;" ("&amp;TEXT(SUMPRODUCT(MAX((T_PlannedOrders[Part Name]=$A1241)*(T_PlannedOrders[WeekIndex]=85)*(T_PlannedOrders[EffectiveQty]&gt;0)*T_PlannedOrders[Order_Month])),"m月")&amp;"発注)")</f>
        <v/>
      </c>
      <c r="CK1247">
        <f>IF(SUMIFS(T_PlannedOrders[EffectiveQty],T_PlannedOrders[Part Name],$A1241,T_PlannedOrders[WeekIndex],86)=0,"",SUMIFS(T_PlannedOrders[EffectiveQty],T_PlannedOrders[Part Name],$A1241,T_PlannedOrders[WeekIndex],86)&amp;" ("&amp;TEXT(SUMPRODUCT(MAX((T_PlannedOrders[Part Name]=$A1241)*(T_PlannedOrders[WeekIndex]=86)*(T_PlannedOrders[EffectiveQty]&gt;0)*T_PlannedOrders[Order_Month])),"m月")&amp;"発注)")</f>
        <v/>
      </c>
      <c r="CL1247">
        <f>IF(SUMIFS(T_PlannedOrders[EffectiveQty],T_PlannedOrders[Part Name],$A1241,T_PlannedOrders[WeekIndex],87)=0,"",SUMIFS(T_PlannedOrders[EffectiveQty],T_PlannedOrders[Part Name],$A1241,T_PlannedOrders[WeekIndex],87)&amp;" ("&amp;TEXT(SUMPRODUCT(MAX((T_PlannedOrders[Part Name]=$A1241)*(T_PlannedOrders[WeekIndex]=87)*(T_PlannedOrders[EffectiveQty]&gt;0)*T_PlannedOrders[Order_Month])),"m月")&amp;"発注)")</f>
        <v/>
      </c>
      <c r="CM1247">
        <f>IF(SUMIFS(T_PlannedOrders[EffectiveQty],T_PlannedOrders[Part Name],$A1241,T_PlannedOrders[WeekIndex],88)=0,"",SUMIFS(T_PlannedOrders[EffectiveQty],T_PlannedOrders[Part Name],$A1241,T_PlannedOrders[WeekIndex],88)&amp;" ("&amp;TEXT(SUMPRODUCT(MAX((T_PlannedOrders[Part Name]=$A1241)*(T_PlannedOrders[WeekIndex]=88)*(T_PlannedOrders[EffectiveQty]&gt;0)*T_PlannedOrders[Order_Month])),"m月")&amp;"発注)")</f>
        <v/>
      </c>
      <c r="CN1247">
        <f>IF(SUMIFS(T_PlannedOrders[EffectiveQty],T_PlannedOrders[Part Name],$A1241,T_PlannedOrders[WeekIndex],89)=0,"",SUMIFS(T_PlannedOrders[EffectiveQty],T_PlannedOrders[Part Name],$A1241,T_PlannedOrders[WeekIndex],89)&amp;" ("&amp;TEXT(SUMPRODUCT(MAX((T_PlannedOrders[Part Name]=$A1241)*(T_PlannedOrders[WeekIndex]=89)*(T_PlannedOrders[EffectiveQty]&gt;0)*T_PlannedOrders[Order_Month])),"m月")&amp;"発注)")</f>
        <v/>
      </c>
      <c r="CO1247">
        <f>IF(SUMIFS(T_PlannedOrders[EffectiveQty],T_PlannedOrders[Part Name],$A1241,T_PlannedOrders[WeekIndex],90)=0,"",SUMIFS(T_PlannedOrders[EffectiveQty],T_PlannedOrders[Part Name],$A1241,T_PlannedOrders[WeekIndex],90)&amp;" ("&amp;TEXT(SUMPRODUCT(MAX((T_PlannedOrders[Part Name]=$A1241)*(T_PlannedOrders[WeekIndex]=90)*(T_PlannedOrders[EffectiveQty]&gt;0)*T_PlannedOrders[Order_Month])),"m月")&amp;"発注)")</f>
        <v/>
      </c>
      <c r="CP1247">
        <f>IF(SUMIFS(T_PlannedOrders[EffectiveQty],T_PlannedOrders[Part Name],$A1241,T_PlannedOrders[WeekIndex],91)=0,"",SUMIFS(T_PlannedOrders[EffectiveQty],T_PlannedOrders[Part Name],$A1241,T_PlannedOrders[WeekIndex],91)&amp;" ("&amp;TEXT(SUMPRODUCT(MAX((T_PlannedOrders[Part Name]=$A1241)*(T_PlannedOrders[WeekIndex]=91)*(T_PlannedOrders[EffectiveQty]&gt;0)*T_PlannedOrders[Order_Month])),"m月")&amp;"発注)")</f>
        <v/>
      </c>
      <c r="CQ1247">
        <f>IF(SUMIFS(T_PlannedOrders[EffectiveQty],T_PlannedOrders[Part Name],$A1241,T_PlannedOrders[WeekIndex],92)=0,"",SUMIFS(T_PlannedOrders[EffectiveQty],T_PlannedOrders[Part Name],$A1241,T_PlannedOrders[WeekIndex],92)&amp;" ("&amp;TEXT(SUMPRODUCT(MAX((T_PlannedOrders[Part Name]=$A1241)*(T_PlannedOrders[WeekIndex]=92)*(T_PlannedOrders[EffectiveQty]&gt;0)*T_PlannedOrders[Order_Month])),"m月")&amp;"発注)")</f>
        <v/>
      </c>
      <c r="CR1247">
        <f>IF(SUMIFS(T_PlannedOrders[EffectiveQty],T_PlannedOrders[Part Name],$A1241,T_PlannedOrders[WeekIndex],93)=0,"",SUMIFS(T_PlannedOrders[EffectiveQty],T_PlannedOrders[Part Name],$A1241,T_PlannedOrders[WeekIndex],93)&amp;" ("&amp;TEXT(SUMPRODUCT(MAX((T_PlannedOrders[Part Name]=$A1241)*(T_PlannedOrders[WeekIndex]=93)*(T_PlannedOrders[EffectiveQty]&gt;0)*T_PlannedOrders[Order_Month])),"m月")&amp;"発注)")</f>
        <v/>
      </c>
      <c r="CS1247">
        <f>IF(SUMIFS(T_PlannedOrders[EffectiveQty],T_PlannedOrders[Part Name],$A1241,T_PlannedOrders[WeekIndex],94)=0,"",SUMIFS(T_PlannedOrders[EffectiveQty],T_PlannedOrders[Part Name],$A1241,T_PlannedOrders[WeekIndex],94)&amp;" ("&amp;TEXT(SUMPRODUCT(MAX((T_PlannedOrders[Part Name]=$A1241)*(T_PlannedOrders[WeekIndex]=94)*(T_PlannedOrders[EffectiveQty]&gt;0)*T_PlannedOrders[Order_Month])),"m月")&amp;"発注)")</f>
        <v/>
      </c>
      <c r="CT1247">
        <f>IF(SUMIFS(T_PlannedOrders[EffectiveQty],T_PlannedOrders[Part Name],$A1241,T_PlannedOrders[WeekIndex],95)=0,"",SUMIFS(T_PlannedOrders[EffectiveQty],T_PlannedOrders[Part Name],$A1241,T_PlannedOrders[WeekIndex],95)&amp;" ("&amp;TEXT(SUMPRODUCT(MAX((T_PlannedOrders[Part Name]=$A1241)*(T_PlannedOrders[WeekIndex]=95)*(T_PlannedOrders[EffectiveQty]&gt;0)*T_PlannedOrders[Order_Month])),"m月")&amp;"発注)")</f>
        <v/>
      </c>
      <c r="CU1247">
        <f>IF(SUMIFS(T_PlannedOrders[EffectiveQty],T_PlannedOrders[Part Name],$A1241,T_PlannedOrders[WeekIndex],96)=0,"",SUMIFS(T_PlannedOrders[EffectiveQty],T_PlannedOrders[Part Name],$A1241,T_PlannedOrders[WeekIndex],96)&amp;" ("&amp;TEXT(SUMPRODUCT(MAX((T_PlannedOrders[Part Name]=$A1241)*(T_PlannedOrders[WeekIndex]=96)*(T_PlannedOrders[EffectiveQty]&gt;0)*T_PlannedOrders[Order_Month])),"m月")&amp;"発注)")</f>
        <v/>
      </c>
      <c r="CV1247">
        <f>IF(SUMIFS(T_PlannedOrders[EffectiveQty],T_PlannedOrders[Part Name],$A1241,T_PlannedOrders[WeekIndex],97)=0,"",SUMIFS(T_PlannedOrders[EffectiveQty],T_PlannedOrders[Part Name],$A1241,T_PlannedOrders[WeekIndex],97)&amp;" ("&amp;TEXT(SUMPRODUCT(MAX((T_PlannedOrders[Part Name]=$A1241)*(T_PlannedOrders[WeekIndex]=97)*(T_PlannedOrders[EffectiveQty]&gt;0)*T_PlannedOrders[Order_Month])),"m月")&amp;"発注)")</f>
        <v/>
      </c>
      <c r="CW1247">
        <f>IF(SUMIFS(T_PlannedOrders[EffectiveQty],T_PlannedOrders[Part Name],$A1241,T_PlannedOrders[WeekIndex],98)=0,"",SUMIFS(T_PlannedOrders[EffectiveQty],T_PlannedOrders[Part Name],$A1241,T_PlannedOrders[WeekIndex],98)&amp;" ("&amp;TEXT(SUMPRODUCT(MAX((T_PlannedOrders[Part Name]=$A1241)*(T_PlannedOrders[WeekIndex]=98)*(T_PlannedOrders[EffectiveQty]&gt;0)*T_PlannedOrders[Order_Month])),"m月")&amp;"発注)")</f>
        <v/>
      </c>
      <c r="CX1247">
        <f>IF(SUMIFS(T_PlannedOrders[EffectiveQty],T_PlannedOrders[Part Name],$A1241,T_PlannedOrders[WeekIndex],99)=0,"",SUMIFS(T_PlannedOrders[EffectiveQty],T_PlannedOrders[Part Name],$A1241,T_PlannedOrders[WeekIndex],99)&amp;" ("&amp;TEXT(SUMPRODUCT(MAX((T_PlannedOrders[Part Name]=$A1241)*(T_PlannedOrders[WeekIndex]=99)*(T_PlannedOrders[EffectiveQty]&gt;0)*T_PlannedOrders[Order_Month])),"m月")&amp;"発注)")</f>
        <v/>
      </c>
      <c r="CY1247">
        <f>IF(SUMIFS(T_PlannedOrders[EffectiveQty],T_PlannedOrders[Part Name],$A1241,T_PlannedOrders[WeekIndex],100)=0,"",SUMIFS(T_PlannedOrders[EffectiveQty],T_PlannedOrders[Part Name],$A1241,T_PlannedOrders[WeekIndex],100)&amp;" ("&amp;TEXT(SUMPRODUCT(MAX((T_PlannedOrders[Part Name]=$A1241)*(T_PlannedOrders[WeekIndex]=100)*(T_PlannedOrders[EffectiveQty]&gt;0)*T_PlannedOrders[Order_Month])),"m月")&amp;"発注)")</f>
        <v/>
      </c>
      <c r="CZ1247">
        <f>IF(SUMIFS(T_PlannedOrders[EffectiveQty],T_PlannedOrders[Part Name],$A1241,T_PlannedOrders[WeekIndex],101)=0,"",SUMIFS(T_PlannedOrders[EffectiveQty],T_PlannedOrders[Part Name],$A1241,T_PlannedOrders[WeekIndex],101)&amp;" ("&amp;TEXT(SUMPRODUCT(MAX((T_PlannedOrders[Part Name]=$A1241)*(T_PlannedOrders[WeekIndex]=101)*(T_PlannedOrders[EffectiveQty]&gt;0)*T_PlannedOrders[Order_Month])),"m月")&amp;"発注)")</f>
        <v/>
      </c>
      <c r="DA1247">
        <f>IF(SUMIFS(T_PlannedOrders[EffectiveQty],T_PlannedOrders[Part Name],$A1241,T_PlannedOrders[WeekIndex],102)=0,"",SUMIFS(T_PlannedOrders[EffectiveQty],T_PlannedOrders[Part Name],$A1241,T_PlannedOrders[WeekIndex],102)&amp;" ("&amp;TEXT(SUMPRODUCT(MAX((T_PlannedOrders[Part Name]=$A1241)*(T_PlannedOrders[WeekIndex]=102)*(T_PlannedOrders[EffectiveQty]&gt;0)*T_PlannedOrders[Order_Month])),"m月")&amp;"発注)")</f>
        <v/>
      </c>
      <c r="DB1247">
        <f>IF(SUMIFS(T_PlannedOrders[EffectiveQty],T_PlannedOrders[Part Name],$A1241,T_PlannedOrders[WeekIndex],103)=0,"",SUMIFS(T_PlannedOrders[EffectiveQty],T_PlannedOrders[Part Name],$A1241,T_PlannedOrders[WeekIndex],103)&amp;" ("&amp;TEXT(SUMPRODUCT(MAX((T_PlannedOrders[Part Name]=$A1241)*(T_PlannedOrders[WeekIndex]=103)*(T_PlannedOrders[EffectiveQty]&gt;0)*T_PlannedOrders[Order_Month])),"m月")&amp;"発注)")</f>
        <v/>
      </c>
      <c r="DC1247">
        <f>IF(SUMIFS(T_PlannedOrders[EffectiveQty],T_PlannedOrders[Part Name],$A1241,T_PlannedOrders[WeekIndex],104)=0,"",SUMIFS(T_PlannedOrders[EffectiveQty],T_PlannedOrders[Part Name],$A1241,T_PlannedOrders[WeekIndex],104)&amp;" ("&amp;TEXT(SUMPRODUCT(MAX((T_PlannedOrders[Part Name]=$A1241)*(T_PlannedOrders[WeekIndex]=104)*(T_PlannedOrders[EffectiveQty]&gt;0)*T_PlannedOrders[Order_Month])),"m月")&amp;"発注)")</f>
        <v/>
      </c>
    </row>
    <row r="1248">
      <c r="B1248" s="5" t="inlineStr">
        <is>
          <t>合計在庫(週末時点,kg)</t>
        </is>
      </c>
      <c r="D1248">
        <f>'Grid_Stock'!B54</f>
        <v/>
      </c>
      <c r="E1248">
        <f>'Grid_Stock'!C54</f>
        <v/>
      </c>
      <c r="F1248">
        <f>'Grid_Stock'!D54</f>
        <v/>
      </c>
      <c r="G1248">
        <f>'Grid_Stock'!E54</f>
        <v/>
      </c>
      <c r="H1248">
        <f>'Grid_Stock'!F54</f>
        <v/>
      </c>
      <c r="I1248">
        <f>'Grid_Stock'!G54</f>
        <v/>
      </c>
      <c r="J1248">
        <f>'Grid_Stock'!H54</f>
        <v/>
      </c>
      <c r="K1248">
        <f>'Grid_Stock'!I54</f>
        <v/>
      </c>
      <c r="L1248">
        <f>'Grid_Stock'!J54</f>
        <v/>
      </c>
      <c r="M1248">
        <f>'Grid_Stock'!K54</f>
        <v/>
      </c>
      <c r="N1248">
        <f>'Grid_Stock'!L54</f>
        <v/>
      </c>
      <c r="O1248">
        <f>'Grid_Stock'!M54</f>
        <v/>
      </c>
      <c r="P1248">
        <f>'Grid_Stock'!N54</f>
        <v/>
      </c>
      <c r="Q1248">
        <f>'Grid_Stock'!O54</f>
        <v/>
      </c>
      <c r="R1248">
        <f>'Grid_Stock'!P54</f>
        <v/>
      </c>
      <c r="S1248">
        <f>'Grid_Stock'!Q54</f>
        <v/>
      </c>
      <c r="T1248">
        <f>'Grid_Stock'!R54</f>
        <v/>
      </c>
      <c r="U1248">
        <f>'Grid_Stock'!S54</f>
        <v/>
      </c>
      <c r="V1248">
        <f>'Grid_Stock'!T54</f>
        <v/>
      </c>
      <c r="W1248">
        <f>'Grid_Stock'!U54</f>
        <v/>
      </c>
      <c r="X1248">
        <f>'Grid_Stock'!V54</f>
        <v/>
      </c>
      <c r="Y1248">
        <f>'Grid_Stock'!W54</f>
        <v/>
      </c>
      <c r="Z1248">
        <f>'Grid_Stock'!X54</f>
        <v/>
      </c>
      <c r="AA1248">
        <f>'Grid_Stock'!Y54</f>
        <v/>
      </c>
      <c r="AB1248">
        <f>'Grid_Stock'!Z54</f>
        <v/>
      </c>
      <c r="AC1248">
        <f>'Grid_Stock'!AA54</f>
        <v/>
      </c>
      <c r="AD1248">
        <f>'Grid_Stock'!AB54</f>
        <v/>
      </c>
      <c r="AE1248">
        <f>'Grid_Stock'!AC54</f>
        <v/>
      </c>
      <c r="AF1248">
        <f>'Grid_Stock'!AD54</f>
        <v/>
      </c>
      <c r="AG1248">
        <f>'Grid_Stock'!AE54</f>
        <v/>
      </c>
      <c r="AH1248">
        <f>'Grid_Stock'!AF54</f>
        <v/>
      </c>
      <c r="AI1248">
        <f>'Grid_Stock'!AG54</f>
        <v/>
      </c>
      <c r="AJ1248">
        <f>'Grid_Stock'!AH54</f>
        <v/>
      </c>
      <c r="AK1248">
        <f>'Grid_Stock'!AI54</f>
        <v/>
      </c>
      <c r="AL1248">
        <f>'Grid_Stock'!AJ54</f>
        <v/>
      </c>
      <c r="AM1248">
        <f>'Grid_Stock'!AK54</f>
        <v/>
      </c>
      <c r="AN1248">
        <f>'Grid_Stock'!AL54</f>
        <v/>
      </c>
      <c r="AO1248">
        <f>'Grid_Stock'!AM54</f>
        <v/>
      </c>
      <c r="AP1248">
        <f>'Grid_Stock'!AN54</f>
        <v/>
      </c>
      <c r="AQ1248">
        <f>'Grid_Stock'!AO54</f>
        <v/>
      </c>
      <c r="AR1248">
        <f>'Grid_Stock'!AP54</f>
        <v/>
      </c>
      <c r="AS1248">
        <f>'Grid_Stock'!AQ54</f>
        <v/>
      </c>
      <c r="AT1248">
        <f>'Grid_Stock'!AR54</f>
        <v/>
      </c>
      <c r="AU1248">
        <f>'Grid_Stock'!AS54</f>
        <v/>
      </c>
      <c r="AV1248">
        <f>'Grid_Stock'!AT54</f>
        <v/>
      </c>
      <c r="AW1248">
        <f>'Grid_Stock'!AU54</f>
        <v/>
      </c>
      <c r="AX1248">
        <f>'Grid_Stock'!AV54</f>
        <v/>
      </c>
      <c r="AY1248">
        <f>'Grid_Stock'!AW54</f>
        <v/>
      </c>
      <c r="AZ1248">
        <f>'Grid_Stock'!AX54</f>
        <v/>
      </c>
      <c r="BA1248">
        <f>'Grid_Stock'!AY54</f>
        <v/>
      </c>
      <c r="BB1248">
        <f>'Grid_Stock'!AZ54</f>
        <v/>
      </c>
      <c r="BC1248">
        <f>'Grid_Stock'!BA54</f>
        <v/>
      </c>
      <c r="BD1248">
        <f>'Grid_Stock'!BB54</f>
        <v/>
      </c>
      <c r="BE1248">
        <f>'Grid_Stock'!BC54</f>
        <v/>
      </c>
      <c r="BF1248">
        <f>'Grid_Stock'!BD54</f>
        <v/>
      </c>
      <c r="BG1248">
        <f>'Grid_Stock'!BE54</f>
        <v/>
      </c>
      <c r="BH1248">
        <f>'Grid_Stock'!BF54</f>
        <v/>
      </c>
      <c r="BI1248">
        <f>'Grid_Stock'!BG54</f>
        <v/>
      </c>
      <c r="BJ1248">
        <f>'Grid_Stock'!BH54</f>
        <v/>
      </c>
      <c r="BK1248">
        <f>'Grid_Stock'!BI54</f>
        <v/>
      </c>
      <c r="BL1248">
        <f>'Grid_Stock'!BJ54</f>
        <v/>
      </c>
      <c r="BM1248">
        <f>'Grid_Stock'!BK54</f>
        <v/>
      </c>
      <c r="BN1248">
        <f>'Grid_Stock'!BL54</f>
        <v/>
      </c>
      <c r="BO1248">
        <f>'Grid_Stock'!BM54</f>
        <v/>
      </c>
      <c r="BP1248">
        <f>'Grid_Stock'!BN54</f>
        <v/>
      </c>
      <c r="BQ1248">
        <f>'Grid_Stock'!BO54</f>
        <v/>
      </c>
      <c r="BR1248">
        <f>'Grid_Stock'!BP54</f>
        <v/>
      </c>
      <c r="BS1248">
        <f>'Grid_Stock'!BQ54</f>
        <v/>
      </c>
      <c r="BT1248">
        <f>'Grid_Stock'!BR54</f>
        <v/>
      </c>
      <c r="BU1248">
        <f>'Grid_Stock'!BS54</f>
        <v/>
      </c>
      <c r="BV1248">
        <f>'Grid_Stock'!BT54</f>
        <v/>
      </c>
      <c r="BW1248">
        <f>'Grid_Stock'!BU54</f>
        <v/>
      </c>
      <c r="BX1248">
        <f>'Grid_Stock'!BV54</f>
        <v/>
      </c>
      <c r="BY1248">
        <f>'Grid_Stock'!BW54</f>
        <v/>
      </c>
      <c r="BZ1248">
        <f>'Grid_Stock'!BX54</f>
        <v/>
      </c>
      <c r="CA1248">
        <f>'Grid_Stock'!BY54</f>
        <v/>
      </c>
      <c r="CB1248">
        <f>'Grid_Stock'!BZ54</f>
        <v/>
      </c>
      <c r="CC1248">
        <f>'Grid_Stock'!CA54</f>
        <v/>
      </c>
      <c r="CD1248">
        <f>'Grid_Stock'!CB54</f>
        <v/>
      </c>
      <c r="CE1248">
        <f>'Grid_Stock'!CC54</f>
        <v/>
      </c>
      <c r="CF1248">
        <f>'Grid_Stock'!CD54</f>
        <v/>
      </c>
      <c r="CG1248">
        <f>'Grid_Stock'!CE54</f>
        <v/>
      </c>
      <c r="CH1248">
        <f>'Grid_Stock'!CF54</f>
        <v/>
      </c>
      <c r="CI1248">
        <f>'Grid_Stock'!CG54</f>
        <v/>
      </c>
      <c r="CJ1248">
        <f>'Grid_Stock'!CH54</f>
        <v/>
      </c>
      <c r="CK1248">
        <f>'Grid_Stock'!CI54</f>
        <v/>
      </c>
      <c r="CL1248">
        <f>'Grid_Stock'!CJ54</f>
        <v/>
      </c>
      <c r="CM1248">
        <f>'Grid_Stock'!CK54</f>
        <v/>
      </c>
      <c r="CN1248">
        <f>'Grid_Stock'!CL54</f>
        <v/>
      </c>
      <c r="CO1248">
        <f>'Grid_Stock'!CM54</f>
        <v/>
      </c>
      <c r="CP1248">
        <f>'Grid_Stock'!CN54</f>
        <v/>
      </c>
      <c r="CQ1248">
        <f>'Grid_Stock'!CO54</f>
        <v/>
      </c>
      <c r="CR1248">
        <f>'Grid_Stock'!CP54</f>
        <v/>
      </c>
      <c r="CS1248">
        <f>'Grid_Stock'!CQ54</f>
        <v/>
      </c>
      <c r="CT1248">
        <f>'Grid_Stock'!CR54</f>
        <v/>
      </c>
      <c r="CU1248">
        <f>'Grid_Stock'!CS54</f>
        <v/>
      </c>
      <c r="CV1248">
        <f>'Grid_Stock'!CT54</f>
        <v/>
      </c>
      <c r="CW1248">
        <f>'Grid_Stock'!CU54</f>
        <v/>
      </c>
      <c r="CX1248">
        <f>'Grid_Stock'!CV54</f>
        <v/>
      </c>
      <c r="CY1248">
        <f>'Grid_Stock'!CW54</f>
        <v/>
      </c>
      <c r="CZ1248">
        <f>'Grid_Stock'!CX54</f>
        <v/>
      </c>
      <c r="DA1248">
        <f>'Grid_Stock'!CY54</f>
        <v/>
      </c>
      <c r="DB1248">
        <f>'Grid_Stock'!CZ54</f>
        <v/>
      </c>
      <c r="DC1248">
        <f>'Grid_Stock'!DA54</f>
        <v/>
      </c>
    </row>
    <row r="1249">
      <c r="B1249" s="23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48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46239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MAX(0,$F16-INDEX(Grid_Stock[#Data],MATCH($D16,Grid_Stock[Part Name],0),$P$7+0))</f>
        <v/>
      </c>
      <c r="I16" s="19">
        <f>MAX(0,$F16-INDEX(Grid_Stock[#Data],MATCH($D16,Grid_Stock[Part Name],0),$P$7+1))</f>
        <v/>
      </c>
      <c r="J16" s="19">
        <f>MAX(0,$F16-INDEX(Grid_Stock[#Data],MATCH($D16,Grid_Stock[Part Name],0),$P$7+2))</f>
        <v/>
      </c>
      <c r="K16" s="19">
        <f>MAX(0,$F16-INDEX(Grid_Stock[#Data],MATCH($D16,Grid_Stock[Part Name],0),$P$7+3))</f>
        <v/>
      </c>
      <c r="L16" s="19">
        <f>MAX(0,$F16-INDEX(Grid_Stock[#Data],MATCH($D16,Grid_Stock[Part Name],0),$P$7+4))</f>
        <v/>
      </c>
      <c r="M16" s="19">
        <f>MAX(0,$F16-INDEX(Grid_Stock[#Data],MATCH($D16,Grid_Stock[Part Name],0),$P$7+5))</f>
        <v/>
      </c>
      <c r="N16" s="19">
        <f>MAX(0,$F16-INDEX(Grid_Stock[#Data],MATCH($D16,Grid_Stock[Part Name],0),$P$7+6))</f>
        <v/>
      </c>
      <c r="O16" s="19">
        <f>MAX(0,$F16-INDEX(Grid_Stock[#Data],MATCH($D16,Grid_Stock[Part Name],0),$P$7+7))</f>
        <v/>
      </c>
      <c r="P16" s="19">
        <f>MAX(0,$F16-INDEX(Grid_Stock[#Data],MATCH($D16,Grid_Stock[Part Name],0),$P$7+8))</f>
        <v/>
      </c>
      <c r="Q16" s="19">
        <f>MAX(0,$F16-INDEX(Grid_Stock[#Data],MATCH($D16,Grid_Stock[Part Name],0),$P$7+9))</f>
        <v/>
      </c>
      <c r="R16" s="19">
        <f>MAX(0,$F16-INDEX(Grid_Stock[#Data],MATCH($D16,Grid_Stock[Part Name],0),$P$7+10))</f>
        <v/>
      </c>
      <c r="S16" s="19">
        <f>MAX(0,$F16-INDEX(Grid_Stock[#Data],MATCH($D16,Grid_Stock[Part Name],0),$P$7+11))</f>
        <v/>
      </c>
      <c r="T16" s="19">
        <f>MAX(0,$F16-INDEX(Grid_Stock[#Data],MATCH($D16,Grid_Stock[Part Name],0),$P$7+12))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MAX(0,$F17-INDEX(Grid_Stock[#Data],MATCH($D17,Grid_Stock[Part Name],0),$P$7+0))</f>
        <v/>
      </c>
      <c r="I17" s="17">
        <f>MAX(0,$F17-INDEX(Grid_Stock[#Data],MATCH($D17,Grid_Stock[Part Name],0),$P$7+1))</f>
        <v/>
      </c>
      <c r="J17" s="17">
        <f>MAX(0,$F17-INDEX(Grid_Stock[#Data],MATCH($D17,Grid_Stock[Part Name],0),$P$7+2))</f>
        <v/>
      </c>
      <c r="K17" s="17">
        <f>MAX(0,$F17-INDEX(Grid_Stock[#Data],MATCH($D17,Grid_Stock[Part Name],0),$P$7+3))</f>
        <v/>
      </c>
      <c r="L17" s="17">
        <f>MAX(0,$F17-INDEX(Grid_Stock[#Data],MATCH($D17,Grid_Stock[Part Name],0),$P$7+4))</f>
        <v/>
      </c>
      <c r="M17" s="17">
        <f>MAX(0,$F17-INDEX(Grid_Stock[#Data],MATCH($D17,Grid_Stock[Part Name],0),$P$7+5))</f>
        <v/>
      </c>
      <c r="N17" s="17">
        <f>MAX(0,$F17-INDEX(Grid_Stock[#Data],MATCH($D17,Grid_Stock[Part Name],0),$P$7+6))</f>
        <v/>
      </c>
      <c r="O17" s="17">
        <f>MAX(0,$F17-INDEX(Grid_Stock[#Data],MATCH($D17,Grid_Stock[Part Name],0),$P$7+7))</f>
        <v/>
      </c>
      <c r="P17" s="17">
        <f>MAX(0,$F17-INDEX(Grid_Stock[#Data],MATCH($D17,Grid_Stock[Part Name],0),$P$7+8))</f>
        <v/>
      </c>
      <c r="Q17" s="17">
        <f>MAX(0,$F17-INDEX(Grid_Stock[#Data],MATCH($D17,Grid_Stock[Part Name],0),$P$7+9))</f>
        <v/>
      </c>
      <c r="R17" s="17">
        <f>MAX(0,$F17-INDEX(Grid_Stock[#Data],MATCH($D17,Grid_Stock[Part Name],0),$P$7+10))</f>
        <v/>
      </c>
      <c r="S17" s="17">
        <f>MAX(0,$F17-INDEX(Grid_Stock[#Data],MATCH($D17,Grid_Stock[Part Name],0),$P$7+11))</f>
        <v/>
      </c>
      <c r="T17" s="17">
        <f>MAX(0,$F17-INDEX(Grid_Stock[#Data],MATCH($D17,Grid_Stock[Part Name],0),$P$7+12))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MAX(0,$F18-INDEX(Grid_Stock[#Data],MATCH($D18,Grid_Stock[Part Name],0),$P$7+0))</f>
        <v/>
      </c>
      <c r="I18" s="19">
        <f>MAX(0,$F18-INDEX(Grid_Stock[#Data],MATCH($D18,Grid_Stock[Part Name],0),$P$7+1))</f>
        <v/>
      </c>
      <c r="J18" s="19">
        <f>MAX(0,$F18-INDEX(Grid_Stock[#Data],MATCH($D18,Grid_Stock[Part Name],0),$P$7+2))</f>
        <v/>
      </c>
      <c r="K18" s="19">
        <f>MAX(0,$F18-INDEX(Grid_Stock[#Data],MATCH($D18,Grid_Stock[Part Name],0),$P$7+3))</f>
        <v/>
      </c>
      <c r="L18" s="19">
        <f>MAX(0,$F18-INDEX(Grid_Stock[#Data],MATCH($D18,Grid_Stock[Part Name],0),$P$7+4))</f>
        <v/>
      </c>
      <c r="M18" s="19">
        <f>MAX(0,$F18-INDEX(Grid_Stock[#Data],MATCH($D18,Grid_Stock[Part Name],0),$P$7+5))</f>
        <v/>
      </c>
      <c r="N18" s="19">
        <f>MAX(0,$F18-INDEX(Grid_Stock[#Data],MATCH($D18,Grid_Stock[Part Name],0),$P$7+6))</f>
        <v/>
      </c>
      <c r="O18" s="19">
        <f>MAX(0,$F18-INDEX(Grid_Stock[#Data],MATCH($D18,Grid_Stock[Part Name],0),$P$7+7))</f>
        <v/>
      </c>
      <c r="P18" s="19">
        <f>MAX(0,$F18-INDEX(Grid_Stock[#Data],MATCH($D18,Grid_Stock[Part Name],0),$P$7+8))</f>
        <v/>
      </c>
      <c r="Q18" s="19">
        <f>MAX(0,$F18-INDEX(Grid_Stock[#Data],MATCH($D18,Grid_Stock[Part Name],0),$P$7+9))</f>
        <v/>
      </c>
      <c r="R18" s="19">
        <f>MAX(0,$F18-INDEX(Grid_Stock[#Data],MATCH($D18,Grid_Stock[Part Name],0),$P$7+10))</f>
        <v/>
      </c>
      <c r="S18" s="19">
        <f>MAX(0,$F18-INDEX(Grid_Stock[#Data],MATCH($D18,Grid_Stock[Part Name],0),$P$7+11))</f>
        <v/>
      </c>
      <c r="T18" s="19">
        <f>MAX(0,$F18-INDEX(Grid_Stock[#Data],MATCH($D18,Grid_Stock[Part Name],0),$P$7+12))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MAX(0,$F19-INDEX(Grid_Stock[#Data],MATCH($D19,Grid_Stock[Part Name],0),$P$7+0))</f>
        <v/>
      </c>
      <c r="I19" s="17">
        <f>MAX(0,$F19-INDEX(Grid_Stock[#Data],MATCH($D19,Grid_Stock[Part Name],0),$P$7+1))</f>
        <v/>
      </c>
      <c r="J19" s="17">
        <f>MAX(0,$F19-INDEX(Grid_Stock[#Data],MATCH($D19,Grid_Stock[Part Name],0),$P$7+2))</f>
        <v/>
      </c>
      <c r="K19" s="17">
        <f>MAX(0,$F19-INDEX(Grid_Stock[#Data],MATCH($D19,Grid_Stock[Part Name],0),$P$7+3))</f>
        <v/>
      </c>
      <c r="L19" s="17">
        <f>MAX(0,$F19-INDEX(Grid_Stock[#Data],MATCH($D19,Grid_Stock[Part Name],0),$P$7+4))</f>
        <v/>
      </c>
      <c r="M19" s="17">
        <f>MAX(0,$F19-INDEX(Grid_Stock[#Data],MATCH($D19,Grid_Stock[Part Name],0),$P$7+5))</f>
        <v/>
      </c>
      <c r="N19" s="17">
        <f>MAX(0,$F19-INDEX(Grid_Stock[#Data],MATCH($D19,Grid_Stock[Part Name],0),$P$7+6))</f>
        <v/>
      </c>
      <c r="O19" s="17">
        <f>MAX(0,$F19-INDEX(Grid_Stock[#Data],MATCH($D19,Grid_Stock[Part Name],0),$P$7+7))</f>
        <v/>
      </c>
      <c r="P19" s="17">
        <f>MAX(0,$F19-INDEX(Grid_Stock[#Data],MATCH($D19,Grid_Stock[Part Name],0),$P$7+8))</f>
        <v/>
      </c>
      <c r="Q19" s="17">
        <f>MAX(0,$F19-INDEX(Grid_Stock[#Data],MATCH($D19,Grid_Stock[Part Name],0),$P$7+9))</f>
        <v/>
      </c>
      <c r="R19" s="17">
        <f>MAX(0,$F19-INDEX(Grid_Stock[#Data],MATCH($D19,Grid_Stock[Part Name],0),$P$7+10))</f>
        <v/>
      </c>
      <c r="S19" s="17">
        <f>MAX(0,$F19-INDEX(Grid_Stock[#Data],MATCH($D19,Grid_Stock[Part Name],0),$P$7+11))</f>
        <v/>
      </c>
      <c r="T19" s="17">
        <f>MAX(0,$F19-INDEX(Grid_Stock[#Data],MATCH($D19,Grid_Stock[Part Name],0),$P$7+12))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MAX(0,$F20-INDEX(Grid_Stock[#Data],MATCH($D20,Grid_Stock[Part Name],0),$P$7+0))</f>
        <v/>
      </c>
      <c r="I20" s="19">
        <f>MAX(0,$F20-INDEX(Grid_Stock[#Data],MATCH($D20,Grid_Stock[Part Name],0),$P$7+1))</f>
        <v/>
      </c>
      <c r="J20" s="19">
        <f>MAX(0,$F20-INDEX(Grid_Stock[#Data],MATCH($D20,Grid_Stock[Part Name],0),$P$7+2))</f>
        <v/>
      </c>
      <c r="K20" s="19">
        <f>MAX(0,$F20-INDEX(Grid_Stock[#Data],MATCH($D20,Grid_Stock[Part Name],0),$P$7+3))</f>
        <v/>
      </c>
      <c r="L20" s="19">
        <f>MAX(0,$F20-INDEX(Grid_Stock[#Data],MATCH($D20,Grid_Stock[Part Name],0),$P$7+4))</f>
        <v/>
      </c>
      <c r="M20" s="19">
        <f>MAX(0,$F20-INDEX(Grid_Stock[#Data],MATCH($D20,Grid_Stock[Part Name],0),$P$7+5))</f>
        <v/>
      </c>
      <c r="N20" s="19">
        <f>MAX(0,$F20-INDEX(Grid_Stock[#Data],MATCH($D20,Grid_Stock[Part Name],0),$P$7+6))</f>
        <v/>
      </c>
      <c r="O20" s="19">
        <f>MAX(0,$F20-INDEX(Grid_Stock[#Data],MATCH($D20,Grid_Stock[Part Name],0),$P$7+7))</f>
        <v/>
      </c>
      <c r="P20" s="19">
        <f>MAX(0,$F20-INDEX(Grid_Stock[#Data],MATCH($D20,Grid_Stock[Part Name],0),$P$7+8))</f>
        <v/>
      </c>
      <c r="Q20" s="19">
        <f>MAX(0,$F20-INDEX(Grid_Stock[#Data],MATCH($D20,Grid_Stock[Part Name],0),$P$7+9))</f>
        <v/>
      </c>
      <c r="R20" s="19">
        <f>MAX(0,$F20-INDEX(Grid_Stock[#Data],MATCH($D20,Grid_Stock[Part Name],0),$P$7+10))</f>
        <v/>
      </c>
      <c r="S20" s="19">
        <f>MAX(0,$F20-INDEX(Grid_Stock[#Data],MATCH($D20,Grid_Stock[Part Name],0),$P$7+11))</f>
        <v/>
      </c>
      <c r="T20" s="19">
        <f>MAX(0,$F20-INDEX(Grid_Stock[#Data],MATCH($D20,Grid_Stock[Part Name],0),$P$7+12))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MAX(0,$F21-INDEX(Grid_Stock[#Data],MATCH($D21,Grid_Stock[Part Name],0),$P$7+0))</f>
        <v/>
      </c>
      <c r="I21" s="17">
        <f>MAX(0,$F21-INDEX(Grid_Stock[#Data],MATCH($D21,Grid_Stock[Part Name],0),$P$7+1))</f>
        <v/>
      </c>
      <c r="J21" s="17">
        <f>MAX(0,$F21-INDEX(Grid_Stock[#Data],MATCH($D21,Grid_Stock[Part Name],0),$P$7+2))</f>
        <v/>
      </c>
      <c r="K21" s="17">
        <f>MAX(0,$F21-INDEX(Grid_Stock[#Data],MATCH($D21,Grid_Stock[Part Name],0),$P$7+3))</f>
        <v/>
      </c>
      <c r="L21" s="17">
        <f>MAX(0,$F21-INDEX(Grid_Stock[#Data],MATCH($D21,Grid_Stock[Part Name],0),$P$7+4))</f>
        <v/>
      </c>
      <c r="M21" s="17">
        <f>MAX(0,$F21-INDEX(Grid_Stock[#Data],MATCH($D21,Grid_Stock[Part Name],0),$P$7+5))</f>
        <v/>
      </c>
      <c r="N21" s="17">
        <f>MAX(0,$F21-INDEX(Grid_Stock[#Data],MATCH($D21,Grid_Stock[Part Name],0),$P$7+6))</f>
        <v/>
      </c>
      <c r="O21" s="17">
        <f>MAX(0,$F21-INDEX(Grid_Stock[#Data],MATCH($D21,Grid_Stock[Part Name],0),$P$7+7))</f>
        <v/>
      </c>
      <c r="P21" s="17">
        <f>MAX(0,$F21-INDEX(Grid_Stock[#Data],MATCH($D21,Grid_Stock[Part Name],0),$P$7+8))</f>
        <v/>
      </c>
      <c r="Q21" s="17">
        <f>MAX(0,$F21-INDEX(Grid_Stock[#Data],MATCH($D21,Grid_Stock[Part Name],0),$P$7+9))</f>
        <v/>
      </c>
      <c r="R21" s="17">
        <f>MAX(0,$F21-INDEX(Grid_Stock[#Data],MATCH($D21,Grid_Stock[Part Name],0),$P$7+10))</f>
        <v/>
      </c>
      <c r="S21" s="17">
        <f>MAX(0,$F21-INDEX(Grid_Stock[#Data],MATCH($D21,Grid_Stock[Part Name],0),$P$7+11))</f>
        <v/>
      </c>
      <c r="T21" s="17">
        <f>MAX(0,$F21-INDEX(Grid_Stock[#Data],MATCH($D21,Grid_Stock[Part Name],0),$P$7+12))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MAX(0,$F22-INDEX(Grid_Stock[#Data],MATCH($D22,Grid_Stock[Part Name],0),$P$7+0))</f>
        <v/>
      </c>
      <c r="I22" s="19">
        <f>MAX(0,$F22-INDEX(Grid_Stock[#Data],MATCH($D22,Grid_Stock[Part Name],0),$P$7+1))</f>
        <v/>
      </c>
      <c r="J22" s="19">
        <f>MAX(0,$F22-INDEX(Grid_Stock[#Data],MATCH($D22,Grid_Stock[Part Name],0),$P$7+2))</f>
        <v/>
      </c>
      <c r="K22" s="19">
        <f>MAX(0,$F22-INDEX(Grid_Stock[#Data],MATCH($D22,Grid_Stock[Part Name],0),$P$7+3))</f>
        <v/>
      </c>
      <c r="L22" s="19">
        <f>MAX(0,$F22-INDEX(Grid_Stock[#Data],MATCH($D22,Grid_Stock[Part Name],0),$P$7+4))</f>
        <v/>
      </c>
      <c r="M22" s="19">
        <f>MAX(0,$F22-INDEX(Grid_Stock[#Data],MATCH($D22,Grid_Stock[Part Name],0),$P$7+5))</f>
        <v/>
      </c>
      <c r="N22" s="19">
        <f>MAX(0,$F22-INDEX(Grid_Stock[#Data],MATCH($D22,Grid_Stock[Part Name],0),$P$7+6))</f>
        <v/>
      </c>
      <c r="O22" s="19">
        <f>MAX(0,$F22-INDEX(Grid_Stock[#Data],MATCH($D22,Grid_Stock[Part Name],0),$P$7+7))</f>
        <v/>
      </c>
      <c r="P22" s="19">
        <f>MAX(0,$F22-INDEX(Grid_Stock[#Data],MATCH($D22,Grid_Stock[Part Name],0),$P$7+8))</f>
        <v/>
      </c>
      <c r="Q22" s="19">
        <f>MAX(0,$F22-INDEX(Grid_Stock[#Data],MATCH($D22,Grid_Stock[Part Name],0),$P$7+9))</f>
        <v/>
      </c>
      <c r="R22" s="19">
        <f>MAX(0,$F22-INDEX(Grid_Stock[#Data],MATCH($D22,Grid_Stock[Part Name],0),$P$7+10))</f>
        <v/>
      </c>
      <c r="S22" s="19">
        <f>MAX(0,$F22-INDEX(Grid_Stock[#Data],MATCH($D22,Grid_Stock[Part Name],0),$P$7+11))</f>
        <v/>
      </c>
      <c r="T22" s="19">
        <f>MAX(0,$F22-INDEX(Grid_Stock[#Data],MATCH($D22,Grid_Stock[Part Name],0),$P$7+12))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MAX(0,$F23-INDEX(Grid_Stock[#Data],MATCH($D23,Grid_Stock[Part Name],0),$P$7+0))</f>
        <v/>
      </c>
      <c r="I23" s="17">
        <f>MAX(0,$F23-INDEX(Grid_Stock[#Data],MATCH($D23,Grid_Stock[Part Name],0),$P$7+1))</f>
        <v/>
      </c>
      <c r="J23" s="17">
        <f>MAX(0,$F23-INDEX(Grid_Stock[#Data],MATCH($D23,Grid_Stock[Part Name],0),$P$7+2))</f>
        <v/>
      </c>
      <c r="K23" s="17">
        <f>MAX(0,$F23-INDEX(Grid_Stock[#Data],MATCH($D23,Grid_Stock[Part Name],0),$P$7+3))</f>
        <v/>
      </c>
      <c r="L23" s="17">
        <f>MAX(0,$F23-INDEX(Grid_Stock[#Data],MATCH($D23,Grid_Stock[Part Name],0),$P$7+4))</f>
        <v/>
      </c>
      <c r="M23" s="17">
        <f>MAX(0,$F23-INDEX(Grid_Stock[#Data],MATCH($D23,Grid_Stock[Part Name],0),$P$7+5))</f>
        <v/>
      </c>
      <c r="N23" s="17">
        <f>MAX(0,$F23-INDEX(Grid_Stock[#Data],MATCH($D23,Grid_Stock[Part Name],0),$P$7+6))</f>
        <v/>
      </c>
      <c r="O23" s="17">
        <f>MAX(0,$F23-INDEX(Grid_Stock[#Data],MATCH($D23,Grid_Stock[Part Name],0),$P$7+7))</f>
        <v/>
      </c>
      <c r="P23" s="17">
        <f>MAX(0,$F23-INDEX(Grid_Stock[#Data],MATCH($D23,Grid_Stock[Part Name],0),$P$7+8))</f>
        <v/>
      </c>
      <c r="Q23" s="17">
        <f>MAX(0,$F23-INDEX(Grid_Stock[#Data],MATCH($D23,Grid_Stock[Part Name],0),$P$7+9))</f>
        <v/>
      </c>
      <c r="R23" s="17">
        <f>MAX(0,$F23-INDEX(Grid_Stock[#Data],MATCH($D23,Grid_Stock[Part Name],0),$P$7+10))</f>
        <v/>
      </c>
      <c r="S23" s="17">
        <f>MAX(0,$F23-INDEX(Grid_Stock[#Data],MATCH($D23,Grid_Stock[Part Name],0),$P$7+11))</f>
        <v/>
      </c>
      <c r="T23" s="17">
        <f>MAX(0,$F23-INDEX(Grid_Stock[#Data],MATCH($D23,Grid_Stock[Part Name],0),$P$7+12))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MAX(0,$F24-INDEX(Grid_Stock[#Data],MATCH($D24,Grid_Stock[Part Name],0),$P$7+0))</f>
        <v/>
      </c>
      <c r="I24" s="19">
        <f>MAX(0,$F24-INDEX(Grid_Stock[#Data],MATCH($D24,Grid_Stock[Part Name],0),$P$7+1))</f>
        <v/>
      </c>
      <c r="J24" s="19">
        <f>MAX(0,$F24-INDEX(Grid_Stock[#Data],MATCH($D24,Grid_Stock[Part Name],0),$P$7+2))</f>
        <v/>
      </c>
      <c r="K24" s="19">
        <f>MAX(0,$F24-INDEX(Grid_Stock[#Data],MATCH($D24,Grid_Stock[Part Name],0),$P$7+3))</f>
        <v/>
      </c>
      <c r="L24" s="19">
        <f>MAX(0,$F24-INDEX(Grid_Stock[#Data],MATCH($D24,Grid_Stock[Part Name],0),$P$7+4))</f>
        <v/>
      </c>
      <c r="M24" s="19">
        <f>MAX(0,$F24-INDEX(Grid_Stock[#Data],MATCH($D24,Grid_Stock[Part Name],0),$P$7+5))</f>
        <v/>
      </c>
      <c r="N24" s="19">
        <f>MAX(0,$F24-INDEX(Grid_Stock[#Data],MATCH($D24,Grid_Stock[Part Name],0),$P$7+6))</f>
        <v/>
      </c>
      <c r="O24" s="19">
        <f>MAX(0,$F24-INDEX(Grid_Stock[#Data],MATCH($D24,Grid_Stock[Part Name],0),$P$7+7))</f>
        <v/>
      </c>
      <c r="P24" s="19">
        <f>MAX(0,$F24-INDEX(Grid_Stock[#Data],MATCH($D24,Grid_Stock[Part Name],0),$P$7+8))</f>
        <v/>
      </c>
      <c r="Q24" s="19">
        <f>MAX(0,$F24-INDEX(Grid_Stock[#Data],MATCH($D24,Grid_Stock[Part Name],0),$P$7+9))</f>
        <v/>
      </c>
      <c r="R24" s="19">
        <f>MAX(0,$F24-INDEX(Grid_Stock[#Data],MATCH($D24,Grid_Stock[Part Name],0),$P$7+10))</f>
        <v/>
      </c>
      <c r="S24" s="19">
        <f>MAX(0,$F24-INDEX(Grid_Stock[#Data],MATCH($D24,Grid_Stock[Part Name],0),$P$7+11))</f>
        <v/>
      </c>
      <c r="T24" s="19">
        <f>MAX(0,$F24-INDEX(Grid_Stock[#Data],MATCH($D24,Grid_Stock[Part Name],0),$P$7+12))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MAX(0,$F25-INDEX(Grid_Stock[#Data],MATCH($D25,Grid_Stock[Part Name],0),$P$7+0))</f>
        <v/>
      </c>
      <c r="I25" s="17">
        <f>MAX(0,$F25-INDEX(Grid_Stock[#Data],MATCH($D25,Grid_Stock[Part Name],0),$P$7+1))</f>
        <v/>
      </c>
      <c r="J25" s="17">
        <f>MAX(0,$F25-INDEX(Grid_Stock[#Data],MATCH($D25,Grid_Stock[Part Name],0),$P$7+2))</f>
        <v/>
      </c>
      <c r="K25" s="17">
        <f>MAX(0,$F25-INDEX(Grid_Stock[#Data],MATCH($D25,Grid_Stock[Part Name],0),$P$7+3))</f>
        <v/>
      </c>
      <c r="L25" s="17">
        <f>MAX(0,$F25-INDEX(Grid_Stock[#Data],MATCH($D25,Grid_Stock[Part Name],0),$P$7+4))</f>
        <v/>
      </c>
      <c r="M25" s="17">
        <f>MAX(0,$F25-INDEX(Grid_Stock[#Data],MATCH($D25,Grid_Stock[Part Name],0),$P$7+5))</f>
        <v/>
      </c>
      <c r="N25" s="17">
        <f>MAX(0,$F25-INDEX(Grid_Stock[#Data],MATCH($D25,Grid_Stock[Part Name],0),$P$7+6))</f>
        <v/>
      </c>
      <c r="O25" s="17">
        <f>MAX(0,$F25-INDEX(Grid_Stock[#Data],MATCH($D25,Grid_Stock[Part Name],0),$P$7+7))</f>
        <v/>
      </c>
      <c r="P25" s="17">
        <f>MAX(0,$F25-INDEX(Grid_Stock[#Data],MATCH($D25,Grid_Stock[Part Name],0),$P$7+8))</f>
        <v/>
      </c>
      <c r="Q25" s="17">
        <f>MAX(0,$F25-INDEX(Grid_Stock[#Data],MATCH($D25,Grid_Stock[Part Name],0),$P$7+9))</f>
        <v/>
      </c>
      <c r="R25" s="17">
        <f>MAX(0,$F25-INDEX(Grid_Stock[#Data],MATCH($D25,Grid_Stock[Part Name],0),$P$7+10))</f>
        <v/>
      </c>
      <c r="S25" s="17">
        <f>MAX(0,$F25-INDEX(Grid_Stock[#Data],MATCH($D25,Grid_Stock[Part Name],0),$P$7+11))</f>
        <v/>
      </c>
      <c r="T25" s="17">
        <f>MAX(0,$F25-INDEX(Grid_Stock[#Data],MATCH($D25,Grid_Stock[Part Name],0),$P$7+12))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MAX(0,$F26-INDEX(Grid_Stock[#Data],MATCH($D26,Grid_Stock[Part Name],0),$P$7+0))</f>
        <v/>
      </c>
      <c r="I26" s="19">
        <f>MAX(0,$F26-INDEX(Grid_Stock[#Data],MATCH($D26,Grid_Stock[Part Name],0),$P$7+1))</f>
        <v/>
      </c>
      <c r="J26" s="19">
        <f>MAX(0,$F26-INDEX(Grid_Stock[#Data],MATCH($D26,Grid_Stock[Part Name],0),$P$7+2))</f>
        <v/>
      </c>
      <c r="K26" s="19">
        <f>MAX(0,$F26-INDEX(Grid_Stock[#Data],MATCH($D26,Grid_Stock[Part Name],0),$P$7+3))</f>
        <v/>
      </c>
      <c r="L26" s="19">
        <f>MAX(0,$F26-INDEX(Grid_Stock[#Data],MATCH($D26,Grid_Stock[Part Name],0),$P$7+4))</f>
        <v/>
      </c>
      <c r="M26" s="19">
        <f>MAX(0,$F26-INDEX(Grid_Stock[#Data],MATCH($D26,Grid_Stock[Part Name],0),$P$7+5))</f>
        <v/>
      </c>
      <c r="N26" s="19">
        <f>MAX(0,$F26-INDEX(Grid_Stock[#Data],MATCH($D26,Grid_Stock[Part Name],0),$P$7+6))</f>
        <v/>
      </c>
      <c r="O26" s="19">
        <f>MAX(0,$F26-INDEX(Grid_Stock[#Data],MATCH($D26,Grid_Stock[Part Name],0),$P$7+7))</f>
        <v/>
      </c>
      <c r="P26" s="19">
        <f>MAX(0,$F26-INDEX(Grid_Stock[#Data],MATCH($D26,Grid_Stock[Part Name],0),$P$7+8))</f>
        <v/>
      </c>
      <c r="Q26" s="19">
        <f>MAX(0,$F26-INDEX(Grid_Stock[#Data],MATCH($D26,Grid_Stock[Part Name],0),$P$7+9))</f>
        <v/>
      </c>
      <c r="R26" s="19">
        <f>MAX(0,$F26-INDEX(Grid_Stock[#Data],MATCH($D26,Grid_Stock[Part Name],0),$P$7+10))</f>
        <v/>
      </c>
      <c r="S26" s="19">
        <f>MAX(0,$F26-INDEX(Grid_Stock[#Data],MATCH($D26,Grid_Stock[Part Name],0),$P$7+11))</f>
        <v/>
      </c>
      <c r="T26" s="19">
        <f>MAX(0,$F26-INDEX(Grid_Stock[#Data],MATCH($D26,Grid_Stock[Part Name],0),$P$7+12))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MAX(0,$F27-INDEX(Grid_Stock[#Data],MATCH($D27,Grid_Stock[Part Name],0),$P$7+0))</f>
        <v/>
      </c>
      <c r="I27" s="17">
        <f>MAX(0,$F27-INDEX(Grid_Stock[#Data],MATCH($D27,Grid_Stock[Part Name],0),$P$7+1))</f>
        <v/>
      </c>
      <c r="J27" s="17">
        <f>MAX(0,$F27-INDEX(Grid_Stock[#Data],MATCH($D27,Grid_Stock[Part Name],0),$P$7+2))</f>
        <v/>
      </c>
      <c r="K27" s="17">
        <f>MAX(0,$F27-INDEX(Grid_Stock[#Data],MATCH($D27,Grid_Stock[Part Name],0),$P$7+3))</f>
        <v/>
      </c>
      <c r="L27" s="17">
        <f>MAX(0,$F27-INDEX(Grid_Stock[#Data],MATCH($D27,Grid_Stock[Part Name],0),$P$7+4))</f>
        <v/>
      </c>
      <c r="M27" s="17">
        <f>MAX(0,$F27-INDEX(Grid_Stock[#Data],MATCH($D27,Grid_Stock[Part Name],0),$P$7+5))</f>
        <v/>
      </c>
      <c r="N27" s="17">
        <f>MAX(0,$F27-INDEX(Grid_Stock[#Data],MATCH($D27,Grid_Stock[Part Name],0),$P$7+6))</f>
        <v/>
      </c>
      <c r="O27" s="17">
        <f>MAX(0,$F27-INDEX(Grid_Stock[#Data],MATCH($D27,Grid_Stock[Part Name],0),$P$7+7))</f>
        <v/>
      </c>
      <c r="P27" s="17">
        <f>MAX(0,$F27-INDEX(Grid_Stock[#Data],MATCH($D27,Grid_Stock[Part Name],0),$P$7+8))</f>
        <v/>
      </c>
      <c r="Q27" s="17">
        <f>MAX(0,$F27-INDEX(Grid_Stock[#Data],MATCH($D27,Grid_Stock[Part Name],0),$P$7+9))</f>
        <v/>
      </c>
      <c r="R27" s="17">
        <f>MAX(0,$F27-INDEX(Grid_Stock[#Data],MATCH($D27,Grid_Stock[Part Name],0),$P$7+10))</f>
        <v/>
      </c>
      <c r="S27" s="17">
        <f>MAX(0,$F27-INDEX(Grid_Stock[#Data],MATCH($D27,Grid_Stock[Part Name],0),$P$7+11))</f>
        <v/>
      </c>
      <c r="T27" s="17">
        <f>MAX(0,$F27-INDEX(Grid_Stock[#Data],MATCH($D27,Grid_Stock[Part Name],0),$P$7+12))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MAX(0,$F28-INDEX(Grid_Stock[#Data],MATCH($D28,Grid_Stock[Part Name],0),$P$7+0))</f>
        <v/>
      </c>
      <c r="I28" s="19">
        <f>MAX(0,$F28-INDEX(Grid_Stock[#Data],MATCH($D28,Grid_Stock[Part Name],0),$P$7+1))</f>
        <v/>
      </c>
      <c r="J28" s="19">
        <f>MAX(0,$F28-INDEX(Grid_Stock[#Data],MATCH($D28,Grid_Stock[Part Name],0),$P$7+2))</f>
        <v/>
      </c>
      <c r="K28" s="19">
        <f>MAX(0,$F28-INDEX(Grid_Stock[#Data],MATCH($D28,Grid_Stock[Part Name],0),$P$7+3))</f>
        <v/>
      </c>
      <c r="L28" s="19">
        <f>MAX(0,$F28-INDEX(Grid_Stock[#Data],MATCH($D28,Grid_Stock[Part Name],0),$P$7+4))</f>
        <v/>
      </c>
      <c r="M28" s="19">
        <f>MAX(0,$F28-INDEX(Grid_Stock[#Data],MATCH($D28,Grid_Stock[Part Name],0),$P$7+5))</f>
        <v/>
      </c>
      <c r="N28" s="19">
        <f>MAX(0,$F28-INDEX(Grid_Stock[#Data],MATCH($D28,Grid_Stock[Part Name],0),$P$7+6))</f>
        <v/>
      </c>
      <c r="O28" s="19">
        <f>MAX(0,$F28-INDEX(Grid_Stock[#Data],MATCH($D28,Grid_Stock[Part Name],0),$P$7+7))</f>
        <v/>
      </c>
      <c r="P28" s="19">
        <f>MAX(0,$F28-INDEX(Grid_Stock[#Data],MATCH($D28,Grid_Stock[Part Name],0),$P$7+8))</f>
        <v/>
      </c>
      <c r="Q28" s="19">
        <f>MAX(0,$F28-INDEX(Grid_Stock[#Data],MATCH($D28,Grid_Stock[Part Name],0),$P$7+9))</f>
        <v/>
      </c>
      <c r="R28" s="19">
        <f>MAX(0,$F28-INDEX(Grid_Stock[#Data],MATCH($D28,Grid_Stock[Part Name],0),$P$7+10))</f>
        <v/>
      </c>
      <c r="S28" s="19">
        <f>MAX(0,$F28-INDEX(Grid_Stock[#Data],MATCH($D28,Grid_Stock[Part Name],0),$P$7+11))</f>
        <v/>
      </c>
      <c r="T28" s="19">
        <f>MAX(0,$F28-INDEX(Grid_Stock[#Data],MATCH($D28,Grid_Stock[Part Name],0),$P$7+12))</f>
        <v/>
      </c>
      <c r="U28" s="19">
        <f>SUM(H28:T28)</f>
        <v/>
      </c>
    </row>
    <row r="29">
      <c r="B29" s="17">
        <f>IFERROR(INDEX(M_RawMaterials[Description],MATCH("CHEM-1530",M_RawMaterials[Part Name],0)),"")</f>
        <v/>
      </c>
      <c r="C29" s="17" t="inlineStr">
        <is>
          <t>71388003501</t>
        </is>
      </c>
      <c r="D29" s="17" t="inlineStr">
        <is>
          <t>CHEM-1530</t>
        </is>
      </c>
      <c r="E29" s="17" t="inlineStr">
        <is>
          <t>kg</t>
        </is>
      </c>
      <c r="F29" s="17">
        <f>IFERROR(INDEX(M_RawMaterials[基準在庫下限_要入力],MATCH("CHEM-1530",M_RawMaterials[Part Name],0)),0)</f>
        <v/>
      </c>
      <c r="G29" s="17">
        <f>INDEX(Grid_Stock[#Data],MATCH($D29,Grid_Stock[Part Name],0),$P$7)</f>
        <v/>
      </c>
      <c r="H29" s="17">
        <f>MAX(0,$F29-INDEX(Grid_Stock[#Data],MATCH($D29,Grid_Stock[Part Name],0),$P$7+0))</f>
        <v/>
      </c>
      <c r="I29" s="17">
        <f>MAX(0,$F29-INDEX(Grid_Stock[#Data],MATCH($D29,Grid_Stock[Part Name],0),$P$7+1))</f>
        <v/>
      </c>
      <c r="J29" s="17">
        <f>MAX(0,$F29-INDEX(Grid_Stock[#Data],MATCH($D29,Grid_Stock[Part Name],0),$P$7+2))</f>
        <v/>
      </c>
      <c r="K29" s="17">
        <f>MAX(0,$F29-INDEX(Grid_Stock[#Data],MATCH($D29,Grid_Stock[Part Name],0),$P$7+3))</f>
        <v/>
      </c>
      <c r="L29" s="17">
        <f>MAX(0,$F29-INDEX(Grid_Stock[#Data],MATCH($D29,Grid_Stock[Part Name],0),$P$7+4))</f>
        <v/>
      </c>
      <c r="M29" s="17">
        <f>MAX(0,$F29-INDEX(Grid_Stock[#Data],MATCH($D29,Grid_Stock[Part Name],0),$P$7+5))</f>
        <v/>
      </c>
      <c r="N29" s="17">
        <f>MAX(0,$F29-INDEX(Grid_Stock[#Data],MATCH($D29,Grid_Stock[Part Name],0),$P$7+6))</f>
        <v/>
      </c>
      <c r="O29" s="17">
        <f>MAX(0,$F29-INDEX(Grid_Stock[#Data],MATCH($D29,Grid_Stock[Part Name],0),$P$7+7))</f>
        <v/>
      </c>
      <c r="P29" s="17">
        <f>MAX(0,$F29-INDEX(Grid_Stock[#Data],MATCH($D29,Grid_Stock[Part Name],0),$P$7+8))</f>
        <v/>
      </c>
      <c r="Q29" s="17">
        <f>MAX(0,$F29-INDEX(Grid_Stock[#Data],MATCH($D29,Grid_Stock[Part Name],0),$P$7+9))</f>
        <v/>
      </c>
      <c r="R29" s="17">
        <f>MAX(0,$F29-INDEX(Grid_Stock[#Data],MATCH($D29,Grid_Stock[Part Name],0),$P$7+10))</f>
        <v/>
      </c>
      <c r="S29" s="17">
        <f>MAX(0,$F29-INDEX(Grid_Stock[#Data],MATCH($D29,Grid_Stock[Part Name],0),$P$7+11))</f>
        <v/>
      </c>
      <c r="T29" s="17">
        <f>MAX(0,$F29-INDEX(Grid_Stock[#Data],MATCH($D29,Grid_Stock[Part Name],0),$P$7+12))</f>
        <v/>
      </c>
      <c r="U29" s="17">
        <f>SUM(H29:T29)</f>
        <v/>
      </c>
    </row>
    <row r="30">
      <c r="B30" s="19">
        <f>IFERROR(INDEX(M_RawMaterials[Description],MATCH("CHEM-1480",M_RawMaterials[Part Name],0)),"")</f>
        <v/>
      </c>
      <c r="C30" s="19" t="inlineStr">
        <is>
          <t>NAT30</t>
        </is>
      </c>
      <c r="D30" s="19" t="inlineStr">
        <is>
          <t>CHEM-1480</t>
        </is>
      </c>
      <c r="E30" s="19" t="inlineStr">
        <is>
          <t>kg</t>
        </is>
      </c>
      <c r="F30" s="19">
        <f>IFERROR(INDEX(M_RawMaterials[基準在庫下限_要入力],MATCH("CHEM-1480",M_RawMaterials[Part Name],0)),0)</f>
        <v/>
      </c>
      <c r="G30" s="19">
        <f>INDEX(Grid_Stock[#Data],MATCH($D30,Grid_Stock[Part Name],0),$P$7)</f>
        <v/>
      </c>
      <c r="H30" s="19">
        <f>MAX(0,$F30-INDEX(Grid_Stock[#Data],MATCH($D30,Grid_Stock[Part Name],0),$P$7+0))</f>
        <v/>
      </c>
      <c r="I30" s="19">
        <f>MAX(0,$F30-INDEX(Grid_Stock[#Data],MATCH($D30,Grid_Stock[Part Name],0),$P$7+1))</f>
        <v/>
      </c>
      <c r="J30" s="19">
        <f>MAX(0,$F30-INDEX(Grid_Stock[#Data],MATCH($D30,Grid_Stock[Part Name],0),$P$7+2))</f>
        <v/>
      </c>
      <c r="K30" s="19">
        <f>MAX(0,$F30-INDEX(Grid_Stock[#Data],MATCH($D30,Grid_Stock[Part Name],0),$P$7+3))</f>
        <v/>
      </c>
      <c r="L30" s="19">
        <f>MAX(0,$F30-INDEX(Grid_Stock[#Data],MATCH($D30,Grid_Stock[Part Name],0),$P$7+4))</f>
        <v/>
      </c>
      <c r="M30" s="19">
        <f>MAX(0,$F30-INDEX(Grid_Stock[#Data],MATCH($D30,Grid_Stock[Part Name],0),$P$7+5))</f>
        <v/>
      </c>
      <c r="N30" s="19">
        <f>MAX(0,$F30-INDEX(Grid_Stock[#Data],MATCH($D30,Grid_Stock[Part Name],0),$P$7+6))</f>
        <v/>
      </c>
      <c r="O30" s="19">
        <f>MAX(0,$F30-INDEX(Grid_Stock[#Data],MATCH($D30,Grid_Stock[Part Name],0),$P$7+7))</f>
        <v/>
      </c>
      <c r="P30" s="19">
        <f>MAX(0,$F30-INDEX(Grid_Stock[#Data],MATCH($D30,Grid_Stock[Part Name],0),$P$7+8))</f>
        <v/>
      </c>
      <c r="Q30" s="19">
        <f>MAX(0,$F30-INDEX(Grid_Stock[#Data],MATCH($D30,Grid_Stock[Part Name],0),$P$7+9))</f>
        <v/>
      </c>
      <c r="R30" s="19">
        <f>MAX(0,$F30-INDEX(Grid_Stock[#Data],MATCH($D30,Grid_Stock[Part Name],0),$P$7+10))</f>
        <v/>
      </c>
      <c r="S30" s="19">
        <f>MAX(0,$F30-INDEX(Grid_Stock[#Data],MATCH($D30,Grid_Stock[Part Name],0),$P$7+11))</f>
        <v/>
      </c>
      <c r="T30" s="19">
        <f>MAX(0,$F30-INDEX(Grid_Stock[#Data],MATCH($D30,Grid_Stock[Part Name],0),$P$7+12))</f>
        <v/>
      </c>
      <c r="U30" s="19">
        <f>SUM(H30:T30)</f>
        <v/>
      </c>
    </row>
    <row r="31">
      <c r="B31" s="17">
        <f>IFERROR(INDEX(M_RawMaterials[Description],MATCH("CHEM-1540",M_RawMaterials[Part Name],0)),"")</f>
        <v/>
      </c>
      <c r="C31" s="17" t="inlineStr">
        <is>
          <t>71388005801</t>
        </is>
      </c>
      <c r="D31" s="17" t="inlineStr">
        <is>
          <t>CHEM-1540</t>
        </is>
      </c>
      <c r="E31" s="17" t="inlineStr">
        <is>
          <t>kg</t>
        </is>
      </c>
      <c r="F31" s="17">
        <f>IFERROR(INDEX(M_RawMaterials[基準在庫下限_要入力],MATCH("CHEM-1540",M_RawMaterials[Part Name],0)),0)</f>
        <v/>
      </c>
      <c r="G31" s="17">
        <f>INDEX(Grid_Stock[#Data],MATCH($D31,Grid_Stock[Part Name],0),$P$7)</f>
        <v/>
      </c>
      <c r="H31" s="17">
        <f>MAX(0,$F31-INDEX(Grid_Stock[#Data],MATCH($D31,Grid_Stock[Part Name],0),$P$7+0))</f>
        <v/>
      </c>
      <c r="I31" s="17">
        <f>MAX(0,$F31-INDEX(Grid_Stock[#Data],MATCH($D31,Grid_Stock[Part Name],0),$P$7+1))</f>
        <v/>
      </c>
      <c r="J31" s="17">
        <f>MAX(0,$F31-INDEX(Grid_Stock[#Data],MATCH($D31,Grid_Stock[Part Name],0),$P$7+2))</f>
        <v/>
      </c>
      <c r="K31" s="17">
        <f>MAX(0,$F31-INDEX(Grid_Stock[#Data],MATCH($D31,Grid_Stock[Part Name],0),$P$7+3))</f>
        <v/>
      </c>
      <c r="L31" s="17">
        <f>MAX(0,$F31-INDEX(Grid_Stock[#Data],MATCH($D31,Grid_Stock[Part Name],0),$P$7+4))</f>
        <v/>
      </c>
      <c r="M31" s="17">
        <f>MAX(0,$F31-INDEX(Grid_Stock[#Data],MATCH($D31,Grid_Stock[Part Name],0),$P$7+5))</f>
        <v/>
      </c>
      <c r="N31" s="17">
        <f>MAX(0,$F31-INDEX(Grid_Stock[#Data],MATCH($D31,Grid_Stock[Part Name],0),$P$7+6))</f>
        <v/>
      </c>
      <c r="O31" s="17">
        <f>MAX(0,$F31-INDEX(Grid_Stock[#Data],MATCH($D31,Grid_Stock[Part Name],0),$P$7+7))</f>
        <v/>
      </c>
      <c r="P31" s="17">
        <f>MAX(0,$F31-INDEX(Grid_Stock[#Data],MATCH($D31,Grid_Stock[Part Name],0),$P$7+8))</f>
        <v/>
      </c>
      <c r="Q31" s="17">
        <f>MAX(0,$F31-INDEX(Grid_Stock[#Data],MATCH($D31,Grid_Stock[Part Name],0),$P$7+9))</f>
        <v/>
      </c>
      <c r="R31" s="17">
        <f>MAX(0,$F31-INDEX(Grid_Stock[#Data],MATCH($D31,Grid_Stock[Part Name],0),$P$7+10))</f>
        <v/>
      </c>
      <c r="S31" s="17">
        <f>MAX(0,$F31-INDEX(Grid_Stock[#Data],MATCH($D31,Grid_Stock[Part Name],0),$P$7+11))</f>
        <v/>
      </c>
      <c r="T31" s="17">
        <f>MAX(0,$F31-INDEX(Grid_Stock[#Data],MATCH($D31,Grid_Stock[Part Name],0),$P$7+12))</f>
        <v/>
      </c>
      <c r="U31" s="17">
        <f>SUM(H31:T31)</f>
        <v/>
      </c>
    </row>
    <row r="32">
      <c r="B32" s="19">
        <f>IFERROR(INDEX(M_RawMaterials[Description],MATCH("CHEM-1680",M_RawMaterials[Part Name],0)),"")</f>
        <v/>
      </c>
      <c r="C32" s="19" t="inlineStr">
        <is>
          <t>713880069</t>
        </is>
      </c>
      <c r="D32" s="19" t="inlineStr">
        <is>
          <t>CHEM-1680</t>
        </is>
      </c>
      <c r="E32" s="19" t="inlineStr">
        <is>
          <t>kg</t>
        </is>
      </c>
      <c r="F32" s="19">
        <f>IFERROR(INDEX(M_RawMaterials[基準在庫下限_要入力],MATCH("CHEM-1680",M_RawMaterials[Part Name],0)),0)</f>
        <v/>
      </c>
      <c r="G32" s="19">
        <f>INDEX(Grid_Stock[#Data],MATCH($D32,Grid_Stock[Part Name],0),$P$7)</f>
        <v/>
      </c>
      <c r="H32" s="19">
        <f>MAX(0,$F32-INDEX(Grid_Stock[#Data],MATCH($D32,Grid_Stock[Part Name],0),$P$7+0))</f>
        <v/>
      </c>
      <c r="I32" s="19">
        <f>MAX(0,$F32-INDEX(Grid_Stock[#Data],MATCH($D32,Grid_Stock[Part Name],0),$P$7+1))</f>
        <v/>
      </c>
      <c r="J32" s="19">
        <f>MAX(0,$F32-INDEX(Grid_Stock[#Data],MATCH($D32,Grid_Stock[Part Name],0),$P$7+2))</f>
        <v/>
      </c>
      <c r="K32" s="19">
        <f>MAX(0,$F32-INDEX(Grid_Stock[#Data],MATCH($D32,Grid_Stock[Part Name],0),$P$7+3))</f>
        <v/>
      </c>
      <c r="L32" s="19">
        <f>MAX(0,$F32-INDEX(Grid_Stock[#Data],MATCH($D32,Grid_Stock[Part Name],0),$P$7+4))</f>
        <v/>
      </c>
      <c r="M32" s="19">
        <f>MAX(0,$F32-INDEX(Grid_Stock[#Data],MATCH($D32,Grid_Stock[Part Name],0),$P$7+5))</f>
        <v/>
      </c>
      <c r="N32" s="19">
        <f>MAX(0,$F32-INDEX(Grid_Stock[#Data],MATCH($D32,Grid_Stock[Part Name],0),$P$7+6))</f>
        <v/>
      </c>
      <c r="O32" s="19">
        <f>MAX(0,$F32-INDEX(Grid_Stock[#Data],MATCH($D32,Grid_Stock[Part Name],0),$P$7+7))</f>
        <v/>
      </c>
      <c r="P32" s="19">
        <f>MAX(0,$F32-INDEX(Grid_Stock[#Data],MATCH($D32,Grid_Stock[Part Name],0),$P$7+8))</f>
        <v/>
      </c>
      <c r="Q32" s="19">
        <f>MAX(0,$F32-INDEX(Grid_Stock[#Data],MATCH($D32,Grid_Stock[Part Name],0),$P$7+9))</f>
        <v/>
      </c>
      <c r="R32" s="19">
        <f>MAX(0,$F32-INDEX(Grid_Stock[#Data],MATCH($D32,Grid_Stock[Part Name],0),$P$7+10))</f>
        <v/>
      </c>
      <c r="S32" s="19">
        <f>MAX(0,$F32-INDEX(Grid_Stock[#Data],MATCH($D32,Grid_Stock[Part Name],0),$P$7+11))</f>
        <v/>
      </c>
      <c r="T32" s="19">
        <f>MAX(0,$F32-INDEX(Grid_Stock[#Data],MATCH($D32,Grid_Stock[Part Name],0),$P$7+12))</f>
        <v/>
      </c>
      <c r="U32" s="19">
        <f>SUM(H32:T32)</f>
        <v/>
      </c>
    </row>
    <row r="33">
      <c r="B33" s="17">
        <f>IFERROR(INDEX(M_RawMaterials[Description],MATCH("CHEM-1730",M_RawMaterials[Part Name],0)),"")</f>
        <v/>
      </c>
      <c r="C33" s="17" t="inlineStr">
        <is>
          <t>71388007701</t>
        </is>
      </c>
      <c r="D33" s="17" t="inlineStr">
        <is>
          <t>CHEM-1730</t>
        </is>
      </c>
      <c r="E33" s="17" t="inlineStr">
        <is>
          <t>kg</t>
        </is>
      </c>
      <c r="F33" s="17">
        <f>IFERROR(INDEX(M_RawMaterials[基準在庫下限_要入力],MATCH("CHEM-1730",M_RawMaterials[Part Name],0)),0)</f>
        <v/>
      </c>
      <c r="G33" s="17">
        <f>INDEX(Grid_Stock[#Data],MATCH($D33,Grid_Stock[Part Name],0),$P$7)</f>
        <v/>
      </c>
      <c r="H33" s="17">
        <f>MAX(0,$F33-INDEX(Grid_Stock[#Data],MATCH($D33,Grid_Stock[Part Name],0),$P$7+0))</f>
        <v/>
      </c>
      <c r="I33" s="17">
        <f>MAX(0,$F33-INDEX(Grid_Stock[#Data],MATCH($D33,Grid_Stock[Part Name],0),$P$7+1))</f>
        <v/>
      </c>
      <c r="J33" s="17">
        <f>MAX(0,$F33-INDEX(Grid_Stock[#Data],MATCH($D33,Grid_Stock[Part Name],0),$P$7+2))</f>
        <v/>
      </c>
      <c r="K33" s="17">
        <f>MAX(0,$F33-INDEX(Grid_Stock[#Data],MATCH($D33,Grid_Stock[Part Name],0),$P$7+3))</f>
        <v/>
      </c>
      <c r="L33" s="17">
        <f>MAX(0,$F33-INDEX(Grid_Stock[#Data],MATCH($D33,Grid_Stock[Part Name],0),$P$7+4))</f>
        <v/>
      </c>
      <c r="M33" s="17">
        <f>MAX(0,$F33-INDEX(Grid_Stock[#Data],MATCH($D33,Grid_Stock[Part Name],0),$P$7+5))</f>
        <v/>
      </c>
      <c r="N33" s="17">
        <f>MAX(0,$F33-INDEX(Grid_Stock[#Data],MATCH($D33,Grid_Stock[Part Name],0),$P$7+6))</f>
        <v/>
      </c>
      <c r="O33" s="17">
        <f>MAX(0,$F33-INDEX(Grid_Stock[#Data],MATCH($D33,Grid_Stock[Part Name],0),$P$7+7))</f>
        <v/>
      </c>
      <c r="P33" s="17">
        <f>MAX(0,$F33-INDEX(Grid_Stock[#Data],MATCH($D33,Grid_Stock[Part Name],0),$P$7+8))</f>
        <v/>
      </c>
      <c r="Q33" s="17">
        <f>MAX(0,$F33-INDEX(Grid_Stock[#Data],MATCH($D33,Grid_Stock[Part Name],0),$P$7+9))</f>
        <v/>
      </c>
      <c r="R33" s="17">
        <f>MAX(0,$F33-INDEX(Grid_Stock[#Data],MATCH($D33,Grid_Stock[Part Name],0),$P$7+10))</f>
        <v/>
      </c>
      <c r="S33" s="17">
        <f>MAX(0,$F33-INDEX(Grid_Stock[#Data],MATCH($D33,Grid_Stock[Part Name],0),$P$7+11))</f>
        <v/>
      </c>
      <c r="T33" s="17">
        <f>MAX(0,$F33-INDEX(Grid_Stock[#Data],MATCH($D33,Grid_Stock[Part Name],0),$P$7+12))</f>
        <v/>
      </c>
      <c r="U33" s="17">
        <f>SUM(H33:T33)</f>
        <v/>
      </c>
    </row>
    <row r="34">
      <c r="B34" s="19">
        <f>IFERROR(INDEX(M_RawMaterials[Description],MATCH("CHEM-1570",M_RawMaterials[Part Name],0)),"")</f>
        <v/>
      </c>
      <c r="C34" s="19" t="inlineStr">
        <is>
          <t>71288624802</t>
        </is>
      </c>
      <c r="D34" s="19" t="inlineStr">
        <is>
          <t>CHEM-1570</t>
        </is>
      </c>
      <c r="E34" s="19" t="inlineStr">
        <is>
          <t>kg</t>
        </is>
      </c>
      <c r="F34" s="19">
        <f>IFERROR(INDEX(M_RawMaterials[基準在庫下限_要入力],MATCH("CHEM-1570",M_RawMaterials[Part Name],0)),0)</f>
        <v/>
      </c>
      <c r="G34" s="19">
        <f>INDEX(Grid_Stock[#Data],MATCH($D34,Grid_Stock[Part Name],0),$P$7)</f>
        <v/>
      </c>
      <c r="H34" s="19">
        <f>MAX(0,$F34-INDEX(Grid_Stock[#Data],MATCH($D34,Grid_Stock[Part Name],0),$P$7+0))</f>
        <v/>
      </c>
      <c r="I34" s="19">
        <f>MAX(0,$F34-INDEX(Grid_Stock[#Data],MATCH($D34,Grid_Stock[Part Name],0),$P$7+1))</f>
        <v/>
      </c>
      <c r="J34" s="19">
        <f>MAX(0,$F34-INDEX(Grid_Stock[#Data],MATCH($D34,Grid_Stock[Part Name],0),$P$7+2))</f>
        <v/>
      </c>
      <c r="K34" s="19">
        <f>MAX(0,$F34-INDEX(Grid_Stock[#Data],MATCH($D34,Grid_Stock[Part Name],0),$P$7+3))</f>
        <v/>
      </c>
      <c r="L34" s="19">
        <f>MAX(0,$F34-INDEX(Grid_Stock[#Data],MATCH($D34,Grid_Stock[Part Name],0),$P$7+4))</f>
        <v/>
      </c>
      <c r="M34" s="19">
        <f>MAX(0,$F34-INDEX(Grid_Stock[#Data],MATCH($D34,Grid_Stock[Part Name],0),$P$7+5))</f>
        <v/>
      </c>
      <c r="N34" s="19">
        <f>MAX(0,$F34-INDEX(Grid_Stock[#Data],MATCH($D34,Grid_Stock[Part Name],0),$P$7+6))</f>
        <v/>
      </c>
      <c r="O34" s="19">
        <f>MAX(0,$F34-INDEX(Grid_Stock[#Data],MATCH($D34,Grid_Stock[Part Name],0),$P$7+7))</f>
        <v/>
      </c>
      <c r="P34" s="19">
        <f>MAX(0,$F34-INDEX(Grid_Stock[#Data],MATCH($D34,Grid_Stock[Part Name],0),$P$7+8))</f>
        <v/>
      </c>
      <c r="Q34" s="19">
        <f>MAX(0,$F34-INDEX(Grid_Stock[#Data],MATCH($D34,Grid_Stock[Part Name],0),$P$7+9))</f>
        <v/>
      </c>
      <c r="R34" s="19">
        <f>MAX(0,$F34-INDEX(Grid_Stock[#Data],MATCH($D34,Grid_Stock[Part Name],0),$P$7+10))</f>
        <v/>
      </c>
      <c r="S34" s="19">
        <f>MAX(0,$F34-INDEX(Grid_Stock[#Data],MATCH($D34,Grid_Stock[Part Name],0),$P$7+11))</f>
        <v/>
      </c>
      <c r="T34" s="19">
        <f>MAX(0,$F34-INDEX(Grid_Stock[#Data],MATCH($D34,Grid_Stock[Part Name],0),$P$7+12))</f>
        <v/>
      </c>
      <c r="U34" s="19">
        <f>SUM(H34:T34)</f>
        <v/>
      </c>
    </row>
    <row r="35">
      <c r="B35" s="17">
        <f>IFERROR(INDEX(M_RawMaterials[Description],MATCH("CHEM-1450",M_RawMaterials[Part Name],0)),"")</f>
        <v/>
      </c>
      <c r="C35" s="17" t="inlineStr">
        <is>
          <t>Noptechs</t>
        </is>
      </c>
      <c r="D35" s="17" t="inlineStr">
        <is>
          <t>CHEM-1450</t>
        </is>
      </c>
      <c r="E35" s="17" t="inlineStr">
        <is>
          <t>kg</t>
        </is>
      </c>
      <c r="F35" s="17">
        <f>IFERROR(INDEX(M_RawMaterials[基準在庫下限_要入力],MATCH("CHEM-1450",M_RawMaterials[Part Name],0)),0)</f>
        <v/>
      </c>
      <c r="G35" s="17">
        <f>INDEX(Grid_Stock[#Data],MATCH($D35,Grid_Stock[Part Name],0),$P$7)</f>
        <v/>
      </c>
      <c r="H35" s="17">
        <f>MAX(0,$F35-INDEX(Grid_Stock[#Data],MATCH($D35,Grid_Stock[Part Name],0),$P$7+0))</f>
        <v/>
      </c>
      <c r="I35" s="17">
        <f>MAX(0,$F35-INDEX(Grid_Stock[#Data],MATCH($D35,Grid_Stock[Part Name],0),$P$7+1))</f>
        <v/>
      </c>
      <c r="J35" s="17">
        <f>MAX(0,$F35-INDEX(Grid_Stock[#Data],MATCH($D35,Grid_Stock[Part Name],0),$P$7+2))</f>
        <v/>
      </c>
      <c r="K35" s="17">
        <f>MAX(0,$F35-INDEX(Grid_Stock[#Data],MATCH($D35,Grid_Stock[Part Name],0),$P$7+3))</f>
        <v/>
      </c>
      <c r="L35" s="17">
        <f>MAX(0,$F35-INDEX(Grid_Stock[#Data],MATCH($D35,Grid_Stock[Part Name],0),$P$7+4))</f>
        <v/>
      </c>
      <c r="M35" s="17">
        <f>MAX(0,$F35-INDEX(Grid_Stock[#Data],MATCH($D35,Grid_Stock[Part Name],0),$P$7+5))</f>
        <v/>
      </c>
      <c r="N35" s="17">
        <f>MAX(0,$F35-INDEX(Grid_Stock[#Data],MATCH($D35,Grid_Stock[Part Name],0),$P$7+6))</f>
        <v/>
      </c>
      <c r="O35" s="17">
        <f>MAX(0,$F35-INDEX(Grid_Stock[#Data],MATCH($D35,Grid_Stock[Part Name],0),$P$7+7))</f>
        <v/>
      </c>
      <c r="P35" s="17">
        <f>MAX(0,$F35-INDEX(Grid_Stock[#Data],MATCH($D35,Grid_Stock[Part Name],0),$P$7+8))</f>
        <v/>
      </c>
      <c r="Q35" s="17">
        <f>MAX(0,$F35-INDEX(Grid_Stock[#Data],MATCH($D35,Grid_Stock[Part Name],0),$P$7+9))</f>
        <v/>
      </c>
      <c r="R35" s="17">
        <f>MAX(0,$F35-INDEX(Grid_Stock[#Data],MATCH($D35,Grid_Stock[Part Name],0),$P$7+10))</f>
        <v/>
      </c>
      <c r="S35" s="17">
        <f>MAX(0,$F35-INDEX(Grid_Stock[#Data],MATCH($D35,Grid_Stock[Part Name],0),$P$7+11))</f>
        <v/>
      </c>
      <c r="T35" s="17">
        <f>MAX(0,$F35-INDEX(Grid_Stock[#Data],MATCH($D35,Grid_Stock[Part Name],0),$P$7+12))</f>
        <v/>
      </c>
      <c r="U35" s="17">
        <f>SUM(H35:T35)</f>
        <v/>
      </c>
    </row>
    <row r="36">
      <c r="B36" s="19">
        <f>IFERROR(INDEX(M_RawMaterials[Description],MATCH("CHEM-1770",M_RawMaterials[Part Name],0)),"")</f>
        <v/>
      </c>
      <c r="C36" s="19" t="inlineStr">
        <is>
          <t>New</t>
        </is>
      </c>
      <c r="D36" s="19" t="inlineStr">
        <is>
          <t>CHEM-1770</t>
        </is>
      </c>
      <c r="E36" s="19" t="inlineStr">
        <is>
          <t>kg</t>
        </is>
      </c>
      <c r="F36" s="19">
        <f>IFERROR(INDEX(M_RawMaterials[基準在庫下限_要入力],MATCH("CHEM-1770",M_RawMaterials[Part Name],0)),0)</f>
        <v/>
      </c>
      <c r="G36" s="19">
        <f>INDEX(Grid_Stock[#Data],MATCH($D36,Grid_Stock[Part Name],0),$P$7)</f>
        <v/>
      </c>
      <c r="H36" s="19">
        <f>MAX(0,$F36-INDEX(Grid_Stock[#Data],MATCH($D36,Grid_Stock[Part Name],0),$P$7+0))</f>
        <v/>
      </c>
      <c r="I36" s="19">
        <f>MAX(0,$F36-INDEX(Grid_Stock[#Data],MATCH($D36,Grid_Stock[Part Name],0),$P$7+1))</f>
        <v/>
      </c>
      <c r="J36" s="19">
        <f>MAX(0,$F36-INDEX(Grid_Stock[#Data],MATCH($D36,Grid_Stock[Part Name],0),$P$7+2))</f>
        <v/>
      </c>
      <c r="K36" s="19">
        <f>MAX(0,$F36-INDEX(Grid_Stock[#Data],MATCH($D36,Grid_Stock[Part Name],0),$P$7+3))</f>
        <v/>
      </c>
      <c r="L36" s="19">
        <f>MAX(0,$F36-INDEX(Grid_Stock[#Data],MATCH($D36,Grid_Stock[Part Name],0),$P$7+4))</f>
        <v/>
      </c>
      <c r="M36" s="19">
        <f>MAX(0,$F36-INDEX(Grid_Stock[#Data],MATCH($D36,Grid_Stock[Part Name],0),$P$7+5))</f>
        <v/>
      </c>
      <c r="N36" s="19">
        <f>MAX(0,$F36-INDEX(Grid_Stock[#Data],MATCH($D36,Grid_Stock[Part Name],0),$P$7+6))</f>
        <v/>
      </c>
      <c r="O36" s="19">
        <f>MAX(0,$F36-INDEX(Grid_Stock[#Data],MATCH($D36,Grid_Stock[Part Name],0),$P$7+7))</f>
        <v/>
      </c>
      <c r="P36" s="19">
        <f>MAX(0,$F36-INDEX(Grid_Stock[#Data],MATCH($D36,Grid_Stock[Part Name],0),$P$7+8))</f>
        <v/>
      </c>
      <c r="Q36" s="19">
        <f>MAX(0,$F36-INDEX(Grid_Stock[#Data],MATCH($D36,Grid_Stock[Part Name],0),$P$7+9))</f>
        <v/>
      </c>
      <c r="R36" s="19">
        <f>MAX(0,$F36-INDEX(Grid_Stock[#Data],MATCH($D36,Grid_Stock[Part Name],0),$P$7+10))</f>
        <v/>
      </c>
      <c r="S36" s="19">
        <f>MAX(0,$F36-INDEX(Grid_Stock[#Data],MATCH($D36,Grid_Stock[Part Name],0),$P$7+11))</f>
        <v/>
      </c>
      <c r="T36" s="19">
        <f>MAX(0,$F36-INDEX(Grid_Stock[#Data],MATCH($D36,Grid_Stock[Part Name],0),$P$7+12))</f>
        <v/>
      </c>
      <c r="U36" s="19">
        <f>SUM(H36:T36)</f>
        <v/>
      </c>
    </row>
    <row r="37">
      <c r="B37" s="17">
        <f>IFERROR(INDEX(M_RawMaterials[Description],MATCH("CHEM-1430",M_RawMaterials[Part Name],0)),"")</f>
        <v/>
      </c>
      <c r="C37" s="17" t="inlineStr">
        <is>
          <t>71388004301</t>
        </is>
      </c>
      <c r="D37" s="17" t="inlineStr">
        <is>
          <t>CHEM-1430</t>
        </is>
      </c>
      <c r="E37" s="17" t="inlineStr">
        <is>
          <t>kg</t>
        </is>
      </c>
      <c r="F37" s="17">
        <f>IFERROR(INDEX(M_RawMaterials[基準在庫下限_要入力],MATCH("CHEM-1430",M_RawMaterials[Part Name],0)),0)</f>
        <v/>
      </c>
      <c r="G37" s="17">
        <f>INDEX(Grid_Stock[#Data],MATCH($D37,Grid_Stock[Part Name],0),$P$7)</f>
        <v/>
      </c>
      <c r="H37" s="17">
        <f>MAX(0,$F37-INDEX(Grid_Stock[#Data],MATCH($D37,Grid_Stock[Part Name],0),$P$7+0))</f>
        <v/>
      </c>
      <c r="I37" s="17">
        <f>MAX(0,$F37-INDEX(Grid_Stock[#Data],MATCH($D37,Grid_Stock[Part Name],0),$P$7+1))</f>
        <v/>
      </c>
      <c r="J37" s="17">
        <f>MAX(0,$F37-INDEX(Grid_Stock[#Data],MATCH($D37,Grid_Stock[Part Name],0),$P$7+2))</f>
        <v/>
      </c>
      <c r="K37" s="17">
        <f>MAX(0,$F37-INDEX(Grid_Stock[#Data],MATCH($D37,Grid_Stock[Part Name],0),$P$7+3))</f>
        <v/>
      </c>
      <c r="L37" s="17">
        <f>MAX(0,$F37-INDEX(Grid_Stock[#Data],MATCH($D37,Grid_Stock[Part Name],0),$P$7+4))</f>
        <v/>
      </c>
      <c r="M37" s="17">
        <f>MAX(0,$F37-INDEX(Grid_Stock[#Data],MATCH($D37,Grid_Stock[Part Name],0),$P$7+5))</f>
        <v/>
      </c>
      <c r="N37" s="17">
        <f>MAX(0,$F37-INDEX(Grid_Stock[#Data],MATCH($D37,Grid_Stock[Part Name],0),$P$7+6))</f>
        <v/>
      </c>
      <c r="O37" s="17">
        <f>MAX(0,$F37-INDEX(Grid_Stock[#Data],MATCH($D37,Grid_Stock[Part Name],0),$P$7+7))</f>
        <v/>
      </c>
      <c r="P37" s="17">
        <f>MAX(0,$F37-INDEX(Grid_Stock[#Data],MATCH($D37,Grid_Stock[Part Name],0),$P$7+8))</f>
        <v/>
      </c>
      <c r="Q37" s="17">
        <f>MAX(0,$F37-INDEX(Grid_Stock[#Data],MATCH($D37,Grid_Stock[Part Name],0),$P$7+9))</f>
        <v/>
      </c>
      <c r="R37" s="17">
        <f>MAX(0,$F37-INDEX(Grid_Stock[#Data],MATCH($D37,Grid_Stock[Part Name],0),$P$7+10))</f>
        <v/>
      </c>
      <c r="S37" s="17">
        <f>MAX(0,$F37-INDEX(Grid_Stock[#Data],MATCH($D37,Grid_Stock[Part Name],0),$P$7+11))</f>
        <v/>
      </c>
      <c r="T37" s="17">
        <f>MAX(0,$F37-INDEX(Grid_Stock[#Data],MATCH($D37,Grid_Stock[Part Name],0),$P$7+12))</f>
        <v/>
      </c>
      <c r="U37" s="17">
        <f>SUM(H37:T37)</f>
        <v/>
      </c>
    </row>
    <row r="38">
      <c r="B38" s="19">
        <f>IFERROR(INDEX(M_RawMaterials[Description],MATCH("CHEM-1470",M_RawMaterials[Part Name],0)),"")</f>
        <v/>
      </c>
      <c r="C38" s="19" t="inlineStr">
        <is>
          <t>SCFA100</t>
        </is>
      </c>
      <c r="D38" s="19" t="inlineStr">
        <is>
          <t>CHEM-1470</t>
        </is>
      </c>
      <c r="E38" s="19" t="inlineStr">
        <is>
          <t>kg</t>
        </is>
      </c>
      <c r="F38" s="19">
        <f>IFERROR(INDEX(M_RawMaterials[基準在庫下限_要入力],MATCH("CHEM-1470",M_RawMaterials[Part Name],0)),0)</f>
        <v/>
      </c>
      <c r="G38" s="19">
        <f>INDEX(Grid_Stock[#Data],MATCH($D38,Grid_Stock[Part Name],0),$P$7)</f>
        <v/>
      </c>
      <c r="H38" s="19">
        <f>MAX(0,$F38-INDEX(Grid_Stock[#Data],MATCH($D38,Grid_Stock[Part Name],0),$P$7+0))</f>
        <v/>
      </c>
      <c r="I38" s="19">
        <f>MAX(0,$F38-INDEX(Grid_Stock[#Data],MATCH($D38,Grid_Stock[Part Name],0),$P$7+1))</f>
        <v/>
      </c>
      <c r="J38" s="19">
        <f>MAX(0,$F38-INDEX(Grid_Stock[#Data],MATCH($D38,Grid_Stock[Part Name],0),$P$7+2))</f>
        <v/>
      </c>
      <c r="K38" s="19">
        <f>MAX(0,$F38-INDEX(Grid_Stock[#Data],MATCH($D38,Grid_Stock[Part Name],0),$P$7+3))</f>
        <v/>
      </c>
      <c r="L38" s="19">
        <f>MAX(0,$F38-INDEX(Grid_Stock[#Data],MATCH($D38,Grid_Stock[Part Name],0),$P$7+4))</f>
        <v/>
      </c>
      <c r="M38" s="19">
        <f>MAX(0,$F38-INDEX(Grid_Stock[#Data],MATCH($D38,Grid_Stock[Part Name],0),$P$7+5))</f>
        <v/>
      </c>
      <c r="N38" s="19">
        <f>MAX(0,$F38-INDEX(Grid_Stock[#Data],MATCH($D38,Grid_Stock[Part Name],0),$P$7+6))</f>
        <v/>
      </c>
      <c r="O38" s="19">
        <f>MAX(0,$F38-INDEX(Grid_Stock[#Data],MATCH($D38,Grid_Stock[Part Name],0),$P$7+7))</f>
        <v/>
      </c>
      <c r="P38" s="19">
        <f>MAX(0,$F38-INDEX(Grid_Stock[#Data],MATCH($D38,Grid_Stock[Part Name],0),$P$7+8))</f>
        <v/>
      </c>
      <c r="Q38" s="19">
        <f>MAX(0,$F38-INDEX(Grid_Stock[#Data],MATCH($D38,Grid_Stock[Part Name],0),$P$7+9))</f>
        <v/>
      </c>
      <c r="R38" s="19">
        <f>MAX(0,$F38-INDEX(Grid_Stock[#Data],MATCH($D38,Grid_Stock[Part Name],0),$P$7+10))</f>
        <v/>
      </c>
      <c r="S38" s="19">
        <f>MAX(0,$F38-INDEX(Grid_Stock[#Data],MATCH($D38,Grid_Stock[Part Name],0),$P$7+11))</f>
        <v/>
      </c>
      <c r="T38" s="19">
        <f>MAX(0,$F38-INDEX(Grid_Stock[#Data],MATCH($D38,Grid_Stock[Part Name],0),$P$7+12))</f>
        <v/>
      </c>
      <c r="U38" s="19">
        <f>SUM(H38:T38)</f>
        <v/>
      </c>
    </row>
    <row r="39">
      <c r="B39" s="17">
        <f>IFERROR(INDEX(M_RawMaterials[Description],MATCH("CHEM-1010",M_RawMaterials[Part Name],0)),"")</f>
        <v/>
      </c>
      <c r="C39" s="17" t="inlineStr">
        <is>
          <t>Sodium Carbonate</t>
        </is>
      </c>
      <c r="D39" s="17" t="inlineStr">
        <is>
          <t>CHEM-1010</t>
        </is>
      </c>
      <c r="E39" s="17" t="inlineStr">
        <is>
          <t>kg</t>
        </is>
      </c>
      <c r="F39" s="17">
        <f>IFERROR(INDEX(M_RawMaterials[基準在庫下限_要入力],MATCH("CHEM-1010",M_RawMaterials[Part Name],0)),0)</f>
        <v/>
      </c>
      <c r="G39" s="17">
        <f>INDEX(Grid_Stock[#Data],MATCH($D39,Grid_Stock[Part Name],0),$P$7)</f>
        <v/>
      </c>
      <c r="H39" s="17">
        <f>MAX(0,$F39-INDEX(Grid_Stock[#Data],MATCH($D39,Grid_Stock[Part Name],0),$P$7+0))</f>
        <v/>
      </c>
      <c r="I39" s="17">
        <f>MAX(0,$F39-INDEX(Grid_Stock[#Data],MATCH($D39,Grid_Stock[Part Name],0),$P$7+1))</f>
        <v/>
      </c>
      <c r="J39" s="17">
        <f>MAX(0,$F39-INDEX(Grid_Stock[#Data],MATCH($D39,Grid_Stock[Part Name],0),$P$7+2))</f>
        <v/>
      </c>
      <c r="K39" s="17">
        <f>MAX(0,$F39-INDEX(Grid_Stock[#Data],MATCH($D39,Grid_Stock[Part Name],0),$P$7+3))</f>
        <v/>
      </c>
      <c r="L39" s="17">
        <f>MAX(0,$F39-INDEX(Grid_Stock[#Data],MATCH($D39,Grid_Stock[Part Name],0),$P$7+4))</f>
        <v/>
      </c>
      <c r="M39" s="17">
        <f>MAX(0,$F39-INDEX(Grid_Stock[#Data],MATCH($D39,Grid_Stock[Part Name],0),$P$7+5))</f>
        <v/>
      </c>
      <c r="N39" s="17">
        <f>MAX(0,$F39-INDEX(Grid_Stock[#Data],MATCH($D39,Grid_Stock[Part Name],0),$P$7+6))</f>
        <v/>
      </c>
      <c r="O39" s="17">
        <f>MAX(0,$F39-INDEX(Grid_Stock[#Data],MATCH($D39,Grid_Stock[Part Name],0),$P$7+7))</f>
        <v/>
      </c>
      <c r="P39" s="17">
        <f>MAX(0,$F39-INDEX(Grid_Stock[#Data],MATCH($D39,Grid_Stock[Part Name],0),$P$7+8))</f>
        <v/>
      </c>
      <c r="Q39" s="17">
        <f>MAX(0,$F39-INDEX(Grid_Stock[#Data],MATCH($D39,Grid_Stock[Part Name],0),$P$7+9))</f>
        <v/>
      </c>
      <c r="R39" s="17">
        <f>MAX(0,$F39-INDEX(Grid_Stock[#Data],MATCH($D39,Grid_Stock[Part Name],0),$P$7+10))</f>
        <v/>
      </c>
      <c r="S39" s="17">
        <f>MAX(0,$F39-INDEX(Grid_Stock[#Data],MATCH($D39,Grid_Stock[Part Name],0),$P$7+11))</f>
        <v/>
      </c>
      <c r="T39" s="17">
        <f>MAX(0,$F39-INDEX(Grid_Stock[#Data],MATCH($D39,Grid_Stock[Part Name],0),$P$7+12))</f>
        <v/>
      </c>
      <c r="U39" s="17">
        <f>SUM(H39:T39)</f>
        <v/>
      </c>
    </row>
    <row r="40">
      <c r="B40" s="19">
        <f>IFERROR(INDEX(M_RawMaterials[Description],MATCH("CHEM-1760",M_RawMaterials[Part Name],0)),"")</f>
        <v/>
      </c>
      <c r="C40" s="19" t="inlineStr">
        <is>
          <t>713880079</t>
        </is>
      </c>
      <c r="D40" s="19" t="inlineStr">
        <is>
          <t>CHEM-1760</t>
        </is>
      </c>
      <c r="E40" s="19" t="inlineStr">
        <is>
          <t>kg</t>
        </is>
      </c>
      <c r="F40" s="19">
        <f>IFERROR(INDEX(M_RawMaterials[基準在庫下限_要入力],MATCH("CHEM-1760",M_RawMaterials[Part Name],0)),0)</f>
        <v/>
      </c>
      <c r="G40" s="19">
        <f>INDEX(Grid_Stock[#Data],MATCH($D40,Grid_Stock[Part Name],0),$P$7)</f>
        <v/>
      </c>
      <c r="H40" s="19">
        <f>MAX(0,$F40-INDEX(Grid_Stock[#Data],MATCH($D40,Grid_Stock[Part Name],0),$P$7+0))</f>
        <v/>
      </c>
      <c r="I40" s="19">
        <f>MAX(0,$F40-INDEX(Grid_Stock[#Data],MATCH($D40,Grid_Stock[Part Name],0),$P$7+1))</f>
        <v/>
      </c>
      <c r="J40" s="19">
        <f>MAX(0,$F40-INDEX(Grid_Stock[#Data],MATCH($D40,Grid_Stock[Part Name],0),$P$7+2))</f>
        <v/>
      </c>
      <c r="K40" s="19">
        <f>MAX(0,$F40-INDEX(Grid_Stock[#Data],MATCH($D40,Grid_Stock[Part Name],0),$P$7+3))</f>
        <v/>
      </c>
      <c r="L40" s="19">
        <f>MAX(0,$F40-INDEX(Grid_Stock[#Data],MATCH($D40,Grid_Stock[Part Name],0),$P$7+4))</f>
        <v/>
      </c>
      <c r="M40" s="19">
        <f>MAX(0,$F40-INDEX(Grid_Stock[#Data],MATCH($D40,Grid_Stock[Part Name],0),$P$7+5))</f>
        <v/>
      </c>
      <c r="N40" s="19">
        <f>MAX(0,$F40-INDEX(Grid_Stock[#Data],MATCH($D40,Grid_Stock[Part Name],0),$P$7+6))</f>
        <v/>
      </c>
      <c r="O40" s="19">
        <f>MAX(0,$F40-INDEX(Grid_Stock[#Data],MATCH($D40,Grid_Stock[Part Name],0),$P$7+7))</f>
        <v/>
      </c>
      <c r="P40" s="19">
        <f>MAX(0,$F40-INDEX(Grid_Stock[#Data],MATCH($D40,Grid_Stock[Part Name],0),$P$7+8))</f>
        <v/>
      </c>
      <c r="Q40" s="19">
        <f>MAX(0,$F40-INDEX(Grid_Stock[#Data],MATCH($D40,Grid_Stock[Part Name],0),$P$7+9))</f>
        <v/>
      </c>
      <c r="R40" s="19">
        <f>MAX(0,$F40-INDEX(Grid_Stock[#Data],MATCH($D40,Grid_Stock[Part Name],0),$P$7+10))</f>
        <v/>
      </c>
      <c r="S40" s="19">
        <f>MAX(0,$F40-INDEX(Grid_Stock[#Data],MATCH($D40,Grid_Stock[Part Name],0),$P$7+11))</f>
        <v/>
      </c>
      <c r="T40" s="19">
        <f>MAX(0,$F40-INDEX(Grid_Stock[#Data],MATCH($D40,Grid_Stock[Part Name],0),$P$7+12))</f>
        <v/>
      </c>
      <c r="U40" s="19">
        <f>SUM(H40:T40)</f>
        <v/>
      </c>
    </row>
    <row r="41">
      <c r="B41" s="17">
        <f>IFERROR(INDEX(M_RawMaterials[Description],MATCH("CHEM-1700",M_RawMaterials[Part Name],0)),"")</f>
        <v/>
      </c>
      <c r="C41" s="17" t="inlineStr">
        <is>
          <t>712886270</t>
        </is>
      </c>
      <c r="D41" s="17" t="inlineStr">
        <is>
          <t>CHEM-1700</t>
        </is>
      </c>
      <c r="E41" s="17" t="inlineStr">
        <is>
          <t>kg</t>
        </is>
      </c>
      <c r="F41" s="17">
        <f>IFERROR(INDEX(M_RawMaterials[基準在庫下限_要入力],MATCH("CHEM-1700",M_RawMaterials[Part Name],0)),0)</f>
        <v/>
      </c>
      <c r="G41" s="17">
        <f>INDEX(Grid_Stock[#Data],MATCH($D41,Grid_Stock[Part Name],0),$P$7)</f>
        <v/>
      </c>
      <c r="H41" s="17">
        <f>MAX(0,$F41-INDEX(Grid_Stock[#Data],MATCH($D41,Grid_Stock[Part Name],0),$P$7+0))</f>
        <v/>
      </c>
      <c r="I41" s="17">
        <f>MAX(0,$F41-INDEX(Grid_Stock[#Data],MATCH($D41,Grid_Stock[Part Name],0),$P$7+1))</f>
        <v/>
      </c>
      <c r="J41" s="17">
        <f>MAX(0,$F41-INDEX(Grid_Stock[#Data],MATCH($D41,Grid_Stock[Part Name],0),$P$7+2))</f>
        <v/>
      </c>
      <c r="K41" s="17">
        <f>MAX(0,$F41-INDEX(Grid_Stock[#Data],MATCH($D41,Grid_Stock[Part Name],0),$P$7+3))</f>
        <v/>
      </c>
      <c r="L41" s="17">
        <f>MAX(0,$F41-INDEX(Grid_Stock[#Data],MATCH($D41,Grid_Stock[Part Name],0),$P$7+4))</f>
        <v/>
      </c>
      <c r="M41" s="17">
        <f>MAX(0,$F41-INDEX(Grid_Stock[#Data],MATCH($D41,Grid_Stock[Part Name],0),$P$7+5))</f>
        <v/>
      </c>
      <c r="N41" s="17">
        <f>MAX(0,$F41-INDEX(Grid_Stock[#Data],MATCH($D41,Grid_Stock[Part Name],0),$P$7+6))</f>
        <v/>
      </c>
      <c r="O41" s="17">
        <f>MAX(0,$F41-INDEX(Grid_Stock[#Data],MATCH($D41,Grid_Stock[Part Name],0),$P$7+7))</f>
        <v/>
      </c>
      <c r="P41" s="17">
        <f>MAX(0,$F41-INDEX(Grid_Stock[#Data],MATCH($D41,Grid_Stock[Part Name],0),$P$7+8))</f>
        <v/>
      </c>
      <c r="Q41" s="17">
        <f>MAX(0,$F41-INDEX(Grid_Stock[#Data],MATCH($D41,Grid_Stock[Part Name],0),$P$7+9))</f>
        <v/>
      </c>
      <c r="R41" s="17">
        <f>MAX(0,$F41-INDEX(Grid_Stock[#Data],MATCH($D41,Grid_Stock[Part Name],0),$P$7+10))</f>
        <v/>
      </c>
      <c r="S41" s="17">
        <f>MAX(0,$F41-INDEX(Grid_Stock[#Data],MATCH($D41,Grid_Stock[Part Name],0),$P$7+11))</f>
        <v/>
      </c>
      <c r="T41" s="17">
        <f>MAX(0,$F41-INDEX(Grid_Stock[#Data],MATCH($D41,Grid_Stock[Part Name],0),$P$7+12))</f>
        <v/>
      </c>
      <c r="U41" s="17">
        <f>SUM(H41:T41)</f>
        <v/>
      </c>
    </row>
    <row r="42">
      <c r="B42" s="19">
        <f>IFERROR(INDEX(M_RawMaterials[Description],MATCH("CHEM-1850",M_RawMaterials[Part Name],0)),"")</f>
        <v/>
      </c>
      <c r="C42" s="19" t="inlineStr">
        <is>
          <t>kg</t>
        </is>
      </c>
      <c r="D42" s="19" t="inlineStr">
        <is>
          <t>CHEM-1850</t>
        </is>
      </c>
      <c r="E42" s="19" t="inlineStr">
        <is>
          <t>kg</t>
        </is>
      </c>
      <c r="F42" s="19">
        <f>IFERROR(INDEX(M_RawMaterials[基準在庫下限_要入力],MATCH("CHEM-1850",M_RawMaterials[Part Name],0)),0)</f>
        <v/>
      </c>
      <c r="G42" s="19">
        <f>INDEX(Grid_Stock[#Data],MATCH($D42,Grid_Stock[Part Name],0),$P$7)</f>
        <v/>
      </c>
      <c r="H42" s="19">
        <f>MAX(0,$F42-INDEX(Grid_Stock[#Data],MATCH($D42,Grid_Stock[Part Name],0),$P$7+0))</f>
        <v/>
      </c>
      <c r="I42" s="19">
        <f>MAX(0,$F42-INDEX(Grid_Stock[#Data],MATCH($D42,Grid_Stock[Part Name],0),$P$7+1))</f>
        <v/>
      </c>
      <c r="J42" s="19">
        <f>MAX(0,$F42-INDEX(Grid_Stock[#Data],MATCH($D42,Grid_Stock[Part Name],0),$P$7+2))</f>
        <v/>
      </c>
      <c r="K42" s="19">
        <f>MAX(0,$F42-INDEX(Grid_Stock[#Data],MATCH($D42,Grid_Stock[Part Name],0),$P$7+3))</f>
        <v/>
      </c>
      <c r="L42" s="19">
        <f>MAX(0,$F42-INDEX(Grid_Stock[#Data],MATCH($D42,Grid_Stock[Part Name],0),$P$7+4))</f>
        <v/>
      </c>
      <c r="M42" s="19">
        <f>MAX(0,$F42-INDEX(Grid_Stock[#Data],MATCH($D42,Grid_Stock[Part Name],0),$P$7+5))</f>
        <v/>
      </c>
      <c r="N42" s="19">
        <f>MAX(0,$F42-INDEX(Grid_Stock[#Data],MATCH($D42,Grid_Stock[Part Name],0),$P$7+6))</f>
        <v/>
      </c>
      <c r="O42" s="19">
        <f>MAX(0,$F42-INDEX(Grid_Stock[#Data],MATCH($D42,Grid_Stock[Part Name],0),$P$7+7))</f>
        <v/>
      </c>
      <c r="P42" s="19">
        <f>MAX(0,$F42-INDEX(Grid_Stock[#Data],MATCH($D42,Grid_Stock[Part Name],0),$P$7+8))</f>
        <v/>
      </c>
      <c r="Q42" s="19">
        <f>MAX(0,$F42-INDEX(Grid_Stock[#Data],MATCH($D42,Grid_Stock[Part Name],0),$P$7+9))</f>
        <v/>
      </c>
      <c r="R42" s="19">
        <f>MAX(0,$F42-INDEX(Grid_Stock[#Data],MATCH($D42,Grid_Stock[Part Name],0),$P$7+10))</f>
        <v/>
      </c>
      <c r="S42" s="19">
        <f>MAX(0,$F42-INDEX(Grid_Stock[#Data],MATCH($D42,Grid_Stock[Part Name],0),$P$7+11))</f>
        <v/>
      </c>
      <c r="T42" s="19">
        <f>MAX(0,$F42-INDEX(Grid_Stock[#Data],MATCH($D42,Grid_Stock[Part Name],0),$P$7+12))</f>
        <v/>
      </c>
      <c r="U42" s="19">
        <f>SUM(H42:T42)</f>
        <v/>
      </c>
    </row>
    <row r="43">
      <c r="B43" s="17">
        <f>IFERROR(INDEX(M_RawMaterials[Description],MATCH("Original Towel",M_RawMaterials[Part Name],0)),"")</f>
        <v/>
      </c>
      <c r="C43" s="17" t="inlineStr">
        <is>
          <t>859882220</t>
        </is>
      </c>
      <c r="D43" s="17" t="inlineStr">
        <is>
          <t>Original Towel</t>
        </is>
      </c>
      <c r="E43" s="17" t="inlineStr">
        <is>
          <t>kg</t>
        </is>
      </c>
      <c r="F43" s="17">
        <f>IFERROR(INDEX(M_RawMaterials[基準在庫下限_要入力],MATCH("Original Towel",M_RawMaterials[Part Name],0)),0)</f>
        <v/>
      </c>
      <c r="G43" s="17">
        <f>INDEX(Grid_Stock[#Data],MATCH($D43,Grid_Stock[Part Name],0),$P$7)</f>
        <v/>
      </c>
      <c r="H43" s="17">
        <f>MAX(0,$F43-INDEX(Grid_Stock[#Data],MATCH($D43,Grid_Stock[Part Name],0),$P$7+0))</f>
        <v/>
      </c>
      <c r="I43" s="17">
        <f>MAX(0,$F43-INDEX(Grid_Stock[#Data],MATCH($D43,Grid_Stock[Part Name],0),$P$7+1))</f>
        <v/>
      </c>
      <c r="J43" s="17">
        <f>MAX(0,$F43-INDEX(Grid_Stock[#Data],MATCH($D43,Grid_Stock[Part Name],0),$P$7+2))</f>
        <v/>
      </c>
      <c r="K43" s="17">
        <f>MAX(0,$F43-INDEX(Grid_Stock[#Data],MATCH($D43,Grid_Stock[Part Name],0),$P$7+3))</f>
        <v/>
      </c>
      <c r="L43" s="17">
        <f>MAX(0,$F43-INDEX(Grid_Stock[#Data],MATCH($D43,Grid_Stock[Part Name],0),$P$7+4))</f>
        <v/>
      </c>
      <c r="M43" s="17">
        <f>MAX(0,$F43-INDEX(Grid_Stock[#Data],MATCH($D43,Grid_Stock[Part Name],0),$P$7+5))</f>
        <v/>
      </c>
      <c r="N43" s="17">
        <f>MAX(0,$F43-INDEX(Grid_Stock[#Data],MATCH($D43,Grid_Stock[Part Name],0),$P$7+6))</f>
        <v/>
      </c>
      <c r="O43" s="17">
        <f>MAX(0,$F43-INDEX(Grid_Stock[#Data],MATCH($D43,Grid_Stock[Part Name],0),$P$7+7))</f>
        <v/>
      </c>
      <c r="P43" s="17">
        <f>MAX(0,$F43-INDEX(Grid_Stock[#Data],MATCH($D43,Grid_Stock[Part Name],0),$P$7+8))</f>
        <v/>
      </c>
      <c r="Q43" s="17">
        <f>MAX(0,$F43-INDEX(Grid_Stock[#Data],MATCH($D43,Grid_Stock[Part Name],0),$P$7+9))</f>
        <v/>
      </c>
      <c r="R43" s="17">
        <f>MAX(0,$F43-INDEX(Grid_Stock[#Data],MATCH($D43,Grid_Stock[Part Name],0),$P$7+10))</f>
        <v/>
      </c>
      <c r="S43" s="17">
        <f>MAX(0,$F43-INDEX(Grid_Stock[#Data],MATCH($D43,Grid_Stock[Part Name],0),$P$7+11))</f>
        <v/>
      </c>
      <c r="T43" s="17">
        <f>MAX(0,$F43-INDEX(Grid_Stock[#Data],MATCH($D43,Grid_Stock[Part Name],0),$P$7+12))</f>
        <v/>
      </c>
      <c r="U43" s="17">
        <f>SUM(H43:T43)</f>
        <v/>
      </c>
    </row>
    <row r="44">
      <c r="B44" s="19">
        <f>IFERROR(INDEX(M_RawMaterials[Description],MATCH("Ester Film",M_RawMaterials[Part Name],0)),"")</f>
        <v/>
      </c>
      <c r="C44" s="19" t="inlineStr"/>
      <c r="D44" s="19" t="inlineStr">
        <is>
          <t>Ester Film</t>
        </is>
      </c>
      <c r="E44" s="19" t="inlineStr">
        <is>
          <t>kg</t>
        </is>
      </c>
      <c r="F44" s="19">
        <f>IFERROR(INDEX(M_RawMaterials[基準在庫下限_要入力],MATCH("Ester Film",M_RawMaterials[Part Name],0)),0)</f>
        <v/>
      </c>
      <c r="G44" s="19">
        <f>INDEX(Grid_Stock[#Data],MATCH($D44,Grid_Stock[Part Name],0),$P$7)</f>
        <v/>
      </c>
      <c r="H44" s="19">
        <f>MAX(0,$F44-INDEX(Grid_Stock[#Data],MATCH($D44,Grid_Stock[Part Name],0),$P$7+0))</f>
        <v/>
      </c>
      <c r="I44" s="19">
        <f>MAX(0,$F44-INDEX(Grid_Stock[#Data],MATCH($D44,Grid_Stock[Part Name],0),$P$7+1))</f>
        <v/>
      </c>
      <c r="J44" s="19">
        <f>MAX(0,$F44-INDEX(Grid_Stock[#Data],MATCH($D44,Grid_Stock[Part Name],0),$P$7+2))</f>
        <v/>
      </c>
      <c r="K44" s="19">
        <f>MAX(0,$F44-INDEX(Grid_Stock[#Data],MATCH($D44,Grid_Stock[Part Name],0),$P$7+3))</f>
        <v/>
      </c>
      <c r="L44" s="19">
        <f>MAX(0,$F44-INDEX(Grid_Stock[#Data],MATCH($D44,Grid_Stock[Part Name],0),$P$7+4))</f>
        <v/>
      </c>
      <c r="M44" s="19">
        <f>MAX(0,$F44-INDEX(Grid_Stock[#Data],MATCH($D44,Grid_Stock[Part Name],0),$P$7+5))</f>
        <v/>
      </c>
      <c r="N44" s="19">
        <f>MAX(0,$F44-INDEX(Grid_Stock[#Data],MATCH($D44,Grid_Stock[Part Name],0),$P$7+6))</f>
        <v/>
      </c>
      <c r="O44" s="19">
        <f>MAX(0,$F44-INDEX(Grid_Stock[#Data],MATCH($D44,Grid_Stock[Part Name],0),$P$7+7))</f>
        <v/>
      </c>
      <c r="P44" s="19">
        <f>MAX(0,$F44-INDEX(Grid_Stock[#Data],MATCH($D44,Grid_Stock[Part Name],0),$P$7+8))</f>
        <v/>
      </c>
      <c r="Q44" s="19">
        <f>MAX(0,$F44-INDEX(Grid_Stock[#Data],MATCH($D44,Grid_Stock[Part Name],0),$P$7+9))</f>
        <v/>
      </c>
      <c r="R44" s="19">
        <f>MAX(0,$F44-INDEX(Grid_Stock[#Data],MATCH($D44,Grid_Stock[Part Name],0),$P$7+10))</f>
        <v/>
      </c>
      <c r="S44" s="19">
        <f>MAX(0,$F44-INDEX(Grid_Stock[#Data],MATCH($D44,Grid_Stock[Part Name],0),$P$7+11))</f>
        <v/>
      </c>
      <c r="T44" s="19">
        <f>MAX(0,$F44-INDEX(Grid_Stock[#Data],MATCH($D44,Grid_Stock[Part Name],0),$P$7+12))</f>
        <v/>
      </c>
      <c r="U44" s="19">
        <f>SUM(H44:T44)</f>
        <v/>
      </c>
    </row>
    <row r="45">
      <c r="B45" s="17">
        <f>IFERROR(INDEX(M_RawMaterials[Description],MATCH("PP Film",M_RawMaterials[Part Name],0)),"")</f>
        <v/>
      </c>
      <c r="C45" s="17" t="inlineStr">
        <is>
          <t>83988405701</t>
        </is>
      </c>
      <c r="D45" s="17" t="inlineStr">
        <is>
          <t>PP Film</t>
        </is>
      </c>
      <c r="E45" s="17" t="inlineStr">
        <is>
          <t>kg</t>
        </is>
      </c>
      <c r="F45" s="17">
        <f>IFERROR(INDEX(M_RawMaterials[基準在庫下限_要入力],MATCH("PP Film",M_RawMaterials[Part Name],0)),0)</f>
        <v/>
      </c>
      <c r="G45" s="17">
        <f>INDEX(Grid_Stock[#Data],MATCH($D45,Grid_Stock[Part Name],0),$P$7)</f>
        <v/>
      </c>
      <c r="H45" s="17">
        <f>MAX(0,$F45-INDEX(Grid_Stock[#Data],MATCH($D45,Grid_Stock[Part Name],0),$P$7+0))</f>
        <v/>
      </c>
      <c r="I45" s="17">
        <f>MAX(0,$F45-INDEX(Grid_Stock[#Data],MATCH($D45,Grid_Stock[Part Name],0),$P$7+1))</f>
        <v/>
      </c>
      <c r="J45" s="17">
        <f>MAX(0,$F45-INDEX(Grid_Stock[#Data],MATCH($D45,Grid_Stock[Part Name],0),$P$7+2))</f>
        <v/>
      </c>
      <c r="K45" s="17">
        <f>MAX(0,$F45-INDEX(Grid_Stock[#Data],MATCH($D45,Grid_Stock[Part Name],0),$P$7+3))</f>
        <v/>
      </c>
      <c r="L45" s="17">
        <f>MAX(0,$F45-INDEX(Grid_Stock[#Data],MATCH($D45,Grid_Stock[Part Name],0),$P$7+4))</f>
        <v/>
      </c>
      <c r="M45" s="17">
        <f>MAX(0,$F45-INDEX(Grid_Stock[#Data],MATCH($D45,Grid_Stock[Part Name],0),$P$7+5))</f>
        <v/>
      </c>
      <c r="N45" s="17">
        <f>MAX(0,$F45-INDEX(Grid_Stock[#Data],MATCH($D45,Grid_Stock[Part Name],0),$P$7+6))</f>
        <v/>
      </c>
      <c r="O45" s="17">
        <f>MAX(0,$F45-INDEX(Grid_Stock[#Data],MATCH($D45,Grid_Stock[Part Name],0),$P$7+7))</f>
        <v/>
      </c>
      <c r="P45" s="17">
        <f>MAX(0,$F45-INDEX(Grid_Stock[#Data],MATCH($D45,Grid_Stock[Part Name],0),$P$7+8))</f>
        <v/>
      </c>
      <c r="Q45" s="17">
        <f>MAX(0,$F45-INDEX(Grid_Stock[#Data],MATCH($D45,Grid_Stock[Part Name],0),$P$7+9))</f>
        <v/>
      </c>
      <c r="R45" s="17">
        <f>MAX(0,$F45-INDEX(Grid_Stock[#Data],MATCH($D45,Grid_Stock[Part Name],0),$P$7+10))</f>
        <v/>
      </c>
      <c r="S45" s="17">
        <f>MAX(0,$F45-INDEX(Grid_Stock[#Data],MATCH($D45,Grid_Stock[Part Name],0),$P$7+11))</f>
        <v/>
      </c>
      <c r="T45" s="17">
        <f>MAX(0,$F45-INDEX(Grid_Stock[#Data],MATCH($D45,Grid_Stock[Part Name],0),$P$7+12))</f>
        <v/>
      </c>
      <c r="U45" s="17">
        <f>SUM(H45:T45)</f>
        <v/>
      </c>
    </row>
    <row r="46">
      <c r="B46" s="19">
        <f>IFERROR(INDEX(M_RawMaterials[Description],MATCH("CHEM-1560",M_RawMaterials[Part Name],0)),"")</f>
        <v/>
      </c>
      <c r="C46" s="19" t="inlineStr">
        <is>
          <t>734831030</t>
        </is>
      </c>
      <c r="D46" s="19" t="inlineStr">
        <is>
          <t>CHEM-1560</t>
        </is>
      </c>
      <c r="E46" s="19" t="inlineStr">
        <is>
          <t>kg</t>
        </is>
      </c>
      <c r="F46" s="19">
        <f>IFERROR(INDEX(M_RawMaterials[基準在庫下限_要入力],MATCH("CHEM-1560",M_RawMaterials[Part Name],0)),0)</f>
        <v/>
      </c>
      <c r="G46" s="19">
        <f>INDEX(Grid_Stock[#Data],MATCH($D46,Grid_Stock[Part Name],0),$P$7)</f>
        <v/>
      </c>
      <c r="H46" s="19">
        <f>MAX(0,$F46-INDEX(Grid_Stock[#Data],MATCH($D46,Grid_Stock[Part Name],0),$P$7+0))</f>
        <v/>
      </c>
      <c r="I46" s="19">
        <f>MAX(0,$F46-INDEX(Grid_Stock[#Data],MATCH($D46,Grid_Stock[Part Name],0),$P$7+1))</f>
        <v/>
      </c>
      <c r="J46" s="19">
        <f>MAX(0,$F46-INDEX(Grid_Stock[#Data],MATCH($D46,Grid_Stock[Part Name],0),$P$7+2))</f>
        <v/>
      </c>
      <c r="K46" s="19">
        <f>MAX(0,$F46-INDEX(Grid_Stock[#Data],MATCH($D46,Grid_Stock[Part Name],0),$P$7+3))</f>
        <v/>
      </c>
      <c r="L46" s="19">
        <f>MAX(0,$F46-INDEX(Grid_Stock[#Data],MATCH($D46,Grid_Stock[Part Name],0),$P$7+4))</f>
        <v/>
      </c>
      <c r="M46" s="19">
        <f>MAX(0,$F46-INDEX(Grid_Stock[#Data],MATCH($D46,Grid_Stock[Part Name],0),$P$7+5))</f>
        <v/>
      </c>
      <c r="N46" s="19">
        <f>MAX(0,$F46-INDEX(Grid_Stock[#Data],MATCH($D46,Grid_Stock[Part Name],0),$P$7+6))</f>
        <v/>
      </c>
      <c r="O46" s="19">
        <f>MAX(0,$F46-INDEX(Grid_Stock[#Data],MATCH($D46,Grid_Stock[Part Name],0),$P$7+7))</f>
        <v/>
      </c>
      <c r="P46" s="19">
        <f>MAX(0,$F46-INDEX(Grid_Stock[#Data],MATCH($D46,Grid_Stock[Part Name],0),$P$7+8))</f>
        <v/>
      </c>
      <c r="Q46" s="19">
        <f>MAX(0,$F46-INDEX(Grid_Stock[#Data],MATCH($D46,Grid_Stock[Part Name],0),$P$7+9))</f>
        <v/>
      </c>
      <c r="R46" s="19">
        <f>MAX(0,$F46-INDEX(Grid_Stock[#Data],MATCH($D46,Grid_Stock[Part Name],0),$P$7+10))</f>
        <v/>
      </c>
      <c r="S46" s="19">
        <f>MAX(0,$F46-INDEX(Grid_Stock[#Data],MATCH($D46,Grid_Stock[Part Name],0),$P$7+11))</f>
        <v/>
      </c>
      <c r="T46" s="19">
        <f>MAX(0,$F46-INDEX(Grid_Stock[#Data],MATCH($D46,Grid_Stock[Part Name],0),$P$7+12))</f>
        <v/>
      </c>
      <c r="U46" s="19">
        <f>SUM(H46:T46)</f>
        <v/>
      </c>
    </row>
    <row r="47">
      <c r="B47" s="17">
        <f>IFERROR(INDEX(M_RawMaterials[Description],MATCH("CHEM-1690",M_RawMaterials[Part Name],0)),"")</f>
        <v/>
      </c>
      <c r="C47" s="17" t="inlineStr">
        <is>
          <t>734831040</t>
        </is>
      </c>
      <c r="D47" s="17" t="inlineStr">
        <is>
          <t>CHEM-1690</t>
        </is>
      </c>
      <c r="E47" s="17" t="inlineStr">
        <is>
          <t>kg</t>
        </is>
      </c>
      <c r="F47" s="17">
        <f>IFERROR(INDEX(M_RawMaterials[基準在庫下限_要入力],MATCH("CHEM-1690",M_RawMaterials[Part Name],0)),0)</f>
        <v/>
      </c>
      <c r="G47" s="17">
        <f>INDEX(Grid_Stock[#Data],MATCH($D47,Grid_Stock[Part Name],0),$P$7)</f>
        <v/>
      </c>
      <c r="H47" s="17">
        <f>MAX(0,$F47-INDEX(Grid_Stock[#Data],MATCH($D47,Grid_Stock[Part Name],0),$P$7+0))</f>
        <v/>
      </c>
      <c r="I47" s="17">
        <f>MAX(0,$F47-INDEX(Grid_Stock[#Data],MATCH($D47,Grid_Stock[Part Name],0),$P$7+1))</f>
        <v/>
      </c>
      <c r="J47" s="17">
        <f>MAX(0,$F47-INDEX(Grid_Stock[#Data],MATCH($D47,Grid_Stock[Part Name],0),$P$7+2))</f>
        <v/>
      </c>
      <c r="K47" s="17">
        <f>MAX(0,$F47-INDEX(Grid_Stock[#Data],MATCH($D47,Grid_Stock[Part Name],0),$P$7+3))</f>
        <v/>
      </c>
      <c r="L47" s="17">
        <f>MAX(0,$F47-INDEX(Grid_Stock[#Data],MATCH($D47,Grid_Stock[Part Name],0),$P$7+4))</f>
        <v/>
      </c>
      <c r="M47" s="17">
        <f>MAX(0,$F47-INDEX(Grid_Stock[#Data],MATCH($D47,Grid_Stock[Part Name],0),$P$7+5))</f>
        <v/>
      </c>
      <c r="N47" s="17">
        <f>MAX(0,$F47-INDEX(Grid_Stock[#Data],MATCH($D47,Grid_Stock[Part Name],0),$P$7+6))</f>
        <v/>
      </c>
      <c r="O47" s="17">
        <f>MAX(0,$F47-INDEX(Grid_Stock[#Data],MATCH($D47,Grid_Stock[Part Name],0),$P$7+7))</f>
        <v/>
      </c>
      <c r="P47" s="17">
        <f>MAX(0,$F47-INDEX(Grid_Stock[#Data],MATCH($D47,Grid_Stock[Part Name],0),$P$7+8))</f>
        <v/>
      </c>
      <c r="Q47" s="17">
        <f>MAX(0,$F47-INDEX(Grid_Stock[#Data],MATCH($D47,Grid_Stock[Part Name],0),$P$7+9))</f>
        <v/>
      </c>
      <c r="R47" s="17">
        <f>MAX(0,$F47-INDEX(Grid_Stock[#Data],MATCH($D47,Grid_Stock[Part Name],0),$P$7+10))</f>
        <v/>
      </c>
      <c r="S47" s="17">
        <f>MAX(0,$F47-INDEX(Grid_Stock[#Data],MATCH($D47,Grid_Stock[Part Name],0),$P$7+11))</f>
        <v/>
      </c>
      <c r="T47" s="17">
        <f>MAX(0,$F47-INDEX(Grid_Stock[#Data],MATCH($D47,Grid_Stock[Part Name],0),$P$7+12))</f>
        <v/>
      </c>
      <c r="U47" s="17">
        <f>SUM(H47:T47)</f>
        <v/>
      </c>
    </row>
    <row r="48">
      <c r="B48" s="19">
        <f>IFERROR(INDEX(M_RawMaterials[Description],MATCH("CHEM-1720",M_RawMaterials[Part Name],0)),"")</f>
        <v/>
      </c>
      <c r="C48" s="19" t="inlineStr">
        <is>
          <t>734831050</t>
        </is>
      </c>
      <c r="D48" s="19" t="inlineStr">
        <is>
          <t>CHEM-1720</t>
        </is>
      </c>
      <c r="E48" s="19" t="inlineStr">
        <is>
          <t>kg</t>
        </is>
      </c>
      <c r="F48" s="19">
        <f>IFERROR(INDEX(M_RawMaterials[基準在庫下限_要入力],MATCH("CHEM-1720",M_RawMaterials[Part Name],0)),0)</f>
        <v/>
      </c>
      <c r="G48" s="19">
        <f>INDEX(Grid_Stock[#Data],MATCH($D48,Grid_Stock[Part Name],0),$P$7)</f>
        <v/>
      </c>
      <c r="H48" s="19">
        <f>MAX(0,$F48-INDEX(Grid_Stock[#Data],MATCH($D48,Grid_Stock[Part Name],0),$P$7+0))</f>
        <v/>
      </c>
      <c r="I48" s="19">
        <f>MAX(0,$F48-INDEX(Grid_Stock[#Data],MATCH($D48,Grid_Stock[Part Name],0),$P$7+1))</f>
        <v/>
      </c>
      <c r="J48" s="19">
        <f>MAX(0,$F48-INDEX(Grid_Stock[#Data],MATCH($D48,Grid_Stock[Part Name],0),$P$7+2))</f>
        <v/>
      </c>
      <c r="K48" s="19">
        <f>MAX(0,$F48-INDEX(Grid_Stock[#Data],MATCH($D48,Grid_Stock[Part Name],0),$P$7+3))</f>
        <v/>
      </c>
      <c r="L48" s="19">
        <f>MAX(0,$F48-INDEX(Grid_Stock[#Data],MATCH($D48,Grid_Stock[Part Name],0),$P$7+4))</f>
        <v/>
      </c>
      <c r="M48" s="19">
        <f>MAX(0,$F48-INDEX(Grid_Stock[#Data],MATCH($D48,Grid_Stock[Part Name],0),$P$7+5))</f>
        <v/>
      </c>
      <c r="N48" s="19">
        <f>MAX(0,$F48-INDEX(Grid_Stock[#Data],MATCH($D48,Grid_Stock[Part Name],0),$P$7+6))</f>
        <v/>
      </c>
      <c r="O48" s="19">
        <f>MAX(0,$F48-INDEX(Grid_Stock[#Data],MATCH($D48,Grid_Stock[Part Name],0),$P$7+7))</f>
        <v/>
      </c>
      <c r="P48" s="19">
        <f>MAX(0,$F48-INDEX(Grid_Stock[#Data],MATCH($D48,Grid_Stock[Part Name],0),$P$7+8))</f>
        <v/>
      </c>
      <c r="Q48" s="19">
        <f>MAX(0,$F48-INDEX(Grid_Stock[#Data],MATCH($D48,Grid_Stock[Part Name],0),$P$7+9))</f>
        <v/>
      </c>
      <c r="R48" s="19">
        <f>MAX(0,$F48-INDEX(Grid_Stock[#Data],MATCH($D48,Grid_Stock[Part Name],0),$P$7+10))</f>
        <v/>
      </c>
      <c r="S48" s="19">
        <f>MAX(0,$F48-INDEX(Grid_Stock[#Data],MATCH($D48,Grid_Stock[Part Name],0),$P$7+11))</f>
        <v/>
      </c>
      <c r="T48" s="19">
        <f>MAX(0,$F48-INDEX(Grid_Stock[#Data],MATCH($D48,Grid_Stock[Part Name],0),$P$7+12))</f>
        <v/>
      </c>
      <c r="U48" s="19">
        <f>SUM(H48:T48)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46239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MAX(0,$F16-INDEX(Grid_Stock[#Data],MATCH($D16,Grid_Stock[Part Name],0),$P$7+0))</f>
        <v/>
      </c>
      <c r="I16" s="19">
        <f>MAX(0,$F16-INDEX(Grid_Stock[#Data],MATCH($D16,Grid_Stock[Part Name],0),$P$7+1))</f>
        <v/>
      </c>
      <c r="J16" s="19">
        <f>MAX(0,$F16-INDEX(Grid_Stock[#Data],MATCH($D16,Grid_Stock[Part Name],0),$P$7+2))</f>
        <v/>
      </c>
      <c r="K16" s="19">
        <f>MAX(0,$F16-INDEX(Grid_Stock[#Data],MATCH($D16,Grid_Stock[Part Name],0),$P$7+3))</f>
        <v/>
      </c>
      <c r="L16" s="19">
        <f>MAX(0,$F16-INDEX(Grid_Stock[#Data],MATCH($D16,Grid_Stock[Part Name],0),$P$7+4))</f>
        <v/>
      </c>
      <c r="M16" s="19">
        <f>MAX(0,$F16-INDEX(Grid_Stock[#Data],MATCH($D16,Grid_Stock[Part Name],0),$P$7+5))</f>
        <v/>
      </c>
      <c r="N16" s="19">
        <f>MAX(0,$F16-INDEX(Grid_Stock[#Data],MATCH($D16,Grid_Stock[Part Name],0),$P$7+6))</f>
        <v/>
      </c>
      <c r="O16" s="19">
        <f>MAX(0,$F16-INDEX(Grid_Stock[#Data],MATCH($D16,Grid_Stock[Part Name],0),$P$7+7))</f>
        <v/>
      </c>
      <c r="P16" s="19">
        <f>MAX(0,$F16-INDEX(Grid_Stock[#Data],MATCH($D16,Grid_Stock[Part Name],0),$P$7+8))</f>
        <v/>
      </c>
      <c r="Q16" s="19">
        <f>MAX(0,$F16-INDEX(Grid_Stock[#Data],MATCH($D16,Grid_Stock[Part Name],0),$P$7+9))</f>
        <v/>
      </c>
      <c r="R16" s="19">
        <f>MAX(0,$F16-INDEX(Grid_Stock[#Data],MATCH($D16,Grid_Stock[Part Name],0),$P$7+10))</f>
        <v/>
      </c>
      <c r="S16" s="19">
        <f>MAX(0,$F16-INDEX(Grid_Stock[#Data],MATCH($D16,Grid_Stock[Part Name],0),$P$7+11))</f>
        <v/>
      </c>
      <c r="T16" s="19">
        <f>MAX(0,$F16-INDEX(Grid_Stock[#Data],MATCH($D16,Grid_Stock[Part Name],0),$P$7+12))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46239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MAX(0,$F16-INDEX(Grid_Stock[#Data],MATCH($D16,Grid_Stock[Part Name],0),$P$7+0))</f>
        <v/>
      </c>
      <c r="I16" s="19">
        <f>MAX(0,$F16-INDEX(Grid_Stock[#Data],MATCH($D16,Grid_Stock[Part Name],0),$P$7+1))</f>
        <v/>
      </c>
      <c r="J16" s="19">
        <f>MAX(0,$F16-INDEX(Grid_Stock[#Data],MATCH($D16,Grid_Stock[Part Name],0),$P$7+2))</f>
        <v/>
      </c>
      <c r="K16" s="19">
        <f>MAX(0,$F16-INDEX(Grid_Stock[#Data],MATCH($D16,Grid_Stock[Part Name],0),$P$7+3))</f>
        <v/>
      </c>
      <c r="L16" s="19">
        <f>MAX(0,$F16-INDEX(Grid_Stock[#Data],MATCH($D16,Grid_Stock[Part Name],0),$P$7+4))</f>
        <v/>
      </c>
      <c r="M16" s="19">
        <f>MAX(0,$F16-INDEX(Grid_Stock[#Data],MATCH($D16,Grid_Stock[Part Name],0),$P$7+5))</f>
        <v/>
      </c>
      <c r="N16" s="19">
        <f>MAX(0,$F16-INDEX(Grid_Stock[#Data],MATCH($D16,Grid_Stock[Part Name],0),$P$7+6))</f>
        <v/>
      </c>
      <c r="O16" s="19">
        <f>MAX(0,$F16-INDEX(Grid_Stock[#Data],MATCH($D16,Grid_Stock[Part Name],0),$P$7+7))</f>
        <v/>
      </c>
      <c r="P16" s="19">
        <f>MAX(0,$F16-INDEX(Grid_Stock[#Data],MATCH($D16,Grid_Stock[Part Name],0),$P$7+8))</f>
        <v/>
      </c>
      <c r="Q16" s="19">
        <f>MAX(0,$F16-INDEX(Grid_Stock[#Data],MATCH($D16,Grid_Stock[Part Name],0),$P$7+9))</f>
        <v/>
      </c>
      <c r="R16" s="19">
        <f>MAX(0,$F16-INDEX(Grid_Stock[#Data],MATCH($D16,Grid_Stock[Part Name],0),$P$7+10))</f>
        <v/>
      </c>
      <c r="S16" s="19">
        <f>MAX(0,$F16-INDEX(Grid_Stock[#Data],MATCH($D16,Grid_Stock[Part Name],0),$P$7+11))</f>
        <v/>
      </c>
      <c r="T16" s="19">
        <f>MAX(0,$F16-INDEX(Grid_Stock[#Data],MATCH($D16,Grid_Stock[Part Name],0),$P$7+12))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MAX(0,$F17-INDEX(Grid_Stock[#Data],MATCH($D17,Grid_Stock[Part Name],0),$P$7+0))</f>
        <v/>
      </c>
      <c r="I17" s="17">
        <f>MAX(0,$F17-INDEX(Grid_Stock[#Data],MATCH($D17,Grid_Stock[Part Name],0),$P$7+1))</f>
        <v/>
      </c>
      <c r="J17" s="17">
        <f>MAX(0,$F17-INDEX(Grid_Stock[#Data],MATCH($D17,Grid_Stock[Part Name],0),$P$7+2))</f>
        <v/>
      </c>
      <c r="K17" s="17">
        <f>MAX(0,$F17-INDEX(Grid_Stock[#Data],MATCH($D17,Grid_Stock[Part Name],0),$P$7+3))</f>
        <v/>
      </c>
      <c r="L17" s="17">
        <f>MAX(0,$F17-INDEX(Grid_Stock[#Data],MATCH($D17,Grid_Stock[Part Name],0),$P$7+4))</f>
        <v/>
      </c>
      <c r="M17" s="17">
        <f>MAX(0,$F17-INDEX(Grid_Stock[#Data],MATCH($D17,Grid_Stock[Part Name],0),$P$7+5))</f>
        <v/>
      </c>
      <c r="N17" s="17">
        <f>MAX(0,$F17-INDEX(Grid_Stock[#Data],MATCH($D17,Grid_Stock[Part Name],0),$P$7+6))</f>
        <v/>
      </c>
      <c r="O17" s="17">
        <f>MAX(0,$F17-INDEX(Grid_Stock[#Data],MATCH($D17,Grid_Stock[Part Name],0),$P$7+7))</f>
        <v/>
      </c>
      <c r="P17" s="17">
        <f>MAX(0,$F17-INDEX(Grid_Stock[#Data],MATCH($D17,Grid_Stock[Part Name],0),$P$7+8))</f>
        <v/>
      </c>
      <c r="Q17" s="17">
        <f>MAX(0,$F17-INDEX(Grid_Stock[#Data],MATCH($D17,Grid_Stock[Part Name],0),$P$7+9))</f>
        <v/>
      </c>
      <c r="R17" s="17">
        <f>MAX(0,$F17-INDEX(Grid_Stock[#Data],MATCH($D17,Grid_Stock[Part Name],0),$P$7+10))</f>
        <v/>
      </c>
      <c r="S17" s="17">
        <f>MAX(0,$F17-INDEX(Grid_Stock[#Data],MATCH($D17,Grid_Stock[Part Name],0),$P$7+11))</f>
        <v/>
      </c>
      <c r="T17" s="17">
        <f>MAX(0,$F17-INDEX(Grid_Stock[#Data],MATCH($D17,Grid_Stock[Part Name],0),$P$7+12))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MAX(0,$F18-INDEX(Grid_Stock[#Data],MATCH($D18,Grid_Stock[Part Name],0),$P$7+0))</f>
        <v/>
      </c>
      <c r="I18" s="19">
        <f>MAX(0,$F18-INDEX(Grid_Stock[#Data],MATCH($D18,Grid_Stock[Part Name],0),$P$7+1))</f>
        <v/>
      </c>
      <c r="J18" s="19">
        <f>MAX(0,$F18-INDEX(Grid_Stock[#Data],MATCH($D18,Grid_Stock[Part Name],0),$P$7+2))</f>
        <v/>
      </c>
      <c r="K18" s="19">
        <f>MAX(0,$F18-INDEX(Grid_Stock[#Data],MATCH($D18,Grid_Stock[Part Name],0),$P$7+3))</f>
        <v/>
      </c>
      <c r="L18" s="19">
        <f>MAX(0,$F18-INDEX(Grid_Stock[#Data],MATCH($D18,Grid_Stock[Part Name],0),$P$7+4))</f>
        <v/>
      </c>
      <c r="M18" s="19">
        <f>MAX(0,$F18-INDEX(Grid_Stock[#Data],MATCH($D18,Grid_Stock[Part Name],0),$P$7+5))</f>
        <v/>
      </c>
      <c r="N18" s="19">
        <f>MAX(0,$F18-INDEX(Grid_Stock[#Data],MATCH($D18,Grid_Stock[Part Name],0),$P$7+6))</f>
        <v/>
      </c>
      <c r="O18" s="19">
        <f>MAX(0,$F18-INDEX(Grid_Stock[#Data],MATCH($D18,Grid_Stock[Part Name],0),$P$7+7))</f>
        <v/>
      </c>
      <c r="P18" s="19">
        <f>MAX(0,$F18-INDEX(Grid_Stock[#Data],MATCH($D18,Grid_Stock[Part Name],0),$P$7+8))</f>
        <v/>
      </c>
      <c r="Q18" s="19">
        <f>MAX(0,$F18-INDEX(Grid_Stock[#Data],MATCH($D18,Grid_Stock[Part Name],0),$P$7+9))</f>
        <v/>
      </c>
      <c r="R18" s="19">
        <f>MAX(0,$F18-INDEX(Grid_Stock[#Data],MATCH($D18,Grid_Stock[Part Name],0),$P$7+10))</f>
        <v/>
      </c>
      <c r="S18" s="19">
        <f>MAX(0,$F18-INDEX(Grid_Stock[#Data],MATCH($D18,Grid_Stock[Part Name],0),$P$7+11))</f>
        <v/>
      </c>
      <c r="T18" s="19">
        <f>MAX(0,$F18-INDEX(Grid_Stock[#Data],MATCH($D18,Grid_Stock[Part Name],0),$P$7+12))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MAX(0,$F19-INDEX(Grid_Stock[#Data],MATCH($D19,Grid_Stock[Part Name],0),$P$7+0))</f>
        <v/>
      </c>
      <c r="I19" s="17">
        <f>MAX(0,$F19-INDEX(Grid_Stock[#Data],MATCH($D19,Grid_Stock[Part Name],0),$P$7+1))</f>
        <v/>
      </c>
      <c r="J19" s="17">
        <f>MAX(0,$F19-INDEX(Grid_Stock[#Data],MATCH($D19,Grid_Stock[Part Name],0),$P$7+2))</f>
        <v/>
      </c>
      <c r="K19" s="17">
        <f>MAX(0,$F19-INDEX(Grid_Stock[#Data],MATCH($D19,Grid_Stock[Part Name],0),$P$7+3))</f>
        <v/>
      </c>
      <c r="L19" s="17">
        <f>MAX(0,$F19-INDEX(Grid_Stock[#Data],MATCH($D19,Grid_Stock[Part Name],0),$P$7+4))</f>
        <v/>
      </c>
      <c r="M19" s="17">
        <f>MAX(0,$F19-INDEX(Grid_Stock[#Data],MATCH($D19,Grid_Stock[Part Name],0),$P$7+5))</f>
        <v/>
      </c>
      <c r="N19" s="17">
        <f>MAX(0,$F19-INDEX(Grid_Stock[#Data],MATCH($D19,Grid_Stock[Part Name],0),$P$7+6))</f>
        <v/>
      </c>
      <c r="O19" s="17">
        <f>MAX(0,$F19-INDEX(Grid_Stock[#Data],MATCH($D19,Grid_Stock[Part Name],0),$P$7+7))</f>
        <v/>
      </c>
      <c r="P19" s="17">
        <f>MAX(0,$F19-INDEX(Grid_Stock[#Data],MATCH($D19,Grid_Stock[Part Name],0),$P$7+8))</f>
        <v/>
      </c>
      <c r="Q19" s="17">
        <f>MAX(0,$F19-INDEX(Grid_Stock[#Data],MATCH($D19,Grid_Stock[Part Name],0),$P$7+9))</f>
        <v/>
      </c>
      <c r="R19" s="17">
        <f>MAX(0,$F19-INDEX(Grid_Stock[#Data],MATCH($D19,Grid_Stock[Part Name],0),$P$7+10))</f>
        <v/>
      </c>
      <c r="S19" s="17">
        <f>MAX(0,$F19-INDEX(Grid_Stock[#Data],MATCH($D19,Grid_Stock[Part Name],0),$P$7+11))</f>
        <v/>
      </c>
      <c r="T19" s="17">
        <f>MAX(0,$F19-INDEX(Grid_Stock[#Data],MATCH($D19,Grid_Stock[Part Name],0),$P$7+12))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MAX(0,$F20-INDEX(Grid_Stock[#Data],MATCH($D20,Grid_Stock[Part Name],0),$P$7+0))</f>
        <v/>
      </c>
      <c r="I20" s="19">
        <f>MAX(0,$F20-INDEX(Grid_Stock[#Data],MATCH($D20,Grid_Stock[Part Name],0),$P$7+1))</f>
        <v/>
      </c>
      <c r="J20" s="19">
        <f>MAX(0,$F20-INDEX(Grid_Stock[#Data],MATCH($D20,Grid_Stock[Part Name],0),$P$7+2))</f>
        <v/>
      </c>
      <c r="K20" s="19">
        <f>MAX(0,$F20-INDEX(Grid_Stock[#Data],MATCH($D20,Grid_Stock[Part Name],0),$P$7+3))</f>
        <v/>
      </c>
      <c r="L20" s="19">
        <f>MAX(0,$F20-INDEX(Grid_Stock[#Data],MATCH($D20,Grid_Stock[Part Name],0),$P$7+4))</f>
        <v/>
      </c>
      <c r="M20" s="19">
        <f>MAX(0,$F20-INDEX(Grid_Stock[#Data],MATCH($D20,Grid_Stock[Part Name],0),$P$7+5))</f>
        <v/>
      </c>
      <c r="N20" s="19">
        <f>MAX(0,$F20-INDEX(Grid_Stock[#Data],MATCH($D20,Grid_Stock[Part Name],0),$P$7+6))</f>
        <v/>
      </c>
      <c r="O20" s="19">
        <f>MAX(0,$F20-INDEX(Grid_Stock[#Data],MATCH($D20,Grid_Stock[Part Name],0),$P$7+7))</f>
        <v/>
      </c>
      <c r="P20" s="19">
        <f>MAX(0,$F20-INDEX(Grid_Stock[#Data],MATCH($D20,Grid_Stock[Part Name],0),$P$7+8))</f>
        <v/>
      </c>
      <c r="Q20" s="19">
        <f>MAX(0,$F20-INDEX(Grid_Stock[#Data],MATCH($D20,Grid_Stock[Part Name],0),$P$7+9))</f>
        <v/>
      </c>
      <c r="R20" s="19">
        <f>MAX(0,$F20-INDEX(Grid_Stock[#Data],MATCH($D20,Grid_Stock[Part Name],0),$P$7+10))</f>
        <v/>
      </c>
      <c r="S20" s="19">
        <f>MAX(0,$F20-INDEX(Grid_Stock[#Data],MATCH($D20,Grid_Stock[Part Name],0),$P$7+11))</f>
        <v/>
      </c>
      <c r="T20" s="19">
        <f>MAX(0,$F20-INDEX(Grid_Stock[#Data],MATCH($D20,Grid_Stock[Part Name],0),$P$7+12))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MAX(0,$F21-INDEX(Grid_Stock[#Data],MATCH($D21,Grid_Stock[Part Name],0),$P$7+0))</f>
        <v/>
      </c>
      <c r="I21" s="17">
        <f>MAX(0,$F21-INDEX(Grid_Stock[#Data],MATCH($D21,Grid_Stock[Part Name],0),$P$7+1))</f>
        <v/>
      </c>
      <c r="J21" s="17">
        <f>MAX(0,$F21-INDEX(Grid_Stock[#Data],MATCH($D21,Grid_Stock[Part Name],0),$P$7+2))</f>
        <v/>
      </c>
      <c r="K21" s="17">
        <f>MAX(0,$F21-INDEX(Grid_Stock[#Data],MATCH($D21,Grid_Stock[Part Name],0),$P$7+3))</f>
        <v/>
      </c>
      <c r="L21" s="17">
        <f>MAX(0,$F21-INDEX(Grid_Stock[#Data],MATCH($D21,Grid_Stock[Part Name],0),$P$7+4))</f>
        <v/>
      </c>
      <c r="M21" s="17">
        <f>MAX(0,$F21-INDEX(Grid_Stock[#Data],MATCH($D21,Grid_Stock[Part Name],0),$P$7+5))</f>
        <v/>
      </c>
      <c r="N21" s="17">
        <f>MAX(0,$F21-INDEX(Grid_Stock[#Data],MATCH($D21,Grid_Stock[Part Name],0),$P$7+6))</f>
        <v/>
      </c>
      <c r="O21" s="17">
        <f>MAX(0,$F21-INDEX(Grid_Stock[#Data],MATCH($D21,Grid_Stock[Part Name],0),$P$7+7))</f>
        <v/>
      </c>
      <c r="P21" s="17">
        <f>MAX(0,$F21-INDEX(Grid_Stock[#Data],MATCH($D21,Grid_Stock[Part Name],0),$P$7+8))</f>
        <v/>
      </c>
      <c r="Q21" s="17">
        <f>MAX(0,$F21-INDEX(Grid_Stock[#Data],MATCH($D21,Grid_Stock[Part Name],0),$P$7+9))</f>
        <v/>
      </c>
      <c r="R21" s="17">
        <f>MAX(0,$F21-INDEX(Grid_Stock[#Data],MATCH($D21,Grid_Stock[Part Name],0),$P$7+10))</f>
        <v/>
      </c>
      <c r="S21" s="17">
        <f>MAX(0,$F21-INDEX(Grid_Stock[#Data],MATCH($D21,Grid_Stock[Part Name],0),$P$7+11))</f>
        <v/>
      </c>
      <c r="T21" s="17">
        <f>MAX(0,$F21-INDEX(Grid_Stock[#Data],MATCH($D21,Grid_Stock[Part Name],0),$P$7+12))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MAX(0,$F22-INDEX(Grid_Stock[#Data],MATCH($D22,Grid_Stock[Part Name],0),$P$7+0))</f>
        <v/>
      </c>
      <c r="I22" s="19">
        <f>MAX(0,$F22-INDEX(Grid_Stock[#Data],MATCH($D22,Grid_Stock[Part Name],0),$P$7+1))</f>
        <v/>
      </c>
      <c r="J22" s="19">
        <f>MAX(0,$F22-INDEX(Grid_Stock[#Data],MATCH($D22,Grid_Stock[Part Name],0),$P$7+2))</f>
        <v/>
      </c>
      <c r="K22" s="19">
        <f>MAX(0,$F22-INDEX(Grid_Stock[#Data],MATCH($D22,Grid_Stock[Part Name],0),$P$7+3))</f>
        <v/>
      </c>
      <c r="L22" s="19">
        <f>MAX(0,$F22-INDEX(Grid_Stock[#Data],MATCH($D22,Grid_Stock[Part Name],0),$P$7+4))</f>
        <v/>
      </c>
      <c r="M22" s="19">
        <f>MAX(0,$F22-INDEX(Grid_Stock[#Data],MATCH($D22,Grid_Stock[Part Name],0),$P$7+5))</f>
        <v/>
      </c>
      <c r="N22" s="19">
        <f>MAX(0,$F22-INDEX(Grid_Stock[#Data],MATCH($D22,Grid_Stock[Part Name],0),$P$7+6))</f>
        <v/>
      </c>
      <c r="O22" s="19">
        <f>MAX(0,$F22-INDEX(Grid_Stock[#Data],MATCH($D22,Grid_Stock[Part Name],0),$P$7+7))</f>
        <v/>
      </c>
      <c r="P22" s="19">
        <f>MAX(0,$F22-INDEX(Grid_Stock[#Data],MATCH($D22,Grid_Stock[Part Name],0),$P$7+8))</f>
        <v/>
      </c>
      <c r="Q22" s="19">
        <f>MAX(0,$F22-INDEX(Grid_Stock[#Data],MATCH($D22,Grid_Stock[Part Name],0),$P$7+9))</f>
        <v/>
      </c>
      <c r="R22" s="19">
        <f>MAX(0,$F22-INDEX(Grid_Stock[#Data],MATCH($D22,Grid_Stock[Part Name],0),$P$7+10))</f>
        <v/>
      </c>
      <c r="S22" s="19">
        <f>MAX(0,$F22-INDEX(Grid_Stock[#Data],MATCH($D22,Grid_Stock[Part Name],0),$P$7+11))</f>
        <v/>
      </c>
      <c r="T22" s="19">
        <f>MAX(0,$F22-INDEX(Grid_Stock[#Data],MATCH($D22,Grid_Stock[Part Name],0),$P$7+12))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MAX(0,$F23-INDEX(Grid_Stock[#Data],MATCH($D23,Grid_Stock[Part Name],0),$P$7+0))</f>
        <v/>
      </c>
      <c r="I23" s="17">
        <f>MAX(0,$F23-INDEX(Grid_Stock[#Data],MATCH($D23,Grid_Stock[Part Name],0),$P$7+1))</f>
        <v/>
      </c>
      <c r="J23" s="17">
        <f>MAX(0,$F23-INDEX(Grid_Stock[#Data],MATCH($D23,Grid_Stock[Part Name],0),$P$7+2))</f>
        <v/>
      </c>
      <c r="K23" s="17">
        <f>MAX(0,$F23-INDEX(Grid_Stock[#Data],MATCH($D23,Grid_Stock[Part Name],0),$P$7+3))</f>
        <v/>
      </c>
      <c r="L23" s="17">
        <f>MAX(0,$F23-INDEX(Grid_Stock[#Data],MATCH($D23,Grid_Stock[Part Name],0),$P$7+4))</f>
        <v/>
      </c>
      <c r="M23" s="17">
        <f>MAX(0,$F23-INDEX(Grid_Stock[#Data],MATCH($D23,Grid_Stock[Part Name],0),$P$7+5))</f>
        <v/>
      </c>
      <c r="N23" s="17">
        <f>MAX(0,$F23-INDEX(Grid_Stock[#Data],MATCH($D23,Grid_Stock[Part Name],0),$P$7+6))</f>
        <v/>
      </c>
      <c r="O23" s="17">
        <f>MAX(0,$F23-INDEX(Grid_Stock[#Data],MATCH($D23,Grid_Stock[Part Name],0),$P$7+7))</f>
        <v/>
      </c>
      <c r="P23" s="17">
        <f>MAX(0,$F23-INDEX(Grid_Stock[#Data],MATCH($D23,Grid_Stock[Part Name],0),$P$7+8))</f>
        <v/>
      </c>
      <c r="Q23" s="17">
        <f>MAX(0,$F23-INDEX(Grid_Stock[#Data],MATCH($D23,Grid_Stock[Part Name],0),$P$7+9))</f>
        <v/>
      </c>
      <c r="R23" s="17">
        <f>MAX(0,$F23-INDEX(Grid_Stock[#Data],MATCH($D23,Grid_Stock[Part Name],0),$P$7+10))</f>
        <v/>
      </c>
      <c r="S23" s="17">
        <f>MAX(0,$F23-INDEX(Grid_Stock[#Data],MATCH($D23,Grid_Stock[Part Name],0),$P$7+11))</f>
        <v/>
      </c>
      <c r="T23" s="17">
        <f>MAX(0,$F23-INDEX(Grid_Stock[#Data],MATCH($D23,Grid_Stock[Part Name],0),$P$7+12))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MAX(0,$F24-INDEX(Grid_Stock[#Data],MATCH($D24,Grid_Stock[Part Name],0),$P$7+0))</f>
        <v/>
      </c>
      <c r="I24" s="19">
        <f>MAX(0,$F24-INDEX(Grid_Stock[#Data],MATCH($D24,Grid_Stock[Part Name],0),$P$7+1))</f>
        <v/>
      </c>
      <c r="J24" s="19">
        <f>MAX(0,$F24-INDEX(Grid_Stock[#Data],MATCH($D24,Grid_Stock[Part Name],0),$P$7+2))</f>
        <v/>
      </c>
      <c r="K24" s="19">
        <f>MAX(0,$F24-INDEX(Grid_Stock[#Data],MATCH($D24,Grid_Stock[Part Name],0),$P$7+3))</f>
        <v/>
      </c>
      <c r="L24" s="19">
        <f>MAX(0,$F24-INDEX(Grid_Stock[#Data],MATCH($D24,Grid_Stock[Part Name],0),$P$7+4))</f>
        <v/>
      </c>
      <c r="M24" s="19">
        <f>MAX(0,$F24-INDEX(Grid_Stock[#Data],MATCH($D24,Grid_Stock[Part Name],0),$P$7+5))</f>
        <v/>
      </c>
      <c r="N24" s="19">
        <f>MAX(0,$F24-INDEX(Grid_Stock[#Data],MATCH($D24,Grid_Stock[Part Name],0),$P$7+6))</f>
        <v/>
      </c>
      <c r="O24" s="19">
        <f>MAX(0,$F24-INDEX(Grid_Stock[#Data],MATCH($D24,Grid_Stock[Part Name],0),$P$7+7))</f>
        <v/>
      </c>
      <c r="P24" s="19">
        <f>MAX(0,$F24-INDEX(Grid_Stock[#Data],MATCH($D24,Grid_Stock[Part Name],0),$P$7+8))</f>
        <v/>
      </c>
      <c r="Q24" s="19">
        <f>MAX(0,$F24-INDEX(Grid_Stock[#Data],MATCH($D24,Grid_Stock[Part Name],0),$P$7+9))</f>
        <v/>
      </c>
      <c r="R24" s="19">
        <f>MAX(0,$F24-INDEX(Grid_Stock[#Data],MATCH($D24,Grid_Stock[Part Name],0),$P$7+10))</f>
        <v/>
      </c>
      <c r="S24" s="19">
        <f>MAX(0,$F24-INDEX(Grid_Stock[#Data],MATCH($D24,Grid_Stock[Part Name],0),$P$7+11))</f>
        <v/>
      </c>
      <c r="T24" s="19">
        <f>MAX(0,$F24-INDEX(Grid_Stock[#Data],MATCH($D24,Grid_Stock[Part Name],0),$P$7+12))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MAX(0,$F25-INDEX(Grid_Stock[#Data],MATCH($D25,Grid_Stock[Part Name],0),$P$7+0))</f>
        <v/>
      </c>
      <c r="I25" s="17">
        <f>MAX(0,$F25-INDEX(Grid_Stock[#Data],MATCH($D25,Grid_Stock[Part Name],0),$P$7+1))</f>
        <v/>
      </c>
      <c r="J25" s="17">
        <f>MAX(0,$F25-INDEX(Grid_Stock[#Data],MATCH($D25,Grid_Stock[Part Name],0),$P$7+2))</f>
        <v/>
      </c>
      <c r="K25" s="17">
        <f>MAX(0,$F25-INDEX(Grid_Stock[#Data],MATCH($D25,Grid_Stock[Part Name],0),$P$7+3))</f>
        <v/>
      </c>
      <c r="L25" s="17">
        <f>MAX(0,$F25-INDEX(Grid_Stock[#Data],MATCH($D25,Grid_Stock[Part Name],0),$P$7+4))</f>
        <v/>
      </c>
      <c r="M25" s="17">
        <f>MAX(0,$F25-INDEX(Grid_Stock[#Data],MATCH($D25,Grid_Stock[Part Name],0),$P$7+5))</f>
        <v/>
      </c>
      <c r="N25" s="17">
        <f>MAX(0,$F25-INDEX(Grid_Stock[#Data],MATCH($D25,Grid_Stock[Part Name],0),$P$7+6))</f>
        <v/>
      </c>
      <c r="O25" s="17">
        <f>MAX(0,$F25-INDEX(Grid_Stock[#Data],MATCH($D25,Grid_Stock[Part Name],0),$P$7+7))</f>
        <v/>
      </c>
      <c r="P25" s="17">
        <f>MAX(0,$F25-INDEX(Grid_Stock[#Data],MATCH($D25,Grid_Stock[Part Name],0),$P$7+8))</f>
        <v/>
      </c>
      <c r="Q25" s="17">
        <f>MAX(0,$F25-INDEX(Grid_Stock[#Data],MATCH($D25,Grid_Stock[Part Name],0),$P$7+9))</f>
        <v/>
      </c>
      <c r="R25" s="17">
        <f>MAX(0,$F25-INDEX(Grid_Stock[#Data],MATCH($D25,Grid_Stock[Part Name],0),$P$7+10))</f>
        <v/>
      </c>
      <c r="S25" s="17">
        <f>MAX(0,$F25-INDEX(Grid_Stock[#Data],MATCH($D25,Grid_Stock[Part Name],0),$P$7+11))</f>
        <v/>
      </c>
      <c r="T25" s="17">
        <f>MAX(0,$F25-INDEX(Grid_Stock[#Data],MATCH($D25,Grid_Stock[Part Name],0),$P$7+12))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MAX(0,$F26-INDEX(Grid_Stock[#Data],MATCH($D26,Grid_Stock[Part Name],0),$P$7+0))</f>
        <v/>
      </c>
      <c r="I26" s="19">
        <f>MAX(0,$F26-INDEX(Grid_Stock[#Data],MATCH($D26,Grid_Stock[Part Name],0),$P$7+1))</f>
        <v/>
      </c>
      <c r="J26" s="19">
        <f>MAX(0,$F26-INDEX(Grid_Stock[#Data],MATCH($D26,Grid_Stock[Part Name],0),$P$7+2))</f>
        <v/>
      </c>
      <c r="K26" s="19">
        <f>MAX(0,$F26-INDEX(Grid_Stock[#Data],MATCH($D26,Grid_Stock[Part Name],0),$P$7+3))</f>
        <v/>
      </c>
      <c r="L26" s="19">
        <f>MAX(0,$F26-INDEX(Grid_Stock[#Data],MATCH($D26,Grid_Stock[Part Name],0),$P$7+4))</f>
        <v/>
      </c>
      <c r="M26" s="19">
        <f>MAX(0,$F26-INDEX(Grid_Stock[#Data],MATCH($D26,Grid_Stock[Part Name],0),$P$7+5))</f>
        <v/>
      </c>
      <c r="N26" s="19">
        <f>MAX(0,$F26-INDEX(Grid_Stock[#Data],MATCH($D26,Grid_Stock[Part Name],0),$P$7+6))</f>
        <v/>
      </c>
      <c r="O26" s="19">
        <f>MAX(0,$F26-INDEX(Grid_Stock[#Data],MATCH($D26,Grid_Stock[Part Name],0),$P$7+7))</f>
        <v/>
      </c>
      <c r="P26" s="19">
        <f>MAX(0,$F26-INDEX(Grid_Stock[#Data],MATCH($D26,Grid_Stock[Part Name],0),$P$7+8))</f>
        <v/>
      </c>
      <c r="Q26" s="19">
        <f>MAX(0,$F26-INDEX(Grid_Stock[#Data],MATCH($D26,Grid_Stock[Part Name],0),$P$7+9))</f>
        <v/>
      </c>
      <c r="R26" s="19">
        <f>MAX(0,$F26-INDEX(Grid_Stock[#Data],MATCH($D26,Grid_Stock[Part Name],0),$P$7+10))</f>
        <v/>
      </c>
      <c r="S26" s="19">
        <f>MAX(0,$F26-INDEX(Grid_Stock[#Data],MATCH($D26,Grid_Stock[Part Name],0),$P$7+11))</f>
        <v/>
      </c>
      <c r="T26" s="19">
        <f>MAX(0,$F26-INDEX(Grid_Stock[#Data],MATCH($D26,Grid_Stock[Part Name],0),$P$7+12))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MAX(0,$F27-INDEX(Grid_Stock[#Data],MATCH($D27,Grid_Stock[Part Name],0),$P$7+0))</f>
        <v/>
      </c>
      <c r="I27" s="17">
        <f>MAX(0,$F27-INDEX(Grid_Stock[#Data],MATCH($D27,Grid_Stock[Part Name],0),$P$7+1))</f>
        <v/>
      </c>
      <c r="J27" s="17">
        <f>MAX(0,$F27-INDEX(Grid_Stock[#Data],MATCH($D27,Grid_Stock[Part Name],0),$P$7+2))</f>
        <v/>
      </c>
      <c r="K27" s="17">
        <f>MAX(0,$F27-INDEX(Grid_Stock[#Data],MATCH($D27,Grid_Stock[Part Name],0),$P$7+3))</f>
        <v/>
      </c>
      <c r="L27" s="17">
        <f>MAX(0,$F27-INDEX(Grid_Stock[#Data],MATCH($D27,Grid_Stock[Part Name],0),$P$7+4))</f>
        <v/>
      </c>
      <c r="M27" s="17">
        <f>MAX(0,$F27-INDEX(Grid_Stock[#Data],MATCH($D27,Grid_Stock[Part Name],0),$P$7+5))</f>
        <v/>
      </c>
      <c r="N27" s="17">
        <f>MAX(0,$F27-INDEX(Grid_Stock[#Data],MATCH($D27,Grid_Stock[Part Name],0),$P$7+6))</f>
        <v/>
      </c>
      <c r="O27" s="17">
        <f>MAX(0,$F27-INDEX(Grid_Stock[#Data],MATCH($D27,Grid_Stock[Part Name],0),$P$7+7))</f>
        <v/>
      </c>
      <c r="P27" s="17">
        <f>MAX(0,$F27-INDEX(Grid_Stock[#Data],MATCH($D27,Grid_Stock[Part Name],0),$P$7+8))</f>
        <v/>
      </c>
      <c r="Q27" s="17">
        <f>MAX(0,$F27-INDEX(Grid_Stock[#Data],MATCH($D27,Grid_Stock[Part Name],0),$P$7+9))</f>
        <v/>
      </c>
      <c r="R27" s="17">
        <f>MAX(0,$F27-INDEX(Grid_Stock[#Data],MATCH($D27,Grid_Stock[Part Name],0),$P$7+10))</f>
        <v/>
      </c>
      <c r="S27" s="17">
        <f>MAX(0,$F27-INDEX(Grid_Stock[#Data],MATCH($D27,Grid_Stock[Part Name],0),$P$7+11))</f>
        <v/>
      </c>
      <c r="T27" s="17">
        <f>MAX(0,$F27-INDEX(Grid_Stock[#Data],MATCH($D27,Grid_Stock[Part Name],0),$P$7+12))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MAX(0,$F28-INDEX(Grid_Stock[#Data],MATCH($D28,Grid_Stock[Part Name],0),$P$7+0))</f>
        <v/>
      </c>
      <c r="I28" s="19">
        <f>MAX(0,$F28-INDEX(Grid_Stock[#Data],MATCH($D28,Grid_Stock[Part Name],0),$P$7+1))</f>
        <v/>
      </c>
      <c r="J28" s="19">
        <f>MAX(0,$F28-INDEX(Grid_Stock[#Data],MATCH($D28,Grid_Stock[Part Name],0),$P$7+2))</f>
        <v/>
      </c>
      <c r="K28" s="19">
        <f>MAX(0,$F28-INDEX(Grid_Stock[#Data],MATCH($D28,Grid_Stock[Part Name],0),$P$7+3))</f>
        <v/>
      </c>
      <c r="L28" s="19">
        <f>MAX(0,$F28-INDEX(Grid_Stock[#Data],MATCH($D28,Grid_Stock[Part Name],0),$P$7+4))</f>
        <v/>
      </c>
      <c r="M28" s="19">
        <f>MAX(0,$F28-INDEX(Grid_Stock[#Data],MATCH($D28,Grid_Stock[Part Name],0),$P$7+5))</f>
        <v/>
      </c>
      <c r="N28" s="19">
        <f>MAX(0,$F28-INDEX(Grid_Stock[#Data],MATCH($D28,Grid_Stock[Part Name],0),$P$7+6))</f>
        <v/>
      </c>
      <c r="O28" s="19">
        <f>MAX(0,$F28-INDEX(Grid_Stock[#Data],MATCH($D28,Grid_Stock[Part Name],0),$P$7+7))</f>
        <v/>
      </c>
      <c r="P28" s="19">
        <f>MAX(0,$F28-INDEX(Grid_Stock[#Data],MATCH($D28,Grid_Stock[Part Name],0),$P$7+8))</f>
        <v/>
      </c>
      <c r="Q28" s="19">
        <f>MAX(0,$F28-INDEX(Grid_Stock[#Data],MATCH($D28,Grid_Stock[Part Name],0),$P$7+9))</f>
        <v/>
      </c>
      <c r="R28" s="19">
        <f>MAX(0,$F28-INDEX(Grid_Stock[#Data],MATCH($D28,Grid_Stock[Part Name],0),$P$7+10))</f>
        <v/>
      </c>
      <c r="S28" s="19">
        <f>MAX(0,$F28-INDEX(Grid_Stock[#Data],MATCH($D28,Grid_Stock[Part Name],0),$P$7+11))</f>
        <v/>
      </c>
      <c r="T28" s="19">
        <f>MAX(0,$F28-INDEX(Grid_Stock[#Data],MATCH($D28,Grid_Stock[Part Name],0),$P$7+12))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MAX(0,$F29-INDEX(Grid_Stock[#Data],MATCH($D29,Grid_Stock[Part Name],0),$P$7+0))</f>
        <v/>
      </c>
      <c r="I29" s="17">
        <f>MAX(0,$F29-INDEX(Grid_Stock[#Data],MATCH($D29,Grid_Stock[Part Name],0),$P$7+1))</f>
        <v/>
      </c>
      <c r="J29" s="17">
        <f>MAX(0,$F29-INDEX(Grid_Stock[#Data],MATCH($D29,Grid_Stock[Part Name],0),$P$7+2))</f>
        <v/>
      </c>
      <c r="K29" s="17">
        <f>MAX(0,$F29-INDEX(Grid_Stock[#Data],MATCH($D29,Grid_Stock[Part Name],0),$P$7+3))</f>
        <v/>
      </c>
      <c r="L29" s="17">
        <f>MAX(0,$F29-INDEX(Grid_Stock[#Data],MATCH($D29,Grid_Stock[Part Name],0),$P$7+4))</f>
        <v/>
      </c>
      <c r="M29" s="17">
        <f>MAX(0,$F29-INDEX(Grid_Stock[#Data],MATCH($D29,Grid_Stock[Part Name],0),$P$7+5))</f>
        <v/>
      </c>
      <c r="N29" s="17">
        <f>MAX(0,$F29-INDEX(Grid_Stock[#Data],MATCH($D29,Grid_Stock[Part Name],0),$P$7+6))</f>
        <v/>
      </c>
      <c r="O29" s="17">
        <f>MAX(0,$F29-INDEX(Grid_Stock[#Data],MATCH($D29,Grid_Stock[Part Name],0),$P$7+7))</f>
        <v/>
      </c>
      <c r="P29" s="17">
        <f>MAX(0,$F29-INDEX(Grid_Stock[#Data],MATCH($D29,Grid_Stock[Part Name],0),$P$7+8))</f>
        <v/>
      </c>
      <c r="Q29" s="17">
        <f>MAX(0,$F29-INDEX(Grid_Stock[#Data],MATCH($D29,Grid_Stock[Part Name],0),$P$7+9))</f>
        <v/>
      </c>
      <c r="R29" s="17">
        <f>MAX(0,$F29-INDEX(Grid_Stock[#Data],MATCH($D29,Grid_Stock[Part Name],0),$P$7+10))</f>
        <v/>
      </c>
      <c r="S29" s="17">
        <f>MAX(0,$F29-INDEX(Grid_Stock[#Data],MATCH($D29,Grid_Stock[Part Name],0),$P$7+11))</f>
        <v/>
      </c>
      <c r="T29" s="17">
        <f>MAX(0,$F29-INDEX(Grid_Stock[#Data],MATCH($D29,Grid_Stock[Part Name],0),$P$7+12))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MAX(0,$F30-INDEX(Grid_Stock[#Data],MATCH($D30,Grid_Stock[Part Name],0),$P$7+0))</f>
        <v/>
      </c>
      <c r="I30" s="19">
        <f>MAX(0,$F30-INDEX(Grid_Stock[#Data],MATCH($D30,Grid_Stock[Part Name],0),$P$7+1))</f>
        <v/>
      </c>
      <c r="J30" s="19">
        <f>MAX(0,$F30-INDEX(Grid_Stock[#Data],MATCH($D30,Grid_Stock[Part Name],0),$P$7+2))</f>
        <v/>
      </c>
      <c r="K30" s="19">
        <f>MAX(0,$F30-INDEX(Grid_Stock[#Data],MATCH($D30,Grid_Stock[Part Name],0),$P$7+3))</f>
        <v/>
      </c>
      <c r="L30" s="19">
        <f>MAX(0,$F30-INDEX(Grid_Stock[#Data],MATCH($D30,Grid_Stock[Part Name],0),$P$7+4))</f>
        <v/>
      </c>
      <c r="M30" s="19">
        <f>MAX(0,$F30-INDEX(Grid_Stock[#Data],MATCH($D30,Grid_Stock[Part Name],0),$P$7+5))</f>
        <v/>
      </c>
      <c r="N30" s="19">
        <f>MAX(0,$F30-INDEX(Grid_Stock[#Data],MATCH($D30,Grid_Stock[Part Name],0),$P$7+6))</f>
        <v/>
      </c>
      <c r="O30" s="19">
        <f>MAX(0,$F30-INDEX(Grid_Stock[#Data],MATCH($D30,Grid_Stock[Part Name],0),$P$7+7))</f>
        <v/>
      </c>
      <c r="P30" s="19">
        <f>MAX(0,$F30-INDEX(Grid_Stock[#Data],MATCH($D30,Grid_Stock[Part Name],0),$P$7+8))</f>
        <v/>
      </c>
      <c r="Q30" s="19">
        <f>MAX(0,$F30-INDEX(Grid_Stock[#Data],MATCH($D30,Grid_Stock[Part Name],0),$P$7+9))</f>
        <v/>
      </c>
      <c r="R30" s="19">
        <f>MAX(0,$F30-INDEX(Grid_Stock[#Data],MATCH($D30,Grid_Stock[Part Name],0),$P$7+10))</f>
        <v/>
      </c>
      <c r="S30" s="19">
        <f>MAX(0,$F30-INDEX(Grid_Stock[#Data],MATCH($D30,Grid_Stock[Part Name],0),$P$7+11))</f>
        <v/>
      </c>
      <c r="T30" s="19">
        <f>MAX(0,$F30-INDEX(Grid_Stock[#Data],MATCH($D30,Grid_Stock[Part Name],0),$P$7+12))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MAX(0,$F31-INDEX(Grid_Stock[#Data],MATCH($D31,Grid_Stock[Part Name],0),$P$7+0))</f>
        <v/>
      </c>
      <c r="I31" s="17">
        <f>MAX(0,$F31-INDEX(Grid_Stock[#Data],MATCH($D31,Grid_Stock[Part Name],0),$P$7+1))</f>
        <v/>
      </c>
      <c r="J31" s="17">
        <f>MAX(0,$F31-INDEX(Grid_Stock[#Data],MATCH($D31,Grid_Stock[Part Name],0),$P$7+2))</f>
        <v/>
      </c>
      <c r="K31" s="17">
        <f>MAX(0,$F31-INDEX(Grid_Stock[#Data],MATCH($D31,Grid_Stock[Part Name],0),$P$7+3))</f>
        <v/>
      </c>
      <c r="L31" s="17">
        <f>MAX(0,$F31-INDEX(Grid_Stock[#Data],MATCH($D31,Grid_Stock[Part Name],0),$P$7+4))</f>
        <v/>
      </c>
      <c r="M31" s="17">
        <f>MAX(0,$F31-INDEX(Grid_Stock[#Data],MATCH($D31,Grid_Stock[Part Name],0),$P$7+5))</f>
        <v/>
      </c>
      <c r="N31" s="17">
        <f>MAX(0,$F31-INDEX(Grid_Stock[#Data],MATCH($D31,Grid_Stock[Part Name],0),$P$7+6))</f>
        <v/>
      </c>
      <c r="O31" s="17">
        <f>MAX(0,$F31-INDEX(Grid_Stock[#Data],MATCH($D31,Grid_Stock[Part Name],0),$P$7+7))</f>
        <v/>
      </c>
      <c r="P31" s="17">
        <f>MAX(0,$F31-INDEX(Grid_Stock[#Data],MATCH($D31,Grid_Stock[Part Name],0),$P$7+8))</f>
        <v/>
      </c>
      <c r="Q31" s="17">
        <f>MAX(0,$F31-INDEX(Grid_Stock[#Data],MATCH($D31,Grid_Stock[Part Name],0),$P$7+9))</f>
        <v/>
      </c>
      <c r="R31" s="17">
        <f>MAX(0,$F31-INDEX(Grid_Stock[#Data],MATCH($D31,Grid_Stock[Part Name],0),$P$7+10))</f>
        <v/>
      </c>
      <c r="S31" s="17">
        <f>MAX(0,$F31-INDEX(Grid_Stock[#Data],MATCH($D31,Grid_Stock[Part Name],0),$P$7+11))</f>
        <v/>
      </c>
      <c r="T31" s="17">
        <f>MAX(0,$F31-INDEX(Grid_Stock[#Data],MATCH($D31,Grid_Stock[Part Name],0),$P$7+12))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MAX(0,$F32-INDEX(Grid_Stock[#Data],MATCH($D32,Grid_Stock[Part Name],0),$P$7+0))</f>
        <v/>
      </c>
      <c r="I32" s="19">
        <f>MAX(0,$F32-INDEX(Grid_Stock[#Data],MATCH($D32,Grid_Stock[Part Name],0),$P$7+1))</f>
        <v/>
      </c>
      <c r="J32" s="19">
        <f>MAX(0,$F32-INDEX(Grid_Stock[#Data],MATCH($D32,Grid_Stock[Part Name],0),$P$7+2))</f>
        <v/>
      </c>
      <c r="K32" s="19">
        <f>MAX(0,$F32-INDEX(Grid_Stock[#Data],MATCH($D32,Grid_Stock[Part Name],0),$P$7+3))</f>
        <v/>
      </c>
      <c r="L32" s="19">
        <f>MAX(0,$F32-INDEX(Grid_Stock[#Data],MATCH($D32,Grid_Stock[Part Name],0),$P$7+4))</f>
        <v/>
      </c>
      <c r="M32" s="19">
        <f>MAX(0,$F32-INDEX(Grid_Stock[#Data],MATCH($D32,Grid_Stock[Part Name],0),$P$7+5))</f>
        <v/>
      </c>
      <c r="N32" s="19">
        <f>MAX(0,$F32-INDEX(Grid_Stock[#Data],MATCH($D32,Grid_Stock[Part Name],0),$P$7+6))</f>
        <v/>
      </c>
      <c r="O32" s="19">
        <f>MAX(0,$F32-INDEX(Grid_Stock[#Data],MATCH($D32,Grid_Stock[Part Name],0),$P$7+7))</f>
        <v/>
      </c>
      <c r="P32" s="19">
        <f>MAX(0,$F32-INDEX(Grid_Stock[#Data],MATCH($D32,Grid_Stock[Part Name],0),$P$7+8))</f>
        <v/>
      </c>
      <c r="Q32" s="19">
        <f>MAX(0,$F32-INDEX(Grid_Stock[#Data],MATCH($D32,Grid_Stock[Part Name],0),$P$7+9))</f>
        <v/>
      </c>
      <c r="R32" s="19">
        <f>MAX(0,$F32-INDEX(Grid_Stock[#Data],MATCH($D32,Grid_Stock[Part Name],0),$P$7+10))</f>
        <v/>
      </c>
      <c r="S32" s="19">
        <f>MAX(0,$F32-INDEX(Grid_Stock[#Data],MATCH($D32,Grid_Stock[Part Name],0),$P$7+11))</f>
        <v/>
      </c>
      <c r="T32" s="19">
        <f>MAX(0,$F32-INDEX(Grid_Stock[#Data],MATCH($D32,Grid_Stock[Part Name],0),$P$7+12))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MAX(0,$F33-INDEX(Grid_Stock[#Data],MATCH($D33,Grid_Stock[Part Name],0),$P$7+0))</f>
        <v/>
      </c>
      <c r="I33" s="17">
        <f>MAX(0,$F33-INDEX(Grid_Stock[#Data],MATCH($D33,Grid_Stock[Part Name],0),$P$7+1))</f>
        <v/>
      </c>
      <c r="J33" s="17">
        <f>MAX(0,$F33-INDEX(Grid_Stock[#Data],MATCH($D33,Grid_Stock[Part Name],0),$P$7+2))</f>
        <v/>
      </c>
      <c r="K33" s="17">
        <f>MAX(0,$F33-INDEX(Grid_Stock[#Data],MATCH($D33,Grid_Stock[Part Name],0),$P$7+3))</f>
        <v/>
      </c>
      <c r="L33" s="17">
        <f>MAX(0,$F33-INDEX(Grid_Stock[#Data],MATCH($D33,Grid_Stock[Part Name],0),$P$7+4))</f>
        <v/>
      </c>
      <c r="M33" s="17">
        <f>MAX(0,$F33-INDEX(Grid_Stock[#Data],MATCH($D33,Grid_Stock[Part Name],0),$P$7+5))</f>
        <v/>
      </c>
      <c r="N33" s="17">
        <f>MAX(0,$F33-INDEX(Grid_Stock[#Data],MATCH($D33,Grid_Stock[Part Name],0),$P$7+6))</f>
        <v/>
      </c>
      <c r="O33" s="17">
        <f>MAX(0,$F33-INDEX(Grid_Stock[#Data],MATCH($D33,Grid_Stock[Part Name],0),$P$7+7))</f>
        <v/>
      </c>
      <c r="P33" s="17">
        <f>MAX(0,$F33-INDEX(Grid_Stock[#Data],MATCH($D33,Grid_Stock[Part Name],0),$P$7+8))</f>
        <v/>
      </c>
      <c r="Q33" s="17">
        <f>MAX(0,$F33-INDEX(Grid_Stock[#Data],MATCH($D33,Grid_Stock[Part Name],0),$P$7+9))</f>
        <v/>
      </c>
      <c r="R33" s="17">
        <f>MAX(0,$F33-INDEX(Grid_Stock[#Data],MATCH($D33,Grid_Stock[Part Name],0),$P$7+10))</f>
        <v/>
      </c>
      <c r="S33" s="17">
        <f>MAX(0,$F33-INDEX(Grid_Stock[#Data],MATCH($D33,Grid_Stock[Part Name],0),$P$7+11))</f>
        <v/>
      </c>
      <c r="T33" s="17">
        <f>MAX(0,$F33-INDEX(Grid_Stock[#Data],MATCH($D33,Grid_Stock[Part Name],0),$P$7+12))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MAX(0,$F34-INDEX(Grid_Stock[#Data],MATCH($D34,Grid_Stock[Part Name],0),$P$7+0))</f>
        <v/>
      </c>
      <c r="I34" s="19">
        <f>MAX(0,$F34-INDEX(Grid_Stock[#Data],MATCH($D34,Grid_Stock[Part Name],0),$P$7+1))</f>
        <v/>
      </c>
      <c r="J34" s="19">
        <f>MAX(0,$F34-INDEX(Grid_Stock[#Data],MATCH($D34,Grid_Stock[Part Name],0),$P$7+2))</f>
        <v/>
      </c>
      <c r="K34" s="19">
        <f>MAX(0,$F34-INDEX(Grid_Stock[#Data],MATCH($D34,Grid_Stock[Part Name],0),$P$7+3))</f>
        <v/>
      </c>
      <c r="L34" s="19">
        <f>MAX(0,$F34-INDEX(Grid_Stock[#Data],MATCH($D34,Grid_Stock[Part Name],0),$P$7+4))</f>
        <v/>
      </c>
      <c r="M34" s="19">
        <f>MAX(0,$F34-INDEX(Grid_Stock[#Data],MATCH($D34,Grid_Stock[Part Name],0),$P$7+5))</f>
        <v/>
      </c>
      <c r="N34" s="19">
        <f>MAX(0,$F34-INDEX(Grid_Stock[#Data],MATCH($D34,Grid_Stock[Part Name],0),$P$7+6))</f>
        <v/>
      </c>
      <c r="O34" s="19">
        <f>MAX(0,$F34-INDEX(Grid_Stock[#Data],MATCH($D34,Grid_Stock[Part Name],0),$P$7+7))</f>
        <v/>
      </c>
      <c r="P34" s="19">
        <f>MAX(0,$F34-INDEX(Grid_Stock[#Data],MATCH($D34,Grid_Stock[Part Name],0),$P$7+8))</f>
        <v/>
      </c>
      <c r="Q34" s="19">
        <f>MAX(0,$F34-INDEX(Grid_Stock[#Data],MATCH($D34,Grid_Stock[Part Name],0),$P$7+9))</f>
        <v/>
      </c>
      <c r="R34" s="19">
        <f>MAX(0,$F34-INDEX(Grid_Stock[#Data],MATCH($D34,Grid_Stock[Part Name],0),$P$7+10))</f>
        <v/>
      </c>
      <c r="S34" s="19">
        <f>MAX(0,$F34-INDEX(Grid_Stock[#Data],MATCH($D34,Grid_Stock[Part Name],0),$P$7+11))</f>
        <v/>
      </c>
      <c r="T34" s="19">
        <f>MAX(0,$F34-INDEX(Grid_Stock[#Data],MATCH($D34,Grid_Stock[Part Name],0),$P$7+12))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</row>
    <row r="2">
      <c r="A2" t="inlineStr">
        <is>
          <t>1EK</t>
        </is>
      </c>
      <c r="B2" t="inlineStr">
        <is>
          <t>PO065838</t>
        </is>
      </c>
      <c r="C2" s="27" t="n"/>
      <c r="D2" t="n">
        <v>9120</v>
      </c>
      <c r="E2" s="24" t="n">
        <v>45938</v>
      </c>
      <c r="G2" t="inlineStr">
        <is>
          <t>TTAF Stock</t>
        </is>
      </c>
      <c r="H2">
        <f>IFERROR(MAX(1,MIN(104,INT((IF(F2="",E2,F2)-(DATE(Cal_Weeks!$B$1,1,1)-WEEKDAY(DATE(Cal_Weeks!$B$1,1,1),3)))/7)+1)),"")</f>
        <v/>
      </c>
      <c r="I2" s="28" t="n"/>
    </row>
    <row r="3">
      <c r="A3" t="inlineStr">
        <is>
          <t>OJN</t>
        </is>
      </c>
      <c r="B3" t="inlineStr">
        <is>
          <t>PO066017</t>
        </is>
      </c>
      <c r="C3" s="27" t="n"/>
      <c r="D3" t="n">
        <v>10913</v>
      </c>
      <c r="E3" s="24" t="n">
        <v>45972</v>
      </c>
      <c r="G3" t="inlineStr">
        <is>
          <t>TTAF Stock</t>
        </is>
      </c>
      <c r="H3">
        <f>IFERROR(MAX(1,MIN(104,INT((IF(F3="",E3,F3)-(DATE(Cal_Weeks!$B$1,1,1)-WEEKDAY(DATE(Cal_Weeks!$B$1,1,1),3)))/7)+1)),"")</f>
        <v/>
      </c>
      <c r="I3" s="28" t="n"/>
    </row>
    <row r="4">
      <c r="A4" t="inlineStr">
        <is>
          <t>4HL</t>
        </is>
      </c>
      <c r="B4" t="inlineStr">
        <is>
          <t>PO066191</t>
        </is>
      </c>
      <c r="C4" s="27" t="n"/>
      <c r="D4" t="n">
        <v>960</v>
      </c>
      <c r="E4" s="24" t="n">
        <v>46007</v>
      </c>
      <c r="F4" s="24" t="n">
        <v>46028</v>
      </c>
      <c r="G4" t="inlineStr">
        <is>
          <t>TTAF Stock</t>
        </is>
      </c>
      <c r="H4">
        <f>IFERROR(MAX(1,MIN(104,INT((IF(F4="",E4,F4)-(DATE(Cal_Weeks!$B$1,1,1)-WEEKDAY(DATE(Cal_Weeks!$B$1,1,1),3)))/7)+1)),"")</f>
        <v/>
      </c>
      <c r="I4" s="28" t="n"/>
    </row>
    <row r="5">
      <c r="A5" t="inlineStr">
        <is>
          <t>4HL</t>
        </is>
      </c>
      <c r="B5" t="inlineStr">
        <is>
          <t>PO066191</t>
        </is>
      </c>
      <c r="C5" s="27" t="n"/>
      <c r="D5" t="n">
        <v>9600</v>
      </c>
      <c r="E5" s="24" t="n">
        <v>46008</v>
      </c>
      <c r="F5" s="24" t="n">
        <v>46022</v>
      </c>
      <c r="G5" t="inlineStr">
        <is>
          <t>TTAF Stock</t>
        </is>
      </c>
      <c r="H5">
        <f>IFERROR(MAX(1,MIN(104,INT((IF(F5="",E5,F5)-(DATE(Cal_Weeks!$B$1,1,1)-WEEKDAY(DATE(Cal_Weeks!$B$1,1,1),3)))/7)+1)),"")</f>
        <v/>
      </c>
      <c r="I5" s="28" t="n"/>
    </row>
    <row r="6">
      <c r="A6" t="inlineStr">
        <is>
          <t>4HL</t>
        </is>
      </c>
      <c r="B6" t="inlineStr">
        <is>
          <t>PO066191</t>
        </is>
      </c>
      <c r="C6" s="27" t="n"/>
      <c r="D6" t="n">
        <v>9600</v>
      </c>
      <c r="E6" s="24" t="n">
        <v>46007</v>
      </c>
      <c r="F6" s="24" t="n">
        <v>46028</v>
      </c>
      <c r="G6" t="inlineStr">
        <is>
          <t>TTAF Stock</t>
        </is>
      </c>
      <c r="H6">
        <f>IFERROR(MAX(1,MIN(104,INT((IF(F6="",E6,F6)-(DATE(Cal_Weeks!$B$1,1,1)-WEEKDAY(DATE(Cal_Weeks!$B$1,1,1),3)))/7)+1)),"")</f>
        <v/>
      </c>
      <c r="I6" s="28" t="n"/>
    </row>
    <row r="7">
      <c r="A7" t="inlineStr">
        <is>
          <t>4HL</t>
        </is>
      </c>
      <c r="B7" t="inlineStr">
        <is>
          <t>PO066191</t>
        </is>
      </c>
      <c r="C7" s="27" t="n"/>
      <c r="D7" t="n">
        <v>9120</v>
      </c>
      <c r="E7" s="24" t="n">
        <v>46012</v>
      </c>
      <c r="F7" s="24" t="n">
        <v>46022</v>
      </c>
      <c r="G7" t="inlineStr">
        <is>
          <t>TTAF Stock</t>
        </is>
      </c>
      <c r="H7">
        <f>IFERROR(MAX(1,MIN(104,INT((IF(F7="",E7,F7)-(DATE(Cal_Weeks!$B$1,1,1)-WEEKDAY(DATE(Cal_Weeks!$B$1,1,1),3)))/7)+1)),"")</f>
        <v/>
      </c>
      <c r="I7" s="28" t="n"/>
    </row>
    <row r="8">
      <c r="A8" t="inlineStr">
        <is>
          <t>1EK</t>
        </is>
      </c>
      <c r="B8" t="inlineStr">
        <is>
          <t>PO066191</t>
        </is>
      </c>
      <c r="C8" s="27" t="n"/>
      <c r="D8" t="n">
        <v>8160</v>
      </c>
      <c r="E8" s="24" t="n">
        <v>46007</v>
      </c>
      <c r="F8" s="24" t="n">
        <v>46028</v>
      </c>
      <c r="G8" t="inlineStr">
        <is>
          <t>TTAF Stock</t>
        </is>
      </c>
      <c r="H8">
        <f>IFERROR(MAX(1,MIN(104,INT((IF(F8="",E8,F8)-(DATE(Cal_Weeks!$B$1,1,1)-WEEKDAY(DATE(Cal_Weeks!$B$1,1,1),3)))/7)+1)),"")</f>
        <v/>
      </c>
      <c r="I8" s="28" t="n"/>
    </row>
    <row r="9">
      <c r="A9" t="inlineStr">
        <is>
          <t>CHEM-1250</t>
        </is>
      </c>
      <c r="B9" t="inlineStr">
        <is>
          <t>PO066524</t>
        </is>
      </c>
      <c r="C9" s="27" t="n"/>
      <c r="D9" t="n">
        <v>75</v>
      </c>
      <c r="E9" s="24" t="n">
        <v>46006</v>
      </c>
      <c r="F9" s="24" t="n">
        <v>46014</v>
      </c>
      <c r="G9" t="inlineStr">
        <is>
          <t>TTAF Stock</t>
        </is>
      </c>
      <c r="H9">
        <f>IFERROR(MAX(1,MIN(104,INT((IF(F9="",E9,F9)-(DATE(Cal_Weeks!$B$1,1,1)-WEEKDAY(DATE(Cal_Weeks!$B$1,1,1),3)))/7)+1)),"")</f>
        <v/>
      </c>
      <c r="I9" s="28" t="n"/>
    </row>
    <row r="10">
      <c r="A10" t="inlineStr">
        <is>
          <t>CHEM-1400</t>
        </is>
      </c>
      <c r="B10" t="inlineStr">
        <is>
          <t>PO066524</t>
        </is>
      </c>
      <c r="C10" s="27" t="n"/>
      <c r="D10" t="n">
        <v>400</v>
      </c>
      <c r="E10" s="24" t="n">
        <v>46006</v>
      </c>
      <c r="F10" s="24" t="n">
        <v>46014</v>
      </c>
      <c r="G10" t="inlineStr">
        <is>
          <t>TTAF Stock</t>
        </is>
      </c>
      <c r="H10">
        <f>IFERROR(MAX(1,MIN(104,INT((IF(F10="",E10,F10)-(DATE(Cal_Weeks!$B$1,1,1)-WEEKDAY(DATE(Cal_Weeks!$B$1,1,1),3)))/7)+1)),"")</f>
        <v/>
      </c>
      <c r="I10" s="28" t="n"/>
    </row>
    <row r="11">
      <c r="A11" t="inlineStr">
        <is>
          <t>CHEM-1570</t>
        </is>
      </c>
      <c r="B11" t="inlineStr">
        <is>
          <t>PO066524</t>
        </is>
      </c>
      <c r="C11" s="27" t="n"/>
      <c r="D11" t="n">
        <v>18</v>
      </c>
      <c r="E11" s="24" t="n">
        <v>46006</v>
      </c>
      <c r="F11" s="24" t="n">
        <v>46014</v>
      </c>
      <c r="G11" t="inlineStr">
        <is>
          <t>TTAF Stock</t>
        </is>
      </c>
      <c r="H11">
        <f>IFERROR(MAX(1,MIN(104,INT((IF(F11="",E11,F11)-(DATE(Cal_Weeks!$B$1,1,1)-WEEKDAY(DATE(Cal_Weeks!$B$1,1,1),3)))/7)+1)),"")</f>
        <v/>
      </c>
      <c r="I11" s="28" t="n"/>
    </row>
    <row r="12">
      <c r="A12" t="inlineStr">
        <is>
          <t>CHEM-1670</t>
        </is>
      </c>
      <c r="B12" t="inlineStr">
        <is>
          <t>PO066524</t>
        </is>
      </c>
      <c r="C12" s="27" t="n"/>
      <c r="D12" t="n">
        <v>360</v>
      </c>
      <c r="E12" s="24" t="n">
        <v>46006</v>
      </c>
      <c r="F12" s="24" t="n">
        <v>46014</v>
      </c>
      <c r="G12" t="inlineStr">
        <is>
          <t>TTAF Stock</t>
        </is>
      </c>
      <c r="H12">
        <f>IFERROR(MAX(1,MIN(104,INT((IF(F12="",E12,F12)-(DATE(Cal_Weeks!$B$1,1,1)-WEEKDAY(DATE(Cal_Weeks!$B$1,1,1),3)))/7)+1)),"")</f>
        <v/>
      </c>
      <c r="I12" s="28" t="n"/>
    </row>
    <row r="13">
      <c r="A13" t="inlineStr">
        <is>
          <t>CHEM-1700</t>
        </is>
      </c>
      <c r="B13" t="inlineStr">
        <is>
          <t>PO066524</t>
        </is>
      </c>
      <c r="C13" s="27" t="n"/>
      <c r="D13" t="n">
        <v>60</v>
      </c>
      <c r="E13" s="24" t="n">
        <v>46006</v>
      </c>
      <c r="F13" s="24" t="n">
        <v>46014</v>
      </c>
      <c r="G13" t="inlineStr">
        <is>
          <t>TTAF Stock</t>
        </is>
      </c>
      <c r="H13">
        <f>IFERROR(MAX(1,MIN(104,INT((IF(F13="",E13,F13)-(DATE(Cal_Weeks!$B$1,1,1)-WEEKDAY(DATE(Cal_Weeks!$B$1,1,1),3)))/7)+1)),"")</f>
        <v/>
      </c>
      <c r="I13" s="28" t="n"/>
    </row>
    <row r="14">
      <c r="A14" t="inlineStr">
        <is>
          <t>CHEM-1660</t>
        </is>
      </c>
      <c r="B14" t="inlineStr">
        <is>
          <t>PO066513</t>
        </is>
      </c>
      <c r="C14" s="27" t="n"/>
      <c r="D14" t="n">
        <v>135</v>
      </c>
      <c r="E14" s="24" t="n">
        <v>46006</v>
      </c>
      <c r="F14" s="24" t="n">
        <v>46010</v>
      </c>
      <c r="G14" t="inlineStr">
        <is>
          <t>TTAF Stock</t>
        </is>
      </c>
      <c r="H14">
        <f>IFERROR(MAX(1,MIN(104,INT((IF(F14="",E14,F14)-(DATE(Cal_Weeks!$B$1,1,1)-WEEKDAY(DATE(Cal_Weeks!$B$1,1,1),3)))/7)+1)),"")</f>
        <v/>
      </c>
      <c r="I14" s="28" t="n"/>
    </row>
    <row r="15">
      <c r="A15" t="inlineStr">
        <is>
          <t>CHEM-1420</t>
        </is>
      </c>
      <c r="B15" t="inlineStr">
        <is>
          <t>PO066524</t>
        </is>
      </c>
      <c r="C15" s="27" t="n"/>
      <c r="D15" t="n">
        <v>240</v>
      </c>
      <c r="E15" s="24" t="n">
        <v>46006</v>
      </c>
      <c r="F15" s="24" t="n">
        <v>46014</v>
      </c>
      <c r="G15" t="inlineStr">
        <is>
          <t>TTAF Stock</t>
        </is>
      </c>
      <c r="H15">
        <f>IFERROR(MAX(1,MIN(104,INT((IF(F15="",E15,F15)-(DATE(Cal_Weeks!$B$1,1,1)-WEEKDAY(DATE(Cal_Weeks!$B$1,1,1),3)))/7)+1)),"")</f>
        <v/>
      </c>
      <c r="I15" s="28" t="n"/>
    </row>
    <row r="16">
      <c r="A16" t="inlineStr">
        <is>
          <t>CHEM-1530</t>
        </is>
      </c>
      <c r="B16" t="inlineStr">
        <is>
          <t>PO066524</t>
        </is>
      </c>
      <c r="C16" s="27" t="n"/>
      <c r="D16" t="n">
        <v>2100</v>
      </c>
      <c r="E16" s="24" t="n">
        <v>46006</v>
      </c>
      <c r="F16" s="24" t="n">
        <v>46014</v>
      </c>
      <c r="G16" t="inlineStr">
        <is>
          <t>TTAF Stock</t>
        </is>
      </c>
      <c r="H16">
        <f>IFERROR(MAX(1,MIN(104,INT((IF(F16="",E16,F16)-(DATE(Cal_Weeks!$B$1,1,1)-WEEKDAY(DATE(Cal_Weeks!$B$1,1,1),3)))/7)+1)),"")</f>
        <v/>
      </c>
      <c r="I16" s="28" t="n"/>
    </row>
    <row r="17">
      <c r="A17" t="inlineStr">
        <is>
          <t>CHEM-1600</t>
        </is>
      </c>
      <c r="B17" t="inlineStr">
        <is>
          <t>PO066524</t>
        </is>
      </c>
      <c r="C17" s="27" t="n"/>
      <c r="D17" t="n">
        <v>425</v>
      </c>
      <c r="E17" s="24" t="n">
        <v>46006</v>
      </c>
      <c r="F17" s="24" t="n">
        <v>46014</v>
      </c>
      <c r="G17" t="inlineStr">
        <is>
          <t>TTAF Stock</t>
        </is>
      </c>
      <c r="H17">
        <f>IFERROR(MAX(1,MIN(104,INT((IF(F17="",E17,F17)-(DATE(Cal_Weeks!$B$1,1,1)-WEEKDAY(DATE(Cal_Weeks!$B$1,1,1),3)))/7)+1)),"")</f>
        <v/>
      </c>
      <c r="I17" s="28" t="n"/>
    </row>
    <row r="18">
      <c r="A18" t="inlineStr">
        <is>
          <t>CHEM-1540</t>
        </is>
      </c>
      <c r="B18" t="inlineStr">
        <is>
          <t>PO066524</t>
        </is>
      </c>
      <c r="C18" s="27" t="n"/>
      <c r="D18" t="n">
        <v>2500</v>
      </c>
      <c r="E18" s="24" t="n">
        <v>46006</v>
      </c>
      <c r="F18" s="24" t="n">
        <v>46014</v>
      </c>
      <c r="G18" t="inlineStr">
        <is>
          <t>TTAF Stock</t>
        </is>
      </c>
      <c r="H18">
        <f>IFERROR(MAX(1,MIN(104,INT((IF(F18="",E18,F18)-(DATE(Cal_Weeks!$B$1,1,1)-WEEKDAY(DATE(Cal_Weeks!$B$1,1,1),3)))/7)+1)),"")</f>
        <v/>
      </c>
      <c r="I18" s="28" t="n"/>
    </row>
    <row r="19">
      <c r="A19" t="inlineStr">
        <is>
          <t>CHEM-1720</t>
        </is>
      </c>
      <c r="B19" t="inlineStr">
        <is>
          <t>PO066524</t>
        </is>
      </c>
      <c r="C19" s="27" t="n"/>
      <c r="D19" t="n">
        <v>1200</v>
      </c>
      <c r="E19" s="24" t="n">
        <v>46006</v>
      </c>
      <c r="F19" s="24" t="n">
        <v>46014</v>
      </c>
      <c r="G19" t="inlineStr">
        <is>
          <t>TTAF Stock</t>
        </is>
      </c>
      <c r="H19">
        <f>IFERROR(MAX(1,MIN(104,INT((IF(F19="",E19,F19)-(DATE(Cal_Weeks!$B$1,1,1)-WEEKDAY(DATE(Cal_Weeks!$B$1,1,1),3)))/7)+1)),"")</f>
        <v/>
      </c>
      <c r="I19" s="28" t="n"/>
    </row>
    <row r="20">
      <c r="A20" t="inlineStr">
        <is>
          <t>CHEM-1280</t>
        </is>
      </c>
      <c r="B20" t="inlineStr">
        <is>
          <t>PO066513</t>
        </is>
      </c>
      <c r="C20" s="27" t="n"/>
      <c r="D20" t="n">
        <v>1000</v>
      </c>
      <c r="E20" s="24" t="n">
        <v>46006</v>
      </c>
      <c r="F20" s="24" t="n">
        <v>46010</v>
      </c>
      <c r="G20" t="inlineStr">
        <is>
          <t>TTAF Stock</t>
        </is>
      </c>
      <c r="H20">
        <f>IFERROR(MAX(1,MIN(104,INT((IF(F20="",E20,F20)-(DATE(Cal_Weeks!$B$1,1,1)-WEEKDAY(DATE(Cal_Weeks!$B$1,1,1),3)))/7)+1)),"")</f>
        <v/>
      </c>
      <c r="I20" s="28" t="n"/>
    </row>
    <row r="21">
      <c r="A21" t="inlineStr">
        <is>
          <t>CHEM-1440</t>
        </is>
      </c>
      <c r="B21" t="inlineStr">
        <is>
          <t>PO066524</t>
        </is>
      </c>
      <c r="C21" s="27" t="n"/>
      <c r="D21" t="n">
        <v>150</v>
      </c>
      <c r="E21" s="24" t="n">
        <v>46006</v>
      </c>
      <c r="F21" s="24" t="n">
        <v>46014</v>
      </c>
      <c r="G21" t="inlineStr">
        <is>
          <t>TTAF Stock</t>
        </is>
      </c>
      <c r="H21">
        <f>IFERROR(MAX(1,MIN(104,INT((IF(F21="",E21,F21)-(DATE(Cal_Weeks!$B$1,1,1)-WEEKDAY(DATE(Cal_Weeks!$B$1,1,1),3)))/7)+1)),"")</f>
        <v/>
      </c>
      <c r="I21" s="28" t="n"/>
    </row>
    <row r="22">
      <c r="A22" t="inlineStr">
        <is>
          <t>CHEM-1240</t>
        </is>
      </c>
      <c r="B22" t="inlineStr">
        <is>
          <t>PO066524</t>
        </is>
      </c>
      <c r="C22" s="27" t="n"/>
      <c r="D22" t="n">
        <v>440</v>
      </c>
      <c r="E22" s="24" t="n">
        <v>46006</v>
      </c>
      <c r="F22" s="24" t="n">
        <v>46014</v>
      </c>
      <c r="G22" t="inlineStr">
        <is>
          <t>TTAF Stock</t>
        </is>
      </c>
      <c r="H22">
        <f>IFERROR(MAX(1,MIN(104,INT((IF(F22="",E22,F22)-(DATE(Cal_Weeks!$B$1,1,1)-WEEKDAY(DATE(Cal_Weeks!$B$1,1,1),3)))/7)+1)),"")</f>
        <v/>
      </c>
      <c r="I22" s="28" t="n"/>
    </row>
    <row r="23">
      <c r="A23" t="inlineStr">
        <is>
          <t>4HL</t>
        </is>
      </c>
      <c r="B23" t="inlineStr">
        <is>
          <t>PO066428</t>
        </is>
      </c>
      <c r="C23" s="27" t="n"/>
      <c r="D23" t="n">
        <v>2400</v>
      </c>
      <c r="E23" s="24" t="n">
        <v>46035</v>
      </c>
      <c r="F23" s="24" t="n">
        <v>46043</v>
      </c>
      <c r="G23" t="inlineStr">
        <is>
          <t>TTAF Stock</t>
        </is>
      </c>
      <c r="H23">
        <f>IFERROR(MAX(1,MIN(104,INT((IF(F23="",E23,F23)-(DATE(Cal_Weeks!$B$1,1,1)-WEEKDAY(DATE(Cal_Weeks!$B$1,1,1),3)))/7)+1)),"")</f>
        <v/>
      </c>
      <c r="I23" s="28" t="n"/>
    </row>
    <row r="24">
      <c r="A24" t="inlineStr">
        <is>
          <t>4HL</t>
        </is>
      </c>
      <c r="B24" t="inlineStr">
        <is>
          <t>PO066428</t>
        </is>
      </c>
      <c r="C24" s="27" t="n"/>
      <c r="D24" t="n">
        <v>9120</v>
      </c>
      <c r="E24" s="24" t="n">
        <v>46019</v>
      </c>
      <c r="F24" s="24" t="n">
        <v>46030</v>
      </c>
      <c r="G24" t="inlineStr">
        <is>
          <t>TTAF Stock</t>
        </is>
      </c>
      <c r="H24">
        <f>IFERROR(MAX(1,MIN(104,INT((IF(F24="",E24,F24)-(DATE(Cal_Weeks!$B$1,1,1)-WEEKDAY(DATE(Cal_Weeks!$B$1,1,1),3)))/7)+1)),"")</f>
        <v/>
      </c>
      <c r="I24" s="28" t="n"/>
    </row>
    <row r="25">
      <c r="A25" t="inlineStr">
        <is>
          <t>4HL</t>
        </is>
      </c>
      <c r="B25" t="inlineStr">
        <is>
          <t>PO066428</t>
        </is>
      </c>
      <c r="C25" s="27" t="n"/>
      <c r="D25" t="n">
        <v>9600</v>
      </c>
      <c r="E25" s="24" t="n">
        <v>46035</v>
      </c>
      <c r="F25" s="24" t="n">
        <v>46042</v>
      </c>
      <c r="G25" t="inlineStr">
        <is>
          <t>TTAF Stock</t>
        </is>
      </c>
      <c r="H25">
        <f>IFERROR(MAX(1,MIN(104,INT((IF(F25="",E25,F25)-(DATE(Cal_Weeks!$B$1,1,1)-WEEKDAY(DATE(Cal_Weeks!$B$1,1,1),3)))/7)+1)),"")</f>
        <v/>
      </c>
      <c r="I25" s="28" t="n"/>
    </row>
    <row r="26">
      <c r="A26" t="inlineStr">
        <is>
          <t>4HL</t>
        </is>
      </c>
      <c r="B26" t="inlineStr">
        <is>
          <t>PO066428</t>
        </is>
      </c>
      <c r="C26" s="27" t="n"/>
      <c r="D26" t="n">
        <v>9600</v>
      </c>
      <c r="E26" s="24" t="n">
        <v>46042</v>
      </c>
      <c r="F26" s="24" t="n">
        <v>46049</v>
      </c>
      <c r="G26" t="inlineStr">
        <is>
          <t>TTAF Stock</t>
        </is>
      </c>
      <c r="H26">
        <f>IFERROR(MAX(1,MIN(104,INT((IF(F26="",E26,F26)-(DATE(Cal_Weeks!$B$1,1,1)-WEEKDAY(DATE(Cal_Weeks!$B$1,1,1),3)))/7)+1)),"")</f>
        <v/>
      </c>
      <c r="I26" s="28" t="n"/>
    </row>
    <row r="27">
      <c r="A27" t="inlineStr">
        <is>
          <t>4HL</t>
        </is>
      </c>
      <c r="B27" t="inlineStr">
        <is>
          <t>PO066428</t>
        </is>
      </c>
      <c r="C27" s="27" t="n"/>
      <c r="D27" t="n">
        <v>9600</v>
      </c>
      <c r="E27" s="24" t="n">
        <v>46029</v>
      </c>
      <c r="F27" s="24" t="n">
        <v>46031</v>
      </c>
      <c r="G27" t="inlineStr">
        <is>
          <t>TTAF Stock</t>
        </is>
      </c>
      <c r="H27">
        <f>IFERROR(MAX(1,MIN(104,INT((IF(F27="",E27,F27)-(DATE(Cal_Weeks!$B$1,1,1)-WEEKDAY(DATE(Cal_Weeks!$B$1,1,1),3)))/7)+1)),"")</f>
        <v/>
      </c>
      <c r="I27" s="28" t="n"/>
    </row>
    <row r="28">
      <c r="A28" t="inlineStr">
        <is>
          <t>1EK</t>
        </is>
      </c>
      <c r="B28" t="inlineStr">
        <is>
          <t>PO066428</t>
        </is>
      </c>
      <c r="C28" s="27" t="n"/>
      <c r="D28" t="n">
        <v>3840</v>
      </c>
      <c r="E28" s="24" t="n">
        <v>45982</v>
      </c>
      <c r="G28" t="inlineStr">
        <is>
          <t>TTAF Stock</t>
        </is>
      </c>
      <c r="H28">
        <f>IFERROR(MAX(1,MIN(104,INT((IF(F28="",E28,F28)-(DATE(Cal_Weeks!$B$1,1,1)-WEEKDAY(DATE(Cal_Weeks!$B$1,1,1),3)))/7)+1)),"")</f>
        <v/>
      </c>
      <c r="I28" s="28" t="n"/>
    </row>
    <row r="29">
      <c r="A29" t="inlineStr">
        <is>
          <t>1EK</t>
        </is>
      </c>
      <c r="B29" t="inlineStr">
        <is>
          <t>PO066428</t>
        </is>
      </c>
      <c r="C29" s="27" t="n"/>
      <c r="D29" t="n">
        <v>5760</v>
      </c>
      <c r="E29" s="24" t="n">
        <v>46035</v>
      </c>
      <c r="F29" s="24" t="n">
        <v>46042</v>
      </c>
      <c r="G29" t="inlineStr">
        <is>
          <t>TTAF Stock</t>
        </is>
      </c>
      <c r="H29">
        <f>IFERROR(MAX(1,MIN(104,INT((IF(F29="",E29,F29)-(DATE(Cal_Weeks!$B$1,1,1)-WEEKDAY(DATE(Cal_Weeks!$B$1,1,1),3)))/7)+1)),"")</f>
        <v/>
      </c>
      <c r="I29" s="28" t="n"/>
    </row>
    <row r="30">
      <c r="A30" t="inlineStr">
        <is>
          <t>1EK</t>
        </is>
      </c>
      <c r="B30" t="inlineStr">
        <is>
          <t>PO066428</t>
        </is>
      </c>
      <c r="C30" s="27" t="n"/>
      <c r="D30" t="n">
        <v>9600</v>
      </c>
      <c r="E30" s="24" t="n">
        <v>46021</v>
      </c>
      <c r="F30" s="24" t="n">
        <v>46032</v>
      </c>
      <c r="G30" t="inlineStr">
        <is>
          <t>TTAF Stock</t>
        </is>
      </c>
      <c r="H30">
        <f>IFERROR(MAX(1,MIN(104,INT((IF(F30="",E30,F30)-(DATE(Cal_Weeks!$B$1,1,1)-WEEKDAY(DATE(Cal_Weeks!$B$1,1,1),3)))/7)+1)),"")</f>
        <v/>
      </c>
      <c r="I30" s="28" t="n"/>
    </row>
    <row r="31">
      <c r="A31" t="inlineStr">
        <is>
          <t>1EK</t>
        </is>
      </c>
      <c r="B31" t="inlineStr">
        <is>
          <t>PO066428</t>
        </is>
      </c>
      <c r="C31" s="27" t="n"/>
      <c r="D31" t="n">
        <v>9600</v>
      </c>
      <c r="E31" s="24" t="n">
        <v>46029</v>
      </c>
      <c r="F31" s="24" t="n">
        <v>46031</v>
      </c>
      <c r="G31" t="inlineStr">
        <is>
          <t>TTAF Stock</t>
        </is>
      </c>
      <c r="H31">
        <f>IFERROR(MAX(1,MIN(104,INT((IF(F31="",E31,F31)-(DATE(Cal_Weeks!$B$1,1,1)-WEEKDAY(DATE(Cal_Weeks!$B$1,1,1),3)))/7)+1)),"")</f>
        <v/>
      </c>
      <c r="I31" s="28" t="n"/>
    </row>
    <row r="32">
      <c r="A32" t="inlineStr">
        <is>
          <t>1EK</t>
        </is>
      </c>
      <c r="B32" t="inlineStr">
        <is>
          <t>PO066428</t>
        </is>
      </c>
      <c r="C32" s="27" t="n"/>
      <c r="D32" t="n">
        <v>4800</v>
      </c>
      <c r="E32" s="24" t="n">
        <v>46050</v>
      </c>
      <c r="F32" s="24" t="n">
        <v>46056</v>
      </c>
      <c r="G32" t="inlineStr">
        <is>
          <t>TTAF Stock</t>
        </is>
      </c>
      <c r="H32">
        <f>IFERROR(MAX(1,MIN(104,INT((IF(F32="",E32,F32)-(DATE(Cal_Weeks!$B$1,1,1)-WEEKDAY(DATE(Cal_Weeks!$B$1,1,1),3)))/7)+1)),"")</f>
        <v/>
      </c>
      <c r="I32" s="28" t="n"/>
    </row>
    <row r="33">
      <c r="A33" t="inlineStr">
        <is>
          <t>7CL</t>
        </is>
      </c>
      <c r="B33" t="inlineStr">
        <is>
          <t>PO066428</t>
        </is>
      </c>
      <c r="C33" s="27" t="n"/>
      <c r="D33" t="n">
        <v>8100</v>
      </c>
      <c r="E33" s="24" t="n">
        <v>46035</v>
      </c>
      <c r="F33" s="24" t="n">
        <v>46043</v>
      </c>
      <c r="G33" t="inlineStr">
        <is>
          <t>TTAF Stock</t>
        </is>
      </c>
      <c r="H33">
        <f>IFERROR(MAX(1,MIN(104,INT((IF(F33="",E33,F33)-(DATE(Cal_Weeks!$B$1,1,1)-WEEKDAY(DATE(Cal_Weeks!$B$1,1,1),3)))/7)+1)),"")</f>
        <v/>
      </c>
      <c r="I33" s="28" t="n"/>
    </row>
    <row r="34">
      <c r="A34" t="inlineStr">
        <is>
          <t>9RN</t>
        </is>
      </c>
      <c r="B34" t="inlineStr">
        <is>
          <t>PO066528</t>
        </is>
      </c>
      <c r="C34" s="27" t="n"/>
      <c r="D34" t="n">
        <v>21274</v>
      </c>
      <c r="E34" s="24" t="n">
        <v>46018</v>
      </c>
      <c r="F34" s="24" t="n">
        <v>46030</v>
      </c>
      <c r="G34" t="inlineStr">
        <is>
          <t>TTAF Stock</t>
        </is>
      </c>
      <c r="H34">
        <f>IFERROR(MAX(1,MIN(104,INT((IF(F34="",E34,F34)-(DATE(Cal_Weeks!$B$1,1,1)-WEEKDAY(DATE(Cal_Weeks!$B$1,1,1),3)))/7)+1)),"")</f>
        <v/>
      </c>
      <c r="I34" s="28" t="n"/>
    </row>
    <row r="35">
      <c r="A35" t="inlineStr">
        <is>
          <t>9RN</t>
        </is>
      </c>
      <c r="B35" t="inlineStr">
        <is>
          <t>PO066528</t>
        </is>
      </c>
      <c r="C35" s="27" t="n"/>
      <c r="D35" t="n">
        <v>9702</v>
      </c>
      <c r="E35" s="24" t="n">
        <v>46018</v>
      </c>
      <c r="F35" s="24" t="n">
        <v>46030</v>
      </c>
      <c r="G35" t="inlineStr">
        <is>
          <t>TTAF Stock</t>
        </is>
      </c>
      <c r="H35">
        <f>IFERROR(MAX(1,MIN(104,INT((IF(F35="",E35,F35)-(DATE(Cal_Weeks!$B$1,1,1)-WEEKDAY(DATE(Cal_Weeks!$B$1,1,1),3)))/7)+1)),"")</f>
        <v/>
      </c>
      <c r="I35" s="28" t="n"/>
    </row>
    <row r="36">
      <c r="A36" t="inlineStr">
        <is>
          <t>OJN</t>
        </is>
      </c>
      <c r="B36" t="inlineStr">
        <is>
          <t>PO066525</t>
        </is>
      </c>
      <c r="C36" s="27" t="n"/>
      <c r="D36" t="n">
        <v>18609</v>
      </c>
      <c r="E36" s="24" t="n">
        <v>46023</v>
      </c>
      <c r="G36" t="inlineStr">
        <is>
          <t>TTAF Stock</t>
        </is>
      </c>
      <c r="H36">
        <f>IFERROR(MAX(1,MIN(104,INT((IF(F36="",E36,F36)-(DATE(Cal_Weeks!$B$1,1,1)-WEEKDAY(DATE(Cal_Weeks!$B$1,1,1),3)))/7)+1)),"")</f>
        <v/>
      </c>
      <c r="I36" s="28" t="n"/>
    </row>
    <row r="37">
      <c r="A37" t="inlineStr">
        <is>
          <t>CHEM-1250</t>
        </is>
      </c>
      <c r="B37" t="inlineStr">
        <is>
          <t>PO066734</t>
        </is>
      </c>
      <c r="C37" s="27" t="n"/>
      <c r="D37" t="n">
        <v>100</v>
      </c>
      <c r="E37" s="24" t="n">
        <v>46027</v>
      </c>
      <c r="F37" s="24" t="n">
        <v>46037</v>
      </c>
      <c r="G37" t="inlineStr">
        <is>
          <t>TTAF Stock</t>
        </is>
      </c>
      <c r="H37">
        <f>IFERROR(MAX(1,MIN(104,INT((IF(F37="",E37,F37)-(DATE(Cal_Weeks!$B$1,1,1)-WEEKDAY(DATE(Cal_Weeks!$B$1,1,1),3)))/7)+1)),"")</f>
        <v/>
      </c>
      <c r="I37" s="28" t="n"/>
    </row>
    <row r="38">
      <c r="A38" t="inlineStr">
        <is>
          <t>CHEM-1570</t>
        </is>
      </c>
      <c r="B38" t="inlineStr">
        <is>
          <t>PO066734</t>
        </is>
      </c>
      <c r="C38" s="27" t="n"/>
      <c r="D38" t="n">
        <v>36</v>
      </c>
      <c r="E38" s="24" t="n">
        <v>46027</v>
      </c>
      <c r="F38" s="24" t="n">
        <v>46037</v>
      </c>
      <c r="G38" t="inlineStr">
        <is>
          <t>TTAF Stock</t>
        </is>
      </c>
      <c r="H38">
        <f>IFERROR(MAX(1,MIN(104,INT((IF(F38="",E38,F38)-(DATE(Cal_Weeks!$B$1,1,1)-WEEKDAY(DATE(Cal_Weeks!$B$1,1,1),3)))/7)+1)),"")</f>
        <v/>
      </c>
      <c r="I38" s="28" t="n"/>
    </row>
    <row r="39">
      <c r="A39" t="inlineStr">
        <is>
          <t>CHEM-1670</t>
        </is>
      </c>
      <c r="B39" t="inlineStr">
        <is>
          <t>PO066734</t>
        </is>
      </c>
      <c r="C39" s="27" t="n"/>
      <c r="D39" t="n">
        <v>180</v>
      </c>
      <c r="E39" s="24" t="n">
        <v>46027</v>
      </c>
      <c r="F39" s="24" t="n">
        <v>46037</v>
      </c>
      <c r="G39" t="inlineStr">
        <is>
          <t>TTAF Stock</t>
        </is>
      </c>
      <c r="H39">
        <f>IFERROR(MAX(1,MIN(104,INT((IF(F39="",E39,F39)-(DATE(Cal_Weeks!$B$1,1,1)-WEEKDAY(DATE(Cal_Weeks!$B$1,1,1),3)))/7)+1)),"")</f>
        <v/>
      </c>
      <c r="I39" s="28" t="n"/>
    </row>
    <row r="40">
      <c r="A40" t="inlineStr">
        <is>
          <t>CHEM-1700</t>
        </is>
      </c>
      <c r="B40" t="inlineStr">
        <is>
          <t>PO066734</t>
        </is>
      </c>
      <c r="C40" s="27" t="n"/>
      <c r="D40" t="n">
        <v>90</v>
      </c>
      <c r="E40" s="24" t="n">
        <v>46027</v>
      </c>
      <c r="F40" s="24" t="n">
        <v>46037</v>
      </c>
      <c r="G40" t="inlineStr">
        <is>
          <t>TTAF Stock</t>
        </is>
      </c>
      <c r="H40">
        <f>IFERROR(MAX(1,MIN(104,INT((IF(F40="",E40,F40)-(DATE(Cal_Weeks!$B$1,1,1)-WEEKDAY(DATE(Cal_Weeks!$B$1,1,1),3)))/7)+1)),"")</f>
        <v/>
      </c>
      <c r="I40" s="28" t="n"/>
    </row>
    <row r="41">
      <c r="A41" t="inlineStr">
        <is>
          <t>CHEM-1660</t>
        </is>
      </c>
      <c r="B41" t="inlineStr"/>
      <c r="C41" s="27" t="n"/>
      <c r="D41" t="n">
        <v>60</v>
      </c>
      <c r="E41" s="24" t="n">
        <v>46027</v>
      </c>
      <c r="F41" s="24" t="n">
        <v>46037</v>
      </c>
      <c r="G41" t="inlineStr">
        <is>
          <t>TTAF Stock</t>
        </is>
      </c>
      <c r="H41">
        <f>IFERROR(MAX(1,MIN(104,INT((IF(F41="",E41,F41)-(DATE(Cal_Weeks!$B$1,1,1)-WEEKDAY(DATE(Cal_Weeks!$B$1,1,1),3)))/7)+1)),"")</f>
        <v/>
      </c>
      <c r="I41" s="28" t="n"/>
    </row>
    <row r="42">
      <c r="A42" t="inlineStr">
        <is>
          <t>CHEM-1420</t>
        </is>
      </c>
      <c r="B42" t="inlineStr">
        <is>
          <t>PO066734</t>
        </is>
      </c>
      <c r="C42" s="27" t="n"/>
      <c r="D42" t="n">
        <v>240</v>
      </c>
      <c r="E42" s="24" t="n">
        <v>46027</v>
      </c>
      <c r="F42" s="24" t="n">
        <v>46037</v>
      </c>
      <c r="G42" t="inlineStr">
        <is>
          <t>TTAF Stock</t>
        </is>
      </c>
      <c r="H42">
        <f>IFERROR(MAX(1,MIN(104,INT((IF(F42="",E42,F42)-(DATE(Cal_Weeks!$B$1,1,1)-WEEKDAY(DATE(Cal_Weeks!$B$1,1,1),3)))/7)+1)),"")</f>
        <v/>
      </c>
      <c r="I42" s="28" t="n"/>
    </row>
    <row r="43">
      <c r="A43" t="inlineStr">
        <is>
          <t>CHEM-1530</t>
        </is>
      </c>
      <c r="B43" t="inlineStr">
        <is>
          <t>PO066734</t>
        </is>
      </c>
      <c r="C43" s="27" t="n"/>
      <c r="D43" t="n">
        <v>1400</v>
      </c>
      <c r="E43" s="24" t="n">
        <v>46027</v>
      </c>
      <c r="F43" s="24" t="n">
        <v>46037</v>
      </c>
      <c r="G43" t="inlineStr">
        <is>
          <t>TTAF Stock</t>
        </is>
      </c>
      <c r="H43">
        <f>IFERROR(MAX(1,MIN(104,INT((IF(F43="",E43,F43)-(DATE(Cal_Weeks!$B$1,1,1)-WEEKDAY(DATE(Cal_Weeks!$B$1,1,1),3)))/7)+1)),"")</f>
        <v/>
      </c>
      <c r="I43" s="28" t="n"/>
    </row>
    <row r="44">
      <c r="A44" t="inlineStr">
        <is>
          <t>CHEM-1600</t>
        </is>
      </c>
      <c r="B44" t="inlineStr">
        <is>
          <t>PO066734</t>
        </is>
      </c>
      <c r="C44" s="27" t="n"/>
      <c r="D44" t="n">
        <v>250</v>
      </c>
      <c r="E44" s="24" t="n">
        <v>46027</v>
      </c>
      <c r="F44" s="24" t="n">
        <v>46037</v>
      </c>
      <c r="G44" t="inlineStr">
        <is>
          <t>TTAF Stock</t>
        </is>
      </c>
      <c r="H44">
        <f>IFERROR(MAX(1,MIN(104,INT((IF(F44="",E44,F44)-(DATE(Cal_Weeks!$B$1,1,1)-WEEKDAY(DATE(Cal_Weeks!$B$1,1,1),3)))/7)+1)),"")</f>
        <v/>
      </c>
      <c r="I44" s="28" t="n"/>
    </row>
    <row r="45">
      <c r="A45" t="inlineStr">
        <is>
          <t>CHEM-1540</t>
        </is>
      </c>
      <c r="B45" t="inlineStr">
        <is>
          <t>PO066734</t>
        </is>
      </c>
      <c r="C45" s="27" t="n"/>
      <c r="D45" t="n">
        <v>5000</v>
      </c>
      <c r="E45" s="24" t="n">
        <v>46027</v>
      </c>
      <c r="F45" s="24" t="n">
        <v>46037</v>
      </c>
      <c r="G45" t="inlineStr">
        <is>
          <t>TTAF Stock</t>
        </is>
      </c>
      <c r="H45">
        <f>IFERROR(MAX(1,MIN(104,INT((IF(F45="",E45,F45)-(DATE(Cal_Weeks!$B$1,1,1)-WEEKDAY(DATE(Cal_Weeks!$B$1,1,1),3)))/7)+1)),"")</f>
        <v/>
      </c>
      <c r="I45" s="28" t="n"/>
    </row>
    <row r="46">
      <c r="A46" t="inlineStr">
        <is>
          <t>CHEM-1720</t>
        </is>
      </c>
      <c r="B46" t="inlineStr">
        <is>
          <t>PO066734</t>
        </is>
      </c>
      <c r="C46" s="27" t="n"/>
      <c r="D46" t="n">
        <v>1920</v>
      </c>
      <c r="E46" s="24" t="n">
        <v>46027</v>
      </c>
      <c r="F46" s="24" t="n">
        <v>46037</v>
      </c>
      <c r="G46" t="inlineStr">
        <is>
          <t>TTAF Stock</t>
        </is>
      </c>
      <c r="H46">
        <f>IFERROR(MAX(1,MIN(104,INT((IF(F46="",E46,F46)-(DATE(Cal_Weeks!$B$1,1,1)-WEEKDAY(DATE(Cal_Weeks!$B$1,1,1),3)))/7)+1)),"")</f>
        <v/>
      </c>
      <c r="I46" s="28" t="n"/>
    </row>
    <row r="47">
      <c r="A47" t="inlineStr">
        <is>
          <t>CHEM-1280</t>
        </is>
      </c>
      <c r="B47" t="inlineStr"/>
      <c r="C47" s="27" t="n"/>
      <c r="D47" t="n">
        <v>1000</v>
      </c>
      <c r="E47" s="24" t="n">
        <v>46027</v>
      </c>
      <c r="F47" s="24" t="n">
        <v>46037</v>
      </c>
      <c r="G47" t="inlineStr">
        <is>
          <t>TTAF Stock</t>
        </is>
      </c>
      <c r="H47">
        <f>IFERROR(MAX(1,MIN(104,INT((IF(F47="",E47,F47)-(DATE(Cal_Weeks!$B$1,1,1)-WEEKDAY(DATE(Cal_Weeks!$B$1,1,1),3)))/7)+1)),"")</f>
        <v/>
      </c>
      <c r="I47" s="28" t="n"/>
    </row>
    <row r="48">
      <c r="A48" t="inlineStr">
        <is>
          <t>CHEM-1440</t>
        </is>
      </c>
      <c r="B48" t="inlineStr">
        <is>
          <t>PO066734</t>
        </is>
      </c>
      <c r="C48" s="27" t="n"/>
      <c r="D48" t="n">
        <v>200</v>
      </c>
      <c r="E48" s="24" t="n">
        <v>46027</v>
      </c>
      <c r="F48" s="24" t="n">
        <v>46037</v>
      </c>
      <c r="G48" t="inlineStr">
        <is>
          <t>TTAF Stock</t>
        </is>
      </c>
      <c r="H48">
        <f>IFERROR(MAX(1,MIN(104,INT((IF(F48="",E48,F48)-(DATE(Cal_Weeks!$B$1,1,1)-WEEKDAY(DATE(Cal_Weeks!$B$1,1,1),3)))/7)+1)),"")</f>
        <v/>
      </c>
      <c r="I48" s="28" t="n"/>
    </row>
    <row r="49">
      <c r="A49" t="inlineStr">
        <is>
          <t>CHEM-1240</t>
        </is>
      </c>
      <c r="B49" t="inlineStr">
        <is>
          <t>PO066734</t>
        </is>
      </c>
      <c r="C49" s="27" t="n"/>
      <c r="D49" t="n">
        <v>660</v>
      </c>
      <c r="E49" s="24" t="n">
        <v>46027</v>
      </c>
      <c r="F49" s="24" t="n">
        <v>46037</v>
      </c>
      <c r="G49" t="inlineStr">
        <is>
          <t>TTAF Stock</t>
        </is>
      </c>
      <c r="H49">
        <f>IFERROR(MAX(1,MIN(104,INT((IF(F49="",E49,F49)-(DATE(Cal_Weeks!$B$1,1,1)-WEEKDAY(DATE(Cal_Weeks!$B$1,1,1),3)))/7)+1)),"")</f>
        <v/>
      </c>
      <c r="I49" s="28" t="n"/>
    </row>
    <row r="50">
      <c r="A50" t="inlineStr">
        <is>
          <t>4HL</t>
        </is>
      </c>
      <c r="B50" t="inlineStr"/>
      <c r="C50" s="27" t="n"/>
      <c r="D50" t="n">
        <v>9600</v>
      </c>
      <c r="E50" s="24" t="n">
        <v>46048</v>
      </c>
      <c r="F50" s="24" t="n">
        <v>46051</v>
      </c>
      <c r="G50" t="inlineStr">
        <is>
          <t>TTAF Stock</t>
        </is>
      </c>
      <c r="H50">
        <f>IFERROR(MAX(1,MIN(104,INT((IF(F50="",E50,F50)-(DATE(Cal_Weeks!$B$1,1,1)-WEEKDAY(DATE(Cal_Weeks!$B$1,1,1),3)))/7)+1)),"")</f>
        <v/>
      </c>
      <c r="I50" s="28" t="n"/>
    </row>
    <row r="51">
      <c r="A51" t="inlineStr">
        <is>
          <t>4HL</t>
        </is>
      </c>
      <c r="B51" t="inlineStr"/>
      <c r="C51" s="27" t="n"/>
      <c r="D51" t="n">
        <v>17280</v>
      </c>
      <c r="E51" s="24" t="n">
        <v>46069</v>
      </c>
      <c r="F51" s="24" t="n">
        <v>46070</v>
      </c>
      <c r="G51" t="inlineStr">
        <is>
          <t>TTAF Stock</t>
        </is>
      </c>
      <c r="H51">
        <f>IFERROR(MAX(1,MIN(104,INT((IF(F51="",E51,F51)-(DATE(Cal_Weeks!$B$1,1,1)-WEEKDAY(DATE(Cal_Weeks!$B$1,1,1),3)))/7)+1)),"")</f>
        <v/>
      </c>
      <c r="I51" s="28" t="n"/>
    </row>
    <row r="52">
      <c r="A52" t="inlineStr">
        <is>
          <t>4HL</t>
        </is>
      </c>
      <c r="B52" t="inlineStr"/>
      <c r="C52" s="27" t="n"/>
      <c r="D52" t="n">
        <v>9600</v>
      </c>
      <c r="E52" s="24" t="n">
        <v>46056</v>
      </c>
      <c r="F52" s="24" t="n">
        <v>46062</v>
      </c>
      <c r="G52" t="inlineStr">
        <is>
          <t>TTAF Stock</t>
        </is>
      </c>
      <c r="H52">
        <f>IFERROR(MAX(1,MIN(104,INT((IF(F52="",E52,F52)-(DATE(Cal_Weeks!$B$1,1,1)-WEEKDAY(DATE(Cal_Weeks!$B$1,1,1),3)))/7)+1)),"")</f>
        <v/>
      </c>
      <c r="I52" s="28" t="n"/>
    </row>
    <row r="53">
      <c r="A53" t="inlineStr">
        <is>
          <t>4HL</t>
        </is>
      </c>
      <c r="B53" t="inlineStr"/>
      <c r="C53" s="27" t="n"/>
      <c r="D53" t="n">
        <v>1920</v>
      </c>
      <c r="E53" s="24" t="n">
        <v>46069</v>
      </c>
      <c r="F53" s="24" t="n">
        <v>46069</v>
      </c>
      <c r="G53" t="inlineStr">
        <is>
          <t>TTAF Stock</t>
        </is>
      </c>
      <c r="H53">
        <f>IFERROR(MAX(1,MIN(104,INT((IF(F53="",E53,F53)-(DATE(Cal_Weeks!$B$1,1,1)-WEEKDAY(DATE(Cal_Weeks!$B$1,1,1),3)))/7)+1)),"")</f>
        <v/>
      </c>
      <c r="I53" s="28" t="n"/>
    </row>
    <row r="54">
      <c r="A54" t="inlineStr">
        <is>
          <t>4HL</t>
        </is>
      </c>
      <c r="B54" t="inlineStr"/>
      <c r="C54" s="27" t="n"/>
      <c r="D54" t="n">
        <v>5280</v>
      </c>
      <c r="E54" s="24" t="n">
        <v>46087</v>
      </c>
      <c r="F54" s="24" t="n">
        <v>46092</v>
      </c>
      <c r="G54" t="inlineStr">
        <is>
          <t>TTAF Stock</t>
        </is>
      </c>
      <c r="H54">
        <f>IFERROR(MAX(1,MIN(104,INT((IF(F54="",E54,F54)-(DATE(Cal_Weeks!$B$1,1,1)-WEEKDAY(DATE(Cal_Weeks!$B$1,1,1),3)))/7)+1)),"")</f>
        <v/>
      </c>
      <c r="I54" s="28" t="n"/>
    </row>
    <row r="55">
      <c r="A55" t="inlineStr">
        <is>
          <t>4HL</t>
        </is>
      </c>
      <c r="B55" t="inlineStr"/>
      <c r="C55" s="27" t="n"/>
      <c r="D55" t="n">
        <v>365</v>
      </c>
      <c r="E55" s="24" t="n">
        <v>46069</v>
      </c>
      <c r="F55" s="24" t="n">
        <v>46070</v>
      </c>
      <c r="G55" t="inlineStr">
        <is>
          <t>TTAF Stock</t>
        </is>
      </c>
      <c r="H55">
        <f>IFERROR(MAX(1,MIN(104,INT((IF(F55="",E55,F55)-(DATE(Cal_Weeks!$B$1,1,1)-WEEKDAY(DATE(Cal_Weeks!$B$1,1,1),3)))/7)+1)),"")</f>
        <v/>
      </c>
      <c r="I55" s="28" t="n"/>
    </row>
    <row r="56">
      <c r="A56" t="inlineStr">
        <is>
          <t>1EK</t>
        </is>
      </c>
      <c r="B56" t="inlineStr"/>
      <c r="C56" s="27" t="n"/>
      <c r="D56" t="n">
        <v>7200</v>
      </c>
      <c r="E56" s="24" t="n">
        <v>46069</v>
      </c>
      <c r="F56" s="24" t="n">
        <v>46069</v>
      </c>
      <c r="G56" t="inlineStr">
        <is>
          <t>TTAF Stock</t>
        </is>
      </c>
      <c r="H56">
        <f>IFERROR(MAX(1,MIN(104,INT((IF(F56="",E56,F56)-(DATE(Cal_Weeks!$B$1,1,1)-WEEKDAY(DATE(Cal_Weeks!$B$1,1,1),3)))/7)+1)),"")</f>
        <v/>
      </c>
      <c r="I56" s="28" t="n"/>
    </row>
    <row r="57">
      <c r="A57" t="inlineStr">
        <is>
          <t>1EK</t>
        </is>
      </c>
      <c r="B57" t="inlineStr"/>
      <c r="C57" s="27" t="n"/>
      <c r="D57" t="n">
        <v>6720</v>
      </c>
      <c r="E57" s="24" t="n">
        <v>46087</v>
      </c>
      <c r="F57" s="24" t="n">
        <v>46092</v>
      </c>
      <c r="G57" t="inlineStr">
        <is>
          <t>TTAF Stock</t>
        </is>
      </c>
      <c r="H57">
        <f>IFERROR(MAX(1,MIN(104,INT((IF(F57="",E57,F57)-(DATE(Cal_Weeks!$B$1,1,1)-WEEKDAY(DATE(Cal_Weeks!$B$1,1,1),3)))/7)+1)),"")</f>
        <v/>
      </c>
      <c r="I57" s="28" t="n"/>
    </row>
    <row r="58">
      <c r="A58" t="inlineStr">
        <is>
          <t>1EK</t>
        </is>
      </c>
      <c r="B58" t="inlineStr"/>
      <c r="C58" s="27" t="n"/>
      <c r="D58" t="n">
        <v>160</v>
      </c>
      <c r="E58" s="24" t="n">
        <v>46069</v>
      </c>
      <c r="F58" s="24" t="n">
        <v>46069</v>
      </c>
      <c r="G58" t="inlineStr">
        <is>
          <t>TTAF Stock</t>
        </is>
      </c>
      <c r="H58">
        <f>IFERROR(MAX(1,MIN(104,INT((IF(F58="",E58,F58)-(DATE(Cal_Weeks!$B$1,1,1)-WEEKDAY(DATE(Cal_Weeks!$B$1,1,1),3)))/7)+1)),"")</f>
        <v/>
      </c>
      <c r="I58" s="28" t="n"/>
    </row>
    <row r="59">
      <c r="A59" t="inlineStr">
        <is>
          <t>1EK</t>
        </is>
      </c>
      <c r="B59" t="inlineStr"/>
      <c r="C59" s="27" t="n"/>
      <c r="D59" t="n">
        <v>474</v>
      </c>
      <c r="E59" s="24" t="n">
        <v>46087</v>
      </c>
      <c r="F59" s="24" t="n">
        <v>46092</v>
      </c>
      <c r="G59" t="inlineStr">
        <is>
          <t>TTAF Stock</t>
        </is>
      </c>
      <c r="H59">
        <f>IFERROR(MAX(1,MIN(104,INT((IF(F59="",E59,F59)-(DATE(Cal_Weeks!$B$1,1,1)-WEEKDAY(DATE(Cal_Weeks!$B$1,1,1),3)))/7)+1)),"")</f>
        <v/>
      </c>
      <c r="I59" s="28" t="n"/>
    </row>
    <row r="60">
      <c r="A60" t="inlineStr">
        <is>
          <t>7CL</t>
        </is>
      </c>
      <c r="B60" t="inlineStr"/>
      <c r="C60" s="27" t="n"/>
      <c r="D60" t="n">
        <v>1620</v>
      </c>
      <c r="E60" s="24" t="n">
        <v>46069</v>
      </c>
      <c r="F60" s="24" t="n">
        <v>46070</v>
      </c>
      <c r="G60" t="inlineStr">
        <is>
          <t>TTAF Stock</t>
        </is>
      </c>
      <c r="H60">
        <f>IFERROR(MAX(1,MIN(104,INT((IF(F60="",E60,F60)-(DATE(Cal_Weeks!$B$1,1,1)-WEEKDAY(DATE(Cal_Weeks!$B$1,1,1),3)))/7)+1)),"")</f>
        <v/>
      </c>
      <c r="I60" s="28" t="n"/>
    </row>
    <row r="61">
      <c r="A61" t="inlineStr">
        <is>
          <t>9RN</t>
        </is>
      </c>
      <c r="B61" t="inlineStr">
        <is>
          <t>PO066735</t>
        </is>
      </c>
      <c r="C61" s="27" t="n"/>
      <c r="D61" t="n">
        <v>19206</v>
      </c>
      <c r="E61" s="24" t="n">
        <v>46033</v>
      </c>
      <c r="F61" s="24" t="n">
        <v>46041</v>
      </c>
      <c r="G61" t="inlineStr">
        <is>
          <t>TTAF Stock</t>
        </is>
      </c>
      <c r="H61">
        <f>IFERROR(MAX(1,MIN(104,INT((IF(F61="",E61,F61)-(DATE(Cal_Weeks!$B$1,1,1)-WEEKDAY(DATE(Cal_Weeks!$B$1,1,1),3)))/7)+1)),"")</f>
        <v/>
      </c>
      <c r="I61" s="28" t="n"/>
    </row>
    <row r="62">
      <c r="A62" t="inlineStr">
        <is>
          <t>9RN</t>
        </is>
      </c>
      <c r="B62" t="inlineStr">
        <is>
          <t>PO066735</t>
        </is>
      </c>
      <c r="C62" s="27" t="n"/>
      <c r="D62" t="n">
        <v>15642</v>
      </c>
      <c r="E62" s="24" t="n">
        <v>46033</v>
      </c>
      <c r="F62" s="24" t="n">
        <v>46041</v>
      </c>
      <c r="G62" t="inlineStr">
        <is>
          <t>TTAF Stock</t>
        </is>
      </c>
      <c r="H62">
        <f>IFERROR(MAX(1,MIN(104,INT((IF(F62="",E62,F62)-(DATE(Cal_Weeks!$B$1,1,1)-WEEKDAY(DATE(Cal_Weeks!$B$1,1,1),3)))/7)+1)),"")</f>
        <v/>
      </c>
      <c r="I62" s="28" t="n"/>
    </row>
    <row r="63">
      <c r="A63" t="inlineStr">
        <is>
          <t>OJN</t>
        </is>
      </c>
      <c r="B63" t="inlineStr">
        <is>
          <t>PO066755</t>
        </is>
      </c>
      <c r="C63" s="27" t="n"/>
      <c r="D63" t="n">
        <v>1584</v>
      </c>
      <c r="E63" s="24" t="n">
        <v>46047</v>
      </c>
      <c r="F63" s="24" t="n">
        <v>46049</v>
      </c>
      <c r="G63" t="inlineStr">
        <is>
          <t>TTAF Stock</t>
        </is>
      </c>
      <c r="H63">
        <f>IFERROR(MAX(1,MIN(104,INT((IF(F63="",E63,F63)-(DATE(Cal_Weeks!$B$1,1,1)-WEEKDAY(DATE(Cal_Weeks!$B$1,1,1),3)))/7)+1)),"")</f>
        <v/>
      </c>
      <c r="I63" s="28" t="n"/>
    </row>
    <row r="64">
      <c r="A64" t="inlineStr">
        <is>
          <t>OJN</t>
        </is>
      </c>
      <c r="B64" t="inlineStr">
        <is>
          <t>PO066755</t>
        </is>
      </c>
      <c r="C64" s="27" t="n"/>
      <c r="D64" t="n">
        <v>18530</v>
      </c>
      <c r="E64" s="24" t="n">
        <v>46076</v>
      </c>
      <c r="F64" s="24" t="n">
        <v>46079</v>
      </c>
      <c r="G64" t="inlineStr">
        <is>
          <t>TTAF Stock</t>
        </is>
      </c>
      <c r="H64">
        <f>IFERROR(MAX(1,MIN(104,INT((IF(F64="",E64,F64)-(DATE(Cal_Weeks!$B$1,1,1)-WEEKDAY(DATE(Cal_Weeks!$B$1,1,1),3)))/7)+1)),"")</f>
        <v/>
      </c>
      <c r="I64" s="28" t="n"/>
    </row>
    <row r="65">
      <c r="A65" t="inlineStr">
        <is>
          <t>CHEM-1240</t>
        </is>
      </c>
      <c r="B65" t="inlineStr">
        <is>
          <t>PO066939</t>
        </is>
      </c>
      <c r="C65" s="27" t="n"/>
      <c r="D65" t="n">
        <v>880</v>
      </c>
      <c r="E65" s="24" t="n">
        <v>46068</v>
      </c>
      <c r="F65" s="24" t="n">
        <v>46072</v>
      </c>
      <c r="G65" t="inlineStr">
        <is>
          <t>TTAF Stock</t>
        </is>
      </c>
      <c r="H65">
        <f>IFERROR(MAX(1,MIN(104,INT((IF(F65="",E65,F65)-(DATE(Cal_Weeks!$B$1,1,1)-WEEKDAY(DATE(Cal_Weeks!$B$1,1,1),3)))/7)+1)),"")</f>
        <v/>
      </c>
      <c r="I65" s="28" t="n"/>
    </row>
    <row r="66">
      <c r="A66" t="inlineStr">
        <is>
          <t>CHEM-1250</t>
        </is>
      </c>
      <c r="B66" t="inlineStr">
        <is>
          <t>PO066939</t>
        </is>
      </c>
      <c r="C66" s="27" t="n"/>
      <c r="D66" t="n">
        <v>50</v>
      </c>
      <c r="E66" s="24" t="n">
        <v>46068</v>
      </c>
      <c r="F66" s="24" t="n">
        <v>46072</v>
      </c>
      <c r="G66" t="inlineStr">
        <is>
          <t>TTAF Stock</t>
        </is>
      </c>
      <c r="H66">
        <f>IFERROR(MAX(1,MIN(104,INT((IF(F66="",E66,F66)-(DATE(Cal_Weeks!$B$1,1,1)-WEEKDAY(DATE(Cal_Weeks!$B$1,1,1),3)))/7)+1)),"")</f>
        <v/>
      </c>
      <c r="I66" s="28" t="n"/>
    </row>
    <row r="67">
      <c r="A67" t="inlineStr">
        <is>
          <t>CHEM-1400</t>
        </is>
      </c>
      <c r="B67" t="inlineStr">
        <is>
          <t>PO066939</t>
        </is>
      </c>
      <c r="C67" s="27" t="n"/>
      <c r="D67" t="n">
        <v>250</v>
      </c>
      <c r="E67" s="24" t="n">
        <v>46068</v>
      </c>
      <c r="F67" s="24" t="n">
        <v>46072</v>
      </c>
      <c r="G67" t="inlineStr">
        <is>
          <t>TTAF Stock</t>
        </is>
      </c>
      <c r="H67">
        <f>IFERROR(MAX(1,MIN(104,INT((IF(F67="",E67,F67)-(DATE(Cal_Weeks!$B$1,1,1)-WEEKDAY(DATE(Cal_Weeks!$B$1,1,1),3)))/7)+1)),"")</f>
        <v/>
      </c>
      <c r="I67" s="28" t="n"/>
    </row>
    <row r="68">
      <c r="A68" t="inlineStr">
        <is>
          <t>CHEM-1420</t>
        </is>
      </c>
      <c r="B68" t="inlineStr">
        <is>
          <t>PO066939</t>
        </is>
      </c>
      <c r="C68" s="27" t="n"/>
      <c r="D68" t="n">
        <v>240</v>
      </c>
      <c r="E68" s="24" t="n">
        <v>46068</v>
      </c>
      <c r="F68" s="24" t="n">
        <v>46072</v>
      </c>
      <c r="G68" t="inlineStr">
        <is>
          <t>TTAF Stock</t>
        </is>
      </c>
      <c r="H68">
        <f>IFERROR(MAX(1,MIN(104,INT((IF(F68="",E68,F68)-(DATE(Cal_Weeks!$B$1,1,1)-WEEKDAY(DATE(Cal_Weeks!$B$1,1,1),3)))/7)+1)),"")</f>
        <v/>
      </c>
      <c r="I68" s="28" t="n"/>
    </row>
    <row r="69">
      <c r="A69" t="inlineStr">
        <is>
          <t>CHEM-1440</t>
        </is>
      </c>
      <c r="B69" t="inlineStr">
        <is>
          <t>PO066939</t>
        </is>
      </c>
      <c r="C69" s="27" t="n"/>
      <c r="D69" t="n">
        <v>200</v>
      </c>
      <c r="E69" s="24" t="n">
        <v>46068</v>
      </c>
      <c r="F69" s="24" t="n">
        <v>46072</v>
      </c>
      <c r="G69" t="inlineStr">
        <is>
          <t>TTAF Stock</t>
        </is>
      </c>
      <c r="H69">
        <f>IFERROR(MAX(1,MIN(104,INT((IF(F69="",E69,F69)-(DATE(Cal_Weeks!$B$1,1,1)-WEEKDAY(DATE(Cal_Weeks!$B$1,1,1),3)))/7)+1)),"")</f>
        <v/>
      </c>
      <c r="I69" s="28" t="n"/>
    </row>
    <row r="70">
      <c r="A70" t="inlineStr">
        <is>
          <t>CHEM-1540</t>
        </is>
      </c>
      <c r="B70" t="inlineStr">
        <is>
          <t>PO066939</t>
        </is>
      </c>
      <c r="C70" s="27" t="n"/>
      <c r="D70" t="n">
        <v>2500</v>
      </c>
      <c r="E70" s="24" t="n">
        <v>46068</v>
      </c>
      <c r="F70" s="24" t="n">
        <v>46072</v>
      </c>
      <c r="G70" t="inlineStr">
        <is>
          <t>TTAF Stock</t>
        </is>
      </c>
      <c r="H70">
        <f>IFERROR(MAX(1,MIN(104,INT((IF(F70="",E70,F70)-(DATE(Cal_Weeks!$B$1,1,1)-WEEKDAY(DATE(Cal_Weeks!$B$1,1,1),3)))/7)+1)),"")</f>
        <v/>
      </c>
      <c r="I70" s="28" t="n"/>
    </row>
    <row r="71">
      <c r="A71" t="inlineStr">
        <is>
          <t>CHEM-1530</t>
        </is>
      </c>
      <c r="B71" t="inlineStr">
        <is>
          <t>PO066939</t>
        </is>
      </c>
      <c r="C71" s="27" t="n"/>
      <c r="D71" t="n">
        <v>2100</v>
      </c>
      <c r="E71" s="24" t="n">
        <v>46068</v>
      </c>
      <c r="F71" s="24" t="n">
        <v>46072</v>
      </c>
      <c r="G71" t="inlineStr">
        <is>
          <t>TTAF Stock</t>
        </is>
      </c>
      <c r="H71">
        <f>IFERROR(MAX(1,MIN(104,INT((IF(F71="",E71,F71)-(DATE(Cal_Weeks!$B$1,1,1)-WEEKDAY(DATE(Cal_Weeks!$B$1,1,1),3)))/7)+1)),"")</f>
        <v/>
      </c>
      <c r="I71" s="28" t="n"/>
    </row>
    <row r="72">
      <c r="A72" t="inlineStr">
        <is>
          <t>CHEM-1600</t>
        </is>
      </c>
      <c r="B72" t="inlineStr">
        <is>
          <t>PO066939</t>
        </is>
      </c>
      <c r="C72" s="27" t="n"/>
      <c r="D72" t="n">
        <v>300</v>
      </c>
      <c r="E72" s="24" t="n">
        <v>46068</v>
      </c>
      <c r="F72" s="24" t="n">
        <v>46072</v>
      </c>
      <c r="G72" t="inlineStr">
        <is>
          <t>TTAF Stock</t>
        </is>
      </c>
      <c r="H72">
        <f>IFERROR(MAX(1,MIN(104,INT((IF(F72="",E72,F72)-(DATE(Cal_Weeks!$B$1,1,1)-WEEKDAY(DATE(Cal_Weeks!$B$1,1,1),3)))/7)+1)),"")</f>
        <v/>
      </c>
      <c r="I72" s="28" t="n"/>
    </row>
    <row r="73">
      <c r="A73" t="inlineStr">
        <is>
          <t>CHEM-1570</t>
        </is>
      </c>
      <c r="B73" t="inlineStr">
        <is>
          <t>PO066939</t>
        </is>
      </c>
      <c r="C73" s="27" t="n"/>
      <c r="D73" t="n">
        <v>36</v>
      </c>
      <c r="E73" s="24" t="n">
        <v>46068</v>
      </c>
      <c r="F73" s="24" t="n">
        <v>46072</v>
      </c>
      <c r="G73" t="inlineStr">
        <is>
          <t>TTAF Stock</t>
        </is>
      </c>
      <c r="H73">
        <f>IFERROR(MAX(1,MIN(104,INT((IF(F73="",E73,F73)-(DATE(Cal_Weeks!$B$1,1,1)-WEEKDAY(DATE(Cal_Weeks!$B$1,1,1),3)))/7)+1)),"")</f>
        <v/>
      </c>
      <c r="I73" s="28" t="n"/>
    </row>
    <row r="74">
      <c r="A74" t="inlineStr">
        <is>
          <t>CHEM-1670</t>
        </is>
      </c>
      <c r="B74" t="inlineStr">
        <is>
          <t>PO066939</t>
        </is>
      </c>
      <c r="C74" s="27" t="n"/>
      <c r="D74" t="n">
        <v>180</v>
      </c>
      <c r="E74" s="24" t="n">
        <v>46068</v>
      </c>
      <c r="F74" s="24" t="n">
        <v>46072</v>
      </c>
      <c r="G74" t="inlineStr">
        <is>
          <t>TTAF Stock</t>
        </is>
      </c>
      <c r="H74">
        <f>IFERROR(MAX(1,MIN(104,INT((IF(F74="",E74,F74)-(DATE(Cal_Weeks!$B$1,1,1)-WEEKDAY(DATE(Cal_Weeks!$B$1,1,1),3)))/7)+1)),"")</f>
        <v/>
      </c>
      <c r="I74" s="28" t="n"/>
    </row>
    <row r="75">
      <c r="A75" t="inlineStr">
        <is>
          <t>CHEM-1690</t>
        </is>
      </c>
      <c r="B75" t="inlineStr">
        <is>
          <t>PO066939</t>
        </is>
      </c>
      <c r="C75" s="27" t="n"/>
      <c r="D75" t="n">
        <v>135</v>
      </c>
      <c r="E75" s="24" t="n">
        <v>46068</v>
      </c>
      <c r="F75" s="24" t="n">
        <v>46072</v>
      </c>
      <c r="G75" t="inlineStr">
        <is>
          <t>TTAF Stock</t>
        </is>
      </c>
      <c r="H75">
        <f>IFERROR(MAX(1,MIN(104,INT((IF(F75="",E75,F75)-(DATE(Cal_Weeks!$B$1,1,1)-WEEKDAY(DATE(Cal_Weeks!$B$1,1,1),3)))/7)+1)),"")</f>
        <v/>
      </c>
      <c r="I75" s="28" t="n"/>
    </row>
    <row r="76">
      <c r="A76" t="inlineStr">
        <is>
          <t>CHEM-1700</t>
        </is>
      </c>
      <c r="B76" t="inlineStr">
        <is>
          <t>PO066939</t>
        </is>
      </c>
      <c r="C76" s="27" t="n"/>
      <c r="D76" t="n">
        <v>60</v>
      </c>
      <c r="E76" s="24" t="n">
        <v>46068</v>
      </c>
      <c r="F76" s="24" t="n">
        <v>46072</v>
      </c>
      <c r="G76" t="inlineStr">
        <is>
          <t>TTAF Stock</t>
        </is>
      </c>
      <c r="H76">
        <f>IFERROR(MAX(1,MIN(104,INT((IF(F76="",E76,F76)-(DATE(Cal_Weeks!$B$1,1,1)-WEEKDAY(DATE(Cal_Weeks!$B$1,1,1),3)))/7)+1)),"")</f>
        <v/>
      </c>
      <c r="I76" s="28" t="n"/>
    </row>
    <row r="77">
      <c r="A77" t="inlineStr">
        <is>
          <t>CHEM-1720</t>
        </is>
      </c>
      <c r="B77" t="inlineStr">
        <is>
          <t>PO066939</t>
        </is>
      </c>
      <c r="C77" s="27" t="n"/>
      <c r="D77" t="n">
        <v>2040</v>
      </c>
      <c r="E77" s="24" t="n">
        <v>46068</v>
      </c>
      <c r="F77" s="24" t="n">
        <v>46072</v>
      </c>
      <c r="G77" t="inlineStr">
        <is>
          <t>TTAF Stock</t>
        </is>
      </c>
      <c r="H77">
        <f>IFERROR(MAX(1,MIN(104,INT((IF(F77="",E77,F77)-(DATE(Cal_Weeks!$B$1,1,1)-WEEKDAY(DATE(Cal_Weeks!$B$1,1,1),3)))/7)+1)),"")</f>
        <v/>
      </c>
      <c r="I77" s="28" t="n"/>
    </row>
    <row r="78">
      <c r="A78" t="inlineStr">
        <is>
          <t>CHEM-1760</t>
        </is>
      </c>
      <c r="B78" t="inlineStr">
        <is>
          <t>PO066939</t>
        </is>
      </c>
      <c r="C78" s="27" t="n"/>
      <c r="D78" t="n">
        <v>17</v>
      </c>
      <c r="E78" s="24" t="n">
        <v>46068</v>
      </c>
      <c r="F78" s="24" t="n">
        <v>46072</v>
      </c>
      <c r="G78" t="inlineStr">
        <is>
          <t>TTAF Stock</t>
        </is>
      </c>
      <c r="H78">
        <f>IFERROR(MAX(1,MIN(104,INT((IF(F78="",E78,F78)-(DATE(Cal_Weeks!$B$1,1,1)-WEEKDAY(DATE(Cal_Weeks!$B$1,1,1),3)))/7)+1)),"")</f>
        <v/>
      </c>
      <c r="I78" s="28" t="n"/>
    </row>
    <row r="79">
      <c r="A79" t="inlineStr">
        <is>
          <t>CHEM-1680</t>
        </is>
      </c>
      <c r="B79" t="inlineStr">
        <is>
          <t>PO066939</t>
        </is>
      </c>
      <c r="C79" s="27" t="n"/>
      <c r="D79" t="n">
        <v>200</v>
      </c>
      <c r="E79" s="24" t="n">
        <v>46068</v>
      </c>
      <c r="F79" s="24" t="n">
        <v>46072</v>
      </c>
      <c r="G79" t="inlineStr">
        <is>
          <t>TTAF Stock</t>
        </is>
      </c>
      <c r="H79">
        <f>IFERROR(MAX(1,MIN(104,INT((IF(F79="",E79,F79)-(DATE(Cal_Weeks!$B$1,1,1)-WEEKDAY(DATE(Cal_Weeks!$B$1,1,1),3)))/7)+1)),"")</f>
        <v/>
      </c>
      <c r="I79" s="28" t="n"/>
    </row>
    <row r="80">
      <c r="A80" t="inlineStr">
        <is>
          <t>CHEM-1660</t>
        </is>
      </c>
      <c r="B80" t="inlineStr">
        <is>
          <t>PO066949</t>
        </is>
      </c>
      <c r="C80" s="27" t="n"/>
      <c r="D80" t="n">
        <v>60</v>
      </c>
      <c r="E80" s="24" t="n">
        <v>46056</v>
      </c>
      <c r="G80" t="inlineStr">
        <is>
          <t>TTAF Stock</t>
        </is>
      </c>
      <c r="H80">
        <f>IFERROR(MAX(1,MIN(104,INT((IF(F80="",E80,F80)-(DATE(Cal_Weeks!$B$1,1,1)-WEEKDAY(DATE(Cal_Weeks!$B$1,1,1),3)))/7)+1)),"")</f>
        <v/>
      </c>
      <c r="I80" s="28" t="n"/>
    </row>
    <row r="81">
      <c r="A81" t="inlineStr">
        <is>
          <t>CHEM-1850</t>
        </is>
      </c>
      <c r="B81" t="inlineStr"/>
      <c r="C81" s="27" t="n"/>
      <c r="D81" t="n">
        <v>18.64</v>
      </c>
      <c r="E81" s="24" t="n">
        <v>46068</v>
      </c>
      <c r="F81" s="24" t="n">
        <v>46072</v>
      </c>
      <c r="G81" t="inlineStr">
        <is>
          <t>TTAF Stock</t>
        </is>
      </c>
      <c r="H81">
        <f>IFERROR(MAX(1,MIN(104,INT((IF(F81="",E81,F81)-(DATE(Cal_Weeks!$B$1,1,1)-WEEKDAY(DATE(Cal_Weeks!$B$1,1,1),3)))/7)+1)),"")</f>
        <v/>
      </c>
      <c r="I81" s="28" t="n"/>
    </row>
    <row r="82">
      <c r="A82" t="inlineStr">
        <is>
          <t>4HL</t>
        </is>
      </c>
      <c r="B82" t="inlineStr"/>
      <c r="C82" s="27" t="n"/>
      <c r="D82" t="n">
        <v>9120</v>
      </c>
      <c r="E82" s="24" t="n">
        <v>46075</v>
      </c>
      <c r="F82" s="24" t="n">
        <v>46079</v>
      </c>
      <c r="G82" t="inlineStr">
        <is>
          <t>TTAF Stock</t>
        </is>
      </c>
      <c r="H82">
        <f>IFERROR(MAX(1,MIN(104,INT((IF(F82="",E82,F82)-(DATE(Cal_Weeks!$B$1,1,1)-WEEKDAY(DATE(Cal_Weeks!$B$1,1,1),3)))/7)+1)),"")</f>
        <v/>
      </c>
      <c r="I82" s="28" t="n"/>
    </row>
    <row r="83">
      <c r="A83" t="inlineStr">
        <is>
          <t>4HL</t>
        </is>
      </c>
      <c r="B83" t="inlineStr"/>
      <c r="C83" s="27" t="n"/>
      <c r="D83" t="n">
        <v>14400</v>
      </c>
      <c r="E83" s="24" t="n">
        <v>46097</v>
      </c>
      <c r="F83" s="24" t="n">
        <v>46102</v>
      </c>
      <c r="G83" t="inlineStr">
        <is>
          <t>TTAF Stock</t>
        </is>
      </c>
      <c r="H83">
        <f>IFERROR(MAX(1,MIN(104,INT((IF(F83="",E83,F83)-(DATE(Cal_Weeks!$B$1,1,1)-WEEKDAY(DATE(Cal_Weeks!$B$1,1,1),3)))/7)+1)),"")</f>
        <v/>
      </c>
      <c r="I83" s="28" t="n"/>
    </row>
    <row r="84">
      <c r="A84" t="inlineStr">
        <is>
          <t>4HL</t>
        </is>
      </c>
      <c r="B84" t="inlineStr"/>
      <c r="C84" s="27" t="n"/>
      <c r="D84" t="n">
        <v>14400</v>
      </c>
      <c r="E84" s="24" t="n">
        <v>46082</v>
      </c>
      <c r="F84" s="24" t="n">
        <v>46090</v>
      </c>
      <c r="G84" t="inlineStr">
        <is>
          <t>TTAF Stock</t>
        </is>
      </c>
      <c r="H84">
        <f>IFERROR(MAX(1,MIN(104,INT((IF(F84="",E84,F84)-(DATE(Cal_Weeks!$B$1,1,1)-WEEKDAY(DATE(Cal_Weeks!$B$1,1,1),3)))/7)+1)),"")</f>
        <v/>
      </c>
      <c r="I84" s="28" t="n"/>
    </row>
    <row r="85">
      <c r="A85" t="inlineStr">
        <is>
          <t>4HL</t>
        </is>
      </c>
      <c r="B85" t="inlineStr"/>
      <c r="C85" s="27" t="n"/>
      <c r="D85" t="n">
        <v>20640</v>
      </c>
      <c r="E85" s="24" t="n">
        <v>46092</v>
      </c>
      <c r="F85" s="24" t="n">
        <v>46098</v>
      </c>
      <c r="G85" t="inlineStr">
        <is>
          <t>TTAF Stock</t>
        </is>
      </c>
      <c r="H85">
        <f>IFERROR(MAX(1,MIN(104,INT((IF(F85="",E85,F85)-(DATE(Cal_Weeks!$B$1,1,1)-WEEKDAY(DATE(Cal_Weeks!$B$1,1,1),3)))/7)+1)),"")</f>
        <v/>
      </c>
      <c r="I85" s="28" t="n"/>
    </row>
    <row r="86">
      <c r="A86" t="inlineStr">
        <is>
          <t>4HL</t>
        </is>
      </c>
      <c r="B86" t="inlineStr"/>
      <c r="C86" s="27" t="n"/>
      <c r="D86" t="n">
        <v>16320</v>
      </c>
      <c r="E86" s="24" t="n">
        <v>46103</v>
      </c>
      <c r="F86" s="24" t="n">
        <v>46108</v>
      </c>
      <c r="G86" t="inlineStr">
        <is>
          <t>TTAF Stock</t>
        </is>
      </c>
      <c r="H86">
        <f>IFERROR(MAX(1,MIN(104,INT((IF(F86="",E86,F86)-(DATE(Cal_Weeks!$B$1,1,1)-WEEKDAY(DATE(Cal_Weeks!$B$1,1,1),3)))/7)+1)),"")</f>
        <v/>
      </c>
      <c r="I86" s="28" t="n"/>
    </row>
    <row r="87">
      <c r="A87" t="inlineStr">
        <is>
          <t>4HL</t>
        </is>
      </c>
      <c r="B87" t="inlineStr"/>
      <c r="C87" s="27" t="n"/>
      <c r="D87" t="n">
        <v>960</v>
      </c>
      <c r="E87" s="24" t="n">
        <v>46104</v>
      </c>
      <c r="F87" s="24" t="n">
        <v>46112</v>
      </c>
      <c r="G87" t="inlineStr">
        <is>
          <t>TTAF Stock</t>
        </is>
      </c>
      <c r="H87">
        <f>IFERROR(MAX(1,MIN(104,INT((IF(F87="",E87,F87)-(DATE(Cal_Weeks!$B$1,1,1)-WEEKDAY(DATE(Cal_Weeks!$B$1,1,1),3)))/7)+1)),"")</f>
        <v/>
      </c>
      <c r="I87" s="28" t="n"/>
    </row>
    <row r="88">
      <c r="A88" t="inlineStr">
        <is>
          <t>4HL</t>
        </is>
      </c>
      <c r="B88" t="inlineStr"/>
      <c r="C88" s="27" t="n"/>
      <c r="D88" t="n">
        <v>432</v>
      </c>
      <c r="E88" s="24" t="n">
        <v>46075</v>
      </c>
      <c r="F88" s="24" t="n">
        <v>46079</v>
      </c>
      <c r="G88" t="inlineStr">
        <is>
          <t>TTAF Stock</t>
        </is>
      </c>
      <c r="H88">
        <f>IFERROR(MAX(1,MIN(104,INT((IF(F88="",E88,F88)-(DATE(Cal_Weeks!$B$1,1,1)-WEEKDAY(DATE(Cal_Weeks!$B$1,1,1),3)))/7)+1)),"")</f>
        <v/>
      </c>
      <c r="I88" s="28" t="n"/>
    </row>
    <row r="89">
      <c r="A89" t="inlineStr">
        <is>
          <t>1EK</t>
        </is>
      </c>
      <c r="B89" t="inlineStr"/>
      <c r="C89" s="27" t="n"/>
      <c r="D89" t="n">
        <v>14400</v>
      </c>
      <c r="E89" s="24" t="n">
        <v>46075</v>
      </c>
      <c r="F89" s="24" t="n">
        <v>46079</v>
      </c>
      <c r="G89" t="inlineStr">
        <is>
          <t>TTAF Stock</t>
        </is>
      </c>
      <c r="H89">
        <f>IFERROR(MAX(1,MIN(104,INT((IF(F89="",E89,F89)-(DATE(Cal_Weeks!$B$1,1,1)-WEEKDAY(DATE(Cal_Weeks!$B$1,1,1),3)))/7)+1)),"")</f>
        <v/>
      </c>
      <c r="I89" s="28" t="n"/>
    </row>
    <row r="90">
      <c r="A90" t="inlineStr">
        <is>
          <t>1EK</t>
        </is>
      </c>
      <c r="B90" t="inlineStr"/>
      <c r="C90" s="27" t="n"/>
      <c r="D90" t="n">
        <v>14400</v>
      </c>
      <c r="E90" s="24" t="n">
        <v>46082</v>
      </c>
      <c r="F90" s="24" t="n">
        <v>46090</v>
      </c>
      <c r="G90" t="inlineStr">
        <is>
          <t>TTAF Stock</t>
        </is>
      </c>
      <c r="H90">
        <f>IFERROR(MAX(1,MIN(104,INT((IF(F90="",E90,F90)-(DATE(Cal_Weeks!$B$1,1,1)-WEEKDAY(DATE(Cal_Weeks!$B$1,1,1),3)))/7)+1)),"")</f>
        <v/>
      </c>
      <c r="I90" s="28" t="n"/>
    </row>
    <row r="91">
      <c r="A91" t="inlineStr">
        <is>
          <t>1EK</t>
        </is>
      </c>
      <c r="B91" t="inlineStr"/>
      <c r="C91" s="27" t="n"/>
      <c r="D91" t="n">
        <v>9120</v>
      </c>
      <c r="E91" s="24" t="n">
        <v>46092</v>
      </c>
      <c r="F91" s="24" t="n">
        <v>46098</v>
      </c>
      <c r="G91" t="inlineStr">
        <is>
          <t>TTAF Stock</t>
        </is>
      </c>
      <c r="H91">
        <f>IFERROR(MAX(1,MIN(104,INT((IF(F91="",E91,F91)-(DATE(Cal_Weeks!$B$1,1,1)-WEEKDAY(DATE(Cal_Weeks!$B$1,1,1),3)))/7)+1)),"")</f>
        <v/>
      </c>
      <c r="I91" s="28" t="n"/>
    </row>
    <row r="92">
      <c r="A92" t="inlineStr">
        <is>
          <t>TDJ</t>
        </is>
      </c>
      <c r="B92" t="inlineStr">
        <is>
          <t>PO066946</t>
        </is>
      </c>
      <c r="C92" s="27" t="n"/>
      <c r="D92" t="n">
        <v>784</v>
      </c>
      <c r="E92" s="24" t="n">
        <v>46112</v>
      </c>
      <c r="F92" s="24" t="n">
        <v>46114</v>
      </c>
      <c r="G92" t="inlineStr">
        <is>
          <t>TTAF Stock</t>
        </is>
      </c>
      <c r="H92">
        <f>IFERROR(MAX(1,MIN(104,INT((IF(F92="",E92,F92)-(DATE(Cal_Weeks!$B$1,1,1)-WEEKDAY(DATE(Cal_Weeks!$B$1,1,1),3)))/7)+1)),"")</f>
        <v/>
      </c>
      <c r="I92" s="28" t="n"/>
    </row>
    <row r="93">
      <c r="A93" t="inlineStr">
        <is>
          <t>9RN</t>
        </is>
      </c>
      <c r="B93" t="inlineStr">
        <is>
          <t>PO066934</t>
        </is>
      </c>
      <c r="C93" s="27" t="n"/>
      <c r="D93" t="n">
        <v>21780</v>
      </c>
      <c r="E93" s="24" t="n">
        <v>46068</v>
      </c>
      <c r="F93" s="24" t="n">
        <v>46072</v>
      </c>
      <c r="G93" t="inlineStr">
        <is>
          <t>TTAF Stock</t>
        </is>
      </c>
      <c r="H93">
        <f>IFERROR(MAX(1,MIN(104,INT((IF(F93="",E93,F93)-(DATE(Cal_Weeks!$B$1,1,1)-WEEKDAY(DATE(Cal_Weeks!$B$1,1,1),3)))/7)+1)),"")</f>
        <v/>
      </c>
      <c r="I93" s="28" t="n"/>
    </row>
    <row r="94">
      <c r="A94" t="inlineStr">
        <is>
          <t>OJN</t>
        </is>
      </c>
      <c r="B94" t="inlineStr">
        <is>
          <t>PO066940</t>
        </is>
      </c>
      <c r="C94" s="27" t="n"/>
      <c r="D94" t="n">
        <v>8243</v>
      </c>
      <c r="E94" s="24" t="n">
        <v>46095</v>
      </c>
      <c r="F94" s="24" t="n">
        <v>46099</v>
      </c>
      <c r="G94" t="inlineStr">
        <is>
          <t>TTAF Stock</t>
        </is>
      </c>
      <c r="H94">
        <f>IFERROR(MAX(1,MIN(104,INT((IF(F94="",E94,F94)-(DATE(Cal_Weeks!$B$1,1,1)-WEEKDAY(DATE(Cal_Weeks!$B$1,1,1),3)))/7)+1)),"")</f>
        <v/>
      </c>
      <c r="I94" s="28" t="n"/>
    </row>
    <row r="95">
      <c r="A95" t="inlineStr">
        <is>
          <t>CHEM-1240</t>
        </is>
      </c>
      <c r="B95" t="inlineStr">
        <is>
          <t>PO067067</t>
        </is>
      </c>
      <c r="C95" s="27" t="n"/>
      <c r="D95" t="n">
        <v>440</v>
      </c>
      <c r="E95" s="24" t="n">
        <v>46092</v>
      </c>
      <c r="F95" s="24" t="n">
        <v>46099</v>
      </c>
      <c r="G95" t="inlineStr">
        <is>
          <t>TTAF Stock</t>
        </is>
      </c>
      <c r="H95">
        <f>IFERROR(MAX(1,MIN(104,INT((IF(F95="",E95,F95)-(DATE(Cal_Weeks!$B$1,1,1)-WEEKDAY(DATE(Cal_Weeks!$B$1,1,1),3)))/7)+1)),"")</f>
        <v/>
      </c>
      <c r="I95" s="28" t="n"/>
    </row>
    <row r="96">
      <c r="A96" t="inlineStr">
        <is>
          <t>CHEM-1250</t>
        </is>
      </c>
      <c r="B96" t="inlineStr">
        <is>
          <t>PO067067</t>
        </is>
      </c>
      <c r="C96" s="27" t="n"/>
      <c r="D96" t="n">
        <v>100</v>
      </c>
      <c r="E96" s="24" t="n">
        <v>46092</v>
      </c>
      <c r="F96" s="24" t="n">
        <v>46099</v>
      </c>
      <c r="G96" t="inlineStr">
        <is>
          <t>TTAF Stock</t>
        </is>
      </c>
      <c r="H96">
        <f>IFERROR(MAX(1,MIN(104,INT((IF(F96="",E96,F96)-(DATE(Cal_Weeks!$B$1,1,1)-WEEKDAY(DATE(Cal_Weeks!$B$1,1,1),3)))/7)+1)),"")</f>
        <v/>
      </c>
      <c r="I96" s="28" t="n"/>
    </row>
    <row r="97">
      <c r="A97" t="inlineStr">
        <is>
          <t>CHEM-1400</t>
        </is>
      </c>
      <c r="B97" t="inlineStr">
        <is>
          <t>PO067067</t>
        </is>
      </c>
      <c r="C97" s="27" t="n"/>
      <c r="D97" t="n">
        <v>100</v>
      </c>
      <c r="E97" s="24" t="n">
        <v>46092</v>
      </c>
      <c r="F97" s="24" t="n">
        <v>46099</v>
      </c>
      <c r="G97" t="inlineStr">
        <is>
          <t>TTAF Stock</t>
        </is>
      </c>
      <c r="H97">
        <f>IFERROR(MAX(1,MIN(104,INT((IF(F97="",E97,F97)-(DATE(Cal_Weeks!$B$1,1,1)-WEEKDAY(DATE(Cal_Weeks!$B$1,1,1),3)))/7)+1)),"")</f>
        <v/>
      </c>
      <c r="I97" s="28" t="n"/>
    </row>
    <row r="98">
      <c r="A98" t="inlineStr">
        <is>
          <t>CHEM-1420</t>
        </is>
      </c>
      <c r="B98" t="inlineStr">
        <is>
          <t>PO067067</t>
        </is>
      </c>
      <c r="C98" s="27" t="n"/>
      <c r="D98" t="n">
        <v>160</v>
      </c>
      <c r="E98" s="24" t="n">
        <v>46092</v>
      </c>
      <c r="F98" s="24" t="n">
        <v>46099</v>
      </c>
      <c r="G98" t="inlineStr">
        <is>
          <t>TTAF Stock</t>
        </is>
      </c>
      <c r="H98">
        <f>IFERROR(MAX(1,MIN(104,INT((IF(F98="",E98,F98)-(DATE(Cal_Weeks!$B$1,1,1)-WEEKDAY(DATE(Cal_Weeks!$B$1,1,1),3)))/7)+1)),"")</f>
        <v/>
      </c>
      <c r="I98" s="28" t="n"/>
    </row>
    <row r="99">
      <c r="A99" t="inlineStr">
        <is>
          <t>CHEM-1440</t>
        </is>
      </c>
      <c r="B99" t="inlineStr">
        <is>
          <t>PO067067</t>
        </is>
      </c>
      <c r="C99" s="27" t="n"/>
      <c r="D99" t="n">
        <v>200</v>
      </c>
      <c r="E99" s="24" t="n">
        <v>46092</v>
      </c>
      <c r="F99" s="24" t="n">
        <v>46099</v>
      </c>
      <c r="G99" t="inlineStr">
        <is>
          <t>TTAF Stock</t>
        </is>
      </c>
      <c r="H99">
        <f>IFERROR(MAX(1,MIN(104,INT((IF(F99="",E99,F99)-(DATE(Cal_Weeks!$B$1,1,1)-WEEKDAY(DATE(Cal_Weeks!$B$1,1,1),3)))/7)+1)),"")</f>
        <v/>
      </c>
      <c r="I99" s="28" t="n"/>
    </row>
    <row r="100">
      <c r="A100" t="inlineStr">
        <is>
          <t>CHEM-1540</t>
        </is>
      </c>
      <c r="B100" t="inlineStr">
        <is>
          <t>PO067067</t>
        </is>
      </c>
      <c r="C100" s="27" t="n"/>
      <c r="D100" t="n">
        <v>3000</v>
      </c>
      <c r="E100" s="24" t="n">
        <v>46092</v>
      </c>
      <c r="F100" s="24" t="n">
        <v>46099</v>
      </c>
      <c r="G100" t="inlineStr">
        <is>
          <t>TTAF Stock</t>
        </is>
      </c>
      <c r="H100">
        <f>IFERROR(MAX(1,MIN(104,INT((IF(F100="",E100,F100)-(DATE(Cal_Weeks!$B$1,1,1)-WEEKDAY(DATE(Cal_Weeks!$B$1,1,1),3)))/7)+1)),"")</f>
        <v/>
      </c>
      <c r="I100" s="28" t="n"/>
    </row>
    <row r="101">
      <c r="A101" t="inlineStr">
        <is>
          <t>CHEM-1530</t>
        </is>
      </c>
      <c r="B101" t="inlineStr">
        <is>
          <t>PO067067</t>
        </is>
      </c>
      <c r="C101" s="27" t="n"/>
      <c r="D101" t="n">
        <v>2100</v>
      </c>
      <c r="E101" s="24" t="n">
        <v>46092</v>
      </c>
      <c r="F101" s="24" t="n">
        <v>46099</v>
      </c>
      <c r="G101" t="inlineStr">
        <is>
          <t>TTAF Stock</t>
        </is>
      </c>
      <c r="H101">
        <f>IFERROR(MAX(1,MIN(104,INT((IF(F101="",E101,F101)-(DATE(Cal_Weeks!$B$1,1,1)-WEEKDAY(DATE(Cal_Weeks!$B$1,1,1),3)))/7)+1)),"")</f>
        <v/>
      </c>
      <c r="I101" s="28" t="n"/>
    </row>
    <row r="102">
      <c r="A102" t="inlineStr">
        <is>
          <t>CHEM-1600</t>
        </is>
      </c>
      <c r="B102" t="inlineStr">
        <is>
          <t>PO067067</t>
        </is>
      </c>
      <c r="C102" s="27" t="n"/>
      <c r="D102" t="n">
        <v>100</v>
      </c>
      <c r="E102" s="24" t="n">
        <v>46092</v>
      </c>
      <c r="F102" s="24" t="n">
        <v>46099</v>
      </c>
      <c r="G102" t="inlineStr">
        <is>
          <t>TTAF Stock</t>
        </is>
      </c>
      <c r="H102">
        <f>IFERROR(MAX(1,MIN(104,INT((IF(F102="",E102,F102)-(DATE(Cal_Weeks!$B$1,1,1)-WEEKDAY(DATE(Cal_Weeks!$B$1,1,1),3)))/7)+1)),"")</f>
        <v/>
      </c>
      <c r="I102" s="28" t="n"/>
    </row>
    <row r="103">
      <c r="A103" t="inlineStr">
        <is>
          <t>CHEM-1570</t>
        </is>
      </c>
      <c r="B103" t="inlineStr">
        <is>
          <t>PO067067</t>
        </is>
      </c>
      <c r="C103" s="27" t="n"/>
      <c r="D103" t="n">
        <v>36</v>
      </c>
      <c r="E103" s="24" t="n">
        <v>46092</v>
      </c>
      <c r="F103" s="24" t="n">
        <v>46099</v>
      </c>
      <c r="G103" t="inlineStr">
        <is>
          <t>TTAF Stock</t>
        </is>
      </c>
      <c r="H103">
        <f>IFERROR(MAX(1,MIN(104,INT((IF(F103="",E103,F103)-(DATE(Cal_Weeks!$B$1,1,1)-WEEKDAY(DATE(Cal_Weeks!$B$1,1,1),3)))/7)+1)),"")</f>
        <v/>
      </c>
      <c r="I103" s="28" t="n"/>
    </row>
    <row r="104">
      <c r="A104" t="inlineStr">
        <is>
          <t>CHEM-1670</t>
        </is>
      </c>
      <c r="B104" t="inlineStr">
        <is>
          <t>PO067067</t>
        </is>
      </c>
      <c r="C104" s="27" t="n"/>
      <c r="D104" t="n">
        <v>180</v>
      </c>
      <c r="E104" s="24" t="n">
        <v>46092</v>
      </c>
      <c r="F104" s="24" t="n">
        <v>46099</v>
      </c>
      <c r="G104" t="inlineStr">
        <is>
          <t>TTAF Stock</t>
        </is>
      </c>
      <c r="H104">
        <f>IFERROR(MAX(1,MIN(104,INT((IF(F104="",E104,F104)-(DATE(Cal_Weeks!$B$1,1,1)-WEEKDAY(DATE(Cal_Weeks!$B$1,1,1),3)))/7)+1)),"")</f>
        <v/>
      </c>
      <c r="I104" s="28" t="n"/>
    </row>
    <row r="105">
      <c r="A105" t="inlineStr">
        <is>
          <t>CHEM-1700</t>
        </is>
      </c>
      <c r="B105" t="inlineStr">
        <is>
          <t>PO067067</t>
        </is>
      </c>
      <c r="C105" s="27" t="n"/>
      <c r="D105" t="n">
        <v>60</v>
      </c>
      <c r="E105" s="24" t="n">
        <v>46092</v>
      </c>
      <c r="F105" s="24" t="n">
        <v>46099</v>
      </c>
      <c r="G105" t="inlineStr">
        <is>
          <t>TTAF Stock</t>
        </is>
      </c>
      <c r="H105">
        <f>IFERROR(MAX(1,MIN(104,INT((IF(F105="",E105,F105)-(DATE(Cal_Weeks!$B$1,1,1)-WEEKDAY(DATE(Cal_Weeks!$B$1,1,1),3)))/7)+1)),"")</f>
        <v/>
      </c>
      <c r="I105" s="28" t="n"/>
    </row>
    <row r="106">
      <c r="A106" t="inlineStr">
        <is>
          <t>CHEM-1720</t>
        </is>
      </c>
      <c r="B106" t="inlineStr">
        <is>
          <t>PO067067</t>
        </is>
      </c>
      <c r="C106" s="27" t="n"/>
      <c r="D106" t="n">
        <v>720</v>
      </c>
      <c r="E106" s="24" t="n">
        <v>46092</v>
      </c>
      <c r="F106" s="24" t="n">
        <v>46099</v>
      </c>
      <c r="G106" t="inlineStr">
        <is>
          <t>TTAF Stock</t>
        </is>
      </c>
      <c r="H106">
        <f>IFERROR(MAX(1,MIN(104,INT((IF(F106="",E106,F106)-(DATE(Cal_Weeks!$B$1,1,1)-WEEKDAY(DATE(Cal_Weeks!$B$1,1,1),3)))/7)+1)),"")</f>
        <v/>
      </c>
      <c r="I106" s="28" t="n"/>
    </row>
    <row r="107">
      <c r="A107" t="inlineStr">
        <is>
          <t>PP Film</t>
        </is>
      </c>
      <c r="B107" t="inlineStr">
        <is>
          <t>PO067067</t>
        </is>
      </c>
      <c r="C107" s="27" t="n"/>
      <c r="D107" t="n">
        <v>3000</v>
      </c>
      <c r="E107" s="24" t="n">
        <v>46092</v>
      </c>
      <c r="F107" s="24" t="n">
        <v>46099</v>
      </c>
      <c r="G107" t="inlineStr">
        <is>
          <t>TTAF Stock</t>
        </is>
      </c>
      <c r="H107">
        <f>IFERROR(MAX(1,MIN(104,INT((IF(F107="",E107,F107)-(DATE(Cal_Weeks!$B$1,1,1)-WEEKDAY(DATE(Cal_Weeks!$B$1,1,1),3)))/7)+1)),"")</f>
        <v/>
      </c>
      <c r="I107" s="28" t="n"/>
    </row>
    <row r="108">
      <c r="A108" t="inlineStr">
        <is>
          <t>CHEM-1650</t>
        </is>
      </c>
      <c r="B108" t="inlineStr">
        <is>
          <t>PO067067</t>
        </is>
      </c>
      <c r="C108" s="27" t="n"/>
      <c r="D108" t="n">
        <v>25</v>
      </c>
      <c r="E108" s="24" t="n">
        <v>46092</v>
      </c>
      <c r="F108" s="24" t="n">
        <v>46099</v>
      </c>
      <c r="G108" t="inlineStr">
        <is>
          <t>TTAF Stock</t>
        </is>
      </c>
      <c r="H108">
        <f>IFERROR(MAX(1,MIN(104,INT((IF(F108="",E108,F108)-(DATE(Cal_Weeks!$B$1,1,1)-WEEKDAY(DATE(Cal_Weeks!$B$1,1,1),3)))/7)+1)),"")</f>
        <v/>
      </c>
      <c r="I108" s="28" t="n"/>
    </row>
    <row r="109">
      <c r="A109" t="inlineStr">
        <is>
          <t>Original Towel</t>
        </is>
      </c>
      <c r="B109" t="inlineStr">
        <is>
          <t>PO067067</t>
        </is>
      </c>
      <c r="C109" s="27" t="n"/>
      <c r="D109" t="n">
        <v>10000</v>
      </c>
      <c r="E109" s="24" t="n">
        <v>46092</v>
      </c>
      <c r="F109" s="24" t="n">
        <v>46099</v>
      </c>
      <c r="G109" t="inlineStr">
        <is>
          <t>TTAF Stock</t>
        </is>
      </c>
      <c r="H109">
        <f>IFERROR(MAX(1,MIN(104,INT((IF(F109="",E109,F109)-(DATE(Cal_Weeks!$B$1,1,1)-WEEKDAY(DATE(Cal_Weeks!$B$1,1,1),3)))/7)+1)),"")</f>
        <v/>
      </c>
      <c r="I109" s="28" t="n"/>
    </row>
    <row r="110">
      <c r="A110" t="inlineStr">
        <is>
          <t>CHEM-1850</t>
        </is>
      </c>
      <c r="B110" t="inlineStr"/>
      <c r="C110" s="27" t="n"/>
      <c r="D110" t="n">
        <v>18.7</v>
      </c>
      <c r="E110" s="24" t="n">
        <v>46092</v>
      </c>
      <c r="F110" s="24" t="n">
        <v>46099</v>
      </c>
      <c r="G110" t="inlineStr">
        <is>
          <t>TTAF Stock</t>
        </is>
      </c>
      <c r="H110">
        <f>IFERROR(MAX(1,MIN(104,INT((IF(F110="",E110,F110)-(DATE(Cal_Weeks!$B$1,1,1)-WEEKDAY(DATE(Cal_Weeks!$B$1,1,1),3)))/7)+1)),"")</f>
        <v/>
      </c>
      <c r="I110" s="28" t="n"/>
    </row>
    <row r="111">
      <c r="A111" t="inlineStr">
        <is>
          <t>CHEM-1660</t>
        </is>
      </c>
      <c r="B111" t="inlineStr">
        <is>
          <t>PO067070</t>
        </is>
      </c>
      <c r="C111" s="27" t="n"/>
      <c r="D111" t="n">
        <v>180</v>
      </c>
      <c r="E111" s="24" t="n">
        <v>46092</v>
      </c>
      <c r="F111" s="24" t="n">
        <v>46099</v>
      </c>
      <c r="G111" t="inlineStr">
        <is>
          <t>TTAF Stock</t>
        </is>
      </c>
      <c r="H111">
        <f>IFERROR(MAX(1,MIN(104,INT((IF(F111="",E111,F111)-(DATE(Cal_Weeks!$B$1,1,1)-WEEKDAY(DATE(Cal_Weeks!$B$1,1,1),3)))/7)+1)),"")</f>
        <v/>
      </c>
      <c r="I111" s="28" t="n"/>
    </row>
    <row r="112">
      <c r="A112" t="inlineStr">
        <is>
          <t>CHEM-1280</t>
        </is>
      </c>
      <c r="B112" t="inlineStr">
        <is>
          <t>PO067070</t>
        </is>
      </c>
      <c r="C112" s="27" t="n"/>
      <c r="D112" t="n">
        <v>1000</v>
      </c>
      <c r="E112" s="24" t="n">
        <v>46092</v>
      </c>
      <c r="F112" s="24" t="n">
        <v>46099</v>
      </c>
      <c r="G112" t="inlineStr">
        <is>
          <t>TTAF Stock</t>
        </is>
      </c>
      <c r="H112">
        <f>IFERROR(MAX(1,MIN(104,INT((IF(F112="",E112,F112)-(DATE(Cal_Weeks!$B$1,1,1)-WEEKDAY(DATE(Cal_Weeks!$B$1,1,1),3)))/7)+1)),"")</f>
        <v/>
      </c>
      <c r="I112" s="28" t="n"/>
    </row>
    <row r="113">
      <c r="A113" t="inlineStr">
        <is>
          <t>4HL</t>
        </is>
      </c>
      <c r="B113" t="inlineStr"/>
      <c r="C113" s="27" t="n"/>
      <c r="D113" t="n">
        <v>960</v>
      </c>
      <c r="E113" s="24" t="n">
        <v>46112</v>
      </c>
      <c r="F113" s="24" t="n">
        <v>46119</v>
      </c>
      <c r="G113" t="inlineStr">
        <is>
          <t>TTAF Stock</t>
        </is>
      </c>
      <c r="H113">
        <f>IFERROR(MAX(1,MIN(104,INT((IF(F113="",E113,F113)-(DATE(Cal_Weeks!$B$1,1,1)-WEEKDAY(DATE(Cal_Weeks!$B$1,1,1),3)))/7)+1)),"")</f>
        <v/>
      </c>
      <c r="I113" s="28" t="n"/>
    </row>
    <row r="114">
      <c r="A114" t="inlineStr">
        <is>
          <t>4HL</t>
        </is>
      </c>
      <c r="B114" t="inlineStr"/>
      <c r="C114" s="27" t="n"/>
      <c r="D114" t="n">
        <v>9600</v>
      </c>
      <c r="E114" s="24" t="n">
        <v>46120</v>
      </c>
      <c r="F114" s="24" t="n">
        <v>46128</v>
      </c>
      <c r="G114" t="inlineStr">
        <is>
          <t>TTAF Stock</t>
        </is>
      </c>
      <c r="H114">
        <f>IFERROR(MAX(1,MIN(104,INT((IF(F114="",E114,F114)-(DATE(Cal_Weeks!$B$1,1,1)-WEEKDAY(DATE(Cal_Weeks!$B$1,1,1),3)))/7)+1)),"")</f>
        <v/>
      </c>
      <c r="I114" s="28" t="n"/>
    </row>
    <row r="115">
      <c r="A115" t="inlineStr">
        <is>
          <t>4HL</t>
        </is>
      </c>
      <c r="B115" t="inlineStr"/>
      <c r="C115" s="27" t="n"/>
      <c r="D115" t="n">
        <v>4800</v>
      </c>
      <c r="E115" s="24" t="n">
        <v>46112</v>
      </c>
      <c r="F115" s="24" t="n">
        <v>46125</v>
      </c>
      <c r="G115" t="inlineStr">
        <is>
          <t>TTAF Stock</t>
        </is>
      </c>
      <c r="H115">
        <f>IFERROR(MAX(1,MIN(104,INT((IF(F115="",E115,F115)-(DATE(Cal_Weeks!$B$1,1,1)-WEEKDAY(DATE(Cal_Weeks!$B$1,1,1),3)))/7)+1)),"")</f>
        <v/>
      </c>
      <c r="I115" s="28" t="n"/>
    </row>
    <row r="116">
      <c r="A116" t="inlineStr">
        <is>
          <t>4HL</t>
        </is>
      </c>
      <c r="B116" t="inlineStr"/>
      <c r="C116" s="27" t="n"/>
      <c r="D116" t="n">
        <v>480</v>
      </c>
      <c r="E116" s="24" t="n">
        <v>46112</v>
      </c>
      <c r="F116" s="24" t="n">
        <v>46114</v>
      </c>
      <c r="G116" t="inlineStr">
        <is>
          <t>TTAF Stock</t>
        </is>
      </c>
      <c r="H116">
        <f>IFERROR(MAX(1,MIN(104,INT((IF(F116="",E116,F116)-(DATE(Cal_Weeks!$B$1,1,1)-WEEKDAY(DATE(Cal_Weeks!$B$1,1,1),3)))/7)+1)),"")</f>
        <v/>
      </c>
      <c r="I116" s="28" t="n"/>
    </row>
    <row r="117">
      <c r="A117" t="inlineStr">
        <is>
          <t>4HL</t>
        </is>
      </c>
      <c r="B117" t="inlineStr"/>
      <c r="C117" s="27" t="n"/>
      <c r="D117" t="n">
        <v>5760</v>
      </c>
      <c r="E117" s="24" t="n">
        <v>46125</v>
      </c>
      <c r="F117" s="24" t="n">
        <v>46132</v>
      </c>
      <c r="G117" t="inlineStr">
        <is>
          <t>TTAF Stock</t>
        </is>
      </c>
      <c r="H117">
        <f>IFERROR(MAX(1,MIN(104,INT((IF(F117="",E117,F117)-(DATE(Cal_Weeks!$B$1,1,1)-WEEKDAY(DATE(Cal_Weeks!$B$1,1,1),3)))/7)+1)),"")</f>
        <v/>
      </c>
      <c r="I117" s="28" t="n"/>
    </row>
    <row r="118">
      <c r="A118" t="inlineStr">
        <is>
          <t>4HL</t>
        </is>
      </c>
      <c r="B118" t="inlineStr"/>
      <c r="C118" s="27" t="n"/>
      <c r="D118" t="n">
        <v>156</v>
      </c>
      <c r="E118" s="24" t="n">
        <v>46112</v>
      </c>
      <c r="F118" s="24" t="n">
        <v>46114</v>
      </c>
      <c r="G118" t="inlineStr">
        <is>
          <t>TTAF Stock</t>
        </is>
      </c>
      <c r="H118">
        <f>IFERROR(MAX(1,MIN(104,INT((IF(F118="",E118,F118)-(DATE(Cal_Weeks!$B$1,1,1)-WEEKDAY(DATE(Cal_Weeks!$B$1,1,1),3)))/7)+1)),"")</f>
        <v/>
      </c>
      <c r="I118" s="28" t="n"/>
    </row>
    <row r="119">
      <c r="A119" t="inlineStr">
        <is>
          <t>4HL</t>
        </is>
      </c>
      <c r="B119" t="inlineStr"/>
      <c r="C119" s="27" t="n"/>
      <c r="D119" t="n">
        <v>144</v>
      </c>
      <c r="E119" s="24" t="n">
        <v>46112</v>
      </c>
      <c r="F119" s="24" t="n">
        <v>46126</v>
      </c>
      <c r="G119" t="inlineStr">
        <is>
          <t>TTAF Stock</t>
        </is>
      </c>
      <c r="H119">
        <f>IFERROR(MAX(1,MIN(104,INT((IF(F119="",E119,F119)-(DATE(Cal_Weeks!$B$1,1,1)-WEEKDAY(DATE(Cal_Weeks!$B$1,1,1),3)))/7)+1)),"")</f>
        <v/>
      </c>
      <c r="I119" s="28" t="n"/>
    </row>
    <row r="120">
      <c r="A120" t="inlineStr">
        <is>
          <t>1EK</t>
        </is>
      </c>
      <c r="B120" t="inlineStr"/>
      <c r="C120" s="27" t="n"/>
      <c r="D120" t="n">
        <v>4800</v>
      </c>
      <c r="E120" s="24" t="n">
        <v>46098</v>
      </c>
      <c r="F120" s="24" t="n">
        <v>46105</v>
      </c>
      <c r="G120" t="inlineStr">
        <is>
          <t>TTAF Stock</t>
        </is>
      </c>
      <c r="H120">
        <f>IFERROR(MAX(1,MIN(104,INT((IF(F120="",E120,F120)-(DATE(Cal_Weeks!$B$1,1,1)-WEEKDAY(DATE(Cal_Weeks!$B$1,1,1),3)))/7)+1)),"")</f>
        <v/>
      </c>
      <c r="I120" s="28" t="n"/>
    </row>
    <row r="121">
      <c r="A121" t="inlineStr">
        <is>
          <t>1EK</t>
        </is>
      </c>
      <c r="B121" t="inlineStr"/>
      <c r="C121" s="27" t="n"/>
      <c r="D121" t="n">
        <v>10080</v>
      </c>
      <c r="E121" s="24" t="n">
        <v>46112</v>
      </c>
      <c r="F121" s="24" t="n">
        <v>46115</v>
      </c>
      <c r="G121" t="inlineStr">
        <is>
          <t>TTAF Stock</t>
        </is>
      </c>
      <c r="H121">
        <f>IFERROR(MAX(1,MIN(104,INT((IF(F121="",E121,F121)-(DATE(Cal_Weeks!$B$1,1,1)-WEEKDAY(DATE(Cal_Weeks!$B$1,1,1),3)))/7)+1)),"")</f>
        <v/>
      </c>
      <c r="I121" s="28" t="n"/>
    </row>
    <row r="122">
      <c r="A122" t="inlineStr">
        <is>
          <t>1EK</t>
        </is>
      </c>
      <c r="B122" t="inlineStr"/>
      <c r="C122" s="27" t="n"/>
      <c r="D122" t="n">
        <v>1920</v>
      </c>
      <c r="E122" s="24" t="n">
        <v>46112</v>
      </c>
      <c r="F122" s="24" t="n">
        <v>46114</v>
      </c>
      <c r="G122" t="inlineStr">
        <is>
          <t>TTAF Stock</t>
        </is>
      </c>
      <c r="H122">
        <f>IFERROR(MAX(1,MIN(104,INT((IF(F122="",E122,F122)-(DATE(Cal_Weeks!$B$1,1,1)-WEEKDAY(DATE(Cal_Weeks!$B$1,1,1),3)))/7)+1)),"")</f>
        <v/>
      </c>
      <c r="I122" s="28" t="n"/>
    </row>
    <row r="123">
      <c r="A123" t="inlineStr">
        <is>
          <t>TDJ</t>
        </is>
      </c>
      <c r="B123" t="inlineStr">
        <is>
          <t>PO067121</t>
        </is>
      </c>
      <c r="C123" s="27" t="n"/>
      <c r="D123" t="n">
        <v>784</v>
      </c>
      <c r="E123" s="24" t="n">
        <v>46136</v>
      </c>
      <c r="F123" s="24" t="n">
        <v>46147</v>
      </c>
      <c r="G123" t="inlineStr">
        <is>
          <t>TTAF Stock</t>
        </is>
      </c>
      <c r="H123">
        <f>IFERROR(MAX(1,MIN(104,INT((IF(F123="",E123,F123)-(DATE(Cal_Weeks!$B$1,1,1)-WEEKDAY(DATE(Cal_Weeks!$B$1,1,1),3)))/7)+1)),"")</f>
        <v/>
      </c>
      <c r="I123" s="28" t="n"/>
    </row>
    <row r="124">
      <c r="A124" t="inlineStr">
        <is>
          <t>TDJ</t>
        </is>
      </c>
      <c r="B124" t="inlineStr">
        <is>
          <t>PO067121</t>
        </is>
      </c>
      <c r="C124" s="27" t="n"/>
      <c r="D124" t="n">
        <v>205</v>
      </c>
      <c r="E124" s="24" t="n">
        <v>46136</v>
      </c>
      <c r="F124" s="24" t="n">
        <v>46147</v>
      </c>
      <c r="G124" t="inlineStr">
        <is>
          <t>TTAF Stock</t>
        </is>
      </c>
      <c r="H124">
        <f>IFERROR(MAX(1,MIN(104,INT((IF(F124="",E124,F124)-(DATE(Cal_Weeks!$B$1,1,1)-WEEKDAY(DATE(Cal_Weeks!$B$1,1,1),3)))/7)+1)),"")</f>
        <v/>
      </c>
      <c r="I124" s="28" t="n"/>
    </row>
    <row r="125">
      <c r="A125" t="inlineStr">
        <is>
          <t>9RN</t>
        </is>
      </c>
      <c r="B125" t="inlineStr">
        <is>
          <t>PO067086</t>
        </is>
      </c>
      <c r="C125" s="27" t="n"/>
      <c r="D125" t="n">
        <v>22792</v>
      </c>
      <c r="E125" s="24" t="n">
        <v>46112</v>
      </c>
      <c r="F125" s="24" t="n">
        <v>46125</v>
      </c>
      <c r="G125" t="inlineStr">
        <is>
          <t>TTAF Stock</t>
        </is>
      </c>
      <c r="H125">
        <f>IFERROR(MAX(1,MIN(104,INT((IF(F125="",E125,F125)-(DATE(Cal_Weeks!$B$1,1,1)-WEEKDAY(DATE(Cal_Weeks!$B$1,1,1),3)))/7)+1)),"")</f>
        <v/>
      </c>
      <c r="I125" s="28" t="n"/>
    </row>
    <row r="126">
      <c r="A126" t="inlineStr">
        <is>
          <t>9RN</t>
        </is>
      </c>
      <c r="B126" t="inlineStr">
        <is>
          <t>PO067086</t>
        </is>
      </c>
      <c r="C126" s="27" t="n"/>
      <c r="D126" t="n">
        <v>4796</v>
      </c>
      <c r="E126" s="24" t="n">
        <v>46112</v>
      </c>
      <c r="F126" s="24" t="n">
        <v>46125</v>
      </c>
      <c r="G126" t="inlineStr">
        <is>
          <t>TTAF Stock</t>
        </is>
      </c>
      <c r="H126">
        <f>IFERROR(MAX(1,MIN(104,INT((IF(F126="",E126,F126)-(DATE(Cal_Weeks!$B$1,1,1)-WEEKDAY(DATE(Cal_Weeks!$B$1,1,1),3)))/7)+1)),"")</f>
        <v/>
      </c>
      <c r="I126" s="28" t="n"/>
    </row>
    <row r="127">
      <c r="A127" t="inlineStr">
        <is>
          <t>OJN</t>
        </is>
      </c>
      <c r="B127" t="inlineStr">
        <is>
          <t>PO067071</t>
        </is>
      </c>
      <c r="C127" s="27" t="n"/>
      <c r="D127" t="n">
        <v>18835</v>
      </c>
      <c r="E127" s="24" t="n">
        <v>46103</v>
      </c>
      <c r="F127" s="24" t="n">
        <v>46112</v>
      </c>
      <c r="G127" t="inlineStr">
        <is>
          <t>TTAF Stock</t>
        </is>
      </c>
      <c r="H127">
        <f>IFERROR(MAX(1,MIN(104,INT((IF(F127="",E127,F127)-(DATE(Cal_Weeks!$B$1,1,1)-WEEKDAY(DATE(Cal_Weeks!$B$1,1,1),3)))/7)+1)),"")</f>
        <v/>
      </c>
      <c r="I127" s="28" t="n"/>
    </row>
    <row r="128">
      <c r="A128" t="inlineStr">
        <is>
          <t>OJN</t>
        </is>
      </c>
      <c r="B128" t="inlineStr">
        <is>
          <t>PO067071</t>
        </is>
      </c>
      <c r="C128" s="27" t="n"/>
      <c r="D128" t="n">
        <v>9289</v>
      </c>
      <c r="E128" s="24" t="n">
        <v>46116</v>
      </c>
      <c r="F128" s="24" t="n">
        <v>46120</v>
      </c>
      <c r="G128" t="inlineStr">
        <is>
          <t>TTAF Stock</t>
        </is>
      </c>
      <c r="H128">
        <f>IFERROR(MAX(1,MIN(104,INT((IF(F128="",E128,F128)-(DATE(Cal_Weeks!$B$1,1,1)-WEEKDAY(DATE(Cal_Weeks!$B$1,1,1),3)))/7)+1)),"")</f>
        <v/>
      </c>
      <c r="I128" s="28" t="n"/>
    </row>
    <row r="129">
      <c r="A129" t="inlineStr">
        <is>
          <t>OJN</t>
        </is>
      </c>
      <c r="B129" t="inlineStr">
        <is>
          <t>PO067071</t>
        </is>
      </c>
      <c r="C129" s="27" t="n"/>
      <c r="D129" t="n">
        <v>11522</v>
      </c>
      <c r="E129" s="24" t="n">
        <v>46138</v>
      </c>
      <c r="F129" s="24" t="n">
        <v>46147</v>
      </c>
      <c r="G129" t="inlineStr">
        <is>
          <t>TTAF Stock</t>
        </is>
      </c>
      <c r="H129">
        <f>IFERROR(MAX(1,MIN(104,INT((IF(F129="",E129,F129)-(DATE(Cal_Weeks!$B$1,1,1)-WEEKDAY(DATE(Cal_Weeks!$B$1,1,1),3)))/7)+1)),"")</f>
        <v/>
      </c>
      <c r="I129" s="28" t="n"/>
    </row>
    <row r="130">
      <c r="A130" t="inlineStr">
        <is>
          <t>CHEM-1250</t>
        </is>
      </c>
      <c r="B130" t="inlineStr">
        <is>
          <t>PO067281</t>
        </is>
      </c>
      <c r="C130" s="27" t="n"/>
      <c r="D130" t="n">
        <v>150</v>
      </c>
      <c r="E130" s="24" t="n">
        <v>46117</v>
      </c>
      <c r="G130" t="inlineStr">
        <is>
          <t>TTAF Stock</t>
        </is>
      </c>
      <c r="H130">
        <f>IFERROR(MAX(1,MIN(104,INT((IF(F130="",E130,F130)-(DATE(Cal_Weeks!$B$1,1,1)-WEEKDAY(DATE(Cal_Weeks!$B$1,1,1),3)))/7)+1)),"")</f>
        <v/>
      </c>
      <c r="I130" s="28" t="n"/>
    </row>
    <row r="131">
      <c r="A131" t="inlineStr">
        <is>
          <t>CHEM-1400</t>
        </is>
      </c>
      <c r="B131" t="inlineStr">
        <is>
          <t>PO067281</t>
        </is>
      </c>
      <c r="C131" s="27" t="n"/>
      <c r="D131" t="n">
        <v>300</v>
      </c>
      <c r="E131" s="24" t="n">
        <v>46117</v>
      </c>
      <c r="G131" t="inlineStr">
        <is>
          <t>TTAF Stock</t>
        </is>
      </c>
      <c r="H131">
        <f>IFERROR(MAX(1,MIN(104,INT((IF(F131="",E131,F131)-(DATE(Cal_Weeks!$B$1,1,1)-WEEKDAY(DATE(Cal_Weeks!$B$1,1,1),3)))/7)+1)),"")</f>
        <v/>
      </c>
      <c r="I131" s="28" t="n"/>
    </row>
    <row r="132">
      <c r="A132" t="inlineStr">
        <is>
          <t>CHEM-1420</t>
        </is>
      </c>
      <c r="B132" t="inlineStr">
        <is>
          <t>PO067281</t>
        </is>
      </c>
      <c r="C132" s="27" t="n"/>
      <c r="D132" t="n">
        <v>240</v>
      </c>
      <c r="E132" s="24" t="n">
        <v>46117</v>
      </c>
      <c r="G132" t="inlineStr">
        <is>
          <t>TTAF Stock</t>
        </is>
      </c>
      <c r="H132">
        <f>IFERROR(MAX(1,MIN(104,INT((IF(F132="",E132,F132)-(DATE(Cal_Weeks!$B$1,1,1)-WEEKDAY(DATE(Cal_Weeks!$B$1,1,1),3)))/7)+1)),"")</f>
        <v/>
      </c>
      <c r="I132" s="28" t="n"/>
    </row>
    <row r="133">
      <c r="A133" t="inlineStr">
        <is>
          <t>CHEM-1440</t>
        </is>
      </c>
      <c r="B133" t="inlineStr">
        <is>
          <t>PO067281</t>
        </is>
      </c>
      <c r="C133" s="27" t="n"/>
      <c r="D133" t="n">
        <v>200</v>
      </c>
      <c r="E133" s="24" t="n">
        <v>46117</v>
      </c>
      <c r="G133" t="inlineStr">
        <is>
          <t>TTAF Stock</t>
        </is>
      </c>
      <c r="H133">
        <f>IFERROR(MAX(1,MIN(104,INT((IF(F133="",E133,F133)-(DATE(Cal_Weeks!$B$1,1,1)-WEEKDAY(DATE(Cal_Weeks!$B$1,1,1),3)))/7)+1)),"")</f>
        <v/>
      </c>
      <c r="I133" s="28" t="n"/>
    </row>
    <row r="134">
      <c r="A134" t="inlineStr">
        <is>
          <t>CHEM-1540</t>
        </is>
      </c>
      <c r="B134" t="inlineStr">
        <is>
          <t>PO067281</t>
        </is>
      </c>
      <c r="C134" s="27" t="n"/>
      <c r="D134" t="n">
        <v>2000</v>
      </c>
      <c r="E134" s="24" t="n">
        <v>46117</v>
      </c>
      <c r="G134" t="inlineStr">
        <is>
          <t>TTAF Stock</t>
        </is>
      </c>
      <c r="H134">
        <f>IFERROR(MAX(1,MIN(104,INT((IF(F134="",E134,F134)-(DATE(Cal_Weeks!$B$1,1,1)-WEEKDAY(DATE(Cal_Weeks!$B$1,1,1),3)))/7)+1)),"")</f>
        <v/>
      </c>
      <c r="I134" s="28" t="n"/>
    </row>
    <row r="135">
      <c r="A135" t="inlineStr">
        <is>
          <t>CHEM-1530</t>
        </is>
      </c>
      <c r="B135" t="inlineStr">
        <is>
          <t>PO067281</t>
        </is>
      </c>
      <c r="C135" s="27" t="n"/>
      <c r="D135" t="n">
        <v>2800</v>
      </c>
      <c r="E135" s="24" t="n">
        <v>46117</v>
      </c>
      <c r="G135" t="inlineStr">
        <is>
          <t>TTAF Stock</t>
        </is>
      </c>
      <c r="H135">
        <f>IFERROR(MAX(1,MIN(104,INT((IF(F135="",E135,F135)-(DATE(Cal_Weeks!$B$1,1,1)-WEEKDAY(DATE(Cal_Weeks!$B$1,1,1),3)))/7)+1)),"")</f>
        <v/>
      </c>
      <c r="I135" s="28" t="n"/>
    </row>
    <row r="136">
      <c r="A136" t="inlineStr">
        <is>
          <t>CHEM-1600</t>
        </is>
      </c>
      <c r="B136" t="inlineStr">
        <is>
          <t>PO067281</t>
        </is>
      </c>
      <c r="C136" s="27" t="n"/>
      <c r="D136" t="n">
        <v>250</v>
      </c>
      <c r="E136" s="24" t="n">
        <v>46117</v>
      </c>
      <c r="G136" t="inlineStr">
        <is>
          <t>TTAF Stock</t>
        </is>
      </c>
      <c r="H136">
        <f>IFERROR(MAX(1,MIN(104,INT((IF(F136="",E136,F136)-(DATE(Cal_Weeks!$B$1,1,1)-WEEKDAY(DATE(Cal_Weeks!$B$1,1,1),3)))/7)+1)),"")</f>
        <v/>
      </c>
      <c r="I136" s="28" t="n"/>
    </row>
    <row r="137">
      <c r="A137" t="inlineStr">
        <is>
          <t>CHEM-1570</t>
        </is>
      </c>
      <c r="B137" t="inlineStr">
        <is>
          <t>PO067281</t>
        </is>
      </c>
      <c r="C137" s="27" t="n"/>
      <c r="D137" t="n">
        <v>36</v>
      </c>
      <c r="E137" s="24" t="n">
        <v>46117</v>
      </c>
      <c r="G137" t="inlineStr">
        <is>
          <t>TTAF Stock</t>
        </is>
      </c>
      <c r="H137">
        <f>IFERROR(MAX(1,MIN(104,INT((IF(F137="",E137,F137)-(DATE(Cal_Weeks!$B$1,1,1)-WEEKDAY(DATE(Cal_Weeks!$B$1,1,1),3)))/7)+1)),"")</f>
        <v/>
      </c>
      <c r="I137" s="28" t="n"/>
    </row>
    <row r="138">
      <c r="A138" t="inlineStr">
        <is>
          <t>CHEM-1670</t>
        </is>
      </c>
      <c r="B138" t="inlineStr">
        <is>
          <t>PO067281</t>
        </is>
      </c>
      <c r="C138" s="27" t="n"/>
      <c r="D138" t="n">
        <v>180</v>
      </c>
      <c r="E138" s="24" t="n">
        <v>46117</v>
      </c>
      <c r="G138" t="inlineStr">
        <is>
          <t>TTAF Stock</t>
        </is>
      </c>
      <c r="H138">
        <f>IFERROR(MAX(1,MIN(104,INT((IF(F138="",E138,F138)-(DATE(Cal_Weeks!$B$1,1,1)-WEEKDAY(DATE(Cal_Weeks!$B$1,1,1),3)))/7)+1)),"")</f>
        <v/>
      </c>
      <c r="I138" s="28" t="n"/>
    </row>
    <row r="139">
      <c r="A139" t="inlineStr">
        <is>
          <t>CHEM-1690</t>
        </is>
      </c>
      <c r="B139" t="inlineStr">
        <is>
          <t>PO067281</t>
        </is>
      </c>
      <c r="C139" s="27" t="n"/>
      <c r="D139" t="n">
        <v>135</v>
      </c>
      <c r="E139" s="24" t="n">
        <v>46117</v>
      </c>
      <c r="G139" t="inlineStr">
        <is>
          <t>TTAF Stock</t>
        </is>
      </c>
      <c r="H139">
        <f>IFERROR(MAX(1,MIN(104,INT((IF(F139="",E139,F139)-(DATE(Cal_Weeks!$B$1,1,1)-WEEKDAY(DATE(Cal_Weeks!$B$1,1,1),3)))/7)+1)),"")</f>
        <v/>
      </c>
      <c r="I139" s="28" t="n"/>
    </row>
    <row r="140">
      <c r="A140" t="inlineStr">
        <is>
          <t>CHEM-1700</t>
        </is>
      </c>
      <c r="B140" t="inlineStr">
        <is>
          <t>PO067281</t>
        </is>
      </c>
      <c r="C140" s="27" t="n"/>
      <c r="D140" t="n">
        <v>60</v>
      </c>
      <c r="E140" s="24" t="n">
        <v>46117</v>
      </c>
      <c r="G140" t="inlineStr">
        <is>
          <t>TTAF Stock</t>
        </is>
      </c>
      <c r="H140">
        <f>IFERROR(MAX(1,MIN(104,INT((IF(F140="",E140,F140)-(DATE(Cal_Weeks!$B$1,1,1)-WEEKDAY(DATE(Cal_Weeks!$B$1,1,1),3)))/7)+1)),"")</f>
        <v/>
      </c>
      <c r="I140" s="28" t="n"/>
    </row>
    <row r="141">
      <c r="A141" t="inlineStr">
        <is>
          <t>CHEM-1720</t>
        </is>
      </c>
      <c r="B141" t="inlineStr">
        <is>
          <t>PO067281</t>
        </is>
      </c>
      <c r="C141" s="27" t="n"/>
      <c r="D141" t="n">
        <v>720</v>
      </c>
      <c r="E141" s="24" t="n">
        <v>46117</v>
      </c>
      <c r="G141" t="inlineStr">
        <is>
          <t>TTAF Stock</t>
        </is>
      </c>
      <c r="H141">
        <f>IFERROR(MAX(1,MIN(104,INT((IF(F141="",E141,F141)-(DATE(Cal_Weeks!$B$1,1,1)-WEEKDAY(DATE(Cal_Weeks!$B$1,1,1),3)))/7)+1)),"")</f>
        <v/>
      </c>
      <c r="I141" s="28" t="n"/>
    </row>
    <row r="142">
      <c r="A142" t="inlineStr">
        <is>
          <t>CHEM-1760</t>
        </is>
      </c>
      <c r="B142" t="inlineStr">
        <is>
          <t>PO067281</t>
        </is>
      </c>
      <c r="C142" s="27" t="n"/>
      <c r="D142" t="n">
        <v>17</v>
      </c>
      <c r="E142" s="24" t="n">
        <v>46117</v>
      </c>
      <c r="G142" t="inlineStr">
        <is>
          <t>TTAF Stock</t>
        </is>
      </c>
      <c r="H142">
        <f>IFERROR(MAX(1,MIN(104,INT((IF(F142="",E142,F142)-(DATE(Cal_Weeks!$B$1,1,1)-WEEKDAY(DATE(Cal_Weeks!$B$1,1,1),3)))/7)+1)),"")</f>
        <v/>
      </c>
      <c r="I142" s="28" t="n"/>
    </row>
    <row r="143">
      <c r="A143" t="inlineStr">
        <is>
          <t>CHEM-1680</t>
        </is>
      </c>
      <c r="B143" t="inlineStr">
        <is>
          <t>PO067281</t>
        </is>
      </c>
      <c r="C143" s="27" t="n"/>
      <c r="D143" t="n">
        <v>200</v>
      </c>
      <c r="E143" s="24" t="n">
        <v>46117</v>
      </c>
      <c r="G143" t="inlineStr">
        <is>
          <t>TTAF Stock</t>
        </is>
      </c>
      <c r="H143">
        <f>IFERROR(MAX(1,MIN(104,INT((IF(F143="",E143,F143)-(DATE(Cal_Weeks!$B$1,1,1)-WEEKDAY(DATE(Cal_Weeks!$B$1,1,1),3)))/7)+1)),"")</f>
        <v/>
      </c>
      <c r="I143" s="28" t="n"/>
    </row>
    <row r="144">
      <c r="A144" t="inlineStr">
        <is>
          <t>CHEM-1660</t>
        </is>
      </c>
      <c r="B144" t="inlineStr">
        <is>
          <t>PO067274</t>
        </is>
      </c>
      <c r="C144" s="27" t="n"/>
      <c r="D144" t="n">
        <v>180</v>
      </c>
      <c r="E144" s="24" t="n">
        <v>46117</v>
      </c>
      <c r="G144" t="inlineStr">
        <is>
          <t>TTAF Stock</t>
        </is>
      </c>
      <c r="H144">
        <f>IFERROR(MAX(1,MIN(104,INT((IF(F144="",E144,F144)-(DATE(Cal_Weeks!$B$1,1,1)-WEEKDAY(DATE(Cal_Weeks!$B$1,1,1),3)))/7)+1)),"")</f>
        <v/>
      </c>
      <c r="I144" s="28" t="n"/>
    </row>
    <row r="145">
      <c r="A145" t="inlineStr">
        <is>
          <t>4HL</t>
        </is>
      </c>
      <c r="B145" t="inlineStr"/>
      <c r="C145" s="27" t="n"/>
      <c r="D145" t="n">
        <v>19200</v>
      </c>
      <c r="E145" s="24" t="n">
        <v>46131</v>
      </c>
      <c r="F145" s="24" t="n">
        <v>46135</v>
      </c>
      <c r="G145" t="inlineStr">
        <is>
          <t>TTAF Stock</t>
        </is>
      </c>
      <c r="H145">
        <f>IFERROR(MAX(1,MIN(104,INT((IF(F145="",E145,F145)-(DATE(Cal_Weeks!$B$1,1,1)-WEEKDAY(DATE(Cal_Weeks!$B$1,1,1),3)))/7)+1)),"")</f>
        <v/>
      </c>
      <c r="I145" s="28" t="n"/>
    </row>
    <row r="146">
      <c r="A146" t="inlineStr">
        <is>
          <t>4HL</t>
        </is>
      </c>
      <c r="B146" t="inlineStr"/>
      <c r="C146" s="27" t="n"/>
      <c r="D146" t="n">
        <v>19200</v>
      </c>
      <c r="E146" s="24" t="n">
        <v>46136</v>
      </c>
      <c r="F146" s="24" t="n">
        <v>46136</v>
      </c>
      <c r="G146" t="inlineStr">
        <is>
          <t>TTAF Stock</t>
        </is>
      </c>
      <c r="H146">
        <f>IFERROR(MAX(1,MIN(104,INT((IF(F146="",E146,F146)-(DATE(Cal_Weeks!$B$1,1,1)-WEEKDAY(DATE(Cal_Weeks!$B$1,1,1),3)))/7)+1)),"")</f>
        <v/>
      </c>
      <c r="I146" s="28" t="n"/>
    </row>
    <row r="147">
      <c r="A147" t="inlineStr">
        <is>
          <t>4HL</t>
        </is>
      </c>
      <c r="B147" t="inlineStr"/>
      <c r="C147" s="27" t="n"/>
      <c r="D147" t="n">
        <v>15840</v>
      </c>
      <c r="E147" s="24" t="n">
        <v>46155</v>
      </c>
      <c r="F147" s="24" t="n">
        <v>46161</v>
      </c>
      <c r="G147" t="inlineStr">
        <is>
          <t>TTAF Stock</t>
        </is>
      </c>
      <c r="H147">
        <f>IFERROR(MAX(1,MIN(104,INT((IF(F147="",E147,F147)-(DATE(Cal_Weeks!$B$1,1,1)-WEEKDAY(DATE(Cal_Weeks!$B$1,1,1),3)))/7)+1)),"")</f>
        <v/>
      </c>
      <c r="I147" s="28" t="n"/>
    </row>
    <row r="148">
      <c r="A148" t="inlineStr">
        <is>
          <t>4HL</t>
        </is>
      </c>
      <c r="B148" t="inlineStr"/>
      <c r="C148" s="27" t="n"/>
      <c r="D148" t="n">
        <v>5760</v>
      </c>
      <c r="E148" s="24" t="n">
        <v>46159</v>
      </c>
      <c r="F148" s="24" t="n">
        <v>46167</v>
      </c>
      <c r="G148" t="inlineStr">
        <is>
          <t>TTAF Stock</t>
        </is>
      </c>
      <c r="H148">
        <f>IFERROR(MAX(1,MIN(104,INT((IF(F148="",E148,F148)-(DATE(Cal_Weeks!$B$1,1,1)-WEEKDAY(DATE(Cal_Weeks!$B$1,1,1),3)))/7)+1)),"")</f>
        <v/>
      </c>
      <c r="I148" s="28" t="n"/>
    </row>
    <row r="149">
      <c r="A149" t="inlineStr">
        <is>
          <t>4HL</t>
        </is>
      </c>
      <c r="B149" t="inlineStr"/>
      <c r="C149" s="27" t="n"/>
      <c r="D149" t="n">
        <v>246</v>
      </c>
      <c r="E149" s="24" t="n">
        <v>46155</v>
      </c>
      <c r="F149" s="24" t="n">
        <v>46161</v>
      </c>
      <c r="G149" t="inlineStr">
        <is>
          <t>TTAF Stock</t>
        </is>
      </c>
      <c r="H149">
        <f>IFERROR(MAX(1,MIN(104,INT((IF(F149="",E149,F149)-(DATE(Cal_Weeks!$B$1,1,1)-WEEKDAY(DATE(Cal_Weeks!$B$1,1,1),3)))/7)+1)),"")</f>
        <v/>
      </c>
      <c r="I149" s="28" t="n"/>
    </row>
    <row r="150">
      <c r="A150" t="inlineStr">
        <is>
          <t>1EK</t>
        </is>
      </c>
      <c r="B150" t="inlineStr"/>
      <c r="C150" s="27" t="n"/>
      <c r="D150" t="n">
        <v>8640</v>
      </c>
      <c r="E150" s="24" t="n">
        <v>46146</v>
      </c>
      <c r="F150" s="24" t="n">
        <v>46150</v>
      </c>
      <c r="G150" t="inlineStr">
        <is>
          <t>TTAF Stock</t>
        </is>
      </c>
      <c r="H150">
        <f>IFERROR(MAX(1,MIN(104,INT((IF(F150="",E150,F150)-(DATE(Cal_Weeks!$B$1,1,1)-WEEKDAY(DATE(Cal_Weeks!$B$1,1,1),3)))/7)+1)),"")</f>
        <v/>
      </c>
      <c r="I150" s="28" t="n"/>
    </row>
    <row r="151">
      <c r="A151" t="inlineStr">
        <is>
          <t>1EK</t>
        </is>
      </c>
      <c r="B151" t="inlineStr"/>
      <c r="C151" s="27" t="n"/>
      <c r="D151" t="n">
        <v>9120</v>
      </c>
      <c r="E151" s="24" t="n">
        <v>46155</v>
      </c>
      <c r="F151" s="24" t="n">
        <v>46161</v>
      </c>
      <c r="G151" t="inlineStr">
        <is>
          <t>TTAF Stock</t>
        </is>
      </c>
      <c r="H151">
        <f>IFERROR(MAX(1,MIN(104,INT((IF(F151="",E151,F151)-(DATE(Cal_Weeks!$B$1,1,1)-WEEKDAY(DATE(Cal_Weeks!$B$1,1,1),3)))/7)+1)),"")</f>
        <v/>
      </c>
      <c r="I151" s="28" t="n"/>
    </row>
    <row r="152">
      <c r="A152" t="inlineStr">
        <is>
          <t>1EK</t>
        </is>
      </c>
      <c r="B152" t="inlineStr"/>
      <c r="C152" s="27" t="n"/>
      <c r="D152" t="n">
        <v>9600</v>
      </c>
      <c r="E152" s="24" t="n">
        <v>46151</v>
      </c>
      <c r="F152" s="24" t="n">
        <v>46161</v>
      </c>
      <c r="G152" t="inlineStr">
        <is>
          <t>TTAF Stock</t>
        </is>
      </c>
      <c r="H152">
        <f>IFERROR(MAX(1,MIN(104,INT((IF(F152="",E152,F152)-(DATE(Cal_Weeks!$B$1,1,1)-WEEKDAY(DATE(Cal_Weeks!$B$1,1,1),3)))/7)+1)),"")</f>
        <v/>
      </c>
      <c r="I152" s="28" t="n"/>
    </row>
    <row r="153">
      <c r="A153" t="inlineStr">
        <is>
          <t>1EK</t>
        </is>
      </c>
      <c r="B153" t="inlineStr"/>
      <c r="C153" s="27" t="n"/>
      <c r="D153" t="n">
        <v>2880</v>
      </c>
      <c r="E153" s="24" t="n">
        <v>46155</v>
      </c>
      <c r="F153" s="24" t="n">
        <v>46161</v>
      </c>
      <c r="G153" t="inlineStr">
        <is>
          <t>TTAF Stock</t>
        </is>
      </c>
      <c r="H153">
        <f>IFERROR(MAX(1,MIN(104,INT((IF(F153="",E153,F153)-(DATE(Cal_Weeks!$B$1,1,1)-WEEKDAY(DATE(Cal_Weeks!$B$1,1,1),3)))/7)+1)),"")</f>
        <v/>
      </c>
      <c r="I153" s="28" t="n"/>
    </row>
    <row r="154">
      <c r="A154" t="inlineStr">
        <is>
          <t>1EK</t>
        </is>
      </c>
      <c r="B154" t="inlineStr"/>
      <c r="C154" s="27" t="n"/>
      <c r="D154" t="n">
        <v>392</v>
      </c>
      <c r="E154" s="24" t="n">
        <v>46155</v>
      </c>
      <c r="F154" s="24" t="n">
        <v>46161</v>
      </c>
      <c r="G154" t="inlineStr">
        <is>
          <t>TTAF Stock</t>
        </is>
      </c>
      <c r="H154">
        <f>IFERROR(MAX(1,MIN(104,INT((IF(F154="",E154,F154)-(DATE(Cal_Weeks!$B$1,1,1)-WEEKDAY(DATE(Cal_Weeks!$B$1,1,1),3)))/7)+1)),"")</f>
        <v/>
      </c>
      <c r="I154" s="28" t="n"/>
    </row>
    <row r="155">
      <c r="A155" t="inlineStr">
        <is>
          <t>1EK</t>
        </is>
      </c>
      <c r="B155" t="inlineStr"/>
      <c r="C155" s="27" t="n"/>
      <c r="D155" t="n">
        <v>745</v>
      </c>
      <c r="E155" s="24" t="n">
        <v>46146</v>
      </c>
      <c r="F155" s="24" t="n">
        <v>46153</v>
      </c>
      <c r="G155" t="inlineStr">
        <is>
          <t>TTAF Stock</t>
        </is>
      </c>
      <c r="H155">
        <f>IFERROR(MAX(1,MIN(104,INT((IF(F155="",E155,F155)-(DATE(Cal_Weeks!$B$1,1,1)-WEEKDAY(DATE(Cal_Weeks!$B$1,1,1),3)))/7)+1)),"")</f>
        <v/>
      </c>
      <c r="I155" s="28" t="n"/>
    </row>
    <row r="156">
      <c r="A156" t="inlineStr">
        <is>
          <t>9RN</t>
        </is>
      </c>
      <c r="B156" t="inlineStr">
        <is>
          <t>PO067280</t>
        </is>
      </c>
      <c r="C156" s="27" t="n"/>
      <c r="D156" t="n">
        <v>22869</v>
      </c>
      <c r="E156" s="24" t="n">
        <v>46131</v>
      </c>
      <c r="F156" s="24" t="n">
        <v>46136</v>
      </c>
      <c r="G156" t="inlineStr">
        <is>
          <t>TTAF Stock</t>
        </is>
      </c>
      <c r="H156">
        <f>IFERROR(MAX(1,MIN(104,INT((IF(F156="",E156,F156)-(DATE(Cal_Weeks!$B$1,1,1)-WEEKDAY(DATE(Cal_Weeks!$B$1,1,1),3)))/7)+1)),"")</f>
        <v/>
      </c>
      <c r="I156" s="28" t="n"/>
    </row>
    <row r="157">
      <c r="A157" t="inlineStr">
        <is>
          <t>9RN</t>
        </is>
      </c>
      <c r="B157" t="inlineStr">
        <is>
          <t>PO067280</t>
        </is>
      </c>
      <c r="C157" s="27" t="n"/>
      <c r="D157" t="n">
        <v>18216</v>
      </c>
      <c r="E157" s="24" t="n">
        <v>46131</v>
      </c>
      <c r="F157" s="24" t="n">
        <v>46136</v>
      </c>
      <c r="G157" t="inlineStr">
        <is>
          <t>TTAF Stock</t>
        </is>
      </c>
      <c r="H157">
        <f>IFERROR(MAX(1,MIN(104,INT((IF(F157="",E157,F157)-(DATE(Cal_Weeks!$B$1,1,1)-WEEKDAY(DATE(Cal_Weeks!$B$1,1,1),3)))/7)+1)),"")</f>
        <v/>
      </c>
      <c r="I157" s="28" t="n"/>
    </row>
    <row r="158">
      <c r="A158" t="inlineStr">
        <is>
          <t>9RN</t>
        </is>
      </c>
      <c r="B158" t="inlineStr">
        <is>
          <t>PO067280</t>
        </is>
      </c>
      <c r="C158" s="27" t="n"/>
      <c r="D158" t="n">
        <v>19140</v>
      </c>
      <c r="E158" s="24" t="n">
        <v>46164</v>
      </c>
      <c r="F158" s="24" t="n">
        <v>46170</v>
      </c>
      <c r="G158" t="inlineStr">
        <is>
          <t>TTAF Stock</t>
        </is>
      </c>
      <c r="H158">
        <f>IFERROR(MAX(1,MIN(104,INT((IF(F158="",E158,F158)-(DATE(Cal_Weeks!$B$1,1,1)-WEEKDAY(DATE(Cal_Weeks!$B$1,1,1),3)))/7)+1)),"")</f>
        <v/>
      </c>
      <c r="I158" s="28" t="n"/>
    </row>
    <row r="159">
      <c r="A159" t="inlineStr">
        <is>
          <t>9RN</t>
        </is>
      </c>
      <c r="B159" t="inlineStr">
        <is>
          <t>PO067280</t>
        </is>
      </c>
      <c r="C159" s="27" t="n"/>
      <c r="D159" t="n">
        <v>14795</v>
      </c>
      <c r="E159" s="24" t="n">
        <v>46164</v>
      </c>
      <c r="F159" s="24" t="n">
        <v>46169</v>
      </c>
      <c r="G159" t="inlineStr">
        <is>
          <t>TTAF Stock</t>
        </is>
      </c>
      <c r="H159">
        <f>IFERROR(MAX(1,MIN(104,INT((IF(F159="",E159,F159)-(DATE(Cal_Weeks!$B$1,1,1)-WEEKDAY(DATE(Cal_Weeks!$B$1,1,1),3)))/7)+1)),"")</f>
        <v/>
      </c>
      <c r="I159" s="28" t="n"/>
    </row>
    <row r="160">
      <c r="A160" t="inlineStr">
        <is>
          <t>OJN</t>
        </is>
      </c>
      <c r="B160" t="inlineStr">
        <is>
          <t>PO067278</t>
        </is>
      </c>
      <c r="C160" s="27" t="n"/>
      <c r="D160" t="n">
        <v>7117</v>
      </c>
      <c r="E160" s="24" t="n">
        <v>46138</v>
      </c>
      <c r="F160" s="24" t="n">
        <v>46147</v>
      </c>
      <c r="G160" t="inlineStr">
        <is>
          <t>TTAF Stock</t>
        </is>
      </c>
      <c r="H160">
        <f>IFERROR(MAX(1,MIN(104,INT((IF(F160="",E160,F160)-(DATE(Cal_Weeks!$B$1,1,1)-WEEKDAY(DATE(Cal_Weeks!$B$1,1,1),3)))/7)+1)),"")</f>
        <v/>
      </c>
      <c r="I160" s="28" t="n"/>
    </row>
    <row r="161">
      <c r="A161" t="inlineStr">
        <is>
          <t>OJN</t>
        </is>
      </c>
      <c r="B161" t="inlineStr">
        <is>
          <t>PO067278</t>
        </is>
      </c>
      <c r="C161" s="27" t="n"/>
      <c r="D161" t="n">
        <v>12672</v>
      </c>
      <c r="E161" s="24" t="n">
        <v>46138</v>
      </c>
      <c r="F161" s="24" t="n">
        <v>46147</v>
      </c>
      <c r="G161" t="inlineStr">
        <is>
          <t>TTAF Stock</t>
        </is>
      </c>
      <c r="H161">
        <f>IFERROR(MAX(1,MIN(104,INT((IF(F161="",E161,F161)-(DATE(Cal_Weeks!$B$1,1,1)-WEEKDAY(DATE(Cal_Weeks!$B$1,1,1),3)))/7)+1)),"")</f>
        <v/>
      </c>
      <c r="I161" s="28" t="n"/>
    </row>
    <row r="162">
      <c r="A162" t="inlineStr">
        <is>
          <t>OJN</t>
        </is>
      </c>
      <c r="B162" t="inlineStr">
        <is>
          <t>PO067278</t>
        </is>
      </c>
      <c r="C162" s="27" t="n"/>
      <c r="D162" t="n">
        <v>18825</v>
      </c>
      <c r="E162" s="24" t="n">
        <v>46165</v>
      </c>
      <c r="F162" s="24" t="n">
        <v>46170</v>
      </c>
      <c r="G162" t="inlineStr">
        <is>
          <t>TTAF Stock</t>
        </is>
      </c>
      <c r="H162">
        <f>IFERROR(MAX(1,MIN(104,INT((IF(F162="",E162,F162)-(DATE(Cal_Weeks!$B$1,1,1)-WEEKDAY(DATE(Cal_Weeks!$B$1,1,1),3)))/7)+1)),"")</f>
        <v/>
      </c>
      <c r="I162" s="28" t="n"/>
    </row>
    <row r="163">
      <c r="A163" t="inlineStr">
        <is>
          <t>OJN</t>
        </is>
      </c>
      <c r="B163" t="inlineStr">
        <is>
          <t>PO067278</t>
        </is>
      </c>
      <c r="C163" s="27" t="n"/>
      <c r="D163" t="n">
        <v>1188</v>
      </c>
      <c r="E163" s="24" t="n">
        <v>46172</v>
      </c>
      <c r="G163" t="inlineStr">
        <is>
          <t>In-transit</t>
        </is>
      </c>
      <c r="H163">
        <f>IFERROR(MAX(1,MIN(104,INT((IF(F163="",E163,F163)-(DATE(Cal_Weeks!$B$1,1,1)-WEEKDAY(DATE(Cal_Weeks!$B$1,1,1),3)))/7)+1)),"")</f>
        <v/>
      </c>
      <c r="I163" s="28" t="n"/>
    </row>
    <row r="164">
      <c r="A164" t="inlineStr">
        <is>
          <t>CHEM-1240</t>
        </is>
      </c>
      <c r="B164" t="inlineStr">
        <is>
          <t>PO067529</t>
        </is>
      </c>
      <c r="C164" s="27" t="n"/>
      <c r="D164" t="n">
        <v>660</v>
      </c>
      <c r="E164" s="24" t="n">
        <v>46156</v>
      </c>
      <c r="F164" s="24" t="n">
        <v>46164</v>
      </c>
      <c r="G164" t="inlineStr">
        <is>
          <t>TTAF Stock</t>
        </is>
      </c>
      <c r="H164">
        <f>IFERROR(MAX(1,MIN(104,INT((IF(F164="",E164,F164)-(DATE(Cal_Weeks!$B$1,1,1)-WEEKDAY(DATE(Cal_Weeks!$B$1,1,1),3)))/7)+1)),"")</f>
        <v/>
      </c>
      <c r="I164" s="28" t="n"/>
    </row>
    <row r="165">
      <c r="A165" t="inlineStr">
        <is>
          <t>CHEM-1250</t>
        </is>
      </c>
      <c r="B165" t="inlineStr">
        <is>
          <t>PO067529</t>
        </is>
      </c>
      <c r="C165" s="27" t="n"/>
      <c r="D165" t="n">
        <v>150</v>
      </c>
      <c r="E165" s="24" t="n">
        <v>46156</v>
      </c>
      <c r="F165" s="24" t="n">
        <v>46164</v>
      </c>
      <c r="G165" t="inlineStr">
        <is>
          <t>TTAF Stock</t>
        </is>
      </c>
      <c r="H165">
        <f>IFERROR(MAX(1,MIN(104,INT((IF(F165="",E165,F165)-(DATE(Cal_Weeks!$B$1,1,1)-WEEKDAY(DATE(Cal_Weeks!$B$1,1,1),3)))/7)+1)),"")</f>
        <v/>
      </c>
      <c r="I165" s="28" t="n"/>
    </row>
    <row r="166">
      <c r="A166" t="inlineStr">
        <is>
          <t>CHEM-1400</t>
        </is>
      </c>
      <c r="B166" t="inlineStr">
        <is>
          <t>PO067529</t>
        </is>
      </c>
      <c r="C166" s="27" t="n"/>
      <c r="D166" t="n">
        <v>350</v>
      </c>
      <c r="E166" s="24" t="n">
        <v>46156</v>
      </c>
      <c r="F166" s="24" t="n">
        <v>46164</v>
      </c>
      <c r="G166" t="inlineStr">
        <is>
          <t>TTAF Stock</t>
        </is>
      </c>
      <c r="H166">
        <f>IFERROR(MAX(1,MIN(104,INT((IF(F166="",E166,F166)-(DATE(Cal_Weeks!$B$1,1,1)-WEEKDAY(DATE(Cal_Weeks!$B$1,1,1),3)))/7)+1)),"")</f>
        <v/>
      </c>
      <c r="I166" s="28" t="n"/>
    </row>
    <row r="167">
      <c r="A167" t="inlineStr">
        <is>
          <t>CHEM-1420</t>
        </is>
      </c>
      <c r="B167" t="inlineStr">
        <is>
          <t>PO067529</t>
        </is>
      </c>
      <c r="C167" s="27" t="n"/>
      <c r="D167" t="n">
        <v>320</v>
      </c>
      <c r="E167" s="24" t="n">
        <v>46156</v>
      </c>
      <c r="F167" s="24" t="n">
        <v>46164</v>
      </c>
      <c r="G167" t="inlineStr">
        <is>
          <t>TTAF Stock</t>
        </is>
      </c>
      <c r="H167">
        <f>IFERROR(MAX(1,MIN(104,INT((IF(F167="",E167,F167)-(DATE(Cal_Weeks!$B$1,1,1)-WEEKDAY(DATE(Cal_Weeks!$B$1,1,1),3)))/7)+1)),"")</f>
        <v/>
      </c>
      <c r="I167" s="28" t="n"/>
    </row>
    <row r="168">
      <c r="A168" t="inlineStr">
        <is>
          <t>CHEM-1440</t>
        </is>
      </c>
      <c r="B168" t="inlineStr">
        <is>
          <t>PO067529</t>
        </is>
      </c>
      <c r="C168" s="27" t="n"/>
      <c r="D168" t="n">
        <v>200</v>
      </c>
      <c r="E168" s="24" t="n">
        <v>46156</v>
      </c>
      <c r="F168" s="24" t="n">
        <v>46164</v>
      </c>
      <c r="G168" t="inlineStr">
        <is>
          <t>TTAF Stock</t>
        </is>
      </c>
      <c r="H168">
        <f>IFERROR(MAX(1,MIN(104,INT((IF(F168="",E168,F168)-(DATE(Cal_Weeks!$B$1,1,1)-WEEKDAY(DATE(Cal_Weeks!$B$1,1,1),3)))/7)+1)),"")</f>
        <v/>
      </c>
      <c r="I168" s="28" t="n"/>
    </row>
    <row r="169">
      <c r="A169" t="inlineStr">
        <is>
          <t>CHEM-1540</t>
        </is>
      </c>
      <c r="B169" t="inlineStr">
        <is>
          <t>PO067529</t>
        </is>
      </c>
      <c r="C169" s="27" t="n"/>
      <c r="D169" t="n">
        <v>2500</v>
      </c>
      <c r="E169" s="24" t="n">
        <v>46156</v>
      </c>
      <c r="F169" s="24" t="n">
        <v>46164</v>
      </c>
      <c r="G169" t="inlineStr">
        <is>
          <t>TTAF Stock</t>
        </is>
      </c>
      <c r="H169">
        <f>IFERROR(MAX(1,MIN(104,INT((IF(F169="",E169,F169)-(DATE(Cal_Weeks!$B$1,1,1)-WEEKDAY(DATE(Cal_Weeks!$B$1,1,1),3)))/7)+1)),"")</f>
        <v/>
      </c>
      <c r="I169" s="28" t="n"/>
    </row>
    <row r="170">
      <c r="A170" t="inlineStr">
        <is>
          <t>CHEM-1530</t>
        </is>
      </c>
      <c r="B170" t="inlineStr">
        <is>
          <t>PO067529</t>
        </is>
      </c>
      <c r="C170" s="27" t="n"/>
      <c r="D170" t="n">
        <v>3500</v>
      </c>
      <c r="E170" s="24" t="n">
        <v>46156</v>
      </c>
      <c r="F170" s="24" t="n">
        <v>46164</v>
      </c>
      <c r="G170" t="inlineStr">
        <is>
          <t>TTAF Stock</t>
        </is>
      </c>
      <c r="H170">
        <f>IFERROR(MAX(1,MIN(104,INT((IF(F170="",E170,F170)-(DATE(Cal_Weeks!$B$1,1,1)-WEEKDAY(DATE(Cal_Weeks!$B$1,1,1),3)))/7)+1)),"")</f>
        <v/>
      </c>
      <c r="I170" s="28" t="n"/>
    </row>
    <row r="171">
      <c r="A171" t="inlineStr">
        <is>
          <t>CHEM-1600</t>
        </is>
      </c>
      <c r="B171" t="inlineStr">
        <is>
          <t>PO067529</t>
        </is>
      </c>
      <c r="C171" s="27" t="n"/>
      <c r="D171" t="n">
        <v>350</v>
      </c>
      <c r="E171" s="24" t="n">
        <v>46156</v>
      </c>
      <c r="F171" s="24" t="n">
        <v>46164</v>
      </c>
      <c r="G171" t="inlineStr">
        <is>
          <t>TTAF Stock</t>
        </is>
      </c>
      <c r="H171">
        <f>IFERROR(MAX(1,MIN(104,INT((IF(F171="",E171,F171)-(DATE(Cal_Weeks!$B$1,1,1)-WEEKDAY(DATE(Cal_Weeks!$B$1,1,1),3)))/7)+1)),"")</f>
        <v/>
      </c>
      <c r="I171" s="28" t="n"/>
    </row>
    <row r="172">
      <c r="A172" t="inlineStr">
        <is>
          <t>CHEM-1570</t>
        </is>
      </c>
      <c r="B172" t="inlineStr">
        <is>
          <t>PO067529</t>
        </is>
      </c>
      <c r="C172" s="27" t="n"/>
      <c r="D172" t="n">
        <v>36</v>
      </c>
      <c r="E172" s="24" t="n">
        <v>46156</v>
      </c>
      <c r="F172" s="24" t="n">
        <v>46164</v>
      </c>
      <c r="G172" t="inlineStr">
        <is>
          <t>TTAF Stock</t>
        </is>
      </c>
      <c r="H172">
        <f>IFERROR(MAX(1,MIN(104,INT((IF(F172="",E172,F172)-(DATE(Cal_Weeks!$B$1,1,1)-WEEKDAY(DATE(Cal_Weeks!$B$1,1,1),3)))/7)+1)),"")</f>
        <v/>
      </c>
      <c r="I172" s="28" t="n"/>
    </row>
    <row r="173">
      <c r="A173" t="inlineStr">
        <is>
          <t>CHEM-1670</t>
        </is>
      </c>
      <c r="B173" t="inlineStr">
        <is>
          <t>PO067529</t>
        </is>
      </c>
      <c r="C173" s="27" t="n"/>
      <c r="D173" t="n">
        <v>180</v>
      </c>
      <c r="E173" s="24" t="n">
        <v>46156</v>
      </c>
      <c r="F173" s="24" t="n">
        <v>46164</v>
      </c>
      <c r="G173" t="inlineStr">
        <is>
          <t>TTAF Stock</t>
        </is>
      </c>
      <c r="H173">
        <f>IFERROR(MAX(1,MIN(104,INT((IF(F173="",E173,F173)-(DATE(Cal_Weeks!$B$1,1,1)-WEEKDAY(DATE(Cal_Weeks!$B$1,1,1),3)))/7)+1)),"")</f>
        <v/>
      </c>
      <c r="I173" s="28" t="n"/>
    </row>
    <row r="174">
      <c r="A174" t="inlineStr">
        <is>
          <t>CHEM-1690</t>
        </is>
      </c>
      <c r="B174" t="inlineStr">
        <is>
          <t>PO067529</t>
        </is>
      </c>
      <c r="C174" s="27" t="n"/>
      <c r="D174" t="n">
        <v>135</v>
      </c>
      <c r="E174" s="24" t="n">
        <v>46156</v>
      </c>
      <c r="F174" s="24" t="n">
        <v>46164</v>
      </c>
      <c r="G174" t="inlineStr">
        <is>
          <t>TTAF Stock</t>
        </is>
      </c>
      <c r="H174">
        <f>IFERROR(MAX(1,MIN(104,INT((IF(F174="",E174,F174)-(DATE(Cal_Weeks!$B$1,1,1)-WEEKDAY(DATE(Cal_Weeks!$B$1,1,1),3)))/7)+1)),"")</f>
        <v/>
      </c>
      <c r="I174" s="28" t="n"/>
    </row>
    <row r="175">
      <c r="A175" t="inlineStr">
        <is>
          <t>CHEM-1700</t>
        </is>
      </c>
      <c r="B175" t="inlineStr">
        <is>
          <t>PO067529</t>
        </is>
      </c>
      <c r="C175" s="27" t="n"/>
      <c r="D175" t="n">
        <v>60</v>
      </c>
      <c r="E175" s="24" t="n">
        <v>46156</v>
      </c>
      <c r="F175" s="24" t="n">
        <v>46164</v>
      </c>
      <c r="G175" t="inlineStr">
        <is>
          <t>TTAF Stock</t>
        </is>
      </c>
      <c r="H175">
        <f>IFERROR(MAX(1,MIN(104,INT((IF(F175="",E175,F175)-(DATE(Cal_Weeks!$B$1,1,1)-WEEKDAY(DATE(Cal_Weeks!$B$1,1,1),3)))/7)+1)),"")</f>
        <v/>
      </c>
      <c r="I175" s="28" t="n"/>
    </row>
    <row r="176">
      <c r="A176" t="inlineStr">
        <is>
          <t>CHEM-1720</t>
        </is>
      </c>
      <c r="B176" t="inlineStr">
        <is>
          <t>PO067529</t>
        </is>
      </c>
      <c r="C176" s="27" t="n"/>
      <c r="D176" t="n">
        <v>1080</v>
      </c>
      <c r="E176" s="24" t="n">
        <v>46156</v>
      </c>
      <c r="F176" s="24" t="n">
        <v>46164</v>
      </c>
      <c r="G176" t="inlineStr">
        <is>
          <t>TTAF Stock</t>
        </is>
      </c>
      <c r="H176">
        <f>IFERROR(MAX(1,MIN(104,INT((IF(F176="",E176,F176)-(DATE(Cal_Weeks!$B$1,1,1)-WEEKDAY(DATE(Cal_Weeks!$B$1,1,1),3)))/7)+1)),"")</f>
        <v/>
      </c>
      <c r="I176" s="28" t="n"/>
    </row>
    <row r="177">
      <c r="A177" t="inlineStr">
        <is>
          <t>CHEM-1680</t>
        </is>
      </c>
      <c r="B177" t="inlineStr">
        <is>
          <t>PO067529</t>
        </is>
      </c>
      <c r="C177" s="27" t="n"/>
      <c r="D177" t="n">
        <v>200</v>
      </c>
      <c r="E177" s="24" t="n">
        <v>46156</v>
      </c>
      <c r="F177" s="24" t="n">
        <v>46164</v>
      </c>
      <c r="G177" t="inlineStr">
        <is>
          <t>TTAF Stock</t>
        </is>
      </c>
      <c r="H177">
        <f>IFERROR(MAX(1,MIN(104,INT((IF(F177="",E177,F177)-(DATE(Cal_Weeks!$B$1,1,1)-WEEKDAY(DATE(Cal_Weeks!$B$1,1,1),3)))/7)+1)),"")</f>
        <v/>
      </c>
      <c r="I177" s="28" t="n"/>
    </row>
    <row r="178">
      <c r="A178" t="inlineStr">
        <is>
          <t>CHEM-1730</t>
        </is>
      </c>
      <c r="B178" t="inlineStr">
        <is>
          <t>PO067529</t>
        </is>
      </c>
      <c r="C178" s="27" t="n"/>
      <c r="D178" t="n">
        <v>200</v>
      </c>
      <c r="E178" s="24" t="n">
        <v>46156</v>
      </c>
      <c r="F178" s="24" t="n">
        <v>46164</v>
      </c>
      <c r="G178" t="inlineStr">
        <is>
          <t>TTAF Stock</t>
        </is>
      </c>
      <c r="H178">
        <f>IFERROR(MAX(1,MIN(104,INT((IF(F178="",E178,F178)-(DATE(Cal_Weeks!$B$1,1,1)-WEEKDAY(DATE(Cal_Weeks!$B$1,1,1),3)))/7)+1)),"")</f>
        <v/>
      </c>
      <c r="I178" s="28" t="n"/>
    </row>
    <row r="179">
      <c r="A179" t="inlineStr">
        <is>
          <t>CHEM-1660</t>
        </is>
      </c>
      <c r="B179" t="inlineStr">
        <is>
          <t>PO067514</t>
        </is>
      </c>
      <c r="C179" s="27" t="n"/>
      <c r="D179" t="n">
        <v>120</v>
      </c>
      <c r="E179" s="24" t="n">
        <v>46155</v>
      </c>
      <c r="F179" s="24" t="n">
        <v>46163</v>
      </c>
      <c r="G179" t="inlineStr">
        <is>
          <t>TTAF Stock</t>
        </is>
      </c>
      <c r="H179">
        <f>IFERROR(MAX(1,MIN(104,INT((IF(F179="",E179,F179)-(DATE(Cal_Weeks!$B$1,1,1)-WEEKDAY(DATE(Cal_Weeks!$B$1,1,1),3)))/7)+1)),"")</f>
        <v/>
      </c>
      <c r="I179" s="28" t="n"/>
    </row>
    <row r="180">
      <c r="A180" t="inlineStr">
        <is>
          <t>CHEM-1280</t>
        </is>
      </c>
      <c r="B180" t="inlineStr">
        <is>
          <t>PO067514</t>
        </is>
      </c>
      <c r="C180" s="27" t="n"/>
      <c r="D180" t="n">
        <v>1000</v>
      </c>
      <c r="E180" s="24" t="n">
        <v>46155</v>
      </c>
      <c r="F180" s="24" t="n">
        <v>46163</v>
      </c>
      <c r="G180" t="inlineStr">
        <is>
          <t>TTAF Stock</t>
        </is>
      </c>
      <c r="H180">
        <f>IFERROR(MAX(1,MIN(104,INT((IF(F180="",E180,F180)-(DATE(Cal_Weeks!$B$1,1,1)-WEEKDAY(DATE(Cal_Weeks!$B$1,1,1),3)))/7)+1)),"")</f>
        <v/>
      </c>
      <c r="I180" s="28" t="n"/>
    </row>
    <row r="181">
      <c r="A181" t="inlineStr">
        <is>
          <t>4HL</t>
        </is>
      </c>
      <c r="B181" t="inlineStr"/>
      <c r="C181" s="27" t="n"/>
      <c r="D181" t="n">
        <v>6720</v>
      </c>
      <c r="E181" s="24" t="n">
        <v>46164</v>
      </c>
      <c r="F181" s="24" t="n">
        <v>46169</v>
      </c>
      <c r="G181" t="inlineStr">
        <is>
          <t>TTAF Stock</t>
        </is>
      </c>
      <c r="H181">
        <f>IFERROR(MAX(1,MIN(104,INT((IF(F181="",E181,F181)-(DATE(Cal_Weeks!$B$1,1,1)-WEEKDAY(DATE(Cal_Weeks!$B$1,1,1),3)))/7)+1)),"")</f>
        <v/>
      </c>
      <c r="I181" s="28" t="n"/>
    </row>
    <row r="182">
      <c r="A182" t="inlineStr">
        <is>
          <t>4HL</t>
        </is>
      </c>
      <c r="B182" t="inlineStr"/>
      <c r="C182" s="27" t="n"/>
      <c r="D182" t="n">
        <v>14400</v>
      </c>
      <c r="E182" s="24" t="n">
        <v>46170</v>
      </c>
      <c r="G182" t="inlineStr">
        <is>
          <t>In-transit</t>
        </is>
      </c>
      <c r="H182">
        <f>IFERROR(MAX(1,MIN(104,INT((IF(F182="",E182,F182)-(DATE(Cal_Weeks!$B$1,1,1)-WEEKDAY(DATE(Cal_Weeks!$B$1,1,1),3)))/7)+1)),"")</f>
        <v/>
      </c>
      <c r="I182" s="28" t="n"/>
    </row>
    <row r="183">
      <c r="A183" t="inlineStr">
        <is>
          <t>4HL</t>
        </is>
      </c>
      <c r="B183" t="inlineStr"/>
      <c r="C183" s="27" t="n"/>
      <c r="D183" t="n">
        <v>9600</v>
      </c>
      <c r="E183" s="24" t="n">
        <v>46175</v>
      </c>
      <c r="G183" t="inlineStr">
        <is>
          <t>In-transit</t>
        </is>
      </c>
      <c r="H183">
        <f>IFERROR(MAX(1,MIN(104,INT((IF(F183="",E183,F183)-(DATE(Cal_Weeks!$B$1,1,1)-WEEKDAY(DATE(Cal_Weeks!$B$1,1,1),3)))/7)+1)),"")</f>
        <v/>
      </c>
      <c r="I183" s="28" t="n"/>
    </row>
    <row r="184">
      <c r="A184" t="inlineStr">
        <is>
          <t>4HL</t>
        </is>
      </c>
      <c r="B184" t="inlineStr"/>
      <c r="C184" s="27" t="n"/>
      <c r="D184" t="n">
        <v>13440</v>
      </c>
      <c r="E184" s="24" t="n">
        <v>46181</v>
      </c>
      <c r="G184" t="inlineStr">
        <is>
          <t>In-transit</t>
        </is>
      </c>
      <c r="H184">
        <f>IFERROR(MAX(1,MIN(104,INT((IF(F184="",E184,F184)-(DATE(Cal_Weeks!$B$1,1,1)-WEEKDAY(DATE(Cal_Weeks!$B$1,1,1),3)))/7)+1)),"")</f>
        <v/>
      </c>
      <c r="I184" s="28" t="n"/>
    </row>
    <row r="185">
      <c r="A185" t="inlineStr">
        <is>
          <t>4HL</t>
        </is>
      </c>
      <c r="B185" t="inlineStr"/>
      <c r="C185" s="27" t="n"/>
      <c r="D185" t="n">
        <v>11040</v>
      </c>
      <c r="E185" s="24" t="n">
        <v>46181</v>
      </c>
      <c r="G185" t="inlineStr">
        <is>
          <t>In-transit</t>
        </is>
      </c>
      <c r="H185">
        <f>IFERROR(MAX(1,MIN(104,INT((IF(F185="",E185,F185)-(DATE(Cal_Weeks!$B$1,1,1)-WEEKDAY(DATE(Cal_Weeks!$B$1,1,1),3)))/7)+1)),"")</f>
        <v/>
      </c>
      <c r="I185" s="28" t="n"/>
    </row>
    <row r="186">
      <c r="A186" t="inlineStr">
        <is>
          <t>4HL</t>
        </is>
      </c>
      <c r="B186" t="inlineStr"/>
      <c r="C186" s="27" t="n"/>
      <c r="D186" t="n">
        <v>346</v>
      </c>
      <c r="E186" s="24" t="n">
        <v>46164</v>
      </c>
      <c r="F186" s="24" t="n">
        <v>46169</v>
      </c>
      <c r="G186" t="inlineStr">
        <is>
          <t>TTAF Stock</t>
        </is>
      </c>
      <c r="H186">
        <f>IFERROR(MAX(1,MIN(104,INT((IF(F186="",E186,F186)-(DATE(Cal_Weeks!$B$1,1,1)-WEEKDAY(DATE(Cal_Weeks!$B$1,1,1),3)))/7)+1)),"")</f>
        <v/>
      </c>
      <c r="I186" s="28" t="n"/>
    </row>
    <row r="187">
      <c r="A187" t="inlineStr">
        <is>
          <t>1EK</t>
        </is>
      </c>
      <c r="B187" t="inlineStr"/>
      <c r="C187" s="27" t="n"/>
      <c r="D187" t="n">
        <v>4800</v>
      </c>
      <c r="E187" s="24" t="n">
        <v>46164</v>
      </c>
      <c r="F187" s="24" t="n">
        <v>46169</v>
      </c>
      <c r="G187" t="inlineStr">
        <is>
          <t>TTAF Stock</t>
        </is>
      </c>
      <c r="H187">
        <f>IFERROR(MAX(1,MIN(104,INT((IF(F187="",E187,F187)-(DATE(Cal_Weeks!$B$1,1,1)-WEEKDAY(DATE(Cal_Weeks!$B$1,1,1),3)))/7)+1)),"")</f>
        <v/>
      </c>
      <c r="I187" s="28" t="n"/>
    </row>
    <row r="188">
      <c r="A188" t="inlineStr">
        <is>
          <t>1EK</t>
        </is>
      </c>
      <c r="B188" t="inlineStr"/>
      <c r="C188" s="27" t="n"/>
      <c r="D188" t="n">
        <v>434</v>
      </c>
      <c r="E188" s="24" t="n">
        <v>46164</v>
      </c>
      <c r="F188" s="24" t="n">
        <v>46169</v>
      </c>
      <c r="G188" t="inlineStr">
        <is>
          <t>TTAF Stock</t>
        </is>
      </c>
      <c r="H188">
        <f>IFERROR(MAX(1,MIN(104,INT((IF(F188="",E188,F188)-(DATE(Cal_Weeks!$B$1,1,1)-WEEKDAY(DATE(Cal_Weeks!$B$1,1,1),3)))/7)+1)),"")</f>
        <v/>
      </c>
      <c r="I188" s="28" t="n"/>
    </row>
    <row r="189">
      <c r="A189" t="inlineStr">
        <is>
          <t>9RN</t>
        </is>
      </c>
      <c r="B189" t="inlineStr">
        <is>
          <t>PO067508</t>
        </is>
      </c>
      <c r="C189" s="27" t="n"/>
      <c r="D189" t="n">
        <v>15554</v>
      </c>
      <c r="E189" s="24" t="n">
        <v>46175</v>
      </c>
      <c r="G189" t="inlineStr">
        <is>
          <t>In-transit</t>
        </is>
      </c>
      <c r="H189">
        <f>IFERROR(MAX(1,MIN(104,INT((IF(F189="",E189,F189)-(DATE(Cal_Weeks!$B$1,1,1)-WEEKDAY(DATE(Cal_Weeks!$B$1,1,1),3)))/7)+1)),"")</f>
        <v/>
      </c>
      <c r="I189" s="28" t="n"/>
    </row>
    <row r="190">
      <c r="A190" t="inlineStr">
        <is>
          <t>9RN</t>
        </is>
      </c>
      <c r="B190" t="inlineStr">
        <is>
          <t>PO067508</t>
        </is>
      </c>
      <c r="C190" s="27" t="n"/>
      <c r="D190" t="n">
        <v>20746</v>
      </c>
      <c r="E190" s="24" t="n">
        <v>46188</v>
      </c>
      <c r="G190" t="inlineStr">
        <is>
          <t>In-transit</t>
        </is>
      </c>
      <c r="H190">
        <f>IFERROR(MAX(1,MIN(104,INT((IF(F190="",E190,F190)-(DATE(Cal_Weeks!$B$1,1,1)-WEEKDAY(DATE(Cal_Weeks!$B$1,1,1),3)))/7)+1)),"")</f>
        <v/>
      </c>
      <c r="I190" s="28" t="n"/>
    </row>
    <row r="191">
      <c r="A191" t="inlineStr">
        <is>
          <t>OJN</t>
        </is>
      </c>
      <c r="B191" t="inlineStr">
        <is>
          <t>PO067515</t>
        </is>
      </c>
      <c r="C191" s="27" t="n"/>
      <c r="D191" t="n">
        <v>7919</v>
      </c>
      <c r="E191" s="24" t="n">
        <v>46172</v>
      </c>
      <c r="G191" t="inlineStr">
        <is>
          <t>In-transit</t>
        </is>
      </c>
      <c r="H191">
        <f>IFERROR(MAX(1,MIN(104,INT((IF(F191="",E191,F191)-(DATE(Cal_Weeks!$B$1,1,1)-WEEKDAY(DATE(Cal_Weeks!$B$1,1,1),3)))/7)+1)),"")</f>
        <v/>
      </c>
      <c r="I191" s="28" t="n"/>
    </row>
    <row r="192">
      <c r="A192" t="inlineStr">
        <is>
          <t>CHEM-1240</t>
        </is>
      </c>
      <c r="B192" t="inlineStr">
        <is>
          <t>PO068015</t>
        </is>
      </c>
      <c r="C192" s="27" t="n"/>
      <c r="D192" t="n">
        <v>660</v>
      </c>
      <c r="E192" s="24" t="n">
        <v>46181</v>
      </c>
      <c r="G192" t="inlineStr">
        <is>
          <t>In-transit</t>
        </is>
      </c>
      <c r="H192">
        <f>IFERROR(MAX(1,MIN(104,INT((IF(F192="",E192,F192)-(DATE(Cal_Weeks!$B$1,1,1)-WEEKDAY(DATE(Cal_Weeks!$B$1,1,1),3)))/7)+1)),"")</f>
        <v/>
      </c>
      <c r="I192" s="28" t="n"/>
    </row>
    <row r="193">
      <c r="A193" t="inlineStr">
        <is>
          <t>CHEM-1250</t>
        </is>
      </c>
      <c r="B193" t="inlineStr">
        <is>
          <t>PO068015</t>
        </is>
      </c>
      <c r="C193" s="27" t="n"/>
      <c r="D193" t="n">
        <v>50</v>
      </c>
      <c r="E193" s="24" t="n">
        <v>46181</v>
      </c>
      <c r="G193" t="inlineStr">
        <is>
          <t>In-transit</t>
        </is>
      </c>
      <c r="H193">
        <f>IFERROR(MAX(1,MIN(104,INT((IF(F193="",E193,F193)-(DATE(Cal_Weeks!$B$1,1,1)-WEEKDAY(DATE(Cal_Weeks!$B$1,1,1),3)))/7)+1)),"")</f>
        <v/>
      </c>
      <c r="I193" s="28" t="n"/>
    </row>
    <row r="194">
      <c r="A194" t="inlineStr">
        <is>
          <t>CHEM-1400</t>
        </is>
      </c>
      <c r="B194" t="inlineStr">
        <is>
          <t>PO068015</t>
        </is>
      </c>
      <c r="C194" s="27" t="n"/>
      <c r="D194" t="n">
        <v>200</v>
      </c>
      <c r="E194" s="24" t="n">
        <v>46181</v>
      </c>
      <c r="G194" t="inlineStr">
        <is>
          <t>In-transit</t>
        </is>
      </c>
      <c r="H194">
        <f>IFERROR(MAX(1,MIN(104,INT((IF(F194="",E194,F194)-(DATE(Cal_Weeks!$B$1,1,1)-WEEKDAY(DATE(Cal_Weeks!$B$1,1,1),3)))/7)+1)),"")</f>
        <v/>
      </c>
      <c r="I194" s="28" t="n"/>
    </row>
    <row r="195">
      <c r="A195" t="inlineStr">
        <is>
          <t>CHEM-1420</t>
        </is>
      </c>
      <c r="B195" t="inlineStr">
        <is>
          <t>PO068015</t>
        </is>
      </c>
      <c r="C195" s="27" t="n"/>
      <c r="D195" t="n">
        <v>240</v>
      </c>
      <c r="E195" s="24" t="n">
        <v>46181</v>
      </c>
      <c r="G195" t="inlineStr">
        <is>
          <t>In-transit</t>
        </is>
      </c>
      <c r="H195">
        <f>IFERROR(MAX(1,MIN(104,INT((IF(F195="",E195,F195)-(DATE(Cal_Weeks!$B$1,1,1)-WEEKDAY(DATE(Cal_Weeks!$B$1,1,1),3)))/7)+1)),"")</f>
        <v/>
      </c>
      <c r="I195" s="28" t="n"/>
    </row>
    <row r="196">
      <c r="A196" t="inlineStr">
        <is>
          <t>CHEM-1540</t>
        </is>
      </c>
      <c r="B196" t="inlineStr">
        <is>
          <t>PO068015</t>
        </is>
      </c>
      <c r="C196" s="27" t="n"/>
      <c r="D196" t="n">
        <v>4500</v>
      </c>
      <c r="E196" s="24" t="n">
        <v>46181</v>
      </c>
      <c r="G196" t="inlineStr">
        <is>
          <t>In-transit</t>
        </is>
      </c>
      <c r="H196">
        <f>IFERROR(MAX(1,MIN(104,INT((IF(F196="",E196,F196)-(DATE(Cal_Weeks!$B$1,1,1)-WEEKDAY(DATE(Cal_Weeks!$B$1,1,1),3)))/7)+1)),"")</f>
        <v/>
      </c>
      <c r="I196" s="28" t="n"/>
    </row>
    <row r="197">
      <c r="A197" t="inlineStr">
        <is>
          <t>CHEM-1530</t>
        </is>
      </c>
      <c r="B197" t="inlineStr">
        <is>
          <t>PO068015</t>
        </is>
      </c>
      <c r="C197" s="27" t="n"/>
      <c r="D197" t="n">
        <v>2100</v>
      </c>
      <c r="E197" s="24" t="n">
        <v>46181</v>
      </c>
      <c r="G197" t="inlineStr">
        <is>
          <t>In-transit</t>
        </is>
      </c>
      <c r="H197">
        <f>IFERROR(MAX(1,MIN(104,INT((IF(F197="",E197,F197)-(DATE(Cal_Weeks!$B$1,1,1)-WEEKDAY(DATE(Cal_Weeks!$B$1,1,1),3)))/7)+1)),"")</f>
        <v/>
      </c>
      <c r="I197" s="28" t="n"/>
    </row>
    <row r="198">
      <c r="A198" t="inlineStr">
        <is>
          <t>CHEM-1570</t>
        </is>
      </c>
      <c r="B198" t="inlineStr">
        <is>
          <t>PO068015</t>
        </is>
      </c>
      <c r="C198" s="27" t="n"/>
      <c r="D198" t="n">
        <v>18</v>
      </c>
      <c r="E198" s="24" t="n">
        <v>46181</v>
      </c>
      <c r="G198" t="inlineStr">
        <is>
          <t>In-transit</t>
        </is>
      </c>
      <c r="H198">
        <f>IFERROR(MAX(1,MIN(104,INT((IF(F198="",E198,F198)-(DATE(Cal_Weeks!$B$1,1,1)-WEEKDAY(DATE(Cal_Weeks!$B$1,1,1),3)))/7)+1)),"")</f>
        <v/>
      </c>
      <c r="I198" s="28" t="n"/>
    </row>
    <row r="199">
      <c r="A199" t="inlineStr">
        <is>
          <t>CHEM-1670</t>
        </is>
      </c>
      <c r="B199" t="inlineStr">
        <is>
          <t>PO068015</t>
        </is>
      </c>
      <c r="C199" s="27" t="n"/>
      <c r="D199" t="n">
        <v>360</v>
      </c>
      <c r="E199" s="24" t="n">
        <v>46181</v>
      </c>
      <c r="G199" t="inlineStr">
        <is>
          <t>In-transit</t>
        </is>
      </c>
      <c r="H199">
        <f>IFERROR(MAX(1,MIN(104,INT((IF(F199="",E199,F199)-(DATE(Cal_Weeks!$B$1,1,1)-WEEKDAY(DATE(Cal_Weeks!$B$1,1,1),3)))/7)+1)),"")</f>
        <v/>
      </c>
      <c r="I199" s="28" t="n"/>
    </row>
    <row r="200">
      <c r="A200" t="inlineStr">
        <is>
          <t>CHEM-1690</t>
        </is>
      </c>
      <c r="B200" t="inlineStr">
        <is>
          <t>PO068015</t>
        </is>
      </c>
      <c r="C200" s="27" t="n"/>
      <c r="D200" t="n">
        <v>135</v>
      </c>
      <c r="E200" s="24" t="n">
        <v>46181</v>
      </c>
      <c r="G200" t="inlineStr">
        <is>
          <t>In-transit</t>
        </is>
      </c>
      <c r="H200">
        <f>IFERROR(MAX(1,MIN(104,INT((IF(F200="",E200,F200)-(DATE(Cal_Weeks!$B$1,1,1)-WEEKDAY(DATE(Cal_Weeks!$B$1,1,1),3)))/7)+1)),"")</f>
        <v/>
      </c>
      <c r="I200" s="28" t="n"/>
    </row>
    <row r="201">
      <c r="A201" t="inlineStr">
        <is>
          <t>CHEM-1700</t>
        </is>
      </c>
      <c r="B201" t="inlineStr">
        <is>
          <t>PO068015</t>
        </is>
      </c>
      <c r="C201" s="27" t="n"/>
      <c r="D201" t="n">
        <v>60</v>
      </c>
      <c r="E201" s="24" t="n">
        <v>46181</v>
      </c>
      <c r="G201" t="inlineStr">
        <is>
          <t>In-transit</t>
        </is>
      </c>
      <c r="H201">
        <f>IFERROR(MAX(1,MIN(104,INT((IF(F201="",E201,F201)-(DATE(Cal_Weeks!$B$1,1,1)-WEEKDAY(DATE(Cal_Weeks!$B$1,1,1),3)))/7)+1)),"")</f>
        <v/>
      </c>
      <c r="I201" s="28" t="n"/>
    </row>
    <row r="202">
      <c r="A202" t="inlineStr">
        <is>
          <t>CHEM-1720</t>
        </is>
      </c>
      <c r="B202" t="inlineStr">
        <is>
          <t>PO068015</t>
        </is>
      </c>
      <c r="C202" s="27" t="n"/>
      <c r="D202" t="n">
        <v>1320</v>
      </c>
      <c r="E202" s="24" t="n">
        <v>46181</v>
      </c>
      <c r="G202" t="inlineStr">
        <is>
          <t>In-transit</t>
        </is>
      </c>
      <c r="H202">
        <f>IFERROR(MAX(1,MIN(104,INT((IF(F202="",E202,F202)-(DATE(Cal_Weeks!$B$1,1,1)-WEEKDAY(DATE(Cal_Weeks!$B$1,1,1),3)))/7)+1)),"")</f>
        <v/>
      </c>
      <c r="I202" s="28" t="n"/>
    </row>
    <row r="203">
      <c r="A203" t="inlineStr">
        <is>
          <t>CHEM-1760</t>
        </is>
      </c>
      <c r="B203" t="inlineStr">
        <is>
          <t>PO068015</t>
        </is>
      </c>
      <c r="C203" s="27" t="n"/>
      <c r="D203" t="n">
        <v>17</v>
      </c>
      <c r="E203" s="24" t="n">
        <v>46181</v>
      </c>
      <c r="G203" t="inlineStr">
        <is>
          <t>In-transit</t>
        </is>
      </c>
      <c r="H203">
        <f>IFERROR(MAX(1,MIN(104,INT((IF(F203="",E203,F203)-(DATE(Cal_Weeks!$B$1,1,1)-WEEKDAY(DATE(Cal_Weeks!$B$1,1,1),3)))/7)+1)),"")</f>
        <v/>
      </c>
      <c r="I203" s="28" t="n"/>
    </row>
    <row r="204">
      <c r="A204" t="inlineStr">
        <is>
          <t>CHEM-1850</t>
        </is>
      </c>
      <c r="B204" t="inlineStr"/>
      <c r="C204" s="27" t="n"/>
      <c r="D204" t="n">
        <v>74.56</v>
      </c>
      <c r="E204" s="24" t="n">
        <v>46181</v>
      </c>
      <c r="G204" t="inlineStr">
        <is>
          <t>In-transit</t>
        </is>
      </c>
      <c r="H204">
        <f>IFERROR(MAX(1,MIN(104,INT((IF(F204="",E204,F204)-(DATE(Cal_Weeks!$B$1,1,1)-WEEKDAY(DATE(Cal_Weeks!$B$1,1,1),3)))/7)+1)),"")</f>
        <v/>
      </c>
      <c r="I204" s="28" t="n"/>
    </row>
    <row r="205">
      <c r="A205" t="inlineStr">
        <is>
          <t>CHEM-1660</t>
        </is>
      </c>
      <c r="B205" t="inlineStr">
        <is>
          <t>PO067957</t>
        </is>
      </c>
      <c r="C205" s="27" t="n"/>
      <c r="D205" t="n">
        <v>180</v>
      </c>
      <c r="E205" s="24" t="n">
        <v>46181</v>
      </c>
      <c r="G205" t="inlineStr">
        <is>
          <t>In-transit</t>
        </is>
      </c>
      <c r="H205">
        <f>IFERROR(MAX(1,MIN(104,INT((IF(F205="",E205,F205)-(DATE(Cal_Weeks!$B$1,1,1)-WEEKDAY(DATE(Cal_Weeks!$B$1,1,1),3)))/7)+1)),"")</f>
        <v/>
      </c>
      <c r="I205" s="28" t="n"/>
    </row>
    <row r="206">
      <c r="A206" t="inlineStr">
        <is>
          <t>CHEM-1280</t>
        </is>
      </c>
      <c r="B206" t="inlineStr">
        <is>
          <t>PO067957</t>
        </is>
      </c>
      <c r="C206" s="27" t="n"/>
      <c r="D206" t="n">
        <v>1000</v>
      </c>
      <c r="E206" s="24" t="n">
        <v>46181</v>
      </c>
      <c r="G206" t="inlineStr">
        <is>
          <t>In-transit</t>
        </is>
      </c>
      <c r="H206">
        <f>IFERROR(MAX(1,MIN(104,INT((IF(F206="",E206,F206)-(DATE(Cal_Weeks!$B$1,1,1)-WEEKDAY(DATE(Cal_Weeks!$B$1,1,1),3)))/7)+1)),"")</f>
        <v/>
      </c>
      <c r="I206" s="28" t="n"/>
    </row>
    <row r="207">
      <c r="A207" t="inlineStr">
        <is>
          <t>4HL</t>
        </is>
      </c>
      <c r="B207" t="inlineStr"/>
      <c r="C207" s="27" t="n"/>
      <c r="D207" t="n">
        <v>12000</v>
      </c>
      <c r="E207" s="24" t="n">
        <v>46213</v>
      </c>
      <c r="G207" t="inlineStr">
        <is>
          <t>Unconfirmed</t>
        </is>
      </c>
      <c r="H207">
        <f>IFERROR(MAX(1,MIN(104,INT((IF(F207="",E207,F207)-(DATE(Cal_Weeks!$B$1,1,1)-WEEKDAY(DATE(Cal_Weeks!$B$1,1,1),3)))/7)+1)),"")</f>
        <v/>
      </c>
      <c r="I207" s="28" t="n"/>
    </row>
    <row r="208">
      <c r="A208" t="inlineStr">
        <is>
          <t>4HL</t>
        </is>
      </c>
      <c r="B208" t="inlineStr"/>
      <c r="C208" s="27" t="n"/>
      <c r="D208" t="n">
        <v>6240</v>
      </c>
      <c r="E208" s="24" t="n">
        <v>46215</v>
      </c>
      <c r="G208" t="inlineStr">
        <is>
          <t>Unconfirmed</t>
        </is>
      </c>
      <c r="H208">
        <f>IFERROR(MAX(1,MIN(104,INT((IF(F208="",E208,F208)-(DATE(Cal_Weeks!$B$1,1,1)-WEEKDAY(DATE(Cal_Weeks!$B$1,1,1),3)))/7)+1)),"")</f>
        <v/>
      </c>
      <c r="I208" s="28" t="n"/>
    </row>
    <row r="209">
      <c r="A209" t="inlineStr">
        <is>
          <t>4HL</t>
        </is>
      </c>
      <c r="B209" t="inlineStr"/>
      <c r="C209" s="27" t="n"/>
      <c r="D209" t="n">
        <v>6240</v>
      </c>
      <c r="E209" s="24" t="n">
        <v>46220</v>
      </c>
      <c r="G209" t="inlineStr">
        <is>
          <t>Unconfirmed</t>
        </is>
      </c>
      <c r="H209">
        <f>IFERROR(MAX(1,MIN(104,INT((IF(F209="",E209,F209)-(DATE(Cal_Weeks!$B$1,1,1)-WEEKDAY(DATE(Cal_Weeks!$B$1,1,1),3)))/7)+1)),"")</f>
        <v/>
      </c>
      <c r="I209" s="28" t="n"/>
    </row>
    <row r="210">
      <c r="A210" t="inlineStr">
        <is>
          <t>4HL</t>
        </is>
      </c>
      <c r="B210" t="inlineStr"/>
      <c r="C210" s="27" t="n"/>
      <c r="D210" t="n">
        <v>5972</v>
      </c>
      <c r="E210" s="24" t="n">
        <v>46222</v>
      </c>
      <c r="G210" t="inlineStr">
        <is>
          <t>Unconfirmed</t>
        </is>
      </c>
      <c r="H210">
        <f>IFERROR(MAX(1,MIN(104,INT((IF(F210="",E210,F210)-(DATE(Cal_Weeks!$B$1,1,1)-WEEKDAY(DATE(Cal_Weeks!$B$1,1,1),3)))/7)+1)),"")</f>
        <v/>
      </c>
      <c r="I210" s="28" t="n"/>
    </row>
    <row r="211">
      <c r="A211" t="inlineStr">
        <is>
          <t>4HL</t>
        </is>
      </c>
      <c r="B211" t="inlineStr"/>
      <c r="C211" s="27" t="n"/>
      <c r="D211" t="n">
        <v>5760</v>
      </c>
      <c r="E211" s="24" t="n">
        <v>46227</v>
      </c>
      <c r="G211" t="inlineStr">
        <is>
          <t>Unconfirmed</t>
        </is>
      </c>
      <c r="H211">
        <f>IFERROR(MAX(1,MIN(104,INT((IF(F211="",E211,F211)-(DATE(Cal_Weeks!$B$1,1,1)-WEEKDAY(DATE(Cal_Weeks!$B$1,1,1),3)))/7)+1)),"")</f>
        <v/>
      </c>
      <c r="I211" s="28" t="n"/>
    </row>
    <row r="212">
      <c r="A212" t="inlineStr">
        <is>
          <t>4HL</t>
        </is>
      </c>
      <c r="B212" t="inlineStr"/>
      <c r="C212" s="27" t="n"/>
      <c r="D212" t="n">
        <v>6240</v>
      </c>
      <c r="E212" s="24" t="n">
        <v>46229</v>
      </c>
      <c r="G212" t="inlineStr">
        <is>
          <t>Unconfirmed</t>
        </is>
      </c>
      <c r="H212">
        <f>IFERROR(MAX(1,MIN(104,INT((IF(F212="",E212,F212)-(DATE(Cal_Weeks!$B$1,1,1)-WEEKDAY(DATE(Cal_Weeks!$B$1,1,1),3)))/7)+1)),"")</f>
        <v/>
      </c>
      <c r="I212" s="28" t="n"/>
    </row>
    <row r="213">
      <c r="A213" t="inlineStr">
        <is>
          <t>4HL</t>
        </is>
      </c>
      <c r="B213" t="inlineStr"/>
      <c r="C213" s="27" t="n"/>
      <c r="D213" t="n">
        <v>5902</v>
      </c>
      <c r="E213" s="24" t="n">
        <v>46234</v>
      </c>
      <c r="G213" t="inlineStr">
        <is>
          <t>Unconfirmed</t>
        </is>
      </c>
      <c r="H213">
        <f>IFERROR(MAX(1,MIN(104,INT((IF(F213="",E213,F213)-(DATE(Cal_Weeks!$B$1,1,1)-WEEKDAY(DATE(Cal_Weeks!$B$1,1,1),3)))/7)+1)),"")</f>
        <v/>
      </c>
      <c r="I213" s="28" t="n"/>
    </row>
    <row r="214">
      <c r="A214" t="inlineStr">
        <is>
          <t>4HL</t>
        </is>
      </c>
      <c r="B214" t="inlineStr"/>
      <c r="C214" s="27" t="n"/>
      <c r="D214" t="n">
        <v>6240</v>
      </c>
      <c r="E214" s="24" t="n">
        <v>46236</v>
      </c>
      <c r="G214" t="inlineStr">
        <is>
          <t>Unconfirmed</t>
        </is>
      </c>
      <c r="H214">
        <f>IFERROR(MAX(1,MIN(104,INT((IF(F214="",E214,F214)-(DATE(Cal_Weeks!$B$1,1,1)-WEEKDAY(DATE(Cal_Weeks!$B$1,1,1),3)))/7)+1)),"")</f>
        <v/>
      </c>
      <c r="I214" s="28" t="n"/>
    </row>
    <row r="215">
      <c r="A215" t="inlineStr">
        <is>
          <t>4HL</t>
        </is>
      </c>
      <c r="B215" t="inlineStr"/>
      <c r="C215" s="27" t="n"/>
      <c r="D215" t="n">
        <v>5760</v>
      </c>
      <c r="E215" s="24" t="n">
        <v>46241</v>
      </c>
      <c r="G215" t="inlineStr">
        <is>
          <t>Unconfirmed</t>
        </is>
      </c>
      <c r="H215">
        <f>IFERROR(MAX(1,MIN(104,INT((IF(F215="",E215,F215)-(DATE(Cal_Weeks!$B$1,1,1)-WEEKDAY(DATE(Cal_Weeks!$B$1,1,1),3)))/7)+1)),"")</f>
        <v/>
      </c>
      <c r="I215" s="28" t="n"/>
    </row>
    <row r="216">
      <c r="A216" t="inlineStr">
        <is>
          <t>TDJ</t>
        </is>
      </c>
      <c r="B216" t="inlineStr"/>
      <c r="C216" s="27" t="n"/>
      <c r="D216" t="n">
        <v>392</v>
      </c>
      <c r="E216" s="24" t="n">
        <v>46222</v>
      </c>
      <c r="G216" t="inlineStr">
        <is>
          <t>Unconfirmed</t>
        </is>
      </c>
      <c r="H216">
        <f>IFERROR(MAX(1,MIN(104,INT((IF(F216="",E216,F216)-(DATE(Cal_Weeks!$B$1,1,1)-WEEKDAY(DATE(Cal_Weeks!$B$1,1,1),3)))/7)+1)),"")</f>
        <v/>
      </c>
      <c r="I216" s="28" t="n"/>
    </row>
    <row r="217">
      <c r="A217" t="inlineStr">
        <is>
          <t>TDJ</t>
        </is>
      </c>
      <c r="B217" t="inlineStr"/>
      <c r="C217" s="27" t="n"/>
      <c r="D217" t="n">
        <v>200</v>
      </c>
      <c r="E217" s="24" t="n">
        <v>46227</v>
      </c>
      <c r="G217" t="inlineStr">
        <is>
          <t>Unconfirmed</t>
        </is>
      </c>
      <c r="H217">
        <f>IFERROR(MAX(1,MIN(104,INT((IF(F217="",E217,F217)-(DATE(Cal_Weeks!$B$1,1,1)-WEEKDAY(DATE(Cal_Weeks!$B$1,1,1),3)))/7)+1)),"")</f>
        <v/>
      </c>
      <c r="I217" s="28" t="n"/>
    </row>
    <row r="218">
      <c r="A218" t="inlineStr">
        <is>
          <t>TDJ</t>
        </is>
      </c>
      <c r="B218" t="inlineStr"/>
      <c r="C218" s="27" t="n"/>
      <c r="D218" t="n">
        <v>392</v>
      </c>
      <c r="E218" s="24" t="n">
        <v>46229</v>
      </c>
      <c r="G218" t="inlineStr">
        <is>
          <t>Unconfirmed</t>
        </is>
      </c>
      <c r="H218">
        <f>IFERROR(MAX(1,MIN(104,INT((IF(F218="",E218,F218)-(DATE(Cal_Weeks!$B$1,1,1)-WEEKDAY(DATE(Cal_Weeks!$B$1,1,1),3)))/7)+1)),"")</f>
        <v/>
      </c>
      <c r="I218" s="28" t="n"/>
    </row>
    <row r="219">
      <c r="A219" t="inlineStr">
        <is>
          <t>TDJ</t>
        </is>
      </c>
      <c r="B219" t="inlineStr"/>
      <c r="C219" s="27" t="n"/>
      <c r="D219" t="n">
        <v>392</v>
      </c>
      <c r="E219" s="24" t="n">
        <v>46236</v>
      </c>
      <c r="G219" t="inlineStr">
        <is>
          <t>Unconfirmed</t>
        </is>
      </c>
      <c r="H219">
        <f>IFERROR(MAX(1,MIN(104,INT((IF(F219="",E219,F219)-(DATE(Cal_Weeks!$B$1,1,1)-WEEKDAY(DATE(Cal_Weeks!$B$1,1,1),3)))/7)+1)),"")</f>
        <v/>
      </c>
      <c r="I219" s="28" t="n"/>
    </row>
    <row r="220">
      <c r="A220" t="inlineStr">
        <is>
          <t>TDJ</t>
        </is>
      </c>
      <c r="B220" t="inlineStr"/>
      <c r="C220" s="27" t="n"/>
      <c r="D220" t="n">
        <v>392</v>
      </c>
      <c r="E220" s="24" t="n">
        <v>46241</v>
      </c>
      <c r="G220" t="inlineStr">
        <is>
          <t>Unconfirmed</t>
        </is>
      </c>
      <c r="H220">
        <f>IFERROR(MAX(1,MIN(104,INT((IF(F220="",E220,F220)-(DATE(Cal_Weeks!$B$1,1,1)-WEEKDAY(DATE(Cal_Weeks!$B$1,1,1),3)))/7)+1)),"")</f>
        <v/>
      </c>
      <c r="I220" s="28" t="n"/>
    </row>
    <row r="221">
      <c r="A221" t="inlineStr">
        <is>
          <t>OJN</t>
        </is>
      </c>
      <c r="B221" t="inlineStr">
        <is>
          <t>PO067815</t>
        </is>
      </c>
      <c r="C221" s="27" t="n"/>
      <c r="D221" t="n">
        <v>12672</v>
      </c>
      <c r="E221" s="24" t="n">
        <v>46203</v>
      </c>
      <c r="G221" t="inlineStr">
        <is>
          <t>Unconfirmed</t>
        </is>
      </c>
      <c r="H221">
        <f>IFERROR(MAX(1,MIN(104,INT((IF(F221="",E221,F221)-(DATE(Cal_Weeks!$B$1,1,1)-WEEKDAY(DATE(Cal_Weeks!$B$1,1,1),3)))/7)+1)),"")</f>
        <v/>
      </c>
      <c r="I221" s="28" t="n"/>
    </row>
    <row r="222">
      <c r="A222" t="inlineStr">
        <is>
          <t>CHEM-1240</t>
        </is>
      </c>
      <c r="B222" t="inlineStr">
        <is>
          <t>PO067960</t>
        </is>
      </c>
      <c r="C222" s="27" t="n"/>
      <c r="D222" t="n">
        <v>440</v>
      </c>
      <c r="E222" s="24" t="n">
        <v>46206</v>
      </c>
      <c r="G222" t="inlineStr">
        <is>
          <t>Unconfirmed</t>
        </is>
      </c>
      <c r="H222">
        <f>IFERROR(MAX(1,MIN(104,INT((IF(F222="",E222,F222)-(DATE(Cal_Weeks!$B$1,1,1)-WEEKDAY(DATE(Cal_Weeks!$B$1,1,1),3)))/7)+1)),"")</f>
        <v/>
      </c>
      <c r="I222" s="28" t="n"/>
    </row>
    <row r="223">
      <c r="A223" t="inlineStr">
        <is>
          <t>CHEM-1250</t>
        </is>
      </c>
      <c r="B223" t="inlineStr">
        <is>
          <t>PO067960</t>
        </is>
      </c>
      <c r="C223" s="27" t="n"/>
      <c r="D223" t="n">
        <v>125</v>
      </c>
      <c r="E223" s="24" t="n">
        <v>46206</v>
      </c>
      <c r="G223" t="inlineStr">
        <is>
          <t>Unconfirmed</t>
        </is>
      </c>
      <c r="H223">
        <f>IFERROR(MAX(1,MIN(104,INT((IF(F223="",E223,F223)-(DATE(Cal_Weeks!$B$1,1,1)-WEEKDAY(DATE(Cal_Weeks!$B$1,1,1),3)))/7)+1)),"")</f>
        <v/>
      </c>
      <c r="I223" s="28" t="n"/>
    </row>
    <row r="224">
      <c r="A224" t="inlineStr">
        <is>
          <t>CHEM-1400</t>
        </is>
      </c>
      <c r="B224" t="inlineStr">
        <is>
          <t>PO067960</t>
        </is>
      </c>
      <c r="C224" s="27" t="n"/>
      <c r="D224" t="n">
        <v>250</v>
      </c>
      <c r="E224" s="24" t="n">
        <v>46206</v>
      </c>
      <c r="G224" t="inlineStr">
        <is>
          <t>Unconfirmed</t>
        </is>
      </c>
      <c r="H224">
        <f>IFERROR(MAX(1,MIN(104,INT((IF(F224="",E224,F224)-(DATE(Cal_Weeks!$B$1,1,1)-WEEKDAY(DATE(Cal_Weeks!$B$1,1,1),3)))/7)+1)),"")</f>
        <v/>
      </c>
      <c r="I224" s="28" t="n"/>
    </row>
    <row r="225">
      <c r="A225" t="inlineStr">
        <is>
          <t>CHEM-1420</t>
        </is>
      </c>
      <c r="B225" t="inlineStr">
        <is>
          <t>PO067960</t>
        </is>
      </c>
      <c r="C225" s="27" t="n"/>
      <c r="D225" t="n">
        <v>240</v>
      </c>
      <c r="E225" s="24" t="n">
        <v>46206</v>
      </c>
      <c r="G225" t="inlineStr">
        <is>
          <t>Unconfirmed</t>
        </is>
      </c>
      <c r="H225">
        <f>IFERROR(MAX(1,MIN(104,INT((IF(F225="",E225,F225)-(DATE(Cal_Weeks!$B$1,1,1)-WEEKDAY(DATE(Cal_Weeks!$B$1,1,1),3)))/7)+1)),"")</f>
        <v/>
      </c>
      <c r="I225" s="28" t="n"/>
    </row>
    <row r="226">
      <c r="A226" t="inlineStr">
        <is>
          <t>CHEM-1440</t>
        </is>
      </c>
      <c r="B226" t="inlineStr">
        <is>
          <t>PO067960</t>
        </is>
      </c>
      <c r="C226" s="27" t="n"/>
      <c r="D226" t="n">
        <v>200</v>
      </c>
      <c r="E226" s="24" t="n">
        <v>46206</v>
      </c>
      <c r="G226" t="inlineStr">
        <is>
          <t>Unconfirmed</t>
        </is>
      </c>
      <c r="H226">
        <f>IFERROR(MAX(1,MIN(104,INT((IF(F226="",E226,F226)-(DATE(Cal_Weeks!$B$1,1,1)-WEEKDAY(DATE(Cal_Weeks!$B$1,1,1),3)))/7)+1)),"")</f>
        <v/>
      </c>
      <c r="I226" s="28" t="n"/>
    </row>
    <row r="227">
      <c r="A227" t="inlineStr">
        <is>
          <t>CHEM-1540</t>
        </is>
      </c>
      <c r="B227" t="inlineStr">
        <is>
          <t>PO067960</t>
        </is>
      </c>
      <c r="C227" s="27" t="n"/>
      <c r="D227" t="n">
        <v>2000</v>
      </c>
      <c r="E227" s="24" t="n">
        <v>46206</v>
      </c>
      <c r="G227" t="inlineStr">
        <is>
          <t>Unconfirmed</t>
        </is>
      </c>
      <c r="H227">
        <f>IFERROR(MAX(1,MIN(104,INT((IF(F227="",E227,F227)-(DATE(Cal_Weeks!$B$1,1,1)-WEEKDAY(DATE(Cal_Weeks!$B$1,1,1),3)))/7)+1)),"")</f>
        <v/>
      </c>
      <c r="I227" s="28" t="n"/>
    </row>
    <row r="228">
      <c r="A228" t="inlineStr">
        <is>
          <t>CHEM-1530</t>
        </is>
      </c>
      <c r="B228" t="inlineStr">
        <is>
          <t>PO067960</t>
        </is>
      </c>
      <c r="C228" s="27" t="n"/>
      <c r="D228" t="n">
        <v>2100</v>
      </c>
      <c r="E228" s="24" t="n">
        <v>46206</v>
      </c>
      <c r="G228" t="inlineStr">
        <is>
          <t>Unconfirmed</t>
        </is>
      </c>
      <c r="H228">
        <f>IFERROR(MAX(1,MIN(104,INT((IF(F228="",E228,F228)-(DATE(Cal_Weeks!$B$1,1,1)-WEEKDAY(DATE(Cal_Weeks!$B$1,1,1),3)))/7)+1)),"")</f>
        <v/>
      </c>
      <c r="I228" s="28" t="n"/>
    </row>
    <row r="229">
      <c r="A229" t="inlineStr">
        <is>
          <t>CHEM-1600</t>
        </is>
      </c>
      <c r="B229" t="inlineStr">
        <is>
          <t>PO067960</t>
        </is>
      </c>
      <c r="C229" s="27" t="n"/>
      <c r="D229" t="n">
        <v>300</v>
      </c>
      <c r="E229" s="24" t="n">
        <v>46206</v>
      </c>
      <c r="G229" t="inlineStr">
        <is>
          <t>Unconfirmed</t>
        </is>
      </c>
      <c r="H229">
        <f>IFERROR(MAX(1,MIN(104,INT((IF(F229="",E229,F229)-(DATE(Cal_Weeks!$B$1,1,1)-WEEKDAY(DATE(Cal_Weeks!$B$1,1,1),3)))/7)+1)),"")</f>
        <v/>
      </c>
      <c r="I229" s="28" t="n"/>
    </row>
    <row r="230">
      <c r="A230" t="inlineStr">
        <is>
          <t>CHEM-1570</t>
        </is>
      </c>
      <c r="B230" t="inlineStr">
        <is>
          <t>PO067960</t>
        </is>
      </c>
      <c r="C230" s="27" t="n"/>
      <c r="D230" t="n">
        <v>54</v>
      </c>
      <c r="E230" s="24" t="n">
        <v>46206</v>
      </c>
      <c r="G230" t="inlineStr">
        <is>
          <t>Unconfirmed</t>
        </is>
      </c>
      <c r="H230">
        <f>IFERROR(MAX(1,MIN(104,INT((IF(F230="",E230,F230)-(DATE(Cal_Weeks!$B$1,1,1)-WEEKDAY(DATE(Cal_Weeks!$B$1,1,1),3)))/7)+1)),"")</f>
        <v/>
      </c>
      <c r="I230" s="28" t="n"/>
    </row>
    <row r="231">
      <c r="A231" t="inlineStr">
        <is>
          <t>CHEM-1670</t>
        </is>
      </c>
      <c r="B231" t="inlineStr">
        <is>
          <t>PO067960</t>
        </is>
      </c>
      <c r="C231" s="27" t="n"/>
      <c r="D231" t="n">
        <v>180</v>
      </c>
      <c r="E231" s="24" t="n">
        <v>46206</v>
      </c>
      <c r="G231" t="inlineStr">
        <is>
          <t>Unconfirmed</t>
        </is>
      </c>
      <c r="H231">
        <f>IFERROR(MAX(1,MIN(104,INT((IF(F231="",E231,F231)-(DATE(Cal_Weeks!$B$1,1,1)-WEEKDAY(DATE(Cal_Weeks!$B$1,1,1),3)))/7)+1)),"")</f>
        <v/>
      </c>
      <c r="I231" s="28" t="n"/>
    </row>
    <row r="232">
      <c r="A232" t="inlineStr">
        <is>
          <t>CHEM-1700</t>
        </is>
      </c>
      <c r="B232" t="inlineStr">
        <is>
          <t>PO067960</t>
        </is>
      </c>
      <c r="C232" s="27" t="n"/>
      <c r="D232" t="n">
        <v>90</v>
      </c>
      <c r="E232" s="24" t="n">
        <v>46206</v>
      </c>
      <c r="G232" t="inlineStr">
        <is>
          <t>Unconfirmed</t>
        </is>
      </c>
      <c r="H232">
        <f>IFERROR(MAX(1,MIN(104,INT((IF(F232="",E232,F232)-(DATE(Cal_Weeks!$B$1,1,1)-WEEKDAY(DATE(Cal_Weeks!$B$1,1,1),3)))/7)+1)),"")</f>
        <v/>
      </c>
      <c r="I232" s="28" t="n"/>
    </row>
    <row r="233">
      <c r="A233" t="inlineStr">
        <is>
          <t>CHEM-1720</t>
        </is>
      </c>
      <c r="B233" t="inlineStr">
        <is>
          <t>PO067960</t>
        </is>
      </c>
      <c r="C233" s="27" t="n"/>
      <c r="D233" t="n">
        <v>960</v>
      </c>
      <c r="E233" s="24" t="n">
        <v>46206</v>
      </c>
      <c r="G233" t="inlineStr">
        <is>
          <t>Unconfirmed</t>
        </is>
      </c>
      <c r="H233">
        <f>IFERROR(MAX(1,MIN(104,INT((IF(F233="",E233,F233)-(DATE(Cal_Weeks!$B$1,1,1)-WEEKDAY(DATE(Cal_Weeks!$B$1,1,1),3)))/7)+1)),"")</f>
        <v/>
      </c>
      <c r="I233" s="28" t="n"/>
    </row>
    <row r="234">
      <c r="A234" t="inlineStr">
        <is>
          <t>CHEM-1680</t>
        </is>
      </c>
      <c r="B234" t="inlineStr">
        <is>
          <t>PO067960</t>
        </is>
      </c>
      <c r="C234" s="27" t="n"/>
      <c r="D234" t="n">
        <v>100</v>
      </c>
      <c r="E234" s="24" t="n">
        <v>46206</v>
      </c>
      <c r="G234" t="inlineStr">
        <is>
          <t>Unconfirmed</t>
        </is>
      </c>
      <c r="H234">
        <f>IFERROR(MAX(1,MIN(104,INT((IF(F234="",E234,F234)-(DATE(Cal_Weeks!$B$1,1,1)-WEEKDAY(DATE(Cal_Weeks!$B$1,1,1),3)))/7)+1)),"")</f>
        <v/>
      </c>
      <c r="I234" s="28" t="n"/>
    </row>
    <row r="235">
      <c r="A235" t="inlineStr">
        <is>
          <t>CHEM-1850</t>
        </is>
      </c>
      <c r="B235" t="inlineStr"/>
      <c r="C235" s="27" t="n"/>
      <c r="D235" t="n">
        <v>37.28</v>
      </c>
      <c r="E235" s="24" t="n">
        <v>46206</v>
      </c>
      <c r="G235" t="inlineStr">
        <is>
          <t>Unconfirmed</t>
        </is>
      </c>
      <c r="H235">
        <f>IFERROR(MAX(1,MIN(104,INT((IF(F235="",E235,F235)-(DATE(Cal_Weeks!$B$1,1,1)-WEEKDAY(DATE(Cal_Weeks!$B$1,1,1),3)))/7)+1)),"")</f>
        <v/>
      </c>
      <c r="I235" s="28" t="n"/>
    </row>
    <row r="236">
      <c r="A236" t="inlineStr">
        <is>
          <t>CHEM-1660</t>
        </is>
      </c>
      <c r="B236" t="inlineStr">
        <is>
          <t>PO067957</t>
        </is>
      </c>
      <c r="C236" s="27" t="n"/>
      <c r="D236" t="n">
        <v>150</v>
      </c>
      <c r="E236" s="24" t="n">
        <v>46205</v>
      </c>
      <c r="G236" t="inlineStr">
        <is>
          <t>Unconfirmed</t>
        </is>
      </c>
      <c r="H236">
        <f>IFERROR(MAX(1,MIN(104,INT((IF(F236="",E236,F236)-(DATE(Cal_Weeks!$B$1,1,1)-WEEKDAY(DATE(Cal_Weeks!$B$1,1,1),3)))/7)+1)),"")</f>
        <v/>
      </c>
      <c r="I236" s="28" t="n"/>
    </row>
    <row r="237">
      <c r="A237" t="inlineStr">
        <is>
          <t>CHEM-1280</t>
        </is>
      </c>
      <c r="B237" t="inlineStr">
        <is>
          <t>PO067957</t>
        </is>
      </c>
      <c r="C237" s="27" t="n"/>
      <c r="D237" t="n">
        <v>1500</v>
      </c>
      <c r="E237" s="24" t="n">
        <v>46205</v>
      </c>
      <c r="G237" t="inlineStr">
        <is>
          <t>Unconfirmed</t>
        </is>
      </c>
      <c r="H237">
        <f>IFERROR(MAX(1,MIN(104,INT((IF(F237="",E237,F237)-(DATE(Cal_Weeks!$B$1,1,1)-WEEKDAY(DATE(Cal_Weeks!$B$1,1,1),3)))/7)+1)),"")</f>
        <v/>
      </c>
      <c r="I237" s="28" t="n"/>
    </row>
    <row r="238">
      <c r="A238" t="inlineStr">
        <is>
          <t>OJN</t>
        </is>
      </c>
      <c r="B238" t="inlineStr">
        <is>
          <t>PO067959</t>
        </is>
      </c>
      <c r="C238" s="27" t="n"/>
      <c r="D238" t="n">
        <v>18612</v>
      </c>
      <c r="E238" s="24" t="n">
        <v>46234</v>
      </c>
      <c r="G238" t="inlineStr">
        <is>
          <t>Unconfirmed</t>
        </is>
      </c>
      <c r="H238">
        <f>IFERROR(MAX(1,MIN(104,INT((IF(F238="",E238,F238)-(DATE(Cal_Weeks!$B$1,1,1)-WEEKDAY(DATE(Cal_Weeks!$B$1,1,1),3)))/7)+1)),"")</f>
        <v/>
      </c>
      <c r="I238" s="2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0" customWidth="1" min="4" max="4"/>
    <col width="12" customWidth="1" min="5" max="5"/>
    <col width="12" customWidth="1" min="6" max="6"/>
    <col width="12" customWidth="1" min="7" max="7"/>
  </cols>
  <sheetData>
    <row r="1">
      <c r="A1" s="6" t="inlineStr">
        <is>
          <t>Part Name</t>
        </is>
      </c>
      <c r="B1" s="6" t="inlineStr">
        <is>
          <t>Qty</t>
        </is>
      </c>
      <c r="C1" s="6" t="inlineStr">
        <is>
          <t>Target_Delivery_Date</t>
        </is>
      </c>
      <c r="D1" s="6" t="inlineStr">
        <is>
          <t>WeekIndex</t>
        </is>
      </c>
      <c r="E1" s="6" t="inlineStr">
        <is>
          <t>Order_Month</t>
        </is>
      </c>
      <c r="F1" s="6" t="inlineStr">
        <is>
          <t>IsReconciled</t>
        </is>
      </c>
      <c r="G1" s="6" t="inlineStr">
        <is>
          <t>EffectiveQty</t>
        </is>
      </c>
    </row>
    <row r="2">
      <c r="A2" s="27" t="inlineStr">
        <is>
          <t>(例) CHEM-1010</t>
        </is>
      </c>
      <c r="B2" s="27" t="n">
        <v>0</v>
      </c>
      <c r="C2" s="29" t="n">
        <v>46020</v>
      </c>
      <c r="D2">
        <f>IFERROR(MAX(1,MIN(104,INT(($C2-(DATE(Cal_Weeks!$B$1,1,1)-WEEKDAY(DATE(Cal_Weeks!$B$1,1,1),3)))/7)+1)),"")</f>
        <v/>
      </c>
      <c r="E2" s="30" t="n">
        <v>45992</v>
      </c>
      <c r="F2">
        <f>SUMPRODUCT((T_PlannedOrders[Part Name]=$A2)*(T_PlannedOrders[Order_Month]&lt;&gt;"")*(TEXT(T_PlannedOrders[Order_Month],"yyyy-mm")=TEXT($E2,"yyyy-mm"))*(T_PlannedOrders[Target_Delivery_Date]&lt;=$C2)*T_PlannedOrders[Qty])&lt;=SUMPRODUCT((T_Shipments[Part Name]=$A2)*(T_Shipments[Order_Month]&lt;&gt;"")*(TEXT(T_Shipments[Order_Month],"yyyy-mm")=TEXT($E2,"yyyy-mm"))*T_Shipments[Confirmed_Qty])</f>
        <v/>
      </c>
      <c r="G2">
        <f>IF($F2,0,$B2)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7" t="n">
        <v>0</v>
      </c>
      <c r="C2" s="29" t="n">
        <v>46020</v>
      </c>
    </row>
    <row r="3">
      <c r="A3" t="inlineStr">
        <is>
          <t>1EK</t>
        </is>
      </c>
      <c r="B3" s="27" t="n">
        <v>0</v>
      </c>
      <c r="C3" s="29" t="n">
        <v>46020</v>
      </c>
    </row>
    <row r="4">
      <c r="A4" t="inlineStr">
        <is>
          <t>4HL</t>
        </is>
      </c>
      <c r="B4" s="27" t="n">
        <v>0</v>
      </c>
      <c r="C4" s="29" t="n">
        <v>46020</v>
      </c>
    </row>
    <row r="5">
      <c r="A5" t="inlineStr">
        <is>
          <t>9RN</t>
        </is>
      </c>
      <c r="B5" s="27" t="n">
        <v>0</v>
      </c>
      <c r="C5" s="29" t="n">
        <v>46020</v>
      </c>
    </row>
    <row r="6">
      <c r="A6" t="inlineStr">
        <is>
          <t>7CL</t>
        </is>
      </c>
      <c r="B6" s="27" t="n">
        <v>0</v>
      </c>
      <c r="C6" s="29" t="n">
        <v>46020</v>
      </c>
    </row>
    <row r="7">
      <c r="A7" t="inlineStr">
        <is>
          <t>OJN</t>
        </is>
      </c>
      <c r="B7" s="27" t="n">
        <v>0</v>
      </c>
      <c r="C7" s="29" t="n">
        <v>46020</v>
      </c>
    </row>
    <row r="8">
      <c r="A8" t="inlineStr">
        <is>
          <t>TDJ</t>
        </is>
      </c>
      <c r="B8" s="27" t="n">
        <v>0</v>
      </c>
      <c r="C8" s="29" t="n">
        <v>46020</v>
      </c>
    </row>
    <row r="9">
      <c r="A9" t="inlineStr">
        <is>
          <t>3TP</t>
        </is>
      </c>
      <c r="B9" s="27" t="n">
        <v>0</v>
      </c>
      <c r="C9" s="29" t="n">
        <v>46020</v>
      </c>
    </row>
    <row r="10">
      <c r="A10" t="inlineStr">
        <is>
          <t>KEJ</t>
        </is>
      </c>
      <c r="B10" s="27" t="n">
        <v>0</v>
      </c>
      <c r="C10" s="29" t="n">
        <v>46020</v>
      </c>
    </row>
    <row r="11">
      <c r="A11" t="inlineStr">
        <is>
          <t>JEJ</t>
        </is>
      </c>
      <c r="B11" s="27" t="n">
        <v>0</v>
      </c>
      <c r="C11" s="29" t="n">
        <v>46020</v>
      </c>
    </row>
    <row r="12">
      <c r="A12" t="inlineStr">
        <is>
          <t>YAN</t>
        </is>
      </c>
      <c r="B12" s="27" t="n">
        <v>0</v>
      </c>
      <c r="C12" s="29" t="n">
        <v>46020</v>
      </c>
    </row>
    <row r="13">
      <c r="A13" t="inlineStr">
        <is>
          <t>ABN</t>
        </is>
      </c>
      <c r="B13" s="27" t="n">
        <v>0</v>
      </c>
      <c r="C13" s="29" t="n">
        <v>46020</v>
      </c>
    </row>
    <row r="14">
      <c r="A14" t="inlineStr">
        <is>
          <t>OLJ</t>
        </is>
      </c>
      <c r="B14" s="27" t="n">
        <v>0</v>
      </c>
      <c r="C14" s="29" t="n">
        <v>46020</v>
      </c>
    </row>
    <row r="15">
      <c r="A15" t="inlineStr">
        <is>
          <t>5SN</t>
        </is>
      </c>
      <c r="B15" s="27" t="n">
        <v>0</v>
      </c>
      <c r="C15" s="29" t="n">
        <v>46020</v>
      </c>
    </row>
    <row r="16">
      <c r="A16" t="inlineStr">
        <is>
          <t>8EN</t>
        </is>
      </c>
      <c r="B16" s="27" t="n">
        <v>0</v>
      </c>
      <c r="C16" s="29" t="n">
        <v>46020</v>
      </c>
    </row>
    <row r="17">
      <c r="A17" t="inlineStr">
        <is>
          <t>9RJ</t>
        </is>
      </c>
      <c r="B17" s="27" t="n">
        <v>0</v>
      </c>
      <c r="C17" s="29" t="n">
        <v>46020</v>
      </c>
    </row>
    <row r="18">
      <c r="A18" t="inlineStr">
        <is>
          <t>5JK</t>
        </is>
      </c>
      <c r="B18" s="27" t="n">
        <v>0</v>
      </c>
      <c r="C18" s="29" t="n">
        <v>46020</v>
      </c>
    </row>
    <row r="19">
      <c r="A19" t="inlineStr">
        <is>
          <t>26F</t>
        </is>
      </c>
      <c r="B19" s="27" t="n">
        <v>0</v>
      </c>
      <c r="C19" s="29" t="n">
        <v>46020</v>
      </c>
    </row>
    <row r="20">
      <c r="A20" t="inlineStr">
        <is>
          <t>73K</t>
        </is>
      </c>
      <c r="B20" s="27" t="n">
        <v>0</v>
      </c>
      <c r="C20" s="29" t="n">
        <v>46020</v>
      </c>
    </row>
    <row r="21">
      <c r="A21" t="inlineStr">
        <is>
          <t>1JN</t>
        </is>
      </c>
      <c r="B21" s="27" t="n">
        <v>0</v>
      </c>
      <c r="C21" s="29" t="n">
        <v>46020</v>
      </c>
    </row>
    <row r="22">
      <c r="A22" t="inlineStr">
        <is>
          <t>CHEM-1670</t>
        </is>
      </c>
      <c r="B22" s="27" t="n">
        <v>0</v>
      </c>
      <c r="C22" s="29" t="n">
        <v>46020</v>
      </c>
    </row>
    <row r="23">
      <c r="A23" t="inlineStr">
        <is>
          <t>CHEM-1110</t>
        </is>
      </c>
      <c r="B23" s="27" t="n">
        <v>0</v>
      </c>
      <c r="C23" s="29" t="n">
        <v>46020</v>
      </c>
    </row>
    <row r="24">
      <c r="A24" t="inlineStr">
        <is>
          <t>CHEM-1240</t>
        </is>
      </c>
      <c r="B24" s="27" t="n">
        <v>0</v>
      </c>
      <c r="C24" s="29" t="n">
        <v>46020</v>
      </c>
    </row>
    <row r="25">
      <c r="A25" t="inlineStr">
        <is>
          <t>CHEM-1510</t>
        </is>
      </c>
      <c r="B25" s="27" t="n">
        <v>0</v>
      </c>
      <c r="C25" s="29" t="n">
        <v>46020</v>
      </c>
    </row>
    <row r="26">
      <c r="A26" t="inlineStr">
        <is>
          <t>CHEM-1580</t>
        </is>
      </c>
      <c r="B26" s="27" t="n">
        <v>0</v>
      </c>
      <c r="C26" s="29" t="n">
        <v>46020</v>
      </c>
    </row>
    <row r="27">
      <c r="A27" t="inlineStr">
        <is>
          <t>CHEM-1250</t>
        </is>
      </c>
      <c r="B27" s="27" t="n">
        <v>0</v>
      </c>
      <c r="C27" s="29" t="n">
        <v>46020</v>
      </c>
    </row>
    <row r="28">
      <c r="A28" t="inlineStr">
        <is>
          <t>CHEM-1600</t>
        </is>
      </c>
      <c r="B28" s="27" t="n">
        <v>0</v>
      </c>
      <c r="C28" s="29" t="n">
        <v>46020</v>
      </c>
    </row>
    <row r="29">
      <c r="A29" t="inlineStr">
        <is>
          <t>CHEM-1120</t>
        </is>
      </c>
      <c r="B29" s="27" t="n">
        <v>0</v>
      </c>
      <c r="C29" s="29" t="n">
        <v>46020</v>
      </c>
    </row>
    <row r="30">
      <c r="A30" t="inlineStr">
        <is>
          <t>CHEM-1550</t>
        </is>
      </c>
      <c r="B30" s="27" t="n">
        <v>0</v>
      </c>
      <c r="C30" s="29" t="n">
        <v>46020</v>
      </c>
    </row>
    <row r="31">
      <c r="A31" t="inlineStr">
        <is>
          <t>CHEM-1440</t>
        </is>
      </c>
      <c r="B31" s="27" t="n">
        <v>0</v>
      </c>
      <c r="C31" s="29" t="n">
        <v>46020</v>
      </c>
    </row>
    <row r="32">
      <c r="A32" t="inlineStr">
        <is>
          <t>CHEM-1780</t>
        </is>
      </c>
      <c r="B32" s="27" t="n">
        <v>0</v>
      </c>
      <c r="C32" s="29" t="n">
        <v>46020</v>
      </c>
    </row>
    <row r="33">
      <c r="A33" t="inlineStr">
        <is>
          <t>CHEM-1400</t>
        </is>
      </c>
      <c r="B33" s="27" t="n">
        <v>0</v>
      </c>
      <c r="C33" s="29" t="n">
        <v>46020</v>
      </c>
    </row>
    <row r="34">
      <c r="A34" t="inlineStr">
        <is>
          <t>CHEM-1650</t>
        </is>
      </c>
      <c r="B34" s="27" t="n">
        <v>0</v>
      </c>
      <c r="C34" s="29" t="n">
        <v>46020</v>
      </c>
    </row>
    <row r="35">
      <c r="A35" t="inlineStr">
        <is>
          <t>CHEM-1660</t>
        </is>
      </c>
      <c r="B35" s="27" t="n">
        <v>0</v>
      </c>
      <c r="C35" s="29" t="n">
        <v>46020</v>
      </c>
    </row>
    <row r="36">
      <c r="A36" t="inlineStr">
        <is>
          <t>CHEM-1420</t>
        </is>
      </c>
      <c r="B36" s="27" t="n">
        <v>0</v>
      </c>
      <c r="C36" s="29" t="n">
        <v>46020</v>
      </c>
    </row>
    <row r="37">
      <c r="A37" t="inlineStr">
        <is>
          <t>CHEM-1530</t>
        </is>
      </c>
      <c r="B37" s="27" t="n">
        <v>0</v>
      </c>
      <c r="C37" s="29" t="n">
        <v>46020</v>
      </c>
    </row>
    <row r="38">
      <c r="A38" t="inlineStr">
        <is>
          <t>CHEM-1480</t>
        </is>
      </c>
      <c r="B38" s="27" t="n">
        <v>0</v>
      </c>
      <c r="C38" s="29" t="n">
        <v>46020</v>
      </c>
    </row>
    <row r="39">
      <c r="A39" t="inlineStr">
        <is>
          <t>CHEM-1540</t>
        </is>
      </c>
      <c r="B39" s="27" t="n">
        <v>0</v>
      </c>
      <c r="C39" s="29" t="n">
        <v>46020</v>
      </c>
    </row>
    <row r="40">
      <c r="A40" t="inlineStr">
        <is>
          <t>CHEM-1680</t>
        </is>
      </c>
      <c r="B40" s="27" t="n">
        <v>0</v>
      </c>
      <c r="C40" s="29" t="n">
        <v>46020</v>
      </c>
    </row>
    <row r="41">
      <c r="A41" t="inlineStr">
        <is>
          <t>CHEM-1730</t>
        </is>
      </c>
      <c r="B41" s="27" t="n">
        <v>0</v>
      </c>
      <c r="C41" s="29" t="n">
        <v>46020</v>
      </c>
    </row>
    <row r="42">
      <c r="A42" t="inlineStr">
        <is>
          <t>CHEM-1280</t>
        </is>
      </c>
      <c r="B42" s="27" t="n">
        <v>0</v>
      </c>
      <c r="C42" s="29" t="n">
        <v>46020</v>
      </c>
    </row>
    <row r="43">
      <c r="A43" t="inlineStr">
        <is>
          <t>CHEM-1570</t>
        </is>
      </c>
      <c r="B43" s="27" t="n">
        <v>0</v>
      </c>
      <c r="C43" s="29" t="n">
        <v>46020</v>
      </c>
    </row>
    <row r="44">
      <c r="A44" t="inlineStr">
        <is>
          <t>CHEM-1450</t>
        </is>
      </c>
      <c r="B44" s="27" t="n">
        <v>0</v>
      </c>
      <c r="C44" s="29" t="n">
        <v>46020</v>
      </c>
    </row>
    <row r="45">
      <c r="A45" t="inlineStr">
        <is>
          <t>CHEM-1770</t>
        </is>
      </c>
      <c r="B45" s="27" t="n">
        <v>0</v>
      </c>
      <c r="C45" s="29" t="n">
        <v>46020</v>
      </c>
    </row>
    <row r="46">
      <c r="A46" t="inlineStr">
        <is>
          <t>CHEM-1430</t>
        </is>
      </c>
      <c r="B46" s="27" t="n">
        <v>0</v>
      </c>
      <c r="C46" s="29" t="n">
        <v>46020</v>
      </c>
    </row>
    <row r="47">
      <c r="A47" t="inlineStr">
        <is>
          <t>CHEM-1470</t>
        </is>
      </c>
      <c r="B47" s="27" t="n">
        <v>0</v>
      </c>
      <c r="C47" s="29" t="n">
        <v>46020</v>
      </c>
    </row>
    <row r="48">
      <c r="A48" t="inlineStr">
        <is>
          <t>CHEM-1010</t>
        </is>
      </c>
      <c r="B48" s="27" t="n">
        <v>0</v>
      </c>
      <c r="C48" s="29" t="n">
        <v>46020</v>
      </c>
    </row>
    <row r="49">
      <c r="A49" t="inlineStr">
        <is>
          <t>CHEM-1760</t>
        </is>
      </c>
      <c r="B49" s="27" t="n">
        <v>0</v>
      </c>
      <c r="C49" s="29" t="n">
        <v>46020</v>
      </c>
    </row>
    <row r="50">
      <c r="A50" t="inlineStr">
        <is>
          <t>CHEM-1700</t>
        </is>
      </c>
      <c r="B50" s="27" t="n">
        <v>0</v>
      </c>
      <c r="C50" s="29" t="n">
        <v>46020</v>
      </c>
    </row>
    <row r="51">
      <c r="A51" t="inlineStr">
        <is>
          <t>CHEM-1850</t>
        </is>
      </c>
      <c r="B51" s="27" t="n">
        <v>0</v>
      </c>
      <c r="C51" s="29" t="n">
        <v>46020</v>
      </c>
    </row>
    <row r="52">
      <c r="A52" t="inlineStr">
        <is>
          <t>Original Towel</t>
        </is>
      </c>
      <c r="B52" s="27" t="n">
        <v>0</v>
      </c>
      <c r="C52" s="29" t="n">
        <v>46020</v>
      </c>
    </row>
    <row r="53">
      <c r="A53" t="inlineStr">
        <is>
          <t>Ester Film</t>
        </is>
      </c>
      <c r="B53" s="27" t="n">
        <v>0</v>
      </c>
      <c r="C53" s="29" t="n">
        <v>46020</v>
      </c>
    </row>
    <row r="54">
      <c r="A54" t="inlineStr">
        <is>
          <t>PP Film</t>
        </is>
      </c>
      <c r="B54" s="27" t="n">
        <v>0</v>
      </c>
      <c r="C54" s="29" t="n">
        <v>46020</v>
      </c>
    </row>
    <row r="55">
      <c r="A55" t="inlineStr">
        <is>
          <t>CHEM-1560</t>
        </is>
      </c>
      <c r="B55" s="27" t="n">
        <v>0</v>
      </c>
      <c r="C55" s="29" t="n">
        <v>46020</v>
      </c>
    </row>
    <row r="56">
      <c r="A56" t="inlineStr">
        <is>
          <t>CHEM-1690</t>
        </is>
      </c>
      <c r="B56" s="27" t="n">
        <v>0</v>
      </c>
      <c r="C56" s="29" t="n">
        <v>46020</v>
      </c>
    </row>
    <row r="57">
      <c r="A57" t="inlineStr">
        <is>
          <t>CHEM-1720</t>
        </is>
      </c>
      <c r="B57" s="27" t="n">
        <v>0</v>
      </c>
      <c r="C57" s="29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4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CHEM-1530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CHEM-1480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CHEM-1540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CHEM-1680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CHEM-1730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CHEM-1280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CHEM-1570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CHEM-1450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CHEM-1770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CHEM-1430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CHEM-1470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CHEM-1010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CHEM-1760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CHEM-1700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CHEM-1850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Original Towel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Ester Film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PP Film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CHEM-1560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CHEM-1690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CHEM-1720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</sheetData>
  <conditionalFormatting sqref="B5:DA61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CHEM-1530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CHEM-1480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CHEM-1540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CHEM-1680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CHEM-1730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CHEM-1280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CHEM-1570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CHEM-1450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CHEM-1770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CHEM-1430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CHEM-1470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CHEM-1010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CHEM-1760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CHEM-1700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CHEM-1850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Original Towel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Ester Film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PP Film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CHEM-1560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CHEM-1690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CHEM-1720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</sheetData>
  <conditionalFormatting sqref="B5:DA61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</row>
    <row r="10">
      <c r="A10" t="inlineStr">
        <is>
          <t>KEJ</t>
        </is>
      </c>
      <c r="B10" t="inlineStr">
        <is>
          <t>TP119-103-084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</row>
    <row r="11">
      <c r="A11" t="inlineStr">
        <is>
          <t>JEJ</t>
        </is>
      </c>
      <c r="B11" t="inlineStr">
        <is>
          <t>TP119-103-105*T7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</row>
    <row r="12">
      <c r="A12" t="inlineStr">
        <is>
          <t>YAN</t>
        </is>
      </c>
      <c r="B12" t="inlineStr">
        <is>
          <t>N20S/9-13R-11-WF10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</row>
    <row r="13">
      <c r="A13" t="inlineStr">
        <is>
          <t>ABN</t>
        </is>
      </c>
      <c r="B13" t="inlineStr">
        <is>
          <t>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</row>
    <row r="37">
      <c r="A37" t="inlineStr">
        <is>
          <t>CHEM-1530</t>
        </is>
      </c>
      <c r="B37" t="inlineStr">
        <is>
          <t>JCK-97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>
        <is>
          <t>71388003501</t>
        </is>
      </c>
      <c r="J37" t="n">
        <v>0</v>
      </c>
    </row>
    <row r="38">
      <c r="A38" t="inlineStr">
        <is>
          <t>CHEM-1480</t>
        </is>
      </c>
      <c r="B38" t="inlineStr">
        <is>
          <t>NAT 30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NAT30</t>
        </is>
      </c>
      <c r="J38" t="n">
        <v>0</v>
      </c>
    </row>
    <row r="39">
      <c r="A39" t="inlineStr">
        <is>
          <t>CHEM-1540</t>
        </is>
      </c>
      <c r="B39" t="inlineStr">
        <is>
          <t>NAT 35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71388005801</t>
        </is>
      </c>
      <c r="J39" t="n">
        <v>0</v>
      </c>
    </row>
    <row r="40">
      <c r="A40" t="inlineStr">
        <is>
          <t>CHEM-1680</t>
        </is>
      </c>
      <c r="B40" t="inlineStr">
        <is>
          <t>NAT 38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713880069</t>
        </is>
      </c>
      <c r="J40" t="n">
        <v>0</v>
      </c>
    </row>
    <row r="41">
      <c r="A41" t="inlineStr">
        <is>
          <t>CHEM-1730</t>
        </is>
      </c>
      <c r="B41" t="inlineStr">
        <is>
          <t>NAT 41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71388007701</t>
        </is>
      </c>
      <c r="J41" t="n">
        <v>0</v>
      </c>
    </row>
    <row r="42">
      <c r="A42" t="inlineStr">
        <is>
          <t>CHEM-1280</t>
        </is>
      </c>
      <c r="B42" t="inlineStr">
        <is>
          <t>N-Dodeoyl Trimethyl Ammonium Chloride</t>
        </is>
      </c>
      <c r="C42" t="inlineStr">
        <is>
          <t>TTAF</t>
        </is>
      </c>
      <c r="D42" t="inlineStr">
        <is>
          <t>Hazardous 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83988002202</t>
        </is>
      </c>
      <c r="J42" t="n">
        <v>0</v>
      </c>
    </row>
    <row r="43">
      <c r="A43" t="inlineStr">
        <is>
          <t>CHEM-1570</t>
        </is>
      </c>
      <c r="B43" t="inlineStr">
        <is>
          <t>NOPAGOAL A</t>
        </is>
      </c>
      <c r="C43" t="inlineStr">
        <is>
          <t>TTAF</t>
        </is>
      </c>
      <c r="D43" t="inlineStr">
        <is>
          <t>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71288624802</t>
        </is>
      </c>
      <c r="J43" t="n">
        <v>0</v>
      </c>
    </row>
    <row r="44">
      <c r="A44" t="inlineStr">
        <is>
          <t>CHEM-1450</t>
        </is>
      </c>
      <c r="B44" t="inlineStr">
        <is>
          <t>Noptechs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Noptechs</t>
        </is>
      </c>
      <c r="J44" t="n">
        <v>0</v>
      </c>
    </row>
    <row r="45">
      <c r="A45" t="inlineStr">
        <is>
          <t>CHEM-1770</t>
        </is>
      </c>
      <c r="B45" t="inlineStr">
        <is>
          <t>RCT39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New</t>
        </is>
      </c>
      <c r="J45" t="n">
        <v>0</v>
      </c>
    </row>
    <row r="46">
      <c r="A46" t="inlineStr">
        <is>
          <t>CHEM-1430</t>
        </is>
      </c>
      <c r="B46" t="inlineStr">
        <is>
          <t>RCT22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71388004301</t>
        </is>
      </c>
      <c r="J46" t="n">
        <v>0</v>
      </c>
    </row>
    <row r="47">
      <c r="A47" t="inlineStr">
        <is>
          <t>CHEM-1470</t>
        </is>
      </c>
      <c r="B47" t="inlineStr">
        <is>
          <t>Aluminium Oxide [SCFA-100] - NO LANTHANUM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SCFA100</t>
        </is>
      </c>
      <c r="J47" t="n">
        <v>0</v>
      </c>
    </row>
    <row r="48">
      <c r="A48" t="inlineStr">
        <is>
          <t>CHEM-1010</t>
        </is>
      </c>
      <c r="B48" t="inlineStr">
        <is>
          <t>Sodium Carbonate Anhydrous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Sodium Carbonate</t>
        </is>
      </c>
      <c r="J48" t="n">
        <v>0</v>
      </c>
    </row>
    <row r="49">
      <c r="A49" t="inlineStr">
        <is>
          <t>CHEM-1760</t>
        </is>
      </c>
      <c r="B49" t="inlineStr">
        <is>
          <t>Pigment TC RED FD (A)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713880079</t>
        </is>
      </c>
      <c r="J49" t="n">
        <v>0</v>
      </c>
    </row>
    <row r="50">
      <c r="A50" t="inlineStr">
        <is>
          <t>CHEM-1700</t>
        </is>
      </c>
      <c r="B50" t="inlineStr">
        <is>
          <t>Tepyrus CT38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712886270</t>
        </is>
      </c>
      <c r="J50" t="n">
        <v>0</v>
      </c>
    </row>
    <row r="51">
      <c r="A51" t="inlineStr">
        <is>
          <t>CHEM-1850</t>
        </is>
      </c>
      <c r="B51" t="inlineStr">
        <is>
          <t>TPP-1469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kg</t>
        </is>
      </c>
      <c r="J51" t="n">
        <v>0</v>
      </c>
    </row>
    <row r="52">
      <c r="A52" t="inlineStr">
        <is>
          <t>Original Towel</t>
        </is>
      </c>
      <c r="B52" t="inlineStr">
        <is>
          <t>Towel Paper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859882220</t>
        </is>
      </c>
      <c r="J52" t="n">
        <v>200</v>
      </c>
    </row>
    <row r="53">
      <c r="A53" t="inlineStr">
        <is>
          <t>Ester Film</t>
        </is>
      </c>
      <c r="B53" t="inlineStr">
        <is>
          <t>Ester Film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</row>
    <row r="54">
      <c r="A54" t="inlineStr">
        <is>
          <t>PP Film</t>
        </is>
      </c>
      <c r="B54" t="inlineStr">
        <is>
          <t>PP Film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>
        <is>
          <t>83988405701</t>
        </is>
      </c>
      <c r="J54" t="n">
        <v>0</v>
      </c>
    </row>
    <row r="55">
      <c r="A55" t="inlineStr">
        <is>
          <t>CHEM-1560</t>
        </is>
      </c>
      <c r="B55" t="inlineStr">
        <is>
          <t>TZP 511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734831030</t>
        </is>
      </c>
      <c r="J55" t="n">
        <v>0</v>
      </c>
    </row>
    <row r="56">
      <c r="A56" t="inlineStr">
        <is>
          <t>CHEM-1690</t>
        </is>
      </c>
      <c r="B56" t="inlineStr">
        <is>
          <t>TPZ 560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734831040</t>
        </is>
      </c>
      <c r="J56" t="n">
        <v>0</v>
      </c>
    </row>
    <row r="57">
      <c r="A57" t="inlineStr">
        <is>
          <t>CHEM-1720</t>
        </is>
      </c>
      <c r="B57" t="inlineStr">
        <is>
          <t>TPZ 868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>
        <is>
          <t>734831050</t>
        </is>
      </c>
      <c r="J57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115.0004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18.650981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5.871333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13.546547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44.216183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36.211277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0.457141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15.97318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0.17016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6.420188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2.924462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1.950035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17.817402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5.929077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18.162854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2.719838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1.813649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0.5394139999999999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6.329366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0.484155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7.816631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68.33081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0.315624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3.766249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33.229389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23.482535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0.247842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2.070362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5.164913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20.516692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5.346968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20.532409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60.448069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6.030474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10.73972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1.638612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14.524489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0.066429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CHEM-1700</t>
        </is>
      </c>
      <c r="C156" t="n">
        <v>1.259356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CHEM-1720</t>
        </is>
      </c>
      <c r="C157" t="n">
        <v>8.583655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SOL-SCH</t>
        </is>
      </c>
      <c r="C158" t="n">
        <v>11.433781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TPP-1378</t>
        </is>
      </c>
      <c r="C159" t="n">
        <v>19.170687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TSZ-938</t>
        </is>
      </c>
      <c r="C160" t="n">
        <v>19.056028</v>
      </c>
      <c r="D160">
        <f>IFERROR(MATCH($A160,PP_Grid[Intermediate],0),99999)</f>
        <v/>
      </c>
    </row>
    <row r="161">
      <c r="A161" t="inlineStr">
        <is>
          <t>TSP-1449</t>
        </is>
      </c>
      <c r="B161" t="inlineStr">
        <is>
          <t>CHEM-1240</t>
        </is>
      </c>
      <c r="C161" t="n">
        <v>18.59793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CHEM-1420</t>
        </is>
      </c>
      <c r="C162" t="n">
        <v>1.23066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CHEM-1440</t>
        </is>
      </c>
      <c r="C163" t="n">
        <v>1.67958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CHEM-1540</t>
        </is>
      </c>
      <c r="C164" t="n">
        <v>14.88402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CHEM-1570</t>
        </is>
      </c>
      <c r="C165" t="n">
        <v>0.132515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CHEM-1700</t>
        </is>
      </c>
      <c r="C166" t="n">
        <v>1.29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CHEM-1720</t>
        </is>
      </c>
      <c r="C167" t="n">
        <v>8.79651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SOL-SCH</t>
        </is>
      </c>
      <c r="C168" t="n">
        <v>5.858194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TPP-1379</t>
        </is>
      </c>
      <c r="C169" t="n">
        <v>19.58607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TSZ-938</t>
        </is>
      </c>
      <c r="C170" t="n">
        <v>19.527375</v>
      </c>
      <c r="D170">
        <f>IFERROR(MATCH($A170,PP_Grid[Intermediate],0),99999)</f>
        <v/>
      </c>
    </row>
    <row r="171">
      <c r="A171" t="inlineStr">
        <is>
          <t>TSP-1499</t>
        </is>
      </c>
      <c r="B171" t="inlineStr">
        <is>
          <t>CHEM-1400</t>
        </is>
      </c>
      <c r="C171" t="n">
        <v>0.695168</v>
      </c>
      <c r="D171">
        <f>IFERROR(MATCH($A171,PP_Grid[Intermediate],0),99999)</f>
        <v/>
      </c>
    </row>
    <row r="172">
      <c r="A172" t="inlineStr">
        <is>
          <t>TSP-1499</t>
        </is>
      </c>
      <c r="B172" t="inlineStr">
        <is>
          <t>CHEM-1420</t>
        </is>
      </c>
      <c r="C172" t="n">
        <v>0.203729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CHEM-1530</t>
        </is>
      </c>
      <c r="C173" t="n">
        <v>19.034699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CHEM-1670</t>
        </is>
      </c>
      <c r="C174" t="n">
        <v>0.803254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CHEM-1700</t>
        </is>
      </c>
      <c r="C175" t="n">
        <v>0.785369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CHEM-1720</t>
        </is>
      </c>
      <c r="C176" t="n">
        <v>4.825742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CHEM-1780</t>
        </is>
      </c>
      <c r="C177" t="n">
        <v>0.203729</v>
      </c>
      <c r="D177">
        <f>IFERROR(MATCH($A177,PP_Grid[Intermediate],0),99999)</f>
        <v/>
      </c>
    </row>
    <row r="178">
      <c r="A178" t="inlineStr">
        <is>
          <t>TSP-1555</t>
        </is>
      </c>
      <c r="B178" t="inlineStr">
        <is>
          <t>CHEM-1400</t>
        </is>
      </c>
      <c r="C178" t="n">
        <v>1.08621</v>
      </c>
      <c r="D178">
        <f>IFERROR(MATCH($A178,PP_Grid[Intermediate],0),99999)</f>
        <v/>
      </c>
    </row>
    <row r="179">
      <c r="A179" t="inlineStr">
        <is>
          <t>TSP-1555</t>
        </is>
      </c>
      <c r="B179" t="inlineStr">
        <is>
          <t>CHEM-1420</t>
        </is>
      </c>
      <c r="C179" t="n">
        <v>0.31833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CHEM-1530</t>
        </is>
      </c>
      <c r="C180" t="n">
        <v>29.749275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CHEM-1670</t>
        </is>
      </c>
      <c r="C181" t="n">
        <v>1.25631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CHEM-1700</t>
        </is>
      </c>
      <c r="C182" t="n">
        <v>1.22715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CHEM-1720</t>
        </is>
      </c>
      <c r="C183" t="n">
        <v>7.54272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CHEM-1780</t>
        </is>
      </c>
      <c r="C184" t="n">
        <v>0.31833</v>
      </c>
      <c r="D184">
        <f>IFERROR(MATCH($A184,PP_Grid[Intermediate],0),99999)</f>
        <v/>
      </c>
    </row>
    <row r="185">
      <c r="A185" t="inlineStr">
        <is>
          <t>TSP-1558</t>
        </is>
      </c>
      <c r="B185" t="inlineStr">
        <is>
          <t>CHEM-1240</t>
        </is>
      </c>
      <c r="C185" t="n">
        <v>11.175416</v>
      </c>
      <c r="D185">
        <f>IFERROR(MATCH($A185,PP_Grid[Intermediate],0),99999)</f>
        <v/>
      </c>
    </row>
    <row r="186">
      <c r="A186" t="inlineStr">
        <is>
          <t>TSP-1558</t>
        </is>
      </c>
      <c r="B186" t="inlineStr">
        <is>
          <t>CHEM-1420</t>
        </is>
      </c>
      <c r="C186" t="n">
        <v>0.31426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CHEM-1440</t>
        </is>
      </c>
      <c r="C187" t="n">
        <v>0.4962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CHEM-1850</t>
        </is>
      </c>
      <c r="C188" t="n">
        <v>18.641903</v>
      </c>
      <c r="D188">
        <f>IFERROR(MATCH($A188,PP_Grid[Intermediate],0),99999)</f>
        <v/>
      </c>
    </row>
    <row r="189">
      <c r="A189" t="inlineStr">
        <is>
          <t>TSP-1559</t>
        </is>
      </c>
      <c r="B189" t="inlineStr">
        <is>
          <t>CHEM-1240</t>
        </is>
      </c>
      <c r="C189" t="n">
        <v>11.223958</v>
      </c>
      <c r="D189">
        <f>IFERROR(MATCH($A189,PP_Grid[Intermediate],0),99999)</f>
        <v/>
      </c>
    </row>
    <row r="190">
      <c r="A190" t="inlineStr">
        <is>
          <t>TSP-1559</t>
        </is>
      </c>
      <c r="B190" t="inlineStr">
        <is>
          <t>CHEM-1420</t>
        </is>
      </c>
      <c r="C190" t="n">
        <v>0.312511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CHEM-1440</t>
        </is>
      </c>
      <c r="C191" t="n">
        <v>0.497042</v>
      </c>
      <c r="D191">
        <f>IFERROR(MATCH($A191,PP_Grid[Intermediate],0),99999)</f>
        <v/>
      </c>
    </row>
    <row r="192">
      <c r="A192" t="inlineStr">
        <is>
          <t>TSP-199</t>
        </is>
      </c>
      <c r="B192" t="inlineStr">
        <is>
          <t>CHEM-1250</t>
        </is>
      </c>
      <c r="C192" t="n">
        <v>5.355851</v>
      </c>
      <c r="D192">
        <f>IFERROR(MATCH($A192,PP_Grid[Intermediate],0),99999)</f>
        <v/>
      </c>
    </row>
    <row r="193">
      <c r="A193" t="inlineStr">
        <is>
          <t>TSP-199</t>
        </is>
      </c>
      <c r="B193" t="inlineStr">
        <is>
          <t>CHEM-1400</t>
        </is>
      </c>
      <c r="C193" t="n">
        <v>3.672607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CHEM-1420</t>
        </is>
      </c>
      <c r="C194" t="n">
        <v>0.401229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CHEM-1440</t>
        </is>
      </c>
      <c r="C195" t="n">
        <v>0.633814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TPP-190</t>
        </is>
      </c>
      <c r="C196" t="n">
        <v>72.00466900000001</v>
      </c>
      <c r="D196">
        <f>IFERROR(MATCH($A196,PP_Grid[Intermediate],0),99999)</f>
        <v/>
      </c>
    </row>
    <row r="197">
      <c r="A197" t="inlineStr">
        <is>
          <t>TSP-205</t>
        </is>
      </c>
      <c r="B197" t="inlineStr">
        <is>
          <t>CHEM-1250</t>
        </is>
      </c>
      <c r="C197" t="n">
        <v>7.829196</v>
      </c>
      <c r="D197">
        <f>IFERROR(MATCH($A197,PP_Grid[Intermediate],0),99999)</f>
        <v/>
      </c>
    </row>
    <row r="198">
      <c r="A198" t="inlineStr">
        <is>
          <t>TSP-205</t>
        </is>
      </c>
      <c r="B198" t="inlineStr">
        <is>
          <t>CHEM-1400</t>
        </is>
      </c>
      <c r="C198" t="n">
        <v>5.368607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CHEM-1420</t>
        </is>
      </c>
      <c r="C199" t="n">
        <v>0.462993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CHEM-1440</t>
        </is>
      </c>
      <c r="C200" t="n">
        <v>0.331821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TPP-204</t>
        </is>
      </c>
      <c r="C201" t="n">
        <v>44.002127</v>
      </c>
      <c r="D201">
        <f>IFERROR(MATCH($A201,PP_Grid[Intermediate],0),99999)</f>
        <v/>
      </c>
    </row>
    <row r="202">
      <c r="A202" t="inlineStr">
        <is>
          <t>TSP-206</t>
        </is>
      </c>
      <c r="B202" t="inlineStr">
        <is>
          <t>CHEM-1400</t>
        </is>
      </c>
      <c r="C202" t="n">
        <v>4.583592</v>
      </c>
      <c r="D202">
        <f>IFERROR(MATCH($A202,PP_Grid[Intermediate],0),99999)</f>
        <v/>
      </c>
    </row>
    <row r="203">
      <c r="A203" t="inlineStr">
        <is>
          <t>TSP-206</t>
        </is>
      </c>
      <c r="B203" t="inlineStr">
        <is>
          <t>CHEM-1420</t>
        </is>
      </c>
      <c r="C203" t="n">
        <v>0.6176199999999999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CHEM-1440</t>
        </is>
      </c>
      <c r="C204" t="n">
        <v>1.565413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CHEM-1480</t>
        </is>
      </c>
      <c r="C205" t="n">
        <v>45.90817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SOL-10H</t>
        </is>
      </c>
      <c r="C206" t="n">
        <v>20.595866</v>
      </c>
      <c r="D206">
        <f>IFERROR(MATCH($A206,PP_Grid[Intermediate],0),99999)</f>
        <v/>
      </c>
    </row>
    <row r="207">
      <c r="A207" t="inlineStr">
        <is>
          <t>TSP-224</t>
        </is>
      </c>
      <c r="B207" t="inlineStr">
        <is>
          <t>CHEM-1010</t>
        </is>
      </c>
      <c r="C207" t="n">
        <v>0.539552</v>
      </c>
      <c r="D207">
        <f>IFERROR(MATCH($A207,PP_Grid[Intermediate],0),99999)</f>
        <v/>
      </c>
    </row>
    <row r="208">
      <c r="A208" t="inlineStr">
        <is>
          <t>TSP-224</t>
        </is>
      </c>
      <c r="B208" t="inlineStr">
        <is>
          <t>CHEM-1240</t>
        </is>
      </c>
      <c r="C208" t="n">
        <v>56.28312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CHEM-1420</t>
        </is>
      </c>
      <c r="C209" t="n">
        <v>0.97524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CHEM-1440</t>
        </is>
      </c>
      <c r="C210" t="n">
        <v>0.864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CHEM-1470</t>
        </is>
      </c>
      <c r="C211" t="n">
        <v>27.60804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SOL-20P</t>
        </is>
      </c>
      <c r="C212" t="n">
        <v>22.14</v>
      </c>
      <c r="D212">
        <f>IFERROR(MATCH($A212,PP_Grid[Intermediate],0),99999)</f>
        <v/>
      </c>
    </row>
    <row r="213">
      <c r="A213" t="inlineStr">
        <is>
          <t>TSP-225</t>
        </is>
      </c>
      <c r="B213" t="inlineStr">
        <is>
          <t>CHEM-1400</t>
        </is>
      </c>
      <c r="C213" t="n">
        <v>5.843729</v>
      </c>
      <c r="D213">
        <f>IFERROR(MATCH($A213,PP_Grid[Intermediate],0),99999)</f>
        <v/>
      </c>
    </row>
    <row r="214">
      <c r="A214" t="inlineStr">
        <is>
          <t>TSP-225</t>
        </is>
      </c>
      <c r="B214" t="inlineStr">
        <is>
          <t>CHEM-1420</t>
        </is>
      </c>
      <c r="C214" t="n">
        <v>1.680588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CHEM-1430</t>
        </is>
      </c>
      <c r="C215" t="n">
        <v>14.189386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CHEM-1450</t>
        </is>
      </c>
      <c r="C216" t="n">
        <v>0.784274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CHEM-1470</t>
        </is>
      </c>
      <c r="C217" t="n">
        <v>66.488105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SOL-10H</t>
        </is>
      </c>
      <c r="C218" t="n">
        <v>17.505914</v>
      </c>
      <c r="D218">
        <f>IFERROR(MATCH($A218,PP_Grid[Intermediate],0),99999)</f>
        <v/>
      </c>
    </row>
    <row r="219">
      <c r="A219" t="inlineStr">
        <is>
          <t>TSP-360</t>
        </is>
      </c>
      <c r="B219" t="inlineStr">
        <is>
          <t>CHEM-1400</t>
        </is>
      </c>
      <c r="C219" t="n">
        <v>2.933853</v>
      </c>
      <c r="D219">
        <f>IFERROR(MATCH($A219,PP_Grid[Intermediate],0),99999)</f>
        <v/>
      </c>
    </row>
    <row r="220">
      <c r="A220" t="inlineStr">
        <is>
          <t>TSP-360</t>
        </is>
      </c>
      <c r="B220" t="inlineStr">
        <is>
          <t>CHEM-1420</t>
        </is>
      </c>
      <c r="C220" t="n">
        <v>0.181191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CHEM-1510</t>
        </is>
      </c>
      <c r="C221" t="n">
        <v>9.045147999999999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CHEM-1560</t>
        </is>
      </c>
      <c r="C222" t="n">
        <v>3.771411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CHEM-1580</t>
        </is>
      </c>
      <c r="C223" t="n">
        <v>16.79436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TPP-350</t>
        </is>
      </c>
      <c r="C224" t="n">
        <v>102.658467</v>
      </c>
      <c r="D224">
        <f>IFERROR(MATCH($A224,PP_Grid[Intermediate],0),99999)</f>
        <v/>
      </c>
    </row>
    <row r="225">
      <c r="A225" t="inlineStr">
        <is>
          <t>TSP-367</t>
        </is>
      </c>
      <c r="B225" t="inlineStr">
        <is>
          <t>CHEM-1400</t>
        </is>
      </c>
      <c r="C225" t="n">
        <v>3.573429</v>
      </c>
      <c r="D225">
        <f>IFERROR(MATCH($A225,PP_Grid[Intermediate],0),99999)</f>
        <v/>
      </c>
    </row>
    <row r="226">
      <c r="A226" t="inlineStr">
        <is>
          <t>TSP-367</t>
        </is>
      </c>
      <c r="B226" t="inlineStr">
        <is>
          <t>CHEM-1420</t>
        </is>
      </c>
      <c r="C226" t="n">
        <v>0.8814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CHEM-1440</t>
        </is>
      </c>
      <c r="C227" t="n">
        <v>1.010243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CHEM-1510</t>
        </is>
      </c>
      <c r="C228" t="n">
        <v>4.866735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CHEM-1580</t>
        </is>
      </c>
      <c r="C229" t="n">
        <v>24.55134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TPP-356</t>
        </is>
      </c>
      <c r="C230" t="n">
        <v>89.343531</v>
      </c>
      <c r="D230">
        <f>IFERROR(MATCH($A230,PP_Grid[Intermediate],0),99999)</f>
        <v/>
      </c>
    </row>
    <row r="231">
      <c r="A231" t="inlineStr">
        <is>
          <t>TSP-369</t>
        </is>
      </c>
      <c r="B231" t="inlineStr">
        <is>
          <t>CHEM-1400</t>
        </is>
      </c>
      <c r="C231" t="n">
        <v>3.835804</v>
      </c>
      <c r="D231">
        <f>IFERROR(MATCH($A231,PP_Grid[Intermediate],0),99999)</f>
        <v/>
      </c>
    </row>
    <row r="232">
      <c r="A232" t="inlineStr">
        <is>
          <t>TSP-369</t>
        </is>
      </c>
      <c r="B232" t="inlineStr">
        <is>
          <t>CHEM-1420</t>
        </is>
      </c>
      <c r="C232" t="n">
        <v>0.73921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CHEM-1440</t>
        </is>
      </c>
      <c r="C233" t="n">
        <v>1.380043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CHEM-1540</t>
        </is>
      </c>
      <c r="C234" t="n">
        <v>65.09481100000001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SOL-SH</t>
        </is>
      </c>
      <c r="C235" t="n">
        <v>11.156187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TPP-358</t>
        </is>
      </c>
      <c r="C236" t="n">
        <v>64.349006</v>
      </c>
      <c r="D236">
        <f>IFERROR(MATCH($A236,PP_Grid[Intermediate],0),99999)</f>
        <v/>
      </c>
    </row>
    <row r="237">
      <c r="A237" t="inlineStr">
        <is>
          <t>TSP-402</t>
        </is>
      </c>
      <c r="B237" t="inlineStr">
        <is>
          <t>CHEM-1400</t>
        </is>
      </c>
      <c r="C237" t="n">
        <v>7.12965</v>
      </c>
      <c r="D237">
        <f>IFERROR(MATCH($A237,PP_Grid[Intermediate],0),99999)</f>
        <v/>
      </c>
    </row>
    <row r="238">
      <c r="A238" t="inlineStr">
        <is>
          <t>TSP-402</t>
        </is>
      </c>
      <c r="B238" t="inlineStr">
        <is>
          <t>CHEM-1420</t>
        </is>
      </c>
      <c r="C238" t="n">
        <v>1.114575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CHEM-1530</t>
        </is>
      </c>
      <c r="C239" t="n">
        <v>39.0324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CHEM-1550</t>
        </is>
      </c>
      <c r="C240" t="n">
        <v>6.343425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CHEM-1650</t>
        </is>
      </c>
      <c r="C241" t="n">
        <v>0.033825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SOL-10H</t>
        </is>
      </c>
      <c r="C242" t="n">
        <v>40.0488</v>
      </c>
      <c r="D242">
        <f>IFERROR(MATCH($A242,PP_Grid[Intermediate],0),99999)</f>
        <v/>
      </c>
    </row>
    <row r="243">
      <c r="A243" t="inlineStr">
        <is>
          <t>TSP-403</t>
        </is>
      </c>
      <c r="B243" t="inlineStr">
        <is>
          <t>CHEM-1400</t>
        </is>
      </c>
      <c r="C243" t="n">
        <v>7.137075</v>
      </c>
      <c r="D243">
        <f>IFERROR(MATCH($A243,PP_Grid[Intermediate],0),99999)</f>
        <v/>
      </c>
    </row>
    <row r="244">
      <c r="A244" t="inlineStr">
        <is>
          <t>TSP-403</t>
        </is>
      </c>
      <c r="B244" t="inlineStr">
        <is>
          <t>CHEM-1420</t>
        </is>
      </c>
      <c r="C244" t="n">
        <v>1.116225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CHEM-1530</t>
        </is>
      </c>
      <c r="C245" t="n">
        <v>39.071175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CHEM-1550</t>
        </is>
      </c>
      <c r="C246" t="n">
        <v>6.3492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CHEM-1650</t>
        </is>
      </c>
      <c r="C247" t="n">
        <v>0.033825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SOL-10H</t>
        </is>
      </c>
      <c r="C248" t="n">
        <v>33.14025</v>
      </c>
      <c r="D248">
        <f>IFERROR(MATCH($A248,PP_Grid[Intermediate],0),99999)</f>
        <v/>
      </c>
    </row>
    <row r="249">
      <c r="A249" t="inlineStr">
        <is>
          <t>TSP-404</t>
        </is>
      </c>
      <c r="B249" t="inlineStr">
        <is>
          <t>CHEM-1400</t>
        </is>
      </c>
      <c r="C249" t="n">
        <v>6.625665</v>
      </c>
      <c r="D249">
        <f>IFERROR(MATCH($A249,PP_Grid[Intermediate],0),99999)</f>
        <v/>
      </c>
    </row>
    <row r="250">
      <c r="A250" t="inlineStr">
        <is>
          <t>TSP-404</t>
        </is>
      </c>
      <c r="B250" t="inlineStr">
        <is>
          <t>CHEM-1420</t>
        </is>
      </c>
      <c r="C250" t="n">
        <v>1.03581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CHEM-1530</t>
        </is>
      </c>
      <c r="C251" t="n">
        <v>36.272475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CHEM-1550</t>
        </is>
      </c>
      <c r="C252" t="n">
        <v>4.28706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CHEM-1650</t>
        </is>
      </c>
      <c r="C253" t="n">
        <v>0.031365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SOL-10H</t>
        </is>
      </c>
      <c r="C254" t="n">
        <v>23.322555</v>
      </c>
      <c r="D254">
        <f>IFERROR(MATCH($A254,PP_Grid[Intermediate],0),99999)</f>
        <v/>
      </c>
    </row>
    <row r="255">
      <c r="A255" t="inlineStr">
        <is>
          <t>TSP-405</t>
        </is>
      </c>
      <c r="B255" t="inlineStr">
        <is>
          <t>CHEM-1400</t>
        </is>
      </c>
      <c r="C255" t="n">
        <v>6.63102</v>
      </c>
      <c r="D255">
        <f>IFERROR(MATCH($A255,PP_Grid[Intermediate],0),99999)</f>
        <v/>
      </c>
    </row>
    <row r="256">
      <c r="A256" t="inlineStr">
        <is>
          <t>TSP-405</t>
        </is>
      </c>
      <c r="B256" t="inlineStr">
        <is>
          <t>CHEM-1420</t>
        </is>
      </c>
      <c r="C256" t="n">
        <v>1.036575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CHEM-1530</t>
        </is>
      </c>
      <c r="C257" t="n">
        <v>36.30078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CHEM-1550</t>
        </is>
      </c>
      <c r="C258" t="n">
        <v>4.29012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CHEM-1650</t>
        </is>
      </c>
      <c r="C259" t="n">
        <v>0.031365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SOL-10H</t>
        </is>
      </c>
      <c r="C260" t="n">
        <v>18.374535</v>
      </c>
      <c r="D260">
        <f>IFERROR(MATCH($A260,PP_Grid[Intermediate],0),99999)</f>
        <v/>
      </c>
    </row>
    <row r="261">
      <c r="A261" t="inlineStr">
        <is>
          <t>TSP-544</t>
        </is>
      </c>
      <c r="B261" t="inlineStr">
        <is>
          <t>CHEM-1400</t>
        </is>
      </c>
      <c r="C261" t="n">
        <v>1.281052</v>
      </c>
      <c r="D261">
        <f>IFERROR(MATCH($A261,PP_Grid[Intermediate],0),99999)</f>
        <v/>
      </c>
    </row>
    <row r="262">
      <c r="A262" t="inlineStr">
        <is>
          <t>TSP-544</t>
        </is>
      </c>
      <c r="B262" t="inlineStr">
        <is>
          <t>CHEM-1420</t>
        </is>
      </c>
      <c r="C262" t="n">
        <v>0.375527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CHEM-1440</t>
        </is>
      </c>
      <c r="C263" t="n">
        <v>0.335577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CHEM-1510</t>
        </is>
      </c>
      <c r="C264" t="n">
        <v>9.875553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CHEM-1560</t>
        </is>
      </c>
      <c r="C265" t="n">
        <v>4.94044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CHEM-1580</t>
        </is>
      </c>
      <c r="C266" t="n">
        <v>13.203359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TPP-527</t>
        </is>
      </c>
      <c r="C267" t="n">
        <v>114.401149</v>
      </c>
      <c r="D267">
        <f>IFERROR(MATCH($A267,PP_Grid[Intermediate],0),99999)</f>
        <v/>
      </c>
    </row>
    <row r="268">
      <c r="A268" t="inlineStr">
        <is>
          <t>TSP-558</t>
        </is>
      </c>
      <c r="B268" t="inlineStr">
        <is>
          <t>CHEM-1400</t>
        </is>
      </c>
      <c r="C268" t="n">
        <v>1.154404</v>
      </c>
      <c r="D268">
        <f>IFERROR(MATCH($A268,PP_Grid[Intermediate],0),99999)</f>
        <v/>
      </c>
    </row>
    <row r="269">
      <c r="A269" t="inlineStr">
        <is>
          <t>TSP-558</t>
        </is>
      </c>
      <c r="B269" t="inlineStr">
        <is>
          <t>CHEM-1420</t>
        </is>
      </c>
      <c r="C269" t="n">
        <v>0.853975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CHEM-1450</t>
        </is>
      </c>
      <c r="C270" t="n">
        <v>0.435267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CHEM-1540</t>
        </is>
      </c>
      <c r="C271" t="n">
        <v>58.745894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CHEM-1570</t>
        </is>
      </c>
      <c r="C272" t="n">
        <v>0.023656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CHEM-1670</t>
        </is>
      </c>
      <c r="C273" t="n">
        <v>5.514171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SOL-SH</t>
        </is>
      </c>
      <c r="C274" t="n">
        <v>13.423645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TPP-533</t>
        </is>
      </c>
      <c r="C275" t="n">
        <v>58.161372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TPP-537</t>
        </is>
      </c>
      <c r="C276" t="n">
        <v>35.928453</v>
      </c>
      <c r="D276">
        <f>IFERROR(MATCH($A276,PP_Grid[Intermediate],0),99999)</f>
        <v/>
      </c>
    </row>
    <row r="277">
      <c r="A277" t="inlineStr">
        <is>
          <t>TSP-618</t>
        </is>
      </c>
      <c r="B277" t="inlineStr">
        <is>
          <t>CHEM-1400</t>
        </is>
      </c>
      <c r="C277" t="n">
        <v>1.237217</v>
      </c>
      <c r="D277">
        <f>IFERROR(MATCH($A277,PP_Grid[Intermediate],0),99999)</f>
        <v/>
      </c>
    </row>
    <row r="278">
      <c r="A278" t="inlineStr">
        <is>
          <t>TSP-618</t>
        </is>
      </c>
      <c r="B278" t="inlineStr">
        <is>
          <t>CHEM-1420</t>
        </is>
      </c>
      <c r="C278" t="n">
        <v>0.676785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CHEM-1440</t>
        </is>
      </c>
      <c r="C279" t="n">
        <v>1.335147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CHEM-1510</t>
        </is>
      </c>
      <c r="C280" t="n">
        <v>0.142902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CHEM-1570</t>
        </is>
      </c>
      <c r="C281" t="n">
        <v>0.004767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CHEM-1600</t>
        </is>
      </c>
      <c r="C282" t="n">
        <v>4.868826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CHEM-1690</t>
        </is>
      </c>
      <c r="C283" t="n">
        <v>9.543832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TPP-609</t>
        </is>
      </c>
      <c r="C284" t="n">
        <v>43.570215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TSZ-616</t>
        </is>
      </c>
      <c r="C285" t="n">
        <v>4.766583</v>
      </c>
      <c r="D285">
        <f>IFERROR(MATCH($A285,PP_Grid[Intermediate],0),99999)</f>
        <v/>
      </c>
    </row>
    <row r="286">
      <c r="A286" t="inlineStr">
        <is>
          <t>TSP-620</t>
        </is>
      </c>
      <c r="B286" t="inlineStr">
        <is>
          <t>CHEM-1400</t>
        </is>
      </c>
      <c r="C286" t="n">
        <v>1.04535</v>
      </c>
      <c r="D286">
        <f>IFERROR(MATCH($A286,PP_Grid[Intermediate],0),99999)</f>
        <v/>
      </c>
    </row>
    <row r="287">
      <c r="A287" t="inlineStr">
        <is>
          <t>TSP-620</t>
        </is>
      </c>
      <c r="B287" t="inlineStr">
        <is>
          <t>CHEM-1420</t>
        </is>
      </c>
      <c r="C287" t="n">
        <v>0.70518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CHEM-1440</t>
        </is>
      </c>
      <c r="C288" t="n">
        <v>1.05777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CHEM-1540</t>
        </is>
      </c>
      <c r="C289" t="n">
        <v>36.85221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CHEM-1570</t>
        </is>
      </c>
      <c r="C290" t="n">
        <v>0.06900000000000001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CHEM-1650</t>
        </is>
      </c>
      <c r="C291" t="n">
        <v>0.0276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CHEM-1680</t>
        </is>
      </c>
      <c r="C292" t="n">
        <v>18.172651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CHEM-1700</t>
        </is>
      </c>
      <c r="C293" t="n">
        <v>1.71258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SOL-SH</t>
        </is>
      </c>
      <c r="C294" t="n">
        <v>7.602247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TPP-611</t>
        </is>
      </c>
      <c r="C295" t="n">
        <v>17.82891</v>
      </c>
      <c r="D295">
        <f>IFERROR(MATCH($A295,PP_Grid[Intermediate],0),99999)</f>
        <v/>
      </c>
    </row>
    <row r="296">
      <c r="A296" t="inlineStr">
        <is>
          <t>TSP-623</t>
        </is>
      </c>
      <c r="B296" t="inlineStr">
        <is>
          <t>CHEM-1400</t>
        </is>
      </c>
      <c r="C296" t="n">
        <v>1.04673</v>
      </c>
      <c r="D296">
        <f>IFERROR(MATCH($A296,PP_Grid[Intermediate],0),99999)</f>
        <v/>
      </c>
    </row>
    <row r="297">
      <c r="A297" t="inlineStr">
        <is>
          <t>TSP-623</t>
        </is>
      </c>
      <c r="B297" t="inlineStr">
        <is>
          <t>CHEM-1420</t>
        </is>
      </c>
      <c r="C297" t="n">
        <v>0.70587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CHEM-1440</t>
        </is>
      </c>
      <c r="C298" t="n">
        <v>1.05915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CHEM-1540</t>
        </is>
      </c>
      <c r="C299" t="n">
        <v>36.89568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CHEM-1570</t>
        </is>
      </c>
      <c r="C300" t="n">
        <v>0.06900000000000001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CHEM-1650</t>
        </is>
      </c>
      <c r="C301" t="n">
        <v>0.0276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CHEM-1680</t>
        </is>
      </c>
      <c r="C302" t="n">
        <v>18.19444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CHEM-1700</t>
        </is>
      </c>
      <c r="C303" t="n">
        <v>1.71465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SOL-SH</t>
        </is>
      </c>
      <c r="C304" t="n">
        <v>4.566779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TPP-613</t>
        </is>
      </c>
      <c r="C305" t="n">
        <v>17.76957</v>
      </c>
      <c r="D305">
        <f>IFERROR(MATCH($A305,PP_Grid[Intermediate],0),99999)</f>
        <v/>
      </c>
    </row>
    <row r="306">
      <c r="A306" t="inlineStr">
        <is>
          <t>TSP-655</t>
        </is>
      </c>
      <c r="B306" t="inlineStr">
        <is>
          <t>CHEM-1400</t>
        </is>
      </c>
      <c r="C306" t="n">
        <v>4.659257</v>
      </c>
      <c r="D306">
        <f>IFERROR(MATCH($A306,PP_Grid[Intermediate],0),99999)</f>
        <v/>
      </c>
    </row>
    <row r="307">
      <c r="A307" t="inlineStr">
        <is>
          <t>TSP-655</t>
        </is>
      </c>
      <c r="B307" t="inlineStr">
        <is>
          <t>CHEM-1420</t>
        </is>
      </c>
      <c r="C307" t="n">
        <v>2.693816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CHEM-1530</t>
        </is>
      </c>
      <c r="C308" t="n">
        <v>82.939705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CHEM-1570</t>
        </is>
      </c>
      <c r="C309" t="n">
        <v>0.972734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CHEM-1650</t>
        </is>
      </c>
      <c r="C310" t="n">
        <v>0.046992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CHEM-1660</t>
        </is>
      </c>
      <c r="C311" t="n">
        <v>11.670463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SOL-10H</t>
        </is>
      </c>
      <c r="C312" t="n">
        <v>64.337799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TPP-649</t>
        </is>
      </c>
      <c r="C313" t="n">
        <v>32.193044</v>
      </c>
      <c r="D313">
        <f>IFERROR(MATCH($A313,PP_Grid[Intermediate],0),99999)</f>
        <v/>
      </c>
    </row>
    <row r="314">
      <c r="A314" t="inlineStr">
        <is>
          <t>TSP-656</t>
        </is>
      </c>
      <c r="B314" t="inlineStr">
        <is>
          <t>CHEM-1250</t>
        </is>
      </c>
      <c r="C314" t="n">
        <v>5.78292</v>
      </c>
      <c r="D314">
        <f>IFERROR(MATCH($A314,PP_Grid[Intermediate],0),99999)</f>
        <v/>
      </c>
    </row>
    <row r="315">
      <c r="A315" t="inlineStr">
        <is>
          <t>TSP-656</t>
        </is>
      </c>
      <c r="B315" t="inlineStr">
        <is>
          <t>CHEM-1400</t>
        </is>
      </c>
      <c r="C315" t="n">
        <v>2.77398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CHEM-1420</t>
        </is>
      </c>
      <c r="C316" t="n">
        <v>1.85196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CHEM-1530</t>
        </is>
      </c>
      <c r="C317" t="n">
        <v>36.180086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CHEM-1570</t>
        </is>
      </c>
      <c r="C318" t="n">
        <v>0.46068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CHEM-1660</t>
        </is>
      </c>
      <c r="C319" t="n">
        <v>6.55182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TPP-650</t>
        </is>
      </c>
      <c r="C320" t="n">
        <v>58.15986</v>
      </c>
      <c r="D320">
        <f>IFERROR(MATCH($A320,PP_Grid[Intermediate],0),99999)</f>
        <v/>
      </c>
    </row>
    <row r="321">
      <c r="A321" t="inlineStr">
        <is>
          <t>TSP-668</t>
        </is>
      </c>
      <c r="B321" t="inlineStr">
        <is>
          <t>CHEM-1010</t>
        </is>
      </c>
      <c r="C321" t="n">
        <v>0.456559</v>
      </c>
      <c r="D321">
        <f>IFERROR(MATCH($A321,PP_Grid[Intermediate],0),99999)</f>
        <v/>
      </c>
    </row>
    <row r="322">
      <c r="A322" t="inlineStr">
        <is>
          <t>TSP-668</t>
        </is>
      </c>
      <c r="B322" t="inlineStr">
        <is>
          <t>CHEM-1240</t>
        </is>
      </c>
      <c r="C322" t="n">
        <v>24.151831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CHEM-1250</t>
        </is>
      </c>
      <c r="C323" t="n">
        <v>19.289536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CHEM-1420</t>
        </is>
      </c>
      <c r="C324" t="n">
        <v>1.116261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CHEM-1440</t>
        </is>
      </c>
      <c r="C325" t="n">
        <v>1.902099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SOL-20P</t>
        </is>
      </c>
      <c r="C326" t="n">
        <v>18.734478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TPP-699</t>
        </is>
      </c>
      <c r="C327" t="n">
        <v>38.800592</v>
      </c>
      <c r="D327">
        <f>IFERROR(MATCH($A327,PP_Grid[Intermediate],0),99999)</f>
        <v/>
      </c>
    </row>
    <row r="328">
      <c r="A328" t="inlineStr">
        <is>
          <t>TSP-669</t>
        </is>
      </c>
      <c r="B328" t="inlineStr">
        <is>
          <t>CHEM-1010</t>
        </is>
      </c>
      <c r="C328" t="n">
        <v>0.388761</v>
      </c>
      <c r="D328">
        <f>IFERROR(MATCH($A328,PP_Grid[Intermediate],0),99999)</f>
        <v/>
      </c>
    </row>
    <row r="329">
      <c r="A329" t="inlineStr">
        <is>
          <t>TSP-669</t>
        </is>
      </c>
      <c r="B329" t="inlineStr">
        <is>
          <t>CHEM-1240</t>
        </is>
      </c>
      <c r="C329" t="n">
        <v>22.435374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CHEM-1250</t>
        </is>
      </c>
      <c r="C330" t="n">
        <v>17.918655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CHEM-1420</t>
        </is>
      </c>
      <c r="C331" t="n">
        <v>1.154745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CHEM-1440</t>
        </is>
      </c>
      <c r="C332" t="n">
        <v>1.41327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SOL-20P</t>
        </is>
      </c>
      <c r="C333" t="n">
        <v>15.952447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TPP-700</t>
        </is>
      </c>
      <c r="C334" t="n">
        <v>35.983233</v>
      </c>
      <c r="D334">
        <f>IFERROR(MATCH($A334,PP_Grid[Intermediate],0),99999)</f>
        <v/>
      </c>
    </row>
    <row r="335">
      <c r="A335" t="inlineStr">
        <is>
          <t>TSP-670</t>
        </is>
      </c>
      <c r="B335" t="inlineStr">
        <is>
          <t>CHEM-1010</t>
        </is>
      </c>
      <c r="C335" t="n">
        <v>0.288721</v>
      </c>
      <c r="D335">
        <f>IFERROR(MATCH($A335,PP_Grid[Intermediate],0),99999)</f>
        <v/>
      </c>
    </row>
    <row r="336">
      <c r="A336" t="inlineStr">
        <is>
          <t>TSP-670</t>
        </is>
      </c>
      <c r="B336" t="inlineStr">
        <is>
          <t>CHEM-1240</t>
        </is>
      </c>
      <c r="C336" t="n">
        <v>22.909854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CHEM-1250</t>
        </is>
      </c>
      <c r="C337" t="n">
        <v>18.297659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CHEM-1420</t>
        </is>
      </c>
      <c r="C338" t="n">
        <v>1.166814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CHEM-1440</t>
        </is>
      </c>
      <c r="C339" t="n">
        <v>1.443288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SOL-20P</t>
        </is>
      </c>
      <c r="C340" t="n">
        <v>11.84738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TPP-701</t>
        </is>
      </c>
      <c r="C341" t="n">
        <v>36.564858</v>
      </c>
      <c r="D341">
        <f>IFERROR(MATCH($A341,PP_Grid[Intermediate],0),99999)</f>
        <v/>
      </c>
    </row>
    <row r="342">
      <c r="A342" t="inlineStr">
        <is>
          <t>TSP-710</t>
        </is>
      </c>
      <c r="B342" t="inlineStr">
        <is>
          <t>CHEM-1400</t>
        </is>
      </c>
      <c r="C342" t="n">
        <v>3.514668</v>
      </c>
      <c r="D342">
        <f>IFERROR(MATCH($A342,PP_Grid[Intermediate],0),99999)</f>
        <v/>
      </c>
    </row>
    <row r="343">
      <c r="A343" t="inlineStr">
        <is>
          <t>TSP-710</t>
        </is>
      </c>
      <c r="B343" t="inlineStr">
        <is>
          <t>CHEM-1420</t>
        </is>
      </c>
      <c r="C343" t="n">
        <v>0.333498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CHEM-1440</t>
        </is>
      </c>
      <c r="C344" t="n">
        <v>0.36081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CHEM-1510</t>
        </is>
      </c>
      <c r="C345" t="n">
        <v>4.334038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CHEM-1560</t>
        </is>
      </c>
      <c r="C346" t="n">
        <v>4.518037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CHEM-1580</t>
        </is>
      </c>
      <c r="C347" t="n">
        <v>20.119138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TPP-704</t>
        </is>
      </c>
      <c r="C348" t="n">
        <v>122.981753</v>
      </c>
      <c r="D348">
        <f>IFERROR(MATCH($A348,PP_Grid[Intermediate],0),99999)</f>
        <v/>
      </c>
    </row>
    <row r="349">
      <c r="A349" t="inlineStr">
        <is>
          <t>TSP-828</t>
        </is>
      </c>
      <c r="B349" t="inlineStr">
        <is>
          <t>CHEM-1010</t>
        </is>
      </c>
      <c r="C349" t="n">
        <v>0.169867</v>
      </c>
      <c r="D349">
        <f>IFERROR(MATCH($A349,PP_Grid[Intermediate],0),99999)</f>
        <v/>
      </c>
    </row>
    <row r="350">
      <c r="A350" t="inlineStr">
        <is>
          <t>TSP-828</t>
        </is>
      </c>
      <c r="B350" t="inlineStr">
        <is>
          <t>CHEM-1400</t>
        </is>
      </c>
      <c r="C350" t="n">
        <v>3.060643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CHEM-1420</t>
        </is>
      </c>
      <c r="C351" t="n">
        <v>0.884738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CHEM-1440</t>
        </is>
      </c>
      <c r="C352" t="n">
        <v>0.695722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CHEM-1570</t>
        </is>
      </c>
      <c r="C353" t="n">
        <v>0.02396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CHEM-1600</t>
        </is>
      </c>
      <c r="C354" t="n">
        <v>3.61438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SOL-20P</t>
        </is>
      </c>
      <c r="C355" t="n">
        <v>6.970346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TPP-825</t>
        </is>
      </c>
      <c r="C356" t="n">
        <v>29.76872</v>
      </c>
      <c r="D356">
        <f>IFERROR(MATCH($A356,PP_Grid[Intermediate],0),99999)</f>
        <v/>
      </c>
    </row>
    <row r="357">
      <c r="A357" t="inlineStr">
        <is>
          <t>TSP-903</t>
        </is>
      </c>
      <c r="B357" t="inlineStr">
        <is>
          <t>CHEM-1400</t>
        </is>
      </c>
      <c r="C357" t="n">
        <v>3.395908</v>
      </c>
      <c r="D357">
        <f>IFERROR(MATCH($A357,PP_Grid[Intermediate],0),99999)</f>
        <v/>
      </c>
    </row>
    <row r="358">
      <c r="A358" t="inlineStr">
        <is>
          <t>TSP-903</t>
        </is>
      </c>
      <c r="B358" t="inlineStr">
        <is>
          <t>CHEM-1420</t>
        </is>
      </c>
      <c r="C358" t="n">
        <v>0.540933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CHEM-1440</t>
        </is>
      </c>
      <c r="C359" t="n">
        <v>0.523832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CHEM-1530</t>
        </is>
      </c>
      <c r="C360" t="n">
        <v>13.287512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CHEM-1570</t>
        </is>
      </c>
      <c r="C361" t="n">
        <v>0.018001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CHEM-1650</t>
        </is>
      </c>
      <c r="C362" t="n">
        <v>0.036002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CHEM-1670</t>
        </is>
      </c>
      <c r="C363" t="n">
        <v>3.001683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CHEM-1690</t>
        </is>
      </c>
      <c r="C364" t="n">
        <v>8.734133999999999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CHEM-1770</t>
        </is>
      </c>
      <c r="C365" t="n">
        <v>43.716452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CHEM-1780</t>
        </is>
      </c>
      <c r="C366" t="n">
        <v>0.051303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SOL-10H</t>
        </is>
      </c>
      <c r="C367" t="n">
        <v>10.907124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TPP-635</t>
        </is>
      </c>
      <c r="C368" t="n">
        <v>43.759774</v>
      </c>
      <c r="D368">
        <f>IFERROR(MATCH($A368,PP_Grid[Intermediate],0),99999)</f>
        <v/>
      </c>
    </row>
    <row r="369">
      <c r="A369" t="inlineStr">
        <is>
          <t>TSP-924</t>
        </is>
      </c>
      <c r="B369" t="inlineStr">
        <is>
          <t>CHEM-1420</t>
        </is>
      </c>
      <c r="C369" t="n">
        <v>0.860226</v>
      </c>
      <c r="D369">
        <f>IFERROR(MATCH($A369,PP_Grid[Intermediate],0),99999)</f>
        <v/>
      </c>
    </row>
    <row r="370">
      <c r="A370" t="inlineStr">
        <is>
          <t>TSP-924</t>
        </is>
      </c>
      <c r="B370" t="inlineStr">
        <is>
          <t>CHEM-1440</t>
        </is>
      </c>
      <c r="C370" t="n">
        <v>1.811469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CHEM-1510</t>
        </is>
      </c>
      <c r="C371" t="n">
        <v>0.441417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CHEM-1570</t>
        </is>
      </c>
      <c r="C372" t="n">
        <v>0.014724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CHEM-1600</t>
        </is>
      </c>
      <c r="C373" t="n">
        <v>15.039556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CHEM-1730</t>
        </is>
      </c>
      <c r="C374" t="n">
        <v>51.744442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TPP-911</t>
        </is>
      </c>
      <c r="C375" t="n">
        <v>52.100811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TSZ-616</t>
        </is>
      </c>
      <c r="C376" t="n">
        <v>14.723732</v>
      </c>
      <c r="D376">
        <f>IFERROR(MATCH($A376,PP_Grid[Intermediate],0),99999)</f>
        <v/>
      </c>
    </row>
    <row r="377">
      <c r="A377" t="inlineStr">
        <is>
          <t>TSP-925</t>
        </is>
      </c>
      <c r="B377" t="inlineStr">
        <is>
          <t>CHEM-1420</t>
        </is>
      </c>
      <c r="C377" t="n">
        <v>0.866912</v>
      </c>
      <c r="D377">
        <f>IFERROR(MATCH($A377,PP_Grid[Intermediate],0),99999)</f>
        <v/>
      </c>
    </row>
    <row r="378">
      <c r="A378" t="inlineStr">
        <is>
          <t>TSP-925</t>
        </is>
      </c>
      <c r="B378" t="inlineStr">
        <is>
          <t>CHEM-1440</t>
        </is>
      </c>
      <c r="C378" t="n">
        <v>1.824845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CHEM-1510</t>
        </is>
      </c>
      <c r="C379" t="n">
        <v>0.444626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CHEM-1570</t>
        </is>
      </c>
      <c r="C380" t="n">
        <v>0.014831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CHEM-1600</t>
        </is>
      </c>
      <c r="C381" t="n">
        <v>15.14887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CHEM-1730</t>
        </is>
      </c>
      <c r="C382" t="n">
        <v>52.118193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TPP-912</t>
        </is>
      </c>
      <c r="C383" t="n">
        <v>51.67841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TSZ-616</t>
        </is>
      </c>
      <c r="C384" t="n">
        <v>14.83075</v>
      </c>
      <c r="D384">
        <f>IFERROR(MATCH($A384,PP_Grid[Intermediate],0),99999)</f>
        <v/>
      </c>
    </row>
    <row r="385">
      <c r="A385" t="inlineStr">
        <is>
          <t>TSP-927</t>
        </is>
      </c>
      <c r="B385" t="inlineStr">
        <is>
          <t>CHEM-1420</t>
        </is>
      </c>
      <c r="C385" t="n">
        <v>0.3825</v>
      </c>
      <c r="D385">
        <f>IFERROR(MATCH($A385,PP_Grid[Intermediate],0),99999)</f>
        <v/>
      </c>
    </row>
    <row r="386">
      <c r="A386" t="inlineStr">
        <is>
          <t>TSP-927</t>
        </is>
      </c>
      <c r="B386" t="inlineStr">
        <is>
          <t>CHEM-1440</t>
        </is>
      </c>
      <c r="C386" t="n">
        <v>1.4433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CHEM-1540</t>
        </is>
      </c>
      <c r="C387" t="n">
        <v>64.69987500000001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CHEM-1680</t>
        </is>
      </c>
      <c r="C388" t="n">
        <v>26.254263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CHEM-1720</t>
        </is>
      </c>
      <c r="C389" t="n">
        <v>6.7983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SOL-SH</t>
        </is>
      </c>
      <c r="C390" t="n">
        <v>6.406799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TPP-914</t>
        </is>
      </c>
      <c r="C391" t="n">
        <v>25.636425</v>
      </c>
      <c r="D391">
        <f>IFERROR(MATCH($A391,PP_Grid[Intermediate],0),99999)</f>
        <v/>
      </c>
    </row>
    <row r="392">
      <c r="A392" t="inlineStr">
        <is>
          <t>TSP-928</t>
        </is>
      </c>
      <c r="B392" t="inlineStr">
        <is>
          <t>CHEM-1420</t>
        </is>
      </c>
      <c r="C392" t="n">
        <v>0.377996</v>
      </c>
      <c r="D392">
        <f>IFERROR(MATCH($A392,PP_Grid[Intermediate],0),99999)</f>
        <v/>
      </c>
    </row>
    <row r="393">
      <c r="A393" t="inlineStr">
        <is>
          <t>TSP-928</t>
        </is>
      </c>
      <c r="B393" t="inlineStr">
        <is>
          <t>CHEM-1440</t>
        </is>
      </c>
      <c r="C393" t="n">
        <v>1.426304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CHEM-1540</t>
        </is>
      </c>
      <c r="C394" t="n">
        <v>63.959409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CHEM-1680</t>
        </is>
      </c>
      <c r="C395" t="n">
        <v>25.953272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CHEM-1720</t>
        </is>
      </c>
      <c r="C396" t="n">
        <v>6.719505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SOL-SH</t>
        </is>
      </c>
      <c r="C397" t="n">
        <v>4.748907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TPP-915</t>
        </is>
      </c>
      <c r="C398" t="n">
        <v>25.300519</v>
      </c>
      <c r="D398">
        <f>IFERROR(MATCH($A398,PP_Grid[Intermediate],0),99999)</f>
        <v/>
      </c>
    </row>
    <row r="399">
      <c r="A399" t="inlineStr">
        <is>
          <t>TSP-929</t>
        </is>
      </c>
      <c r="B399" t="inlineStr">
        <is>
          <t>CHEM-1420</t>
        </is>
      </c>
      <c r="C399" t="n">
        <v>0.387</v>
      </c>
      <c r="D399">
        <f>IFERROR(MATCH($A399,PP_Grid[Intermediate],0),99999)</f>
        <v/>
      </c>
    </row>
    <row r="400">
      <c r="A400" t="inlineStr">
        <is>
          <t>TSP-929</t>
        </is>
      </c>
      <c r="B400" t="inlineStr">
        <is>
          <t>CHEM-1440</t>
        </is>
      </c>
      <c r="C400" t="n">
        <v>1.46157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CHEM-1540</t>
        </is>
      </c>
      <c r="C401" t="n">
        <v>65.51007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CHEM-1680</t>
        </is>
      </c>
      <c r="C402" t="n">
        <v>26.581916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CHEM-1720</t>
        </is>
      </c>
      <c r="C403" t="n">
        <v>6.88344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SOL-SH</t>
        </is>
      </c>
      <c r="C404" t="n">
        <v>2.919035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TPP-916</t>
        </is>
      </c>
      <c r="C405" t="n">
        <v>25.86192</v>
      </c>
      <c r="D405">
        <f>IFERROR(MATCH($A405,PP_Grid[Intermediate],0),99999)</f>
        <v/>
      </c>
    </row>
    <row r="406">
      <c r="A406" t="inlineStr">
        <is>
          <t>TSP-930</t>
        </is>
      </c>
      <c r="B406" t="inlineStr">
        <is>
          <t>CHEM-1420</t>
        </is>
      </c>
      <c r="C406" t="n">
        <v>0.387</v>
      </c>
      <c r="D406">
        <f>IFERROR(MATCH($A406,PP_Grid[Intermediate],0),99999)</f>
        <v/>
      </c>
    </row>
    <row r="407">
      <c r="A407" t="inlineStr">
        <is>
          <t>TSP-930</t>
        </is>
      </c>
      <c r="B407" t="inlineStr">
        <is>
          <t>CHEM-1440</t>
        </is>
      </c>
      <c r="C407" t="n">
        <v>1.46157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CHEM-1540</t>
        </is>
      </c>
      <c r="C408" t="n">
        <v>65.52297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CHEM-1680</t>
        </is>
      </c>
      <c r="C409" t="n">
        <v>26.587318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CHEM-1720</t>
        </is>
      </c>
      <c r="C410" t="n">
        <v>6.88473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SOL-SH</t>
        </is>
      </c>
      <c r="C411" t="n">
        <v>1.946365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TPP-917</t>
        </is>
      </c>
      <c r="C412" t="n">
        <v>25.84128</v>
      </c>
      <c r="D412">
        <f>IFERROR(MATCH($A412,PP_Grid[Intermediate],0),99999)</f>
        <v/>
      </c>
    </row>
    <row r="413">
      <c r="A413" t="inlineStr">
        <is>
          <t>TSP-934</t>
        </is>
      </c>
      <c r="B413" t="inlineStr">
        <is>
          <t>CHEM-1420</t>
        </is>
      </c>
      <c r="C413" t="n">
        <v>0.86913</v>
      </c>
      <c r="D413">
        <f>IFERROR(MATCH($A413,PP_Grid[Intermediate],0),99999)</f>
        <v/>
      </c>
    </row>
    <row r="414">
      <c r="A414" t="inlineStr">
        <is>
          <t>TSP-934</t>
        </is>
      </c>
      <c r="B414" t="inlineStr">
        <is>
          <t>CHEM-1440</t>
        </is>
      </c>
      <c r="C414" t="n">
        <v>1.64511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CHEM-1540</t>
        </is>
      </c>
      <c r="C415" t="n">
        <v>39.80502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CHEM-1570</t>
        </is>
      </c>
      <c r="C416" t="n">
        <v>0.08167199999999999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CHEM-1650</t>
        </is>
      </c>
      <c r="C417" t="n">
        <v>0.0324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CHEM-1680</t>
        </is>
      </c>
      <c r="C418" t="n">
        <v>17.767035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CHEM-1700</t>
        </is>
      </c>
      <c r="C419" t="n">
        <v>1.7253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CHEM-1720</t>
        </is>
      </c>
      <c r="C420" t="n">
        <v>6.27345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SOL-SH</t>
        </is>
      </c>
      <c r="C421" t="n">
        <v>5.912316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TPP-919</t>
        </is>
      </c>
      <c r="C422" t="n">
        <v>17.3907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TSZ-938</t>
        </is>
      </c>
      <c r="C423" t="n">
        <v>17.23437</v>
      </c>
      <c r="D423">
        <f>IFERROR(MATCH($A423,PP_Grid[Intermediate],0),99999)</f>
        <v/>
      </c>
    </row>
    <row r="424">
      <c r="A424" t="inlineStr">
        <is>
          <t>TSP-935</t>
        </is>
      </c>
      <c r="B424" t="inlineStr">
        <is>
          <t>CHEM-1420</t>
        </is>
      </c>
      <c r="C424" t="n">
        <v>0.893747</v>
      </c>
      <c r="D424">
        <f>IFERROR(MATCH($A424,PP_Grid[Intermediate],0),99999)</f>
        <v/>
      </c>
    </row>
    <row r="425">
      <c r="A425" t="inlineStr">
        <is>
          <t>TSP-935</t>
        </is>
      </c>
      <c r="B425" t="inlineStr">
        <is>
          <t>CHEM-1440</t>
        </is>
      </c>
      <c r="C425" t="n">
        <v>1.706855</v>
      </c>
      <c r="D425">
        <f>IFERROR(MATCH($A425,PP_Grid[Intermediate],0),99999)</f>
        <v/>
      </c>
    </row>
    <row r="426">
      <c r="A426" t="inlineStr">
        <is>
          <t>TSP-935</t>
        </is>
      </c>
      <c r="B426" t="inlineStr">
        <is>
          <t>CHEM-1540</t>
        </is>
      </c>
      <c r="C426" t="n">
        <v>41.298825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CHEM-1570</t>
        </is>
      </c>
      <c r="C427" t="n">
        <v>0.08469699999999999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CHEM-1650</t>
        </is>
      </c>
      <c r="C428" t="n">
        <v>0.0336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CHEM-1680</t>
        </is>
      </c>
      <c r="C429" t="n">
        <v>18.433775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CHEM-1700</t>
        </is>
      </c>
      <c r="C430" t="n">
        <v>1.789173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CHEM-1720</t>
        </is>
      </c>
      <c r="C431" t="n">
        <v>6.508223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SOL-SH</t>
        </is>
      </c>
      <c r="C432" t="n">
        <v>4.601468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TPP-920</t>
        </is>
      </c>
      <c r="C433" t="n">
        <v>18.002612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TSZ-938</t>
        </is>
      </c>
      <c r="C434" t="n">
        <v>17.880814</v>
      </c>
      <c r="D434">
        <f>IFERROR(MATCH($A434,PP_Grid[Intermediate],0),99999)</f>
        <v/>
      </c>
    </row>
    <row r="435">
      <c r="A435" t="inlineStr">
        <is>
          <t>TSP-936</t>
        </is>
      </c>
      <c r="B435" t="inlineStr">
        <is>
          <t>CHEM-1420</t>
        </is>
      </c>
      <c r="C435" t="n">
        <v>0.886875</v>
      </c>
      <c r="D435">
        <f>IFERROR(MATCH($A435,PP_Grid[Intermediate],0),99999)</f>
        <v/>
      </c>
    </row>
    <row r="436">
      <c r="A436" t="inlineStr">
        <is>
          <t>TSP-936</t>
        </is>
      </c>
      <c r="B436" t="inlineStr">
        <is>
          <t>CHEM-1440</t>
        </is>
      </c>
      <c r="C436" t="n">
        <v>1.677225</v>
      </c>
      <c r="D436">
        <f>IFERROR(MATCH($A436,PP_Grid[Intermediate],0),99999)</f>
        <v/>
      </c>
    </row>
    <row r="437">
      <c r="A437" t="inlineStr">
        <is>
          <t>TSP-936</t>
        </is>
      </c>
      <c r="B437" t="inlineStr">
        <is>
          <t>CHEM-1540</t>
        </is>
      </c>
      <c r="C437" t="n">
        <v>40.585875</v>
      </c>
      <c r="D437">
        <f>IFERROR(MATCH($A437,PP_Grid[Intermediate],0),99999)</f>
        <v/>
      </c>
    </row>
    <row r="438">
      <c r="A438" t="inlineStr">
        <is>
          <t>TSP-936</t>
        </is>
      </c>
      <c r="B438" t="inlineStr">
        <is>
          <t>CHEM-1570</t>
        </is>
      </c>
      <c r="C438" t="n">
        <v>0.083188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CHEM-1650</t>
        </is>
      </c>
      <c r="C439" t="n">
        <v>0.033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CHEM-1680</t>
        </is>
      </c>
      <c r="C440" t="n">
        <v>18.115059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CHEM-1700</t>
        </is>
      </c>
      <c r="C441" t="n">
        <v>1.75725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CHEM-1720</t>
        </is>
      </c>
      <c r="C442" t="n">
        <v>6.396225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SOL-SH</t>
        </is>
      </c>
      <c r="C443" t="n">
        <v>2.71268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TPP-922</t>
        </is>
      </c>
      <c r="C444" t="n">
        <v>17.64345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TSZ-938</t>
        </is>
      </c>
      <c r="C445" t="n">
        <v>17.571675</v>
      </c>
      <c r="D445">
        <f>IFERROR(MATCH($A445,PP_Grid[Intermediate],0),99999)</f>
        <v/>
      </c>
    </row>
    <row r="446">
      <c r="A446" t="inlineStr">
        <is>
          <t>TSP-937</t>
        </is>
      </c>
      <c r="B446" t="inlineStr">
        <is>
          <t>CHEM-1420</t>
        </is>
      </c>
      <c r="C446" t="n">
        <v>0.878625</v>
      </c>
      <c r="D446">
        <f>IFERROR(MATCH($A446,PP_Grid[Intermediate],0),99999)</f>
        <v/>
      </c>
    </row>
    <row r="447">
      <c r="A447" t="inlineStr">
        <is>
          <t>TSP-937</t>
        </is>
      </c>
      <c r="B447" t="inlineStr">
        <is>
          <t>CHEM-1440</t>
        </is>
      </c>
      <c r="C447" t="n">
        <v>1.67805</v>
      </c>
      <c r="D447">
        <f>IFERROR(MATCH($A447,PP_Grid[Intermediate],0),99999)</f>
        <v/>
      </c>
    </row>
    <row r="448">
      <c r="A448" t="inlineStr">
        <is>
          <t>TSP-937</t>
        </is>
      </c>
      <c r="B448" t="inlineStr">
        <is>
          <t>CHEM-1540</t>
        </is>
      </c>
      <c r="C448" t="n">
        <v>40.597425</v>
      </c>
      <c r="D448">
        <f>IFERROR(MATCH($A448,PP_Grid[Intermediate],0),99999)</f>
        <v/>
      </c>
    </row>
    <row r="449">
      <c r="A449" t="inlineStr">
        <is>
          <t>TSP-937</t>
        </is>
      </c>
      <c r="B449" t="inlineStr">
        <is>
          <t>CHEM-1570</t>
        </is>
      </c>
      <c r="C449" t="n">
        <v>0.083189</v>
      </c>
      <c r="D449">
        <f>IFERROR(MATCH($A449,PP_Grid[Intermediate],0),99999)</f>
        <v/>
      </c>
    </row>
    <row r="450">
      <c r="A450" t="inlineStr">
        <is>
          <t>TSP-937</t>
        </is>
      </c>
      <c r="B450" t="inlineStr">
        <is>
          <t>CHEM-1650</t>
        </is>
      </c>
      <c r="C450" t="n">
        <v>0.033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CHEM-1680</t>
        </is>
      </c>
      <c r="C451" t="n">
        <v>18.120923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CHEM-1700</t>
        </is>
      </c>
      <c r="C452" t="n">
        <v>1.75725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CHEM-1720</t>
        </is>
      </c>
      <c r="C453" t="n">
        <v>6.397875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SOL-SH</t>
        </is>
      </c>
      <c r="C454" t="n">
        <v>1.809061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TPP-923</t>
        </is>
      </c>
      <c r="C455" t="n">
        <v>17.6253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TSZ-938</t>
        </is>
      </c>
      <c r="C456" t="n">
        <v>17.576625</v>
      </c>
      <c r="D456">
        <f>IFERROR(MATCH($A456,PP_Grid[Intermediate],0),99999)</f>
        <v/>
      </c>
    </row>
    <row r="457">
      <c r="A457" t="inlineStr">
        <is>
          <t>TSP-959</t>
        </is>
      </c>
      <c r="B457" t="inlineStr">
        <is>
          <t>CHEM-1400</t>
        </is>
      </c>
      <c r="C457" t="n">
        <v>3.140787</v>
      </c>
      <c r="D457">
        <f>IFERROR(MATCH($A457,PP_Grid[Intermediate],0),99999)</f>
        <v/>
      </c>
    </row>
    <row r="458">
      <c r="A458" t="inlineStr">
        <is>
          <t>TSP-959</t>
        </is>
      </c>
      <c r="B458" t="inlineStr">
        <is>
          <t>CHEM-1420</t>
        </is>
      </c>
      <c r="C458" t="n">
        <v>0.469444</v>
      </c>
      <c r="D458">
        <f>IFERROR(MATCH($A458,PP_Grid[Intermediate],0),99999)</f>
        <v/>
      </c>
    </row>
    <row r="459">
      <c r="A459" t="inlineStr">
        <is>
          <t>TSP-959</t>
        </is>
      </c>
      <c r="B459" t="inlineStr">
        <is>
          <t>CHEM-1530</t>
        </is>
      </c>
      <c r="C459" t="n">
        <v>57.764518</v>
      </c>
      <c r="D459">
        <f>IFERROR(MATCH($A459,PP_Grid[Intermediate],0),99999)</f>
        <v/>
      </c>
    </row>
    <row r="460">
      <c r="A460" t="inlineStr">
        <is>
          <t>TSP-959</t>
        </is>
      </c>
      <c r="B460" t="inlineStr">
        <is>
          <t>CHEM-1570</t>
        </is>
      </c>
      <c r="C460" t="n">
        <v>0.040821</v>
      </c>
      <c r="D460">
        <f>IFERROR(MATCH($A460,PP_Grid[Intermediate],0),99999)</f>
        <v/>
      </c>
    </row>
    <row r="461">
      <c r="A461" t="inlineStr">
        <is>
          <t>TSP-959</t>
        </is>
      </c>
      <c r="B461" t="inlineStr">
        <is>
          <t>CHEM-1650</t>
        </is>
      </c>
      <c r="C461" t="n">
        <v>0.032657</v>
      </c>
      <c r="D461">
        <f>IFERROR(MATCH($A461,PP_Grid[Intermediate],0),99999)</f>
        <v/>
      </c>
    </row>
    <row r="462">
      <c r="A462" t="inlineStr">
        <is>
          <t>TSP-959</t>
        </is>
      </c>
      <c r="B462" t="inlineStr">
        <is>
          <t>SOL-10H</t>
        </is>
      </c>
      <c r="C462" t="n">
        <v>44.388735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TPP-968</t>
        </is>
      </c>
      <c r="C463" t="n">
        <v>22.323509</v>
      </c>
      <c r="D463">
        <f>IFERROR(MATCH($A463,PP_Grid[Intermediate],0),99999)</f>
        <v/>
      </c>
    </row>
    <row r="464">
      <c r="A464" t="inlineStr">
        <is>
          <t>TSP-966</t>
        </is>
      </c>
      <c r="B464" t="inlineStr">
        <is>
          <t>CHEM-1250</t>
        </is>
      </c>
      <c r="C464" t="n">
        <v>3.54192</v>
      </c>
      <c r="D464">
        <f>IFERROR(MATCH($A464,PP_Grid[Intermediate],0),99999)</f>
        <v/>
      </c>
    </row>
    <row r="465">
      <c r="A465" t="inlineStr">
        <is>
          <t>TSP-966</t>
        </is>
      </c>
      <c r="B465" t="inlineStr">
        <is>
          <t>CHEM-1400</t>
        </is>
      </c>
      <c r="C465" t="n">
        <v>1.81248</v>
      </c>
      <c r="D465">
        <f>IFERROR(MATCH($A465,PP_Grid[Intermediate],0),99999)</f>
        <v/>
      </c>
    </row>
    <row r="466">
      <c r="A466" t="inlineStr">
        <is>
          <t>TSP-966</t>
        </is>
      </c>
      <c r="B466" t="inlineStr">
        <is>
          <t>CHEM-1420</t>
        </is>
      </c>
      <c r="C466" t="n">
        <v>0.5476799999999999</v>
      </c>
      <c r="D466">
        <f>IFERROR(MATCH($A466,PP_Grid[Intermediate],0),99999)</f>
        <v/>
      </c>
    </row>
    <row r="467">
      <c r="A467" t="inlineStr">
        <is>
          <t>TSP-966</t>
        </is>
      </c>
      <c r="B467" t="inlineStr">
        <is>
          <t>CHEM-1570</t>
        </is>
      </c>
      <c r="C467" t="n">
        <v>0.024</v>
      </c>
      <c r="D467">
        <f>IFERROR(MATCH($A467,PP_Grid[Intermediate],0),99999)</f>
        <v/>
      </c>
    </row>
    <row r="468">
      <c r="A468" t="inlineStr">
        <is>
          <t>TSP-966</t>
        </is>
      </c>
      <c r="B468" t="inlineStr">
        <is>
          <t>CHEM-1690</t>
        </is>
      </c>
      <c r="C468" t="n">
        <v>4.89456</v>
      </c>
      <c r="D468">
        <f>IFERROR(MATCH($A468,PP_Grid[Intermediate],0),99999)</f>
        <v/>
      </c>
    </row>
    <row r="469">
      <c r="A469" t="inlineStr">
        <is>
          <t>TSP-966</t>
        </is>
      </c>
      <c r="B469" t="inlineStr">
        <is>
          <t>TPP-970</t>
        </is>
      </c>
      <c r="C469" t="n">
        <v>38.22144</v>
      </c>
      <c r="D469">
        <f>IFERROR(MATCH($A469,PP_Grid[Intermediate],0),99999)</f>
        <v/>
      </c>
    </row>
    <row r="470">
      <c r="A470" t="inlineStr">
        <is>
          <t>TSZ-616</t>
        </is>
      </c>
      <c r="B470" t="inlineStr">
        <is>
          <t>CHEM-1510</t>
        </is>
      </c>
      <c r="C470" t="n">
        <v>1.1992</v>
      </c>
      <c r="D470">
        <f>IFERROR(MATCH($A470,PP_Grid[Intermediate],0),99999)</f>
        <v/>
      </c>
    </row>
    <row r="471">
      <c r="A471" t="inlineStr">
        <is>
          <t>TSZ-616</t>
        </is>
      </c>
      <c r="B471" t="inlineStr">
        <is>
          <t>CHEM-1570</t>
        </is>
      </c>
      <c r="C471" t="n">
        <v>0.04</v>
      </c>
      <c r="D471">
        <f>IFERROR(MATCH($A471,PP_Grid[Intermediate],0),99999)</f>
        <v/>
      </c>
    </row>
    <row r="472">
      <c r="A472" t="inlineStr">
        <is>
          <t>TSZ-616</t>
        </is>
      </c>
      <c r="B472" t="inlineStr">
        <is>
          <t>CHEM-1600</t>
        </is>
      </c>
      <c r="C472" t="n">
        <v>40.858</v>
      </c>
      <c r="D472">
        <f>IFERROR(MATCH($A472,PP_Grid[Intermediate],0),99999)</f>
        <v/>
      </c>
    </row>
    <row r="473">
      <c r="A473" t="inlineStr">
        <is>
          <t>TSZ-938</t>
        </is>
      </c>
      <c r="B473" t="inlineStr">
        <is>
          <t>CHEM-1570</t>
        </is>
      </c>
      <c r="C473" t="n">
        <v>0.0117</v>
      </c>
      <c r="D473">
        <f>IFERROR(MATCH($A473,PP_Grid[Intermediate],0),99999)</f>
        <v/>
      </c>
    </row>
    <row r="474">
      <c r="A474" t="inlineStr">
        <is>
          <t>TVS-267</t>
        </is>
      </c>
      <c r="B474" t="inlineStr">
        <is>
          <t>CHEM-1420</t>
        </is>
      </c>
      <c r="C474" t="n">
        <v>2.85088</v>
      </c>
      <c r="D474">
        <f>IFERROR(MATCH($A474,PP_Grid[Intermediate],0),99999)</f>
        <v/>
      </c>
    </row>
    <row r="475">
      <c r="A475" t="inlineStr">
        <is>
          <t>TVS-267</t>
        </is>
      </c>
      <c r="B475" t="inlineStr">
        <is>
          <t>CHEM-1570</t>
        </is>
      </c>
      <c r="C475" t="n">
        <v>0.09664</v>
      </c>
      <c r="D475">
        <f>IFERROR(MATCH($A475,PP_Grid[Intermediate],0),99999)</f>
        <v/>
      </c>
    </row>
    <row r="476">
      <c r="A476" t="inlineStr">
        <is>
          <t>TVS-267</t>
        </is>
      </c>
      <c r="B476" t="inlineStr">
        <is>
          <t>CHEM-1760</t>
        </is>
      </c>
      <c r="C476" t="n">
        <v>0.1963</v>
      </c>
      <c r="D476">
        <f>IFERROR(MATCH($A476,PP_Grid[Intermediate],0),99999)</f>
        <v/>
      </c>
    </row>
    <row r="477">
      <c r="A477" t="inlineStr">
        <is>
          <t>TVS-500</t>
        </is>
      </c>
      <c r="B477" t="inlineStr">
        <is>
          <t>CHEM-1420</t>
        </is>
      </c>
      <c r="C477" t="n">
        <v>2.86335</v>
      </c>
      <c r="D477">
        <f>IFERROR(MATCH($A477,PP_Grid[Intermediate],0),99999)</f>
        <v/>
      </c>
    </row>
    <row r="478">
      <c r="A478" t="inlineStr">
        <is>
          <t>TVS-500</t>
        </is>
      </c>
      <c r="B478" t="inlineStr">
        <is>
          <t>CHEM-1570</t>
        </is>
      </c>
      <c r="C478" t="n">
        <v>0.09999</v>
      </c>
      <c r="D478">
        <f>IFERROR(MATCH($A478,PP_Grid[Intermediate],0),99999)</f>
        <v/>
      </c>
    </row>
    <row r="479">
      <c r="A479" t="inlineStr">
        <is>
          <t>TVS-500</t>
        </is>
      </c>
      <c r="B479" t="inlineStr">
        <is>
          <t>CHEM-1760</t>
        </is>
      </c>
      <c r="C479" t="n">
        <v>0.18483</v>
      </c>
      <c r="D479">
        <f>IFERROR(MATCH($A479,PP_Grid[Intermediate],0),99999)</f>
        <v/>
      </c>
    </row>
    <row r="480">
      <c r="A480" t="inlineStr">
        <is>
          <t>TVS-664</t>
        </is>
      </c>
      <c r="B480" t="inlineStr">
        <is>
          <t>CHEM-1420</t>
        </is>
      </c>
      <c r="C480" t="n">
        <v>0.03876</v>
      </c>
      <c r="D480">
        <f>IFERROR(MATCH($A480,PP_Grid[Intermediate],0),99999)</f>
        <v/>
      </c>
    </row>
    <row r="481">
      <c r="A481" t="inlineStr">
        <is>
          <t>TVS-664</t>
        </is>
      </c>
      <c r="B481" t="inlineStr">
        <is>
          <t>CHEM-1570</t>
        </is>
      </c>
      <c r="C481" t="n">
        <v>0.01615</v>
      </c>
      <c r="D481">
        <f>IFERROR(MATCH($A481,PP_Grid[Intermediate],0),99999)</f>
        <v/>
      </c>
    </row>
    <row r="482">
      <c r="A482" t="inlineStr">
        <is>
          <t>TVS-664</t>
        </is>
      </c>
      <c r="B482" t="inlineStr">
        <is>
          <t>CHEM-1760</t>
        </is>
      </c>
      <c r="C482" t="n">
        <v>0.01615</v>
      </c>
      <c r="D482">
        <f>IFERROR(MATCH($A482,PP_Grid[Intermediate],0),99999)</f>
        <v/>
      </c>
    </row>
    <row r="483">
      <c r="A483" t="inlineStr">
        <is>
          <t>TVS-833</t>
        </is>
      </c>
      <c r="B483" t="inlineStr">
        <is>
          <t>CHEM-1420</t>
        </is>
      </c>
      <c r="C483" t="n">
        <v>2.856</v>
      </c>
      <c r="D483">
        <f>IFERROR(MATCH($A483,PP_Grid[Intermediate],0),99999)</f>
        <v/>
      </c>
    </row>
    <row r="484">
      <c r="A484" t="inlineStr">
        <is>
          <t>TVS-833</t>
        </is>
      </c>
      <c r="B484" t="inlineStr">
        <is>
          <t>CHEM-1570</t>
        </is>
      </c>
      <c r="C484" t="n">
        <v>0.09</v>
      </c>
      <c r="D484">
        <f>IFERROR(MATCH($A484,PP_Grid[Intermediate],0),99999)</f>
        <v/>
      </c>
    </row>
    <row r="485">
      <c r="A485" t="inlineStr">
        <is>
          <t>TVS-833</t>
        </is>
      </c>
      <c r="B485" t="inlineStr">
        <is>
          <t>CHEM-1760</t>
        </is>
      </c>
      <c r="C485" t="n">
        <v>0.183</v>
      </c>
      <c r="D485">
        <f>IFERROR(MATCH($A485,PP_Grid[Intermediate],0),99999)</f>
        <v/>
      </c>
    </row>
    <row r="486">
      <c r="A486" t="inlineStr">
        <is>
          <t>V14</t>
        </is>
      </c>
      <c r="B486" t="inlineStr">
        <is>
          <t>8EN</t>
        </is>
      </c>
      <c r="C486" t="n">
        <v>1</v>
      </c>
      <c r="D486">
        <f>IFERROR(MATCH($A486,PP_Grid[Intermediate],0),99999)</f>
        <v/>
      </c>
    </row>
    <row r="487">
      <c r="A487" t="inlineStr">
        <is>
          <t>V17</t>
        </is>
      </c>
      <c r="B487" t="inlineStr">
        <is>
          <t>8EN</t>
        </is>
      </c>
      <c r="C487" t="n">
        <v>1</v>
      </c>
      <c r="D487">
        <f>IFERROR(MATCH($A487,PP_Grid[Intermediate],0),99999)</f>
        <v/>
      </c>
    </row>
    <row r="488">
      <c r="A488" t="inlineStr">
        <is>
          <t>V18</t>
        </is>
      </c>
      <c r="B488" t="inlineStr">
        <is>
          <t>8EN</t>
        </is>
      </c>
      <c r="C488" t="n">
        <v>1</v>
      </c>
      <c r="D488">
        <f>IFERROR(MATCH($A488,PP_Grid[Intermediate],0),99999)</f>
        <v/>
      </c>
    </row>
    <row r="489">
      <c r="A489" t="inlineStr">
        <is>
          <t>VSP-600</t>
        </is>
      </c>
      <c r="B489" t="inlineStr">
        <is>
          <t>CHEM-1400</t>
        </is>
      </c>
      <c r="C489" t="n">
        <v>5.89792</v>
      </c>
      <c r="D489">
        <f>IFERROR(MATCH($A489,PP_Grid[Intermediate],0),99999)</f>
        <v/>
      </c>
    </row>
    <row r="490">
      <c r="A490" t="inlineStr">
        <is>
          <t>VSP-600</t>
        </is>
      </c>
      <c r="B490" t="inlineStr">
        <is>
          <t>CHEM-1420</t>
        </is>
      </c>
      <c r="C490" t="n">
        <v>0.73136</v>
      </c>
      <c r="D490">
        <f>IFERROR(MATCH($A490,PP_Grid[Intermediate],0),99999)</f>
        <v/>
      </c>
    </row>
    <row r="491">
      <c r="A491" t="inlineStr">
        <is>
          <t>VSP-600</t>
        </is>
      </c>
      <c r="B491" t="inlineStr">
        <is>
          <t>CHEM-1440</t>
        </is>
      </c>
      <c r="C491" t="n">
        <v>0.50064</v>
      </c>
      <c r="D491">
        <f>IFERROR(MATCH($A491,PP_Grid[Intermediate],0),99999)</f>
        <v/>
      </c>
    </row>
    <row r="492">
      <c r="A492" t="inlineStr">
        <is>
          <t>VSP-600</t>
        </is>
      </c>
      <c r="B492" t="inlineStr">
        <is>
          <t>CHEM-1600</t>
        </is>
      </c>
      <c r="C492" t="n">
        <v>16.78208</v>
      </c>
      <c r="D492">
        <f>IFERROR(MATCH($A492,PP_Grid[Intermediate],0),99999)</f>
        <v/>
      </c>
    </row>
    <row r="493">
      <c r="A493" t="inlineStr">
        <is>
          <t>VSP-600</t>
        </is>
      </c>
      <c r="B493" t="inlineStr">
        <is>
          <t>CHEM-1650</t>
        </is>
      </c>
      <c r="C493" t="n">
        <v>0.0448</v>
      </c>
      <c r="D493">
        <f>IFERROR(MATCH($A493,PP_Grid[Intermediate],0),99999)</f>
        <v/>
      </c>
    </row>
    <row r="494">
      <c r="A494" t="inlineStr">
        <is>
          <t>VSP-601</t>
        </is>
      </c>
      <c r="B494" t="inlineStr">
        <is>
          <t>CHEM-1400</t>
        </is>
      </c>
      <c r="C494" t="n">
        <v>5.891952</v>
      </c>
      <c r="D494">
        <f>IFERROR(MATCH($A494,PP_Grid[Intermediate],0),99999)</f>
        <v/>
      </c>
    </row>
    <row r="495">
      <c r="A495" t="inlineStr">
        <is>
          <t>VSP-601</t>
        </is>
      </c>
      <c r="B495" t="inlineStr">
        <is>
          <t>CHEM-1420</t>
        </is>
      </c>
      <c r="C495" t="n">
        <v>0.631468</v>
      </c>
      <c r="D495">
        <f>IFERROR(MATCH($A495,PP_Grid[Intermediate],0),99999)</f>
        <v/>
      </c>
    </row>
    <row r="496">
      <c r="A496" t="inlineStr">
        <is>
          <t>VSP-601</t>
        </is>
      </c>
      <c r="B496" t="inlineStr">
        <is>
          <t>CHEM-1600</t>
        </is>
      </c>
      <c r="C496" t="n">
        <v>16.764319</v>
      </c>
      <c r="D496">
        <f>IFERROR(MATCH($A496,PP_Grid[Intermediate],0),99999)</f>
        <v/>
      </c>
    </row>
    <row r="497">
      <c r="A497" t="inlineStr">
        <is>
          <t>VSP-602</t>
        </is>
      </c>
      <c r="B497" t="inlineStr">
        <is>
          <t>CHEM-1400</t>
        </is>
      </c>
      <c r="C497" t="n">
        <v>8.841888000000001</v>
      </c>
      <c r="D497">
        <f>IFERROR(MATCH($A497,PP_Grid[Intermediate],0),99999)</f>
        <v/>
      </c>
    </row>
    <row r="498">
      <c r="A498" t="inlineStr">
        <is>
          <t>VSP-602</t>
        </is>
      </c>
      <c r="B498" t="inlineStr">
        <is>
          <t>CHEM-1420</t>
        </is>
      </c>
      <c r="C498" t="n">
        <v>1.722336</v>
      </c>
      <c r="D498">
        <f>IFERROR(MATCH($A498,PP_Grid[Intermediate],0),99999)</f>
        <v/>
      </c>
    </row>
    <row r="499">
      <c r="A499" t="inlineStr">
        <is>
          <t>VSP-602</t>
        </is>
      </c>
      <c r="B499" t="inlineStr">
        <is>
          <t>CHEM-1440</t>
        </is>
      </c>
      <c r="C499" t="n">
        <v>1.231296</v>
      </c>
      <c r="D499">
        <f>IFERROR(MATCH($A499,PP_Grid[Intermediate],0),99999)</f>
        <v/>
      </c>
    </row>
    <row r="500">
      <c r="A500" t="inlineStr">
        <is>
          <t>VSP-602</t>
        </is>
      </c>
      <c r="B500" t="inlineStr">
        <is>
          <t>CHEM-1530</t>
        </is>
      </c>
      <c r="C500" t="n">
        <v>50.014272</v>
      </c>
      <c r="D500">
        <f>IFERROR(MATCH($A500,PP_Grid[Intermediate],0),99999)</f>
        <v/>
      </c>
    </row>
    <row r="501">
      <c r="A501" t="inlineStr">
        <is>
          <t>VSP-602</t>
        </is>
      </c>
      <c r="B501" t="inlineStr">
        <is>
          <t>SOL-10H VW</t>
        </is>
      </c>
      <c r="C501" t="n">
        <v>14.512608</v>
      </c>
      <c r="D501">
        <f>IFERROR(MATCH($A501,PP_Grid[Intermediate],0),99999)</f>
        <v/>
      </c>
    </row>
    <row r="502">
      <c r="A502" t="inlineStr">
        <is>
          <t>VSP-820</t>
        </is>
      </c>
      <c r="B502" t="inlineStr">
        <is>
          <t>CHEM-1400</t>
        </is>
      </c>
      <c r="C502" t="n">
        <v>3.532165</v>
      </c>
      <c r="D502">
        <f>IFERROR(MATCH($A502,PP_Grid[Intermediate],0),99999)</f>
        <v/>
      </c>
    </row>
    <row r="503">
      <c r="A503" t="inlineStr">
        <is>
          <t>VSP-820</t>
        </is>
      </c>
      <c r="B503" t="inlineStr">
        <is>
          <t>CHEM-1420</t>
        </is>
      </c>
      <c r="C503" t="n">
        <v>0.6100640000000001</v>
      </c>
      <c r="D503">
        <f>IFERROR(MATCH($A503,PP_Grid[Intermediate],0),99999)</f>
        <v/>
      </c>
    </row>
    <row r="504">
      <c r="A504" t="inlineStr">
        <is>
          <t>VSP-820</t>
        </is>
      </c>
      <c r="B504" t="inlineStr">
        <is>
          <t>CHEM-1510</t>
        </is>
      </c>
      <c r="C504" t="n">
        <v>6.788991</v>
      </c>
      <c r="D504">
        <f>IFERROR(MATCH($A504,PP_Grid[Intermediate],0),99999)</f>
        <v/>
      </c>
    </row>
    <row r="505">
      <c r="A505" t="inlineStr">
        <is>
          <t>VSP-820</t>
        </is>
      </c>
      <c r="B505" t="inlineStr">
        <is>
          <t>CHEM-1570</t>
        </is>
      </c>
      <c r="C505" t="n">
        <v>0.137669</v>
      </c>
      <c r="D505">
        <f>IFERROR(MATCH($A505,PP_Grid[Intermediate],0),99999)</f>
        <v/>
      </c>
    </row>
    <row r="506">
      <c r="A506" t="inlineStr">
        <is>
          <t>VSP-820</t>
        </is>
      </c>
      <c r="B506" t="inlineStr">
        <is>
          <t>CHEM-1600</t>
        </is>
      </c>
      <c r="C506" t="n">
        <v>20.102432</v>
      </c>
      <c r="D506">
        <f>IFERROR(MATCH($A506,PP_Grid[Intermediate],0),99999)</f>
        <v/>
      </c>
    </row>
    <row r="507">
      <c r="A507" t="inlineStr">
        <is>
          <t>VSP-820</t>
        </is>
      </c>
      <c r="B507" t="inlineStr">
        <is>
          <t>CHEM-1660</t>
        </is>
      </c>
      <c r="C507" t="n">
        <v>1.378044</v>
      </c>
      <c r="D507">
        <f>IFERROR(MATCH($A507,PP_Grid[Intermediate],0),99999)</f>
        <v/>
      </c>
    </row>
    <row r="508">
      <c r="A508" t="inlineStr">
        <is>
          <t>VSP-822</t>
        </is>
      </c>
      <c r="B508" t="inlineStr">
        <is>
          <t>CHEM-1400</t>
        </is>
      </c>
      <c r="C508" t="n">
        <v>4.920597</v>
      </c>
      <c r="D508">
        <f>IFERROR(MATCH($A508,PP_Grid[Intermediate],0),99999)</f>
        <v/>
      </c>
    </row>
    <row r="509">
      <c r="A509" t="inlineStr">
        <is>
          <t>VSP-822</t>
        </is>
      </c>
      <c r="B509" t="inlineStr">
        <is>
          <t>CHEM-1420</t>
        </is>
      </c>
      <c r="C509" t="n">
        <v>1.507374</v>
      </c>
      <c r="D509">
        <f>IFERROR(MATCH($A509,PP_Grid[Intermediate],0),99999)</f>
        <v/>
      </c>
    </row>
    <row r="510">
      <c r="A510" t="inlineStr">
        <is>
          <t>VSP-822</t>
        </is>
      </c>
      <c r="B510" t="inlineStr">
        <is>
          <t>CHEM-1440</t>
        </is>
      </c>
      <c r="C510" t="n">
        <v>1.234134</v>
      </c>
      <c r="D510">
        <f>IFERROR(MATCH($A510,PP_Grid[Intermediate],0),99999)</f>
        <v/>
      </c>
    </row>
    <row r="511">
      <c r="A511" t="inlineStr">
        <is>
          <t>VSP-822</t>
        </is>
      </c>
      <c r="B511" t="inlineStr">
        <is>
          <t>CHEM-1530</t>
        </is>
      </c>
      <c r="C511" t="n">
        <v>55.668096</v>
      </c>
      <c r="D511">
        <f>IFERROR(MATCH($A511,PP_Grid[Intermediate],0),99999)</f>
        <v/>
      </c>
    </row>
    <row r="512">
      <c r="A512" t="inlineStr">
        <is>
          <t>VSP-822</t>
        </is>
      </c>
      <c r="B512" t="inlineStr">
        <is>
          <t>CHEM-1570</t>
        </is>
      </c>
      <c r="C512" t="n">
        <v>0.109296</v>
      </c>
      <c r="D512">
        <f>IFERROR(MATCH($A512,PP_Grid[Intermediate],0),99999)</f>
        <v/>
      </c>
    </row>
    <row r="513">
      <c r="A513" t="inlineStr">
        <is>
          <t>VSP-822</t>
        </is>
      </c>
      <c r="B513" t="inlineStr">
        <is>
          <t>CHEM-1650</t>
        </is>
      </c>
      <c r="C513" t="n">
        <v>0.059202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CHEM-1660</t>
        </is>
      </c>
      <c r="C514" t="n">
        <v>1.096375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SOL-10H VW</t>
        </is>
      </c>
      <c r="C515" t="n">
        <v>28.747125</v>
      </c>
      <c r="D515">
        <f>IFERROR(MATCH($A515,PP_Grid[Intermediate],0),99999)</f>
        <v/>
      </c>
    </row>
    <row r="516">
      <c r="A516" t="inlineStr">
        <is>
          <t>VSP-910</t>
        </is>
      </c>
      <c r="B516" t="inlineStr">
        <is>
          <t>CHEM-1400</t>
        </is>
      </c>
      <c r="C516" t="n">
        <v>3.9474</v>
      </c>
      <c r="D516">
        <f>IFERROR(MATCH($A516,PP_Grid[Intermediate],0),99999)</f>
        <v/>
      </c>
    </row>
    <row r="517">
      <c r="A517" t="inlineStr">
        <is>
          <t>VSP-910</t>
        </is>
      </c>
      <c r="B517" t="inlineStr">
        <is>
          <t>CHEM-1420</t>
        </is>
      </c>
      <c r="C517" t="n">
        <v>1.429326</v>
      </c>
      <c r="D517">
        <f>IFERROR(MATCH($A517,PP_Grid[Intermediate],0),99999)</f>
        <v/>
      </c>
    </row>
    <row r="518">
      <c r="A518" t="inlineStr">
        <is>
          <t>VSP-910</t>
        </is>
      </c>
      <c r="B518" t="inlineStr">
        <is>
          <t>CHEM-1440</t>
        </is>
      </c>
      <c r="C518" t="n">
        <v>1.011636</v>
      </c>
      <c r="D518">
        <f>IFERROR(MATCH($A518,PP_Grid[Intermediate],0),99999)</f>
        <v/>
      </c>
    </row>
    <row r="519">
      <c r="A519" t="inlineStr">
        <is>
          <t>VSP-910</t>
        </is>
      </c>
      <c r="B519" t="inlineStr">
        <is>
          <t>CHEM-1530</t>
        </is>
      </c>
      <c r="C519" t="n">
        <v>44.65611</v>
      </c>
      <c r="D519">
        <f>IFERROR(MATCH($A519,PP_Grid[Intermediate],0),99999)</f>
        <v/>
      </c>
    </row>
    <row r="520">
      <c r="A520" t="inlineStr">
        <is>
          <t>VSP-910</t>
        </is>
      </c>
      <c r="B520" t="inlineStr">
        <is>
          <t>CHEM-1570</t>
        </is>
      </c>
      <c r="C520" t="n">
        <v>0.090882</v>
      </c>
      <c r="D520">
        <f>IFERROR(MATCH($A520,PP_Grid[Intermediate],0),99999)</f>
        <v/>
      </c>
    </row>
    <row r="521">
      <c r="A521" t="inlineStr">
        <is>
          <t>VSP-910</t>
        </is>
      </c>
      <c r="B521" t="inlineStr">
        <is>
          <t>CHEM-1650</t>
        </is>
      </c>
      <c r="C521" t="n">
        <v>0.047736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CHEM-1660</t>
        </is>
      </c>
      <c r="C522" t="n">
        <v>0.912492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SOL-10H VW</t>
        </is>
      </c>
      <c r="C523" t="n">
        <v>62.413902</v>
      </c>
      <c r="D523">
        <f>IFERROR(MATCH($A523,PP_Grid[Intermediate],0),99999)</f>
        <v/>
      </c>
    </row>
    <row r="524">
      <c r="A524" t="inlineStr">
        <is>
          <t>VSP-989</t>
        </is>
      </c>
      <c r="B524" t="inlineStr">
        <is>
          <t>CHEM-1400</t>
        </is>
      </c>
      <c r="C524" t="n">
        <v>2.14326</v>
      </c>
      <c r="D524">
        <f>IFERROR(MATCH($A524,PP_Grid[Intermediate],0),99999)</f>
        <v/>
      </c>
    </row>
    <row r="525">
      <c r="A525" t="inlineStr">
        <is>
          <t>VSP-989</t>
        </is>
      </c>
      <c r="B525" t="inlineStr">
        <is>
          <t>CHEM-1420</t>
        </is>
      </c>
      <c r="C525" t="n">
        <v>0.61236</v>
      </c>
      <c r="D525">
        <f>IFERROR(MATCH($A525,PP_Grid[Intermediate],0),99999)</f>
        <v/>
      </c>
    </row>
    <row r="526">
      <c r="A526" t="inlineStr">
        <is>
          <t>VSP-989</t>
        </is>
      </c>
      <c r="B526" t="inlineStr">
        <is>
          <t>CHEM-1440</t>
        </is>
      </c>
      <c r="C526" t="n">
        <v>0.09072</v>
      </c>
      <c r="D526">
        <f>IFERROR(MATCH($A526,PP_Grid[Intermediate],0),99999)</f>
        <v/>
      </c>
    </row>
    <row r="527">
      <c r="A527" t="inlineStr">
        <is>
          <t>VSP-989</t>
        </is>
      </c>
      <c r="B527" t="inlineStr">
        <is>
          <t>CHEM-1510</t>
        </is>
      </c>
      <c r="C527" t="n">
        <v>6.581925</v>
      </c>
      <c r="D527">
        <f>IFERROR(MATCH($A527,PP_Grid[Intermediate],0),99999)</f>
        <v/>
      </c>
    </row>
    <row r="528">
      <c r="A528" t="inlineStr">
        <is>
          <t>VSP-989</t>
        </is>
      </c>
      <c r="B528" t="inlineStr">
        <is>
          <t>CHEM-1570</t>
        </is>
      </c>
      <c r="C528" t="n">
        <v>0.09072</v>
      </c>
      <c r="D528">
        <f>IFERROR(MATCH($A528,PP_Grid[Intermediate],0),99999)</f>
        <v/>
      </c>
    </row>
    <row r="529">
      <c r="A529" t="inlineStr">
        <is>
          <t>VSP-989</t>
        </is>
      </c>
      <c r="B529" t="inlineStr">
        <is>
          <t>CHEM-1600</t>
        </is>
      </c>
      <c r="C529" t="n">
        <v>7.727265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CHEM-1660</t>
        </is>
      </c>
      <c r="C530" t="n">
        <v>0.908145</v>
      </c>
      <c r="D530">
        <f>IFERROR(MATCH($A530,PP_Grid[Intermediate],0),99999)</f>
        <v/>
      </c>
    </row>
    <row r="531">
      <c r="A531" t="inlineStr">
        <is>
          <t>VSP-990</t>
        </is>
      </c>
      <c r="B531" t="inlineStr">
        <is>
          <t>CHEM-1400</t>
        </is>
      </c>
      <c r="C531" t="n">
        <v>3.48543</v>
      </c>
      <c r="D531">
        <f>IFERROR(MATCH($A531,PP_Grid[Intermediate],0),99999)</f>
        <v/>
      </c>
    </row>
    <row r="532">
      <c r="A532" t="inlineStr">
        <is>
          <t>VSP-990</t>
        </is>
      </c>
      <c r="B532" t="inlineStr">
        <is>
          <t>CHEM-1420</t>
        </is>
      </c>
      <c r="C532" t="n">
        <v>0.8496899999999999</v>
      </c>
      <c r="D532">
        <f>IFERROR(MATCH($A532,PP_Grid[Intermediate],0),99999)</f>
        <v/>
      </c>
    </row>
    <row r="533">
      <c r="A533" t="inlineStr">
        <is>
          <t>VSP-990</t>
        </is>
      </c>
      <c r="B533" t="inlineStr">
        <is>
          <t>CHEM-1440</t>
        </is>
      </c>
      <c r="C533" t="n">
        <v>0.48438</v>
      </c>
      <c r="D533">
        <f>IFERROR(MATCH($A533,PP_Grid[Intermediate],0),99999)</f>
        <v/>
      </c>
    </row>
    <row r="534">
      <c r="A534" t="inlineStr">
        <is>
          <t>VSP-990</t>
        </is>
      </c>
      <c r="B534" t="inlineStr">
        <is>
          <t>CHEM-1530</t>
        </is>
      </c>
      <c r="C534" t="n">
        <v>39.41541</v>
      </c>
      <c r="D534">
        <f>IFERROR(MATCH($A534,PP_Grid[Intermediate],0),99999)</f>
        <v/>
      </c>
    </row>
    <row r="535">
      <c r="A535" t="inlineStr">
        <is>
          <t>VSP-990</t>
        </is>
      </c>
      <c r="B535" t="inlineStr">
        <is>
          <t>CHEM-1570</t>
        </is>
      </c>
      <c r="C535" t="n">
        <v>0.081</v>
      </c>
      <c r="D535">
        <f>IFERROR(MATCH($A535,PP_Grid[Intermediate],0),99999)</f>
        <v/>
      </c>
    </row>
    <row r="536">
      <c r="A536" t="inlineStr">
        <is>
          <t>VSP-990</t>
        </is>
      </c>
      <c r="B536" t="inlineStr">
        <is>
          <t>CHEM-1650</t>
        </is>
      </c>
      <c r="C536" t="n">
        <v>0.0486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CHEM-1660</t>
        </is>
      </c>
      <c r="C537" t="n">
        <v>0.80676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SOL-10H VW</t>
        </is>
      </c>
      <c r="C538" t="n">
        <v>52.73505</v>
      </c>
      <c r="D538">
        <f>IFERROR(MATCH($A538,PP_Grid[Intermediate],0),99999)</f>
        <v/>
      </c>
    </row>
    <row r="539">
      <c r="A539" t="inlineStr">
        <is>
          <t>Ester Film</t>
        </is>
      </c>
      <c r="B539" t="inlineStr">
        <is>
          <t>Ester Film</t>
        </is>
      </c>
      <c r="C539" t="n">
        <v>35</v>
      </c>
      <c r="D539">
        <f>IFERROR(MATCH($A539,PP_Grid[Intermediate],0),99999)</f>
        <v/>
      </c>
    </row>
    <row r="540">
      <c r="A540" t="inlineStr">
        <is>
          <t>PP Film</t>
        </is>
      </c>
      <c r="B540" t="inlineStr">
        <is>
          <t>PP Film</t>
        </is>
      </c>
      <c r="C540" t="n">
        <v>4</v>
      </c>
      <c r="D540">
        <f>IFERROR(MATCH($A540,PP_Grid[Intermediate],0),99999)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A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7" t="n">
        <v>0</v>
      </c>
      <c r="C2" s="27" t="n">
        <v>0</v>
      </c>
      <c r="D2" s="27" t="n">
        <v>0</v>
      </c>
      <c r="E2" s="27" t="n">
        <v>0</v>
      </c>
      <c r="F2" s="27" t="n">
        <v>0</v>
      </c>
      <c r="G2" s="27" t="n">
        <v>0</v>
      </c>
      <c r="H2" s="27" t="n">
        <v>0</v>
      </c>
      <c r="I2" s="27" t="n">
        <v>0</v>
      </c>
      <c r="J2" s="27" t="n">
        <v>0</v>
      </c>
      <c r="K2" s="27" t="n">
        <v>0</v>
      </c>
      <c r="L2" s="27" t="n">
        <v>0</v>
      </c>
      <c r="M2" s="27" t="n">
        <v>0</v>
      </c>
      <c r="N2" s="27" t="n">
        <v>0</v>
      </c>
      <c r="O2" s="27" t="n">
        <v>0</v>
      </c>
      <c r="P2" s="27" t="n">
        <v>0</v>
      </c>
      <c r="Q2" s="27" t="n">
        <v>0</v>
      </c>
      <c r="R2" s="27" t="n">
        <v>0</v>
      </c>
      <c r="S2" s="27" t="n">
        <v>0</v>
      </c>
      <c r="T2" s="27" t="n">
        <v>0</v>
      </c>
      <c r="U2" s="27" t="n">
        <v>0</v>
      </c>
      <c r="V2" s="27" t="n">
        <v>0</v>
      </c>
      <c r="W2" s="27" t="n">
        <v>0</v>
      </c>
      <c r="X2" s="27" t="n">
        <v>0</v>
      </c>
      <c r="Y2" s="27" t="n">
        <v>0</v>
      </c>
      <c r="Z2" s="27" t="n">
        <v>0</v>
      </c>
      <c r="AA2" s="27" t="n">
        <v>0</v>
      </c>
      <c r="AB2" s="27" t="n">
        <v>0</v>
      </c>
      <c r="AC2" s="27" t="n">
        <v>0</v>
      </c>
      <c r="AD2" s="27" t="n">
        <v>0</v>
      </c>
      <c r="AE2" s="27" t="n">
        <v>0</v>
      </c>
      <c r="AF2" s="27" t="n">
        <v>0</v>
      </c>
      <c r="AG2" s="27" t="n">
        <v>0</v>
      </c>
      <c r="AH2" s="27" t="n">
        <v>0</v>
      </c>
      <c r="AI2" s="27" t="n">
        <v>0</v>
      </c>
      <c r="AJ2" s="27" t="n">
        <v>0</v>
      </c>
      <c r="AK2" s="27" t="n">
        <v>0</v>
      </c>
      <c r="AL2" s="27" t="n">
        <v>0</v>
      </c>
      <c r="AM2" s="27" t="n">
        <v>0</v>
      </c>
      <c r="AN2" s="27" t="n">
        <v>0</v>
      </c>
      <c r="AO2" s="27" t="n">
        <v>0</v>
      </c>
      <c r="AP2" s="27" t="n">
        <v>0</v>
      </c>
      <c r="AQ2" s="27" t="n">
        <v>0</v>
      </c>
      <c r="AR2" s="27" t="n">
        <v>0</v>
      </c>
      <c r="AS2" s="27" t="n">
        <v>0</v>
      </c>
      <c r="AT2" s="27" t="n">
        <v>0</v>
      </c>
      <c r="AU2" s="27" t="n">
        <v>0</v>
      </c>
      <c r="AV2" s="27" t="n">
        <v>0</v>
      </c>
      <c r="AW2" s="27" t="n">
        <v>0</v>
      </c>
      <c r="AX2" s="27" t="n">
        <v>0</v>
      </c>
      <c r="AY2" s="27" t="n">
        <v>0</v>
      </c>
      <c r="AZ2" s="27" t="n">
        <v>0</v>
      </c>
      <c r="BA2" s="27" t="n">
        <v>0</v>
      </c>
      <c r="BB2" s="27" t="n">
        <v>0</v>
      </c>
      <c r="BC2" s="27" t="n">
        <v>0</v>
      </c>
      <c r="BD2" s="27" t="n">
        <v>0</v>
      </c>
      <c r="BE2" s="27" t="n">
        <v>0</v>
      </c>
      <c r="BF2" s="27" t="n">
        <v>0</v>
      </c>
      <c r="BG2" s="27" t="n">
        <v>0</v>
      </c>
      <c r="BH2" s="27" t="n">
        <v>0</v>
      </c>
      <c r="BI2" s="27" t="n">
        <v>0</v>
      </c>
      <c r="BJ2" s="27" t="n">
        <v>0</v>
      </c>
      <c r="BK2" s="27" t="n">
        <v>0</v>
      </c>
      <c r="BL2" s="27" t="n">
        <v>0</v>
      </c>
      <c r="BM2" s="27" t="n">
        <v>0</v>
      </c>
      <c r="BN2" s="27" t="n">
        <v>0</v>
      </c>
      <c r="BO2" s="27" t="n">
        <v>0</v>
      </c>
      <c r="BP2" s="27" t="n">
        <v>0</v>
      </c>
      <c r="BQ2" s="27" t="n">
        <v>0</v>
      </c>
      <c r="BR2" s="27" t="n">
        <v>0</v>
      </c>
      <c r="BS2" s="27" t="n">
        <v>0</v>
      </c>
      <c r="BT2" s="27" t="n">
        <v>0</v>
      </c>
      <c r="BU2" s="27" t="n">
        <v>0</v>
      </c>
      <c r="BV2" s="27" t="n">
        <v>0</v>
      </c>
      <c r="BW2" s="27" t="n">
        <v>0</v>
      </c>
      <c r="BX2" s="27" t="n">
        <v>0</v>
      </c>
      <c r="BY2" s="27" t="n">
        <v>0</v>
      </c>
      <c r="BZ2" s="27" t="n">
        <v>0</v>
      </c>
      <c r="CA2" s="27" t="n">
        <v>0</v>
      </c>
      <c r="CB2" s="27" t="n">
        <v>0</v>
      </c>
      <c r="CC2" s="27" t="n">
        <v>0</v>
      </c>
      <c r="CD2" s="27" t="n">
        <v>0</v>
      </c>
      <c r="CE2" s="27" t="n">
        <v>0</v>
      </c>
      <c r="CF2" s="27" t="n">
        <v>0</v>
      </c>
      <c r="CG2" s="27" t="n">
        <v>0</v>
      </c>
      <c r="CH2" s="27" t="n">
        <v>0</v>
      </c>
      <c r="CI2" s="27" t="n">
        <v>0</v>
      </c>
      <c r="CJ2" s="27" t="n">
        <v>0</v>
      </c>
      <c r="CK2" s="27" t="n">
        <v>0</v>
      </c>
      <c r="CL2" s="27" t="n">
        <v>0</v>
      </c>
      <c r="CM2" s="27" t="n">
        <v>0</v>
      </c>
      <c r="CN2" s="27" t="n">
        <v>0</v>
      </c>
      <c r="CO2" s="27" t="n">
        <v>0</v>
      </c>
      <c r="CP2" s="27" t="n">
        <v>0</v>
      </c>
      <c r="CQ2" s="27" t="n">
        <v>0</v>
      </c>
      <c r="CR2" s="27" t="n">
        <v>0</v>
      </c>
      <c r="CS2" s="27" t="n">
        <v>0</v>
      </c>
      <c r="CT2" s="27" t="n">
        <v>0</v>
      </c>
      <c r="CU2" s="27" t="n">
        <v>0</v>
      </c>
      <c r="CV2" s="27" t="n">
        <v>0</v>
      </c>
      <c r="CW2" s="27" t="n">
        <v>0</v>
      </c>
      <c r="CX2" s="27" t="n">
        <v>0</v>
      </c>
      <c r="CY2" s="27" t="n">
        <v>0</v>
      </c>
      <c r="CZ2" s="27" t="n">
        <v>0</v>
      </c>
      <c r="DA2" s="27" t="n">
        <v>0</v>
      </c>
    </row>
    <row r="3">
      <c r="A3" t="inlineStr">
        <is>
          <t>TSP-050</t>
        </is>
      </c>
      <c r="B3" s="27" t="n">
        <v>0</v>
      </c>
      <c r="C3" s="27" t="n">
        <v>0</v>
      </c>
      <c r="D3" s="27" t="n">
        <v>0</v>
      </c>
      <c r="E3" s="27" t="n">
        <v>0</v>
      </c>
      <c r="F3" s="27" t="n">
        <v>0</v>
      </c>
      <c r="G3" s="27" t="n">
        <v>0</v>
      </c>
      <c r="H3" s="27" t="n">
        <v>0</v>
      </c>
      <c r="I3" s="27" t="n">
        <v>0</v>
      </c>
      <c r="J3" s="27" t="n">
        <v>0</v>
      </c>
      <c r="K3" s="27" t="n">
        <v>0</v>
      </c>
      <c r="L3" s="27" t="n">
        <v>0</v>
      </c>
      <c r="M3" s="27" t="n">
        <v>0</v>
      </c>
      <c r="N3" s="27" t="n">
        <v>0</v>
      </c>
      <c r="O3" s="27" t="n">
        <v>0</v>
      </c>
      <c r="P3" s="27" t="n">
        <v>0</v>
      </c>
      <c r="Q3" s="27" t="n">
        <v>0</v>
      </c>
      <c r="R3" s="27" t="n">
        <v>0</v>
      </c>
      <c r="S3" s="27" t="n">
        <v>0</v>
      </c>
      <c r="T3" s="27" t="n">
        <v>0</v>
      </c>
      <c r="U3" s="27" t="n">
        <v>0</v>
      </c>
      <c r="V3" s="27" t="n">
        <v>0</v>
      </c>
      <c r="W3" s="27" t="n">
        <v>0</v>
      </c>
      <c r="X3" s="27" t="n">
        <v>0</v>
      </c>
      <c r="Y3" s="27" t="n">
        <v>0</v>
      </c>
      <c r="Z3" s="27" t="n">
        <v>0</v>
      </c>
      <c r="AA3" s="27" t="n">
        <v>0</v>
      </c>
      <c r="AB3" s="27" t="n">
        <v>0</v>
      </c>
      <c r="AC3" s="27" t="n">
        <v>0</v>
      </c>
      <c r="AD3" s="27" t="n">
        <v>0</v>
      </c>
      <c r="AE3" s="27" t="n">
        <v>0</v>
      </c>
      <c r="AF3" s="27" t="n">
        <v>0</v>
      </c>
      <c r="AG3" s="27" t="n">
        <v>0</v>
      </c>
      <c r="AH3" s="27" t="n">
        <v>0</v>
      </c>
      <c r="AI3" s="27" t="n">
        <v>0</v>
      </c>
      <c r="AJ3" s="27" t="n">
        <v>0</v>
      </c>
      <c r="AK3" s="27" t="n">
        <v>0</v>
      </c>
      <c r="AL3" s="27" t="n">
        <v>0</v>
      </c>
      <c r="AM3" s="27" t="n">
        <v>0</v>
      </c>
      <c r="AN3" s="27" t="n">
        <v>0</v>
      </c>
      <c r="AO3" s="27" t="n">
        <v>0</v>
      </c>
      <c r="AP3" s="27" t="n">
        <v>0</v>
      </c>
      <c r="AQ3" s="27" t="n">
        <v>0</v>
      </c>
      <c r="AR3" s="27" t="n">
        <v>0</v>
      </c>
      <c r="AS3" s="27" t="n">
        <v>0</v>
      </c>
      <c r="AT3" s="27" t="n">
        <v>0</v>
      </c>
      <c r="AU3" s="27" t="n">
        <v>0</v>
      </c>
      <c r="AV3" s="27" t="n">
        <v>0</v>
      </c>
      <c r="AW3" s="27" t="n">
        <v>0</v>
      </c>
      <c r="AX3" s="27" t="n">
        <v>0</v>
      </c>
      <c r="AY3" s="27" t="n">
        <v>0</v>
      </c>
      <c r="AZ3" s="27" t="n">
        <v>0</v>
      </c>
      <c r="BA3" s="27" t="n">
        <v>0</v>
      </c>
      <c r="BB3" s="27" t="n">
        <v>0</v>
      </c>
      <c r="BC3" s="27" t="n">
        <v>0</v>
      </c>
      <c r="BD3" s="27" t="n">
        <v>0</v>
      </c>
      <c r="BE3" s="27" t="n">
        <v>0</v>
      </c>
      <c r="BF3" s="27" t="n">
        <v>0</v>
      </c>
      <c r="BG3" s="27" t="n">
        <v>0</v>
      </c>
      <c r="BH3" s="27" t="n">
        <v>0</v>
      </c>
      <c r="BI3" s="27" t="n">
        <v>0</v>
      </c>
      <c r="BJ3" s="27" t="n">
        <v>0</v>
      </c>
      <c r="BK3" s="27" t="n">
        <v>0</v>
      </c>
      <c r="BL3" s="27" t="n">
        <v>0</v>
      </c>
      <c r="BM3" s="27" t="n">
        <v>0</v>
      </c>
      <c r="BN3" s="27" t="n">
        <v>0</v>
      </c>
      <c r="BO3" s="27" t="n">
        <v>0</v>
      </c>
      <c r="BP3" s="27" t="n">
        <v>0</v>
      </c>
      <c r="BQ3" s="27" t="n">
        <v>0</v>
      </c>
      <c r="BR3" s="27" t="n">
        <v>0</v>
      </c>
      <c r="BS3" s="27" t="n">
        <v>0</v>
      </c>
      <c r="BT3" s="27" t="n">
        <v>0</v>
      </c>
      <c r="BU3" s="27" t="n">
        <v>0</v>
      </c>
      <c r="BV3" s="27" t="n">
        <v>0</v>
      </c>
      <c r="BW3" s="27" t="n">
        <v>0</v>
      </c>
      <c r="BX3" s="27" t="n">
        <v>0</v>
      </c>
      <c r="BY3" s="27" t="n">
        <v>0</v>
      </c>
      <c r="BZ3" s="27" t="n">
        <v>0</v>
      </c>
      <c r="CA3" s="27" t="n">
        <v>0</v>
      </c>
      <c r="CB3" s="27" t="n">
        <v>0</v>
      </c>
      <c r="CC3" s="27" t="n">
        <v>0</v>
      </c>
      <c r="CD3" s="27" t="n">
        <v>0</v>
      </c>
      <c r="CE3" s="27" t="n">
        <v>0</v>
      </c>
      <c r="CF3" s="27" t="n">
        <v>0</v>
      </c>
      <c r="CG3" s="27" t="n">
        <v>0</v>
      </c>
      <c r="CH3" s="27" t="n">
        <v>0</v>
      </c>
      <c r="CI3" s="27" t="n">
        <v>0</v>
      </c>
      <c r="CJ3" s="27" t="n">
        <v>0</v>
      </c>
      <c r="CK3" s="27" t="n">
        <v>0</v>
      </c>
      <c r="CL3" s="27" t="n">
        <v>0</v>
      </c>
      <c r="CM3" s="27" t="n">
        <v>0</v>
      </c>
      <c r="CN3" s="27" t="n">
        <v>0</v>
      </c>
      <c r="CO3" s="27" t="n">
        <v>0</v>
      </c>
      <c r="CP3" s="27" t="n">
        <v>0</v>
      </c>
      <c r="CQ3" s="27" t="n">
        <v>0</v>
      </c>
      <c r="CR3" s="27" t="n">
        <v>0</v>
      </c>
      <c r="CS3" s="27" t="n">
        <v>0</v>
      </c>
      <c r="CT3" s="27" t="n">
        <v>0</v>
      </c>
      <c r="CU3" s="27" t="n">
        <v>0</v>
      </c>
      <c r="CV3" s="27" t="n">
        <v>0</v>
      </c>
      <c r="CW3" s="27" t="n">
        <v>0</v>
      </c>
      <c r="CX3" s="27" t="n">
        <v>0</v>
      </c>
      <c r="CY3" s="27" t="n">
        <v>0</v>
      </c>
      <c r="CZ3" s="27" t="n">
        <v>0</v>
      </c>
      <c r="DA3" s="27" t="n">
        <v>0</v>
      </c>
    </row>
    <row r="4">
      <c r="A4" t="inlineStr">
        <is>
          <t>TSP-067</t>
        </is>
      </c>
      <c r="B4" s="27" t="n">
        <v>0</v>
      </c>
      <c r="C4" s="27" t="n">
        <v>0</v>
      </c>
      <c r="D4" s="27" t="n">
        <v>0</v>
      </c>
      <c r="E4" s="27" t="n">
        <v>0</v>
      </c>
      <c r="F4" s="27" t="n">
        <v>0</v>
      </c>
      <c r="G4" s="27" t="n">
        <v>0</v>
      </c>
      <c r="H4" s="27" t="n">
        <v>0</v>
      </c>
      <c r="I4" s="27" t="n">
        <v>0</v>
      </c>
      <c r="J4" s="27" t="n">
        <v>0</v>
      </c>
      <c r="K4" s="27" t="n">
        <v>0</v>
      </c>
      <c r="L4" s="27" t="n">
        <v>0</v>
      </c>
      <c r="M4" s="27" t="n">
        <v>0</v>
      </c>
      <c r="N4" s="27" t="n">
        <v>0</v>
      </c>
      <c r="O4" s="27" t="n">
        <v>0</v>
      </c>
      <c r="P4" s="27" t="n">
        <v>0</v>
      </c>
      <c r="Q4" s="27" t="n">
        <v>0</v>
      </c>
      <c r="R4" s="27" t="n">
        <v>0</v>
      </c>
      <c r="S4" s="27" t="n">
        <v>0</v>
      </c>
      <c r="T4" s="27" t="n">
        <v>0</v>
      </c>
      <c r="U4" s="27" t="n">
        <v>0</v>
      </c>
      <c r="V4" s="27" t="n">
        <v>0</v>
      </c>
      <c r="W4" s="27" t="n">
        <v>0</v>
      </c>
      <c r="X4" s="27" t="n">
        <v>0</v>
      </c>
      <c r="Y4" s="27" t="n">
        <v>0</v>
      </c>
      <c r="Z4" s="27" t="n">
        <v>0</v>
      </c>
      <c r="AA4" s="27" t="n">
        <v>0</v>
      </c>
      <c r="AB4" s="27" t="n">
        <v>0</v>
      </c>
      <c r="AC4" s="27" t="n">
        <v>0</v>
      </c>
      <c r="AD4" s="27" t="n">
        <v>0</v>
      </c>
      <c r="AE4" s="27" t="n">
        <v>0</v>
      </c>
      <c r="AF4" s="27" t="n">
        <v>0</v>
      </c>
      <c r="AG4" s="27" t="n">
        <v>0</v>
      </c>
      <c r="AH4" s="27" t="n">
        <v>0</v>
      </c>
      <c r="AI4" s="27" t="n">
        <v>0</v>
      </c>
      <c r="AJ4" s="27" t="n">
        <v>0</v>
      </c>
      <c r="AK4" s="27" t="n">
        <v>0</v>
      </c>
      <c r="AL4" s="27" t="n">
        <v>0</v>
      </c>
      <c r="AM4" s="27" t="n">
        <v>0</v>
      </c>
      <c r="AN4" s="27" t="n">
        <v>0</v>
      </c>
      <c r="AO4" s="27" t="n">
        <v>0</v>
      </c>
      <c r="AP4" s="27" t="n">
        <v>0</v>
      </c>
      <c r="AQ4" s="27" t="n">
        <v>0</v>
      </c>
      <c r="AR4" s="27" t="n">
        <v>0</v>
      </c>
      <c r="AS4" s="27" t="n">
        <v>0</v>
      </c>
      <c r="AT4" s="27" t="n">
        <v>0</v>
      </c>
      <c r="AU4" s="27" t="n">
        <v>0</v>
      </c>
      <c r="AV4" s="27" t="n">
        <v>0</v>
      </c>
      <c r="AW4" s="27" t="n">
        <v>0</v>
      </c>
      <c r="AX4" s="27" t="n">
        <v>0</v>
      </c>
      <c r="AY4" s="27" t="n">
        <v>0</v>
      </c>
      <c r="AZ4" s="27" t="n">
        <v>0</v>
      </c>
      <c r="BA4" s="27" t="n">
        <v>0</v>
      </c>
      <c r="BB4" s="27" t="n">
        <v>0</v>
      </c>
      <c r="BC4" s="27" t="n">
        <v>0</v>
      </c>
      <c r="BD4" s="27" t="n">
        <v>0</v>
      </c>
      <c r="BE4" s="27" t="n">
        <v>0</v>
      </c>
      <c r="BF4" s="27" t="n">
        <v>0</v>
      </c>
      <c r="BG4" s="27" t="n">
        <v>0</v>
      </c>
      <c r="BH4" s="27" t="n">
        <v>0</v>
      </c>
      <c r="BI4" s="27" t="n">
        <v>0</v>
      </c>
      <c r="BJ4" s="27" t="n">
        <v>0</v>
      </c>
      <c r="BK4" s="27" t="n">
        <v>0</v>
      </c>
      <c r="BL4" s="27" t="n">
        <v>0</v>
      </c>
      <c r="BM4" s="27" t="n">
        <v>0</v>
      </c>
      <c r="BN4" s="27" t="n">
        <v>0</v>
      </c>
      <c r="BO4" s="27" t="n">
        <v>0</v>
      </c>
      <c r="BP4" s="27" t="n">
        <v>0</v>
      </c>
      <c r="BQ4" s="27" t="n">
        <v>0</v>
      </c>
      <c r="BR4" s="27" t="n">
        <v>0</v>
      </c>
      <c r="BS4" s="27" t="n">
        <v>0</v>
      </c>
      <c r="BT4" s="27" t="n">
        <v>0</v>
      </c>
      <c r="BU4" s="27" t="n">
        <v>0</v>
      </c>
      <c r="BV4" s="27" t="n">
        <v>0</v>
      </c>
      <c r="BW4" s="27" t="n">
        <v>0</v>
      </c>
      <c r="BX4" s="27" t="n">
        <v>0</v>
      </c>
      <c r="BY4" s="27" t="n">
        <v>0</v>
      </c>
      <c r="BZ4" s="27" t="n">
        <v>0</v>
      </c>
      <c r="CA4" s="27" t="n">
        <v>0</v>
      </c>
      <c r="CB4" s="27" t="n">
        <v>0</v>
      </c>
      <c r="CC4" s="27" t="n">
        <v>0</v>
      </c>
      <c r="CD4" s="27" t="n">
        <v>0</v>
      </c>
      <c r="CE4" s="27" t="n">
        <v>0</v>
      </c>
      <c r="CF4" s="27" t="n">
        <v>0</v>
      </c>
      <c r="CG4" s="27" t="n">
        <v>0</v>
      </c>
      <c r="CH4" s="27" t="n">
        <v>0</v>
      </c>
      <c r="CI4" s="27" t="n">
        <v>0</v>
      </c>
      <c r="CJ4" s="27" t="n">
        <v>0</v>
      </c>
      <c r="CK4" s="27" t="n">
        <v>0</v>
      </c>
      <c r="CL4" s="27" t="n">
        <v>0</v>
      </c>
      <c r="CM4" s="27" t="n">
        <v>0</v>
      </c>
      <c r="CN4" s="27" t="n">
        <v>0</v>
      </c>
      <c r="CO4" s="27" t="n">
        <v>0</v>
      </c>
      <c r="CP4" s="27" t="n">
        <v>0</v>
      </c>
      <c r="CQ4" s="27" t="n">
        <v>0</v>
      </c>
      <c r="CR4" s="27" t="n">
        <v>0</v>
      </c>
      <c r="CS4" s="27" t="n">
        <v>0</v>
      </c>
      <c r="CT4" s="27" t="n">
        <v>0</v>
      </c>
      <c r="CU4" s="27" t="n">
        <v>0</v>
      </c>
      <c r="CV4" s="27" t="n">
        <v>0</v>
      </c>
      <c r="CW4" s="27" t="n">
        <v>0</v>
      </c>
      <c r="CX4" s="27" t="n">
        <v>0</v>
      </c>
      <c r="CY4" s="27" t="n">
        <v>0</v>
      </c>
      <c r="CZ4" s="27" t="n">
        <v>0</v>
      </c>
      <c r="DA4" s="27" t="n">
        <v>0</v>
      </c>
    </row>
    <row r="5">
      <c r="A5" t="inlineStr">
        <is>
          <t>TSP-069</t>
        </is>
      </c>
      <c r="B5" s="27" t="n">
        <v>0</v>
      </c>
      <c r="C5" s="27" t="n">
        <v>0</v>
      </c>
      <c r="D5" s="27" t="n">
        <v>0</v>
      </c>
      <c r="E5" s="27" t="n">
        <v>0</v>
      </c>
      <c r="F5" s="27" t="n">
        <v>0</v>
      </c>
      <c r="G5" s="27" t="n">
        <v>0</v>
      </c>
      <c r="H5" s="27" t="n">
        <v>0</v>
      </c>
      <c r="I5" s="27" t="n">
        <v>0</v>
      </c>
      <c r="J5" s="27" t="n">
        <v>0</v>
      </c>
      <c r="K5" s="27" t="n">
        <v>0</v>
      </c>
      <c r="L5" s="27" t="n">
        <v>0</v>
      </c>
      <c r="M5" s="27" t="n">
        <v>0</v>
      </c>
      <c r="N5" s="27" t="n">
        <v>0</v>
      </c>
      <c r="O5" s="27" t="n">
        <v>0</v>
      </c>
      <c r="P5" s="27" t="n">
        <v>0</v>
      </c>
      <c r="Q5" s="27" t="n">
        <v>0</v>
      </c>
      <c r="R5" s="27" t="n">
        <v>0</v>
      </c>
      <c r="S5" s="27" t="n">
        <v>0</v>
      </c>
      <c r="T5" s="27" t="n">
        <v>0</v>
      </c>
      <c r="U5" s="27" t="n">
        <v>0</v>
      </c>
      <c r="V5" s="27" t="n">
        <v>0</v>
      </c>
      <c r="W5" s="27" t="n">
        <v>0</v>
      </c>
      <c r="X5" s="27" t="n">
        <v>0</v>
      </c>
      <c r="Y5" s="27" t="n">
        <v>0</v>
      </c>
      <c r="Z5" s="27" t="n">
        <v>0</v>
      </c>
      <c r="AA5" s="27" t="n">
        <v>0</v>
      </c>
      <c r="AB5" s="27" t="n">
        <v>0</v>
      </c>
      <c r="AC5" s="27" t="n">
        <v>0</v>
      </c>
      <c r="AD5" s="27" t="n">
        <v>0</v>
      </c>
      <c r="AE5" s="27" t="n">
        <v>0</v>
      </c>
      <c r="AF5" s="27" t="n">
        <v>0</v>
      </c>
      <c r="AG5" s="27" t="n">
        <v>0</v>
      </c>
      <c r="AH5" s="27" t="n">
        <v>0</v>
      </c>
      <c r="AI5" s="27" t="n">
        <v>0</v>
      </c>
      <c r="AJ5" s="27" t="n">
        <v>0</v>
      </c>
      <c r="AK5" s="27" t="n">
        <v>0</v>
      </c>
      <c r="AL5" s="27" t="n">
        <v>0</v>
      </c>
      <c r="AM5" s="27" t="n">
        <v>0</v>
      </c>
      <c r="AN5" s="27" t="n">
        <v>0</v>
      </c>
      <c r="AO5" s="27" t="n">
        <v>0</v>
      </c>
      <c r="AP5" s="27" t="n">
        <v>0</v>
      </c>
      <c r="AQ5" s="27" t="n">
        <v>0</v>
      </c>
      <c r="AR5" s="27" t="n">
        <v>0</v>
      </c>
      <c r="AS5" s="27" t="n">
        <v>0</v>
      </c>
      <c r="AT5" s="27" t="n">
        <v>0</v>
      </c>
      <c r="AU5" s="27" t="n">
        <v>0</v>
      </c>
      <c r="AV5" s="27" t="n">
        <v>0</v>
      </c>
      <c r="AW5" s="27" t="n">
        <v>0</v>
      </c>
      <c r="AX5" s="27" t="n">
        <v>0</v>
      </c>
      <c r="AY5" s="27" t="n">
        <v>0</v>
      </c>
      <c r="AZ5" s="27" t="n">
        <v>0</v>
      </c>
      <c r="BA5" s="27" t="n">
        <v>0</v>
      </c>
      <c r="BB5" s="27" t="n">
        <v>0</v>
      </c>
      <c r="BC5" s="27" t="n">
        <v>0</v>
      </c>
      <c r="BD5" s="27" t="n">
        <v>0</v>
      </c>
      <c r="BE5" s="27" t="n">
        <v>0</v>
      </c>
      <c r="BF5" s="27" t="n">
        <v>0</v>
      </c>
      <c r="BG5" s="27" t="n">
        <v>0</v>
      </c>
      <c r="BH5" s="27" t="n">
        <v>0</v>
      </c>
      <c r="BI5" s="27" t="n">
        <v>0</v>
      </c>
      <c r="BJ5" s="27" t="n">
        <v>0</v>
      </c>
      <c r="BK5" s="27" t="n">
        <v>0</v>
      </c>
      <c r="BL5" s="27" t="n">
        <v>0</v>
      </c>
      <c r="BM5" s="27" t="n">
        <v>0</v>
      </c>
      <c r="BN5" s="27" t="n">
        <v>0</v>
      </c>
      <c r="BO5" s="27" t="n">
        <v>0</v>
      </c>
      <c r="BP5" s="27" t="n">
        <v>0</v>
      </c>
      <c r="BQ5" s="27" t="n">
        <v>0</v>
      </c>
      <c r="BR5" s="27" t="n">
        <v>0</v>
      </c>
      <c r="BS5" s="27" t="n">
        <v>0</v>
      </c>
      <c r="BT5" s="27" t="n">
        <v>0</v>
      </c>
      <c r="BU5" s="27" t="n">
        <v>0</v>
      </c>
      <c r="BV5" s="27" t="n">
        <v>0</v>
      </c>
      <c r="BW5" s="27" t="n">
        <v>0</v>
      </c>
      <c r="BX5" s="27" t="n">
        <v>0</v>
      </c>
      <c r="BY5" s="27" t="n">
        <v>0</v>
      </c>
      <c r="BZ5" s="27" t="n">
        <v>0</v>
      </c>
      <c r="CA5" s="27" t="n">
        <v>0</v>
      </c>
      <c r="CB5" s="27" t="n">
        <v>0</v>
      </c>
      <c r="CC5" s="27" t="n">
        <v>0</v>
      </c>
      <c r="CD5" s="27" t="n">
        <v>0</v>
      </c>
      <c r="CE5" s="27" t="n">
        <v>0</v>
      </c>
      <c r="CF5" s="27" t="n">
        <v>0</v>
      </c>
      <c r="CG5" s="27" t="n">
        <v>0</v>
      </c>
      <c r="CH5" s="27" t="n">
        <v>0</v>
      </c>
      <c r="CI5" s="27" t="n">
        <v>0</v>
      </c>
      <c r="CJ5" s="27" t="n">
        <v>0</v>
      </c>
      <c r="CK5" s="27" t="n">
        <v>0</v>
      </c>
      <c r="CL5" s="27" t="n">
        <v>0</v>
      </c>
      <c r="CM5" s="27" t="n">
        <v>0</v>
      </c>
      <c r="CN5" s="27" t="n">
        <v>0</v>
      </c>
      <c r="CO5" s="27" t="n">
        <v>0</v>
      </c>
      <c r="CP5" s="27" t="n">
        <v>0</v>
      </c>
      <c r="CQ5" s="27" t="n">
        <v>0</v>
      </c>
      <c r="CR5" s="27" t="n">
        <v>0</v>
      </c>
      <c r="CS5" s="27" t="n">
        <v>0</v>
      </c>
      <c r="CT5" s="27" t="n">
        <v>0</v>
      </c>
      <c r="CU5" s="27" t="n">
        <v>0</v>
      </c>
      <c r="CV5" s="27" t="n">
        <v>0</v>
      </c>
      <c r="CW5" s="27" t="n">
        <v>0</v>
      </c>
      <c r="CX5" s="27" t="n">
        <v>0</v>
      </c>
      <c r="CY5" s="27" t="n">
        <v>0</v>
      </c>
      <c r="CZ5" s="27" t="n">
        <v>0</v>
      </c>
      <c r="DA5" s="27" t="n">
        <v>0</v>
      </c>
    </row>
    <row r="6">
      <c r="A6" t="inlineStr">
        <is>
          <t>TSP-078</t>
        </is>
      </c>
      <c r="B6" s="27" t="n">
        <v>0</v>
      </c>
      <c r="C6" s="27" t="n">
        <v>0</v>
      </c>
      <c r="D6" s="27" t="n">
        <v>0</v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0</v>
      </c>
      <c r="M6" s="27" t="n">
        <v>0</v>
      </c>
      <c r="N6" s="27" t="n">
        <v>0</v>
      </c>
      <c r="O6" s="27" t="n">
        <v>0</v>
      </c>
      <c r="P6" s="27" t="n">
        <v>0</v>
      </c>
      <c r="Q6" s="27" t="n">
        <v>0</v>
      </c>
      <c r="R6" s="27" t="n">
        <v>0</v>
      </c>
      <c r="S6" s="27" t="n">
        <v>0</v>
      </c>
      <c r="T6" s="27" t="n">
        <v>0</v>
      </c>
      <c r="U6" s="27" t="n">
        <v>0</v>
      </c>
      <c r="V6" s="27" t="n">
        <v>0</v>
      </c>
      <c r="W6" s="27" t="n">
        <v>0</v>
      </c>
      <c r="X6" s="27" t="n">
        <v>0</v>
      </c>
      <c r="Y6" s="27" t="n">
        <v>0</v>
      </c>
      <c r="Z6" s="27" t="n">
        <v>0</v>
      </c>
      <c r="AA6" s="27" t="n">
        <v>0</v>
      </c>
      <c r="AB6" s="27" t="n">
        <v>0</v>
      </c>
      <c r="AC6" s="27" t="n">
        <v>0</v>
      </c>
      <c r="AD6" s="27" t="n">
        <v>0</v>
      </c>
      <c r="AE6" s="27" t="n">
        <v>0</v>
      </c>
      <c r="AF6" s="27" t="n">
        <v>0</v>
      </c>
      <c r="AG6" s="27" t="n">
        <v>0</v>
      </c>
      <c r="AH6" s="27" t="n">
        <v>0</v>
      </c>
      <c r="AI6" s="27" t="n">
        <v>0</v>
      </c>
      <c r="AJ6" s="27" t="n">
        <v>0</v>
      </c>
      <c r="AK6" s="27" t="n">
        <v>0</v>
      </c>
      <c r="AL6" s="27" t="n">
        <v>0</v>
      </c>
      <c r="AM6" s="27" t="n">
        <v>0</v>
      </c>
      <c r="AN6" s="27" t="n">
        <v>0</v>
      </c>
      <c r="AO6" s="27" t="n">
        <v>0</v>
      </c>
      <c r="AP6" s="27" t="n">
        <v>0</v>
      </c>
      <c r="AQ6" s="27" t="n">
        <v>0</v>
      </c>
      <c r="AR6" s="27" t="n">
        <v>0</v>
      </c>
      <c r="AS6" s="27" t="n">
        <v>0</v>
      </c>
      <c r="AT6" s="27" t="n">
        <v>0</v>
      </c>
      <c r="AU6" s="27" t="n">
        <v>0</v>
      </c>
      <c r="AV6" s="27" t="n">
        <v>0</v>
      </c>
      <c r="AW6" s="27" t="n">
        <v>0</v>
      </c>
      <c r="AX6" s="27" t="n">
        <v>0</v>
      </c>
      <c r="AY6" s="27" t="n">
        <v>0</v>
      </c>
      <c r="AZ6" s="27" t="n">
        <v>0</v>
      </c>
      <c r="BA6" s="27" t="n">
        <v>0</v>
      </c>
      <c r="BB6" s="27" t="n">
        <v>0</v>
      </c>
      <c r="BC6" s="27" t="n">
        <v>0</v>
      </c>
      <c r="BD6" s="27" t="n">
        <v>0</v>
      </c>
      <c r="BE6" s="27" t="n">
        <v>0</v>
      </c>
      <c r="BF6" s="27" t="n">
        <v>0</v>
      </c>
      <c r="BG6" s="27" t="n">
        <v>0</v>
      </c>
      <c r="BH6" s="27" t="n">
        <v>0</v>
      </c>
      <c r="BI6" s="27" t="n">
        <v>0</v>
      </c>
      <c r="BJ6" s="27" t="n">
        <v>0</v>
      </c>
      <c r="BK6" s="27" t="n">
        <v>0</v>
      </c>
      <c r="BL6" s="27" t="n">
        <v>0</v>
      </c>
      <c r="BM6" s="27" t="n">
        <v>0</v>
      </c>
      <c r="BN6" s="27" t="n">
        <v>0</v>
      </c>
      <c r="BO6" s="27" t="n">
        <v>0</v>
      </c>
      <c r="BP6" s="27" t="n">
        <v>0</v>
      </c>
      <c r="BQ6" s="27" t="n">
        <v>0</v>
      </c>
      <c r="BR6" s="27" t="n">
        <v>0</v>
      </c>
      <c r="BS6" s="27" t="n">
        <v>0</v>
      </c>
      <c r="BT6" s="27" t="n">
        <v>0</v>
      </c>
      <c r="BU6" s="27" t="n">
        <v>0</v>
      </c>
      <c r="BV6" s="27" t="n">
        <v>0</v>
      </c>
      <c r="BW6" s="27" t="n">
        <v>0</v>
      </c>
      <c r="BX6" s="27" t="n">
        <v>0</v>
      </c>
      <c r="BY6" s="27" t="n">
        <v>0</v>
      </c>
      <c r="BZ6" s="27" t="n">
        <v>0</v>
      </c>
      <c r="CA6" s="27" t="n">
        <v>0</v>
      </c>
      <c r="CB6" s="27" t="n">
        <v>0</v>
      </c>
      <c r="CC6" s="27" t="n">
        <v>0</v>
      </c>
      <c r="CD6" s="27" t="n">
        <v>0</v>
      </c>
      <c r="CE6" s="27" t="n">
        <v>0</v>
      </c>
      <c r="CF6" s="27" t="n">
        <v>0</v>
      </c>
      <c r="CG6" s="27" t="n">
        <v>0</v>
      </c>
      <c r="CH6" s="27" t="n">
        <v>0</v>
      </c>
      <c r="CI6" s="27" t="n">
        <v>0</v>
      </c>
      <c r="CJ6" s="27" t="n">
        <v>0</v>
      </c>
      <c r="CK6" s="27" t="n">
        <v>0</v>
      </c>
      <c r="CL6" s="27" t="n">
        <v>0</v>
      </c>
      <c r="CM6" s="27" t="n">
        <v>0</v>
      </c>
      <c r="CN6" s="27" t="n">
        <v>0</v>
      </c>
      <c r="CO6" s="27" t="n">
        <v>0</v>
      </c>
      <c r="CP6" s="27" t="n">
        <v>0</v>
      </c>
      <c r="CQ6" s="27" t="n">
        <v>0</v>
      </c>
      <c r="CR6" s="27" t="n">
        <v>0</v>
      </c>
      <c r="CS6" s="27" t="n">
        <v>0</v>
      </c>
      <c r="CT6" s="27" t="n">
        <v>0</v>
      </c>
      <c r="CU6" s="27" t="n">
        <v>0</v>
      </c>
      <c r="CV6" s="27" t="n">
        <v>0</v>
      </c>
      <c r="CW6" s="27" t="n">
        <v>0</v>
      </c>
      <c r="CX6" s="27" t="n">
        <v>0</v>
      </c>
      <c r="CY6" s="27" t="n">
        <v>0</v>
      </c>
      <c r="CZ6" s="27" t="n">
        <v>0</v>
      </c>
      <c r="DA6" s="27" t="n">
        <v>0</v>
      </c>
    </row>
    <row r="7">
      <c r="A7" t="inlineStr">
        <is>
          <t>TSP-080</t>
        </is>
      </c>
      <c r="B7" s="27" t="n">
        <v>0</v>
      </c>
      <c r="C7" s="27" t="n">
        <v>0</v>
      </c>
      <c r="D7" s="27" t="n">
        <v>0</v>
      </c>
      <c r="E7" s="27" t="n">
        <v>0</v>
      </c>
      <c r="F7" s="27" t="n">
        <v>0</v>
      </c>
      <c r="G7" s="27" t="n">
        <v>0</v>
      </c>
      <c r="H7" s="27" t="n">
        <v>0</v>
      </c>
      <c r="I7" s="27" t="n">
        <v>0</v>
      </c>
      <c r="J7" s="27" t="n">
        <v>0</v>
      </c>
      <c r="K7" s="27" t="n">
        <v>0</v>
      </c>
      <c r="L7" s="27" t="n">
        <v>0</v>
      </c>
      <c r="M7" s="27" t="n">
        <v>0</v>
      </c>
      <c r="N7" s="27" t="n">
        <v>0</v>
      </c>
      <c r="O7" s="27" t="n">
        <v>0</v>
      </c>
      <c r="P7" s="27" t="n">
        <v>0</v>
      </c>
      <c r="Q7" s="27" t="n">
        <v>0</v>
      </c>
      <c r="R7" s="27" t="n">
        <v>0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v>0</v>
      </c>
      <c r="X7" s="27" t="n">
        <v>0</v>
      </c>
      <c r="Y7" s="27" t="n">
        <v>0</v>
      </c>
      <c r="Z7" s="27" t="n">
        <v>0</v>
      </c>
      <c r="AA7" s="27" t="n">
        <v>0</v>
      </c>
      <c r="AB7" s="27" t="n">
        <v>0</v>
      </c>
      <c r="AC7" s="27" t="n">
        <v>0</v>
      </c>
      <c r="AD7" s="27" t="n">
        <v>0</v>
      </c>
      <c r="AE7" s="27" t="n">
        <v>0</v>
      </c>
      <c r="AF7" s="27" t="n">
        <v>0</v>
      </c>
      <c r="AG7" s="27" t="n">
        <v>0</v>
      </c>
      <c r="AH7" s="27" t="n">
        <v>0</v>
      </c>
      <c r="AI7" s="27" t="n">
        <v>0</v>
      </c>
      <c r="AJ7" s="27" t="n">
        <v>0</v>
      </c>
      <c r="AK7" s="27" t="n">
        <v>0</v>
      </c>
      <c r="AL7" s="27" t="n">
        <v>0</v>
      </c>
      <c r="AM7" s="27" t="n">
        <v>0</v>
      </c>
      <c r="AN7" s="27" t="n">
        <v>0</v>
      </c>
      <c r="AO7" s="27" t="n">
        <v>0</v>
      </c>
      <c r="AP7" s="27" t="n">
        <v>0</v>
      </c>
      <c r="AQ7" s="27" t="n">
        <v>0</v>
      </c>
      <c r="AR7" s="27" t="n">
        <v>0</v>
      </c>
      <c r="AS7" s="27" t="n">
        <v>0</v>
      </c>
      <c r="AT7" s="27" t="n">
        <v>0</v>
      </c>
      <c r="AU7" s="27" t="n">
        <v>0</v>
      </c>
      <c r="AV7" s="27" t="n">
        <v>0</v>
      </c>
      <c r="AW7" s="27" t="n">
        <v>0</v>
      </c>
      <c r="AX7" s="27" t="n">
        <v>0</v>
      </c>
      <c r="AY7" s="27" t="n">
        <v>0</v>
      </c>
      <c r="AZ7" s="27" t="n">
        <v>0</v>
      </c>
      <c r="BA7" s="27" t="n">
        <v>0</v>
      </c>
      <c r="BB7" s="27" t="n">
        <v>0</v>
      </c>
      <c r="BC7" s="27" t="n">
        <v>0</v>
      </c>
      <c r="BD7" s="27" t="n">
        <v>0</v>
      </c>
      <c r="BE7" s="27" t="n">
        <v>0</v>
      </c>
      <c r="BF7" s="27" t="n">
        <v>0</v>
      </c>
      <c r="BG7" s="27" t="n">
        <v>0</v>
      </c>
      <c r="BH7" s="27" t="n">
        <v>0</v>
      </c>
      <c r="BI7" s="27" t="n">
        <v>0</v>
      </c>
      <c r="BJ7" s="27" t="n">
        <v>0</v>
      </c>
      <c r="BK7" s="27" t="n">
        <v>0</v>
      </c>
      <c r="BL7" s="27" t="n">
        <v>0</v>
      </c>
      <c r="BM7" s="27" t="n">
        <v>0</v>
      </c>
      <c r="BN7" s="27" t="n">
        <v>0</v>
      </c>
      <c r="BO7" s="27" t="n">
        <v>0</v>
      </c>
      <c r="BP7" s="27" t="n">
        <v>0</v>
      </c>
      <c r="BQ7" s="27" t="n">
        <v>0</v>
      </c>
      <c r="BR7" s="27" t="n">
        <v>0</v>
      </c>
      <c r="BS7" s="27" t="n">
        <v>0</v>
      </c>
      <c r="BT7" s="27" t="n">
        <v>0</v>
      </c>
      <c r="BU7" s="27" t="n">
        <v>0</v>
      </c>
      <c r="BV7" s="27" t="n">
        <v>0</v>
      </c>
      <c r="BW7" s="27" t="n">
        <v>0</v>
      </c>
      <c r="BX7" s="27" t="n">
        <v>0</v>
      </c>
      <c r="BY7" s="27" t="n">
        <v>0</v>
      </c>
      <c r="BZ7" s="27" t="n">
        <v>0</v>
      </c>
      <c r="CA7" s="27" t="n">
        <v>0</v>
      </c>
      <c r="CB7" s="27" t="n">
        <v>0</v>
      </c>
      <c r="CC7" s="27" t="n">
        <v>0</v>
      </c>
      <c r="CD7" s="27" t="n">
        <v>0</v>
      </c>
      <c r="CE7" s="27" t="n">
        <v>0</v>
      </c>
      <c r="CF7" s="27" t="n">
        <v>0</v>
      </c>
      <c r="CG7" s="27" t="n">
        <v>0</v>
      </c>
      <c r="CH7" s="27" t="n">
        <v>0</v>
      </c>
      <c r="CI7" s="27" t="n">
        <v>0</v>
      </c>
      <c r="CJ7" s="27" t="n">
        <v>0</v>
      </c>
      <c r="CK7" s="27" t="n">
        <v>0</v>
      </c>
      <c r="CL7" s="27" t="n">
        <v>0</v>
      </c>
      <c r="CM7" s="27" t="n">
        <v>0</v>
      </c>
      <c r="CN7" s="27" t="n">
        <v>0</v>
      </c>
      <c r="CO7" s="27" t="n">
        <v>0</v>
      </c>
      <c r="CP7" s="27" t="n">
        <v>0</v>
      </c>
      <c r="CQ7" s="27" t="n">
        <v>0</v>
      </c>
      <c r="CR7" s="27" t="n">
        <v>0</v>
      </c>
      <c r="CS7" s="27" t="n">
        <v>0</v>
      </c>
      <c r="CT7" s="27" t="n">
        <v>0</v>
      </c>
      <c r="CU7" s="27" t="n">
        <v>0</v>
      </c>
      <c r="CV7" s="27" t="n">
        <v>0</v>
      </c>
      <c r="CW7" s="27" t="n">
        <v>0</v>
      </c>
      <c r="CX7" s="27" t="n">
        <v>0</v>
      </c>
      <c r="CY7" s="27" t="n">
        <v>0</v>
      </c>
      <c r="CZ7" s="27" t="n">
        <v>0</v>
      </c>
      <c r="DA7" s="27" t="n">
        <v>0</v>
      </c>
    </row>
    <row r="8">
      <c r="A8" t="inlineStr">
        <is>
          <t>TSP-104</t>
        </is>
      </c>
      <c r="B8" s="27" t="n">
        <v>0</v>
      </c>
      <c r="C8" s="27" t="n">
        <v>0</v>
      </c>
      <c r="D8" s="27" t="n">
        <v>0</v>
      </c>
      <c r="E8" s="27" t="n">
        <v>0</v>
      </c>
      <c r="F8" s="27" t="n">
        <v>0</v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0</v>
      </c>
      <c r="L8" s="27" t="n">
        <v>0</v>
      </c>
      <c r="M8" s="27" t="n">
        <v>0</v>
      </c>
      <c r="N8" s="27" t="n">
        <v>0</v>
      </c>
      <c r="O8" s="27" t="n">
        <v>0</v>
      </c>
      <c r="P8" s="27" t="n">
        <v>0</v>
      </c>
      <c r="Q8" s="27" t="n">
        <v>0</v>
      </c>
      <c r="R8" s="27" t="n">
        <v>0</v>
      </c>
      <c r="S8" s="27" t="n">
        <v>0</v>
      </c>
      <c r="T8" s="27" t="n">
        <v>0</v>
      </c>
      <c r="U8" s="27" t="n">
        <v>0</v>
      </c>
      <c r="V8" s="27" t="n">
        <v>0</v>
      </c>
      <c r="W8" s="27" t="n">
        <v>0</v>
      </c>
      <c r="X8" s="27" t="n">
        <v>0</v>
      </c>
      <c r="Y8" s="27" t="n">
        <v>0</v>
      </c>
      <c r="Z8" s="27" t="n">
        <v>0</v>
      </c>
      <c r="AA8" s="27" t="n">
        <v>0</v>
      </c>
      <c r="AB8" s="27" t="n">
        <v>0</v>
      </c>
      <c r="AC8" s="27" t="n">
        <v>0</v>
      </c>
      <c r="AD8" s="27" t="n">
        <v>0</v>
      </c>
      <c r="AE8" s="27" t="n">
        <v>0</v>
      </c>
      <c r="AF8" s="27" t="n">
        <v>0</v>
      </c>
      <c r="AG8" s="27" t="n">
        <v>0</v>
      </c>
      <c r="AH8" s="27" t="n">
        <v>0</v>
      </c>
      <c r="AI8" s="27" t="n">
        <v>0</v>
      </c>
      <c r="AJ8" s="27" t="n">
        <v>0</v>
      </c>
      <c r="AK8" s="27" t="n">
        <v>0</v>
      </c>
      <c r="AL8" s="27" t="n">
        <v>0</v>
      </c>
      <c r="AM8" s="27" t="n">
        <v>0</v>
      </c>
      <c r="AN8" s="27" t="n">
        <v>0</v>
      </c>
      <c r="AO8" s="27" t="n">
        <v>0</v>
      </c>
      <c r="AP8" s="27" t="n">
        <v>0</v>
      </c>
      <c r="AQ8" s="27" t="n">
        <v>0</v>
      </c>
      <c r="AR8" s="27" t="n">
        <v>0</v>
      </c>
      <c r="AS8" s="27" t="n">
        <v>0</v>
      </c>
      <c r="AT8" s="27" t="n">
        <v>0</v>
      </c>
      <c r="AU8" s="27" t="n">
        <v>0</v>
      </c>
      <c r="AV8" s="27" t="n">
        <v>0</v>
      </c>
      <c r="AW8" s="27" t="n">
        <v>0</v>
      </c>
      <c r="AX8" s="27" t="n">
        <v>0</v>
      </c>
      <c r="AY8" s="27" t="n">
        <v>0</v>
      </c>
      <c r="AZ8" s="27" t="n">
        <v>0</v>
      </c>
      <c r="BA8" s="27" t="n">
        <v>0</v>
      </c>
      <c r="BB8" s="27" t="n">
        <v>0</v>
      </c>
      <c r="BC8" s="27" t="n">
        <v>0</v>
      </c>
      <c r="BD8" s="27" t="n">
        <v>0</v>
      </c>
      <c r="BE8" s="27" t="n">
        <v>0</v>
      </c>
      <c r="BF8" s="27" t="n">
        <v>0</v>
      </c>
      <c r="BG8" s="27" t="n">
        <v>0</v>
      </c>
      <c r="BH8" s="27" t="n">
        <v>0</v>
      </c>
      <c r="BI8" s="27" t="n">
        <v>0</v>
      </c>
      <c r="BJ8" s="27" t="n">
        <v>0</v>
      </c>
      <c r="BK8" s="27" t="n">
        <v>0</v>
      </c>
      <c r="BL8" s="27" t="n">
        <v>0</v>
      </c>
      <c r="BM8" s="27" t="n">
        <v>0</v>
      </c>
      <c r="BN8" s="27" t="n">
        <v>0</v>
      </c>
      <c r="BO8" s="27" t="n">
        <v>0</v>
      </c>
      <c r="BP8" s="27" t="n">
        <v>0</v>
      </c>
      <c r="BQ8" s="27" t="n">
        <v>0</v>
      </c>
      <c r="BR8" s="27" t="n">
        <v>0</v>
      </c>
      <c r="BS8" s="27" t="n">
        <v>0</v>
      </c>
      <c r="BT8" s="27" t="n">
        <v>0</v>
      </c>
      <c r="BU8" s="27" t="n">
        <v>0</v>
      </c>
      <c r="BV8" s="27" t="n">
        <v>0</v>
      </c>
      <c r="BW8" s="27" t="n">
        <v>0</v>
      </c>
      <c r="BX8" s="27" t="n">
        <v>0</v>
      </c>
      <c r="BY8" s="27" t="n">
        <v>0</v>
      </c>
      <c r="BZ8" s="27" t="n">
        <v>0</v>
      </c>
      <c r="CA8" s="27" t="n">
        <v>0</v>
      </c>
      <c r="CB8" s="27" t="n">
        <v>0</v>
      </c>
      <c r="CC8" s="27" t="n">
        <v>0</v>
      </c>
      <c r="CD8" s="27" t="n">
        <v>0</v>
      </c>
      <c r="CE8" s="27" t="n">
        <v>0</v>
      </c>
      <c r="CF8" s="27" t="n">
        <v>0</v>
      </c>
      <c r="CG8" s="27" t="n">
        <v>0</v>
      </c>
      <c r="CH8" s="27" t="n">
        <v>0</v>
      </c>
      <c r="CI8" s="27" t="n">
        <v>0</v>
      </c>
      <c r="CJ8" s="27" t="n">
        <v>0</v>
      </c>
      <c r="CK8" s="27" t="n">
        <v>0</v>
      </c>
      <c r="CL8" s="27" t="n">
        <v>0</v>
      </c>
      <c r="CM8" s="27" t="n">
        <v>0</v>
      </c>
      <c r="CN8" s="27" t="n">
        <v>0</v>
      </c>
      <c r="CO8" s="27" t="n">
        <v>0</v>
      </c>
      <c r="CP8" s="27" t="n">
        <v>0</v>
      </c>
      <c r="CQ8" s="27" t="n">
        <v>0</v>
      </c>
      <c r="CR8" s="27" t="n">
        <v>0</v>
      </c>
      <c r="CS8" s="27" t="n">
        <v>0</v>
      </c>
      <c r="CT8" s="27" t="n">
        <v>0</v>
      </c>
      <c r="CU8" s="27" t="n">
        <v>0</v>
      </c>
      <c r="CV8" s="27" t="n">
        <v>0</v>
      </c>
      <c r="CW8" s="27" t="n">
        <v>0</v>
      </c>
      <c r="CX8" s="27" t="n">
        <v>0</v>
      </c>
      <c r="CY8" s="27" t="n">
        <v>0</v>
      </c>
      <c r="CZ8" s="27" t="n">
        <v>0</v>
      </c>
      <c r="DA8" s="27" t="n">
        <v>0</v>
      </c>
    </row>
    <row r="9">
      <c r="A9" t="inlineStr">
        <is>
          <t>TSP-105</t>
        </is>
      </c>
      <c r="B9" s="27" t="n">
        <v>0</v>
      </c>
      <c r="C9" s="27" t="n">
        <v>0</v>
      </c>
      <c r="D9" s="27" t="n">
        <v>0</v>
      </c>
      <c r="E9" s="27" t="n">
        <v>0</v>
      </c>
      <c r="F9" s="27" t="n">
        <v>0</v>
      </c>
      <c r="G9" s="27" t="n">
        <v>0</v>
      </c>
      <c r="H9" s="27" t="n">
        <v>0</v>
      </c>
      <c r="I9" s="27" t="n">
        <v>0</v>
      </c>
      <c r="J9" s="27" t="n">
        <v>0</v>
      </c>
      <c r="K9" s="27" t="n">
        <v>0</v>
      </c>
      <c r="L9" s="27" t="n">
        <v>0</v>
      </c>
      <c r="M9" s="27" t="n">
        <v>0</v>
      </c>
      <c r="N9" s="27" t="n">
        <v>0</v>
      </c>
      <c r="O9" s="27" t="n">
        <v>0</v>
      </c>
      <c r="P9" s="27" t="n">
        <v>0</v>
      </c>
      <c r="Q9" s="27" t="n">
        <v>0</v>
      </c>
      <c r="R9" s="27" t="n">
        <v>0</v>
      </c>
      <c r="S9" s="27" t="n">
        <v>0</v>
      </c>
      <c r="T9" s="27" t="n">
        <v>0</v>
      </c>
      <c r="U9" s="27" t="n">
        <v>0</v>
      </c>
      <c r="V9" s="27" t="n">
        <v>0</v>
      </c>
      <c r="W9" s="27" t="n">
        <v>0</v>
      </c>
      <c r="X9" s="27" t="n">
        <v>0</v>
      </c>
      <c r="Y9" s="27" t="n">
        <v>0</v>
      </c>
      <c r="Z9" s="27" t="n">
        <v>0</v>
      </c>
      <c r="AA9" s="27" t="n">
        <v>0</v>
      </c>
      <c r="AB9" s="27" t="n">
        <v>0</v>
      </c>
      <c r="AC9" s="27" t="n">
        <v>0</v>
      </c>
      <c r="AD9" s="27" t="n">
        <v>0</v>
      </c>
      <c r="AE9" s="27" t="n">
        <v>0</v>
      </c>
      <c r="AF9" s="27" t="n">
        <v>0</v>
      </c>
      <c r="AG9" s="27" t="n">
        <v>0</v>
      </c>
      <c r="AH9" s="27" t="n">
        <v>0</v>
      </c>
      <c r="AI9" s="27" t="n">
        <v>0</v>
      </c>
      <c r="AJ9" s="27" t="n">
        <v>0</v>
      </c>
      <c r="AK9" s="27" t="n">
        <v>0</v>
      </c>
      <c r="AL9" s="27" t="n">
        <v>0</v>
      </c>
      <c r="AM9" s="27" t="n">
        <v>0</v>
      </c>
      <c r="AN9" s="27" t="n">
        <v>0</v>
      </c>
      <c r="AO9" s="27" t="n">
        <v>0</v>
      </c>
      <c r="AP9" s="27" t="n">
        <v>0</v>
      </c>
      <c r="AQ9" s="27" t="n">
        <v>0</v>
      </c>
      <c r="AR9" s="27" t="n">
        <v>0</v>
      </c>
      <c r="AS9" s="27" t="n">
        <v>0</v>
      </c>
      <c r="AT9" s="27" t="n">
        <v>0</v>
      </c>
      <c r="AU9" s="27" t="n">
        <v>0</v>
      </c>
      <c r="AV9" s="27" t="n">
        <v>0</v>
      </c>
      <c r="AW9" s="27" t="n">
        <v>0</v>
      </c>
      <c r="AX9" s="27" t="n">
        <v>0</v>
      </c>
      <c r="AY9" s="27" t="n">
        <v>0</v>
      </c>
      <c r="AZ9" s="27" t="n">
        <v>0</v>
      </c>
      <c r="BA9" s="27" t="n">
        <v>0</v>
      </c>
      <c r="BB9" s="27" t="n">
        <v>0</v>
      </c>
      <c r="BC9" s="27" t="n">
        <v>0</v>
      </c>
      <c r="BD9" s="27" t="n">
        <v>0</v>
      </c>
      <c r="BE9" s="27" t="n">
        <v>0</v>
      </c>
      <c r="BF9" s="27" t="n">
        <v>0</v>
      </c>
      <c r="BG9" s="27" t="n">
        <v>0</v>
      </c>
      <c r="BH9" s="27" t="n">
        <v>0</v>
      </c>
      <c r="BI9" s="27" t="n">
        <v>0</v>
      </c>
      <c r="BJ9" s="27" t="n">
        <v>0</v>
      </c>
      <c r="BK9" s="27" t="n">
        <v>0</v>
      </c>
      <c r="BL9" s="27" t="n">
        <v>0</v>
      </c>
      <c r="BM9" s="27" t="n">
        <v>0</v>
      </c>
      <c r="BN9" s="27" t="n">
        <v>0</v>
      </c>
      <c r="BO9" s="27" t="n">
        <v>0</v>
      </c>
      <c r="BP9" s="27" t="n">
        <v>0</v>
      </c>
      <c r="BQ9" s="27" t="n">
        <v>0</v>
      </c>
      <c r="BR9" s="27" t="n">
        <v>0</v>
      </c>
      <c r="BS9" s="27" t="n">
        <v>0</v>
      </c>
      <c r="BT9" s="27" t="n">
        <v>0</v>
      </c>
      <c r="BU9" s="27" t="n">
        <v>0</v>
      </c>
      <c r="BV9" s="27" t="n">
        <v>0</v>
      </c>
      <c r="BW9" s="27" t="n">
        <v>0</v>
      </c>
      <c r="BX9" s="27" t="n">
        <v>0</v>
      </c>
      <c r="BY9" s="27" t="n">
        <v>0</v>
      </c>
      <c r="BZ9" s="27" t="n">
        <v>0</v>
      </c>
      <c r="CA9" s="27" t="n">
        <v>0</v>
      </c>
      <c r="CB9" s="27" t="n">
        <v>0</v>
      </c>
      <c r="CC9" s="27" t="n">
        <v>0</v>
      </c>
      <c r="CD9" s="27" t="n">
        <v>0</v>
      </c>
      <c r="CE9" s="27" t="n">
        <v>0</v>
      </c>
      <c r="CF9" s="27" t="n">
        <v>0</v>
      </c>
      <c r="CG9" s="27" t="n">
        <v>0</v>
      </c>
      <c r="CH9" s="27" t="n">
        <v>0</v>
      </c>
      <c r="CI9" s="27" t="n">
        <v>0</v>
      </c>
      <c r="CJ9" s="27" t="n">
        <v>0</v>
      </c>
      <c r="CK9" s="27" t="n">
        <v>0</v>
      </c>
      <c r="CL9" s="27" t="n">
        <v>0</v>
      </c>
      <c r="CM9" s="27" t="n">
        <v>0</v>
      </c>
      <c r="CN9" s="27" t="n">
        <v>0</v>
      </c>
      <c r="CO9" s="27" t="n">
        <v>0</v>
      </c>
      <c r="CP9" s="27" t="n">
        <v>0</v>
      </c>
      <c r="CQ9" s="27" t="n">
        <v>0</v>
      </c>
      <c r="CR9" s="27" t="n">
        <v>0</v>
      </c>
      <c r="CS9" s="27" t="n">
        <v>0</v>
      </c>
      <c r="CT9" s="27" t="n">
        <v>0</v>
      </c>
      <c r="CU9" s="27" t="n">
        <v>0</v>
      </c>
      <c r="CV9" s="27" t="n">
        <v>0</v>
      </c>
      <c r="CW9" s="27" t="n">
        <v>0</v>
      </c>
      <c r="CX9" s="27" t="n">
        <v>0</v>
      </c>
      <c r="CY9" s="27" t="n">
        <v>0</v>
      </c>
      <c r="CZ9" s="27" t="n">
        <v>0</v>
      </c>
      <c r="DA9" s="27" t="n">
        <v>0</v>
      </c>
    </row>
    <row r="10">
      <c r="A10" t="inlineStr">
        <is>
          <t>TSP-1388</t>
        </is>
      </c>
      <c r="B10" s="27" t="n">
        <v>0</v>
      </c>
      <c r="C10" s="27" t="n">
        <v>4.054540486283496</v>
      </c>
      <c r="D10" s="27" t="n">
        <v>4.84752501513953</v>
      </c>
      <c r="E10" s="27" t="n">
        <v>4.84752501513953</v>
      </c>
      <c r="F10" s="27" t="n">
        <v>4.84752501513953</v>
      </c>
      <c r="G10" s="27" t="n">
        <v>3.658048221855479</v>
      </c>
      <c r="H10" s="27" t="n">
        <v>2.468571428571428</v>
      </c>
      <c r="I10" s="27" t="n">
        <v>3.393720045570134</v>
      </c>
      <c r="J10" s="27" t="n">
        <v>4.49508744675907</v>
      </c>
      <c r="K10" s="27" t="n">
        <v>2.468571428571428</v>
      </c>
      <c r="L10" s="27" t="n">
        <v>4.84752501513953</v>
      </c>
      <c r="M10" s="27" t="n">
        <v>2.423762507569765</v>
      </c>
      <c r="N10" s="27" t="n">
        <v>4.466757656382879</v>
      </c>
      <c r="O10" s="27" t="n">
        <v>3.658048221855479</v>
      </c>
      <c r="P10" s="27" t="n">
        <v>3.658048221855479</v>
      </c>
      <c r="Q10" s="27" t="n">
        <v>3.658048221855479</v>
      </c>
      <c r="R10" s="27" t="n">
        <v>3.658048221855479</v>
      </c>
      <c r="S10" s="27" t="n">
        <v>0</v>
      </c>
      <c r="T10" s="27" t="n">
        <v>3.658048221855479</v>
      </c>
      <c r="U10" s="27" t="n">
        <v>3.277280863098829</v>
      </c>
      <c r="V10" s="27" t="n">
        <v>4.062402939119179</v>
      </c>
      <c r="W10" s="27" t="n">
        <v>3.658048221855479</v>
      </c>
      <c r="X10" s="27" t="n">
        <v>4.84752501513953</v>
      </c>
      <c r="Y10" s="27" t="n">
        <v>1.189476793284051</v>
      </c>
      <c r="Z10" s="27" t="n">
        <v>0</v>
      </c>
      <c r="AA10" s="27" t="n">
        <v>2.027270243141748</v>
      </c>
      <c r="AB10" s="27" t="n">
        <v>3.232471942097165</v>
      </c>
      <c r="AC10" s="27" t="n">
        <v>1.189476793284051</v>
      </c>
      <c r="AD10" s="27" t="n">
        <v>2.468571428571428</v>
      </c>
      <c r="AE10" s="27" t="n">
        <v>3.277280863098829</v>
      </c>
      <c r="AF10" s="27" t="n">
        <v>3.261555957427462</v>
      </c>
      <c r="AG10" s="27" t="n">
        <v>2.423762507569765</v>
      </c>
      <c r="AH10" s="27" t="n">
        <v>3.658048221855479</v>
      </c>
      <c r="AI10" s="27" t="n">
        <v>4.466757656382879</v>
      </c>
      <c r="AJ10" s="27" t="n">
        <v>3.658048221855479</v>
      </c>
      <c r="AK10" s="27" t="n">
        <v>3.658048221855479</v>
      </c>
      <c r="AL10" s="27" t="n">
        <v>3.658048221855479</v>
      </c>
      <c r="AM10" s="27" t="n">
        <v>2.468571428571428</v>
      </c>
      <c r="AN10" s="27" t="n">
        <v>3.232471942097165</v>
      </c>
      <c r="AO10" s="27" t="n">
        <v>2.423762507569765</v>
      </c>
      <c r="AP10" s="27" t="n">
        <v>3.658048221855479</v>
      </c>
      <c r="AQ10" s="27" t="n">
        <v>3.658048221855479</v>
      </c>
      <c r="AR10" s="27" t="n">
        <v>2.423762507569765</v>
      </c>
      <c r="AS10" s="27" t="n">
        <v>4.070265391954862</v>
      </c>
      <c r="AT10" s="27" t="n">
        <v>4.466757656382879</v>
      </c>
      <c r="AU10" s="27" t="n">
        <v>4.892333936141194</v>
      </c>
      <c r="AV10" s="27" t="n">
        <v>4.892333936141194</v>
      </c>
      <c r="AW10" s="27" t="n">
        <v>4.466757656382879</v>
      </c>
      <c r="AX10" s="27" t="n">
        <v>3.658048221855479</v>
      </c>
      <c r="AY10" s="27" t="n">
        <v>4.466757656382879</v>
      </c>
      <c r="AZ10" s="27" t="n">
        <v>1.234285714285714</v>
      </c>
      <c r="BA10" s="27" t="n">
        <v>0</v>
      </c>
      <c r="BB10" s="27" t="n">
        <v>0</v>
      </c>
      <c r="BC10" s="27" t="n">
        <v>1.234285714285714</v>
      </c>
      <c r="BD10" s="27" t="n">
        <v>4.466757656382879</v>
      </c>
      <c r="BE10" s="27" t="n">
        <v>3.658048221855479</v>
      </c>
      <c r="BF10" s="27" t="n">
        <v>3.658048221855479</v>
      </c>
      <c r="BG10" s="27" t="n">
        <v>2.423762507569765</v>
      </c>
      <c r="BH10" s="27" t="n">
        <v>3.658048221855479</v>
      </c>
      <c r="BI10" s="27" t="n">
        <v>1.234285714285714</v>
      </c>
      <c r="BJ10" s="27" t="n">
        <v>3.232471942097165</v>
      </c>
      <c r="BK10" s="27" t="n">
        <v>1.234285714285714</v>
      </c>
      <c r="BL10" s="27" t="n">
        <v>3.658048221855479</v>
      </c>
      <c r="BM10" s="27" t="n">
        <v>1.638640431549414</v>
      </c>
      <c r="BN10" s="27" t="n">
        <v>2.423762507569765</v>
      </c>
      <c r="BO10" s="27" t="n">
        <v>1.234285714285714</v>
      </c>
      <c r="BP10" s="27" t="n">
        <v>0</v>
      </c>
      <c r="BQ10" s="27" t="n">
        <v>1.503855525794848</v>
      </c>
      <c r="BR10" s="27" t="n">
        <v>1.234285714285714</v>
      </c>
      <c r="BS10" s="27" t="n">
        <v>1.234285714285714</v>
      </c>
      <c r="BT10" s="27" t="n">
        <v>0</v>
      </c>
      <c r="BU10" s="27" t="n">
        <v>1.234285714285714</v>
      </c>
      <c r="BV10" s="27" t="n">
        <v>0.9257142857142857</v>
      </c>
      <c r="BW10" s="27" t="n">
        <v>0</v>
      </c>
      <c r="BX10" s="27" t="n">
        <v>0</v>
      </c>
      <c r="BY10" s="27" t="n">
        <v>1.131428571428571</v>
      </c>
      <c r="BZ10" s="27" t="n">
        <v>0</v>
      </c>
      <c r="CA10" s="27" t="n">
        <v>0</v>
      </c>
      <c r="CB10" s="27" t="n">
        <v>0</v>
      </c>
      <c r="CC10" s="27" t="n">
        <v>0</v>
      </c>
      <c r="CD10" s="27" t="n">
        <v>0</v>
      </c>
      <c r="CE10" s="27" t="n">
        <v>0</v>
      </c>
      <c r="CF10" s="27" t="n">
        <v>0</v>
      </c>
      <c r="CG10" s="27" t="n">
        <v>0</v>
      </c>
      <c r="CH10" s="27" t="n">
        <v>0</v>
      </c>
      <c r="CI10" s="27" t="n">
        <v>0</v>
      </c>
      <c r="CJ10" s="27" t="n">
        <v>0</v>
      </c>
      <c r="CK10" s="27" t="n">
        <v>0</v>
      </c>
      <c r="CL10" s="27" t="n">
        <v>0</v>
      </c>
      <c r="CM10" s="27" t="n">
        <v>0</v>
      </c>
      <c r="CN10" s="27" t="n">
        <v>0</v>
      </c>
      <c r="CO10" s="27" t="n">
        <v>0</v>
      </c>
      <c r="CP10" s="27" t="n">
        <v>0</v>
      </c>
      <c r="CQ10" s="27" t="n">
        <v>0</v>
      </c>
      <c r="CR10" s="27" t="n">
        <v>0</v>
      </c>
      <c r="CS10" s="27" t="n">
        <v>0</v>
      </c>
      <c r="CT10" s="27" t="n">
        <v>0</v>
      </c>
      <c r="CU10" s="27" t="n">
        <v>0</v>
      </c>
      <c r="CV10" s="27" t="n">
        <v>0</v>
      </c>
      <c r="CW10" s="27" t="n">
        <v>0</v>
      </c>
      <c r="CX10" s="27" t="n">
        <v>0</v>
      </c>
      <c r="CY10" s="27" t="n">
        <v>0</v>
      </c>
      <c r="CZ10" s="27" t="n">
        <v>0</v>
      </c>
      <c r="DA10" s="27" t="n">
        <v>0</v>
      </c>
    </row>
    <row r="11">
      <c r="A11" t="inlineStr">
        <is>
          <t>TSP-1444</t>
        </is>
      </c>
      <c r="B11" s="27" t="n">
        <v>0</v>
      </c>
      <c r="C11" s="27" t="n">
        <v>7.458075052893359</v>
      </c>
      <c r="D11" s="27" t="n">
        <v>7.458075052893359</v>
      </c>
      <c r="E11" s="27" t="n">
        <v>7.458075052893359</v>
      </c>
      <c r="F11" s="27" t="n">
        <v>7.458075052893359</v>
      </c>
      <c r="G11" s="27" t="n">
        <v>7.458075052893359</v>
      </c>
      <c r="H11" s="27" t="n">
        <v>7.458075052893359</v>
      </c>
      <c r="I11" s="27" t="n">
        <v>7.458075052893359</v>
      </c>
      <c r="J11" s="27" t="n">
        <v>7.458075052893359</v>
      </c>
      <c r="K11" s="27" t="n">
        <v>7.458075052893359</v>
      </c>
      <c r="L11" s="27" t="n">
        <v>7.458075052893359</v>
      </c>
      <c r="M11" s="27" t="n">
        <v>3.72903752644668</v>
      </c>
      <c r="N11" s="27" t="n">
        <v>9.827223475654733</v>
      </c>
      <c r="O11" s="27" t="n">
        <v>7.458075052893359</v>
      </c>
      <c r="P11" s="27" t="n">
        <v>7.458075052893359</v>
      </c>
      <c r="Q11" s="27" t="n">
        <v>7.458075052893359</v>
      </c>
      <c r="R11" s="27" t="n">
        <v>7.458075052893359</v>
      </c>
      <c r="S11" s="27" t="n">
        <v>0</v>
      </c>
      <c r="T11" s="27" t="n">
        <v>7.458075052893359</v>
      </c>
      <c r="U11" s="27" t="n">
        <v>9.827223475654733</v>
      </c>
      <c r="V11" s="27" t="n">
        <v>8.642649264274047</v>
      </c>
      <c r="W11" s="27" t="n">
        <v>7.458075052893359</v>
      </c>
      <c r="X11" s="27" t="n">
        <v>7.458075052893359</v>
      </c>
      <c r="Y11" s="27" t="n">
        <v>0</v>
      </c>
      <c r="Z11" s="27" t="n">
        <v>0</v>
      </c>
      <c r="AA11" s="27" t="n">
        <v>3.72903752644668</v>
      </c>
      <c r="AB11" s="27" t="n">
        <v>6.098185949208053</v>
      </c>
      <c r="AC11" s="27" t="n">
        <v>0</v>
      </c>
      <c r="AD11" s="27" t="n">
        <v>7.458075052893359</v>
      </c>
      <c r="AE11" s="27" t="n">
        <v>9.827223475654733</v>
      </c>
      <c r="AF11" s="27" t="n">
        <v>7.458075052893359</v>
      </c>
      <c r="AG11" s="27" t="n">
        <v>3.72903752644668</v>
      </c>
      <c r="AH11" s="27" t="n">
        <v>7.458075052893359</v>
      </c>
      <c r="AI11" s="27" t="n">
        <v>9.827223475654733</v>
      </c>
      <c r="AJ11" s="27" t="n">
        <v>7.458075052893359</v>
      </c>
      <c r="AK11" s="27" t="n">
        <v>7.458075052893359</v>
      </c>
      <c r="AL11" s="27" t="n">
        <v>7.458075052893359</v>
      </c>
      <c r="AM11" s="27" t="n">
        <v>7.458075052893359</v>
      </c>
      <c r="AN11" s="27" t="n">
        <v>6.098185949208053</v>
      </c>
      <c r="AO11" s="27" t="n">
        <v>3.72903752644668</v>
      </c>
      <c r="AP11" s="27" t="n">
        <v>7.458075052893359</v>
      </c>
      <c r="AQ11" s="27" t="n">
        <v>7.458075052893359</v>
      </c>
      <c r="AR11" s="27" t="n">
        <v>3.72903752644668</v>
      </c>
      <c r="AS11" s="27" t="n">
        <v>9.827223475654733</v>
      </c>
      <c r="AT11" s="27" t="n">
        <v>9.827223475654733</v>
      </c>
      <c r="AU11" s="27" t="n">
        <v>11.18711257934004</v>
      </c>
      <c r="AV11" s="27" t="n">
        <v>11.18711257934004</v>
      </c>
      <c r="AW11" s="27" t="n">
        <v>9.827223475654733</v>
      </c>
      <c r="AX11" s="27" t="n">
        <v>7.458075052893359</v>
      </c>
      <c r="AY11" s="27" t="n">
        <v>9.827223475654733</v>
      </c>
      <c r="AZ11" s="27" t="n">
        <v>3.72903752644668</v>
      </c>
      <c r="BA11" s="27" t="n">
        <v>0</v>
      </c>
      <c r="BB11" s="27" t="n">
        <v>0</v>
      </c>
      <c r="BC11" s="27" t="n">
        <v>3.72903752644668</v>
      </c>
      <c r="BD11" s="27" t="n">
        <v>9.827223475654733</v>
      </c>
      <c r="BE11" s="27" t="n">
        <v>7.458075052893359</v>
      </c>
      <c r="BF11" s="27" t="n">
        <v>7.458075052893359</v>
      </c>
      <c r="BG11" s="27" t="n">
        <v>3.72903752644668</v>
      </c>
      <c r="BH11" s="27" t="n">
        <v>7.458075052893359</v>
      </c>
      <c r="BI11" s="27" t="n">
        <v>3.72903752644668</v>
      </c>
      <c r="BJ11" s="27" t="n">
        <v>6.098185949208053</v>
      </c>
      <c r="BK11" s="27" t="n">
        <v>3.72903752644668</v>
      </c>
      <c r="BL11" s="27" t="n">
        <v>7.458075052893359</v>
      </c>
      <c r="BM11" s="27" t="n">
        <v>4.913611737827367</v>
      </c>
      <c r="BN11" s="27" t="n">
        <v>3.72903752644668</v>
      </c>
      <c r="BO11" s="27" t="n">
        <v>3.72903752644668</v>
      </c>
      <c r="BP11" s="27" t="n">
        <v>0</v>
      </c>
      <c r="BQ11" s="27" t="n">
        <v>4.518753667367138</v>
      </c>
      <c r="BR11" s="27" t="n">
        <v>3.72903752644668</v>
      </c>
      <c r="BS11" s="27" t="n">
        <v>3.72903752644668</v>
      </c>
      <c r="BT11" s="27" t="n">
        <v>0</v>
      </c>
      <c r="BU11" s="27" t="n">
        <v>3.72903752644668</v>
      </c>
      <c r="BV11" s="27" t="n">
        <v>2.79677814483501</v>
      </c>
      <c r="BW11" s="27" t="n">
        <v>0</v>
      </c>
      <c r="BX11" s="27" t="n">
        <v>0</v>
      </c>
      <c r="BY11" s="27" t="n">
        <v>3.41828439924279</v>
      </c>
      <c r="BZ11" s="27" t="n">
        <v>0</v>
      </c>
      <c r="CA11" s="27" t="n">
        <v>0</v>
      </c>
      <c r="CB11" s="27" t="n">
        <v>0</v>
      </c>
      <c r="CC11" s="27" t="n">
        <v>0</v>
      </c>
      <c r="CD11" s="27" t="n">
        <v>0</v>
      </c>
      <c r="CE11" s="27" t="n">
        <v>0</v>
      </c>
      <c r="CF11" s="27" t="n">
        <v>0</v>
      </c>
      <c r="CG11" s="27" t="n">
        <v>0</v>
      </c>
      <c r="CH11" s="27" t="n">
        <v>0</v>
      </c>
      <c r="CI11" s="27" t="n">
        <v>0</v>
      </c>
      <c r="CJ11" s="27" t="n">
        <v>0</v>
      </c>
      <c r="CK11" s="27" t="n">
        <v>0</v>
      </c>
      <c r="CL11" s="27" t="n">
        <v>0</v>
      </c>
      <c r="CM11" s="27" t="n">
        <v>0</v>
      </c>
      <c r="CN11" s="27" t="n">
        <v>0</v>
      </c>
      <c r="CO11" s="27" t="n">
        <v>0</v>
      </c>
      <c r="CP11" s="27" t="n">
        <v>0</v>
      </c>
      <c r="CQ11" s="27" t="n">
        <v>0</v>
      </c>
      <c r="CR11" s="27" t="n">
        <v>0</v>
      </c>
      <c r="CS11" s="27" t="n">
        <v>0</v>
      </c>
      <c r="CT11" s="27" t="n">
        <v>0</v>
      </c>
      <c r="CU11" s="27" t="n">
        <v>0</v>
      </c>
      <c r="CV11" s="27" t="n">
        <v>0</v>
      </c>
      <c r="CW11" s="27" t="n">
        <v>0</v>
      </c>
      <c r="CX11" s="27" t="n">
        <v>0</v>
      </c>
      <c r="CY11" s="27" t="n">
        <v>0</v>
      </c>
      <c r="CZ11" s="27" t="n">
        <v>0</v>
      </c>
      <c r="DA11" s="27" t="n">
        <v>0</v>
      </c>
    </row>
    <row r="12">
      <c r="A12" t="inlineStr">
        <is>
          <t>TSP-1445</t>
        </is>
      </c>
      <c r="B12" s="27" t="n">
        <v>0</v>
      </c>
      <c r="C12" s="27" t="n">
        <v>5.574477097577114</v>
      </c>
      <c r="D12" s="27" t="n">
        <v>6.689372517092537</v>
      </c>
      <c r="E12" s="27" t="n">
        <v>6.689372517092537</v>
      </c>
      <c r="F12" s="27" t="n">
        <v>6.689372517092537</v>
      </c>
      <c r="G12" s="27" t="n">
        <v>3.344686258546269</v>
      </c>
      <c r="H12" s="27" t="n">
        <v>1.114895419515423</v>
      </c>
      <c r="I12" s="27" t="n">
        <v>2.601422645535987</v>
      </c>
      <c r="J12" s="27" t="n">
        <v>5.698354366412161</v>
      </c>
      <c r="K12" s="27" t="n">
        <v>0</v>
      </c>
      <c r="L12" s="27" t="n">
        <v>6.689372517092537</v>
      </c>
      <c r="M12" s="27" t="n">
        <v>3.344686258546269</v>
      </c>
      <c r="N12" s="27" t="n">
        <v>3.344686258546269</v>
      </c>
      <c r="O12" s="27" t="n">
        <v>3.344686258546269</v>
      </c>
      <c r="P12" s="27" t="n">
        <v>3.344686258546269</v>
      </c>
      <c r="Q12" s="27" t="n">
        <v>3.344686258546269</v>
      </c>
      <c r="R12" s="27" t="n">
        <v>3.344686258546269</v>
      </c>
      <c r="S12" s="27" t="n">
        <v>0</v>
      </c>
      <c r="T12" s="27" t="n">
        <v>3.344686258546269</v>
      </c>
      <c r="U12" s="27" t="n">
        <v>0</v>
      </c>
      <c r="V12" s="27" t="n">
        <v>3.344686258546269</v>
      </c>
      <c r="W12" s="27" t="n">
        <v>3.344686258546269</v>
      </c>
      <c r="X12" s="27" t="n">
        <v>6.689372517092537</v>
      </c>
      <c r="Y12" s="27" t="n">
        <v>3.344686258546269</v>
      </c>
      <c r="Z12" s="27" t="n">
        <v>0</v>
      </c>
      <c r="AA12" s="27" t="n">
        <v>3.344686258546268</v>
      </c>
      <c r="AB12" s="27" t="n">
        <v>3.344686258546269</v>
      </c>
      <c r="AC12" s="27" t="n">
        <v>3.344686258546269</v>
      </c>
      <c r="AD12" s="27" t="n">
        <v>0</v>
      </c>
      <c r="AE12" s="27" t="n">
        <v>0</v>
      </c>
      <c r="AF12" s="27" t="n">
        <v>3.344686258546268</v>
      </c>
      <c r="AG12" s="27" t="n">
        <v>3.344686258546269</v>
      </c>
      <c r="AH12" s="27" t="n">
        <v>3.344686258546269</v>
      </c>
      <c r="AI12" s="27" t="n">
        <v>3.344686258546269</v>
      </c>
      <c r="AJ12" s="27" t="n">
        <v>3.344686258546269</v>
      </c>
      <c r="AK12" s="27" t="n">
        <v>3.344686258546269</v>
      </c>
      <c r="AL12" s="27" t="n">
        <v>3.344686258546269</v>
      </c>
      <c r="AM12" s="27" t="n">
        <v>0</v>
      </c>
      <c r="AN12" s="27" t="n">
        <v>3.344686258546269</v>
      </c>
      <c r="AO12" s="27" t="n">
        <v>3.344686258546269</v>
      </c>
      <c r="AP12" s="27" t="n">
        <v>3.344686258546269</v>
      </c>
      <c r="AQ12" s="27" t="n">
        <v>3.344686258546269</v>
      </c>
      <c r="AR12" s="27" t="n">
        <v>3.344686258546269</v>
      </c>
      <c r="AS12" s="27" t="n">
        <v>3.344686258546268</v>
      </c>
      <c r="AT12" s="27" t="n">
        <v>3.344686258546269</v>
      </c>
      <c r="AU12" s="27" t="n">
        <v>3.344686258546269</v>
      </c>
      <c r="AV12" s="27" t="n">
        <v>3.344686258546269</v>
      </c>
      <c r="AW12" s="27" t="n">
        <v>3.344686258546269</v>
      </c>
      <c r="AX12" s="27" t="n">
        <v>3.344686258546269</v>
      </c>
      <c r="AY12" s="27" t="n">
        <v>3.344686258546269</v>
      </c>
      <c r="AZ12" s="27" t="n">
        <v>0</v>
      </c>
      <c r="BA12" s="27" t="n">
        <v>0</v>
      </c>
      <c r="BB12" s="27" t="n">
        <v>0</v>
      </c>
      <c r="BC12" s="27" t="n">
        <v>0</v>
      </c>
      <c r="BD12" s="27" t="n">
        <v>3.344686258546269</v>
      </c>
      <c r="BE12" s="27" t="n">
        <v>3.344686258546269</v>
      </c>
      <c r="BF12" s="27" t="n">
        <v>4.459581678061691</v>
      </c>
      <c r="BG12" s="27" t="n">
        <v>3.344686258546269</v>
      </c>
      <c r="BH12" s="27" t="n">
        <v>3.344686258546269</v>
      </c>
      <c r="BI12" s="27" t="n">
        <v>0</v>
      </c>
      <c r="BJ12" s="27" t="n">
        <v>3.344686258546269</v>
      </c>
      <c r="BK12" s="27" t="n">
        <v>0</v>
      </c>
      <c r="BL12" s="27" t="n">
        <v>4.459581678061691</v>
      </c>
      <c r="BM12" s="27" t="n">
        <v>0</v>
      </c>
      <c r="BN12" s="27" t="n">
        <v>3.344686258546269</v>
      </c>
      <c r="BO12" s="27" t="n">
        <v>0</v>
      </c>
      <c r="BP12" s="27" t="n">
        <v>1.114895419515423</v>
      </c>
      <c r="BQ12" s="27" t="n">
        <v>0</v>
      </c>
      <c r="BR12" s="27" t="n">
        <v>0</v>
      </c>
      <c r="BS12" s="27" t="n">
        <v>1.114895419515423</v>
      </c>
      <c r="BT12" s="27" t="n">
        <v>0</v>
      </c>
      <c r="BU12" s="27" t="n">
        <v>0</v>
      </c>
      <c r="BV12" s="27" t="n">
        <v>0</v>
      </c>
      <c r="BW12" s="27" t="n">
        <v>1.114895419515423</v>
      </c>
      <c r="BX12" s="27" t="n">
        <v>0</v>
      </c>
      <c r="BY12" s="27" t="n">
        <v>0</v>
      </c>
      <c r="BZ12" s="27" t="n">
        <v>0</v>
      </c>
      <c r="CA12" s="27" t="n">
        <v>0</v>
      </c>
      <c r="CB12" s="27" t="n">
        <v>0</v>
      </c>
      <c r="CC12" s="27" t="n">
        <v>0</v>
      </c>
      <c r="CD12" s="27" t="n">
        <v>0</v>
      </c>
      <c r="CE12" s="27" t="n">
        <v>0</v>
      </c>
      <c r="CF12" s="27" t="n">
        <v>0</v>
      </c>
      <c r="CG12" s="27" t="n">
        <v>0</v>
      </c>
      <c r="CH12" s="27" t="n">
        <v>0</v>
      </c>
      <c r="CI12" s="27" t="n">
        <v>0</v>
      </c>
      <c r="CJ12" s="27" t="n">
        <v>0</v>
      </c>
      <c r="CK12" s="27" t="n">
        <v>0</v>
      </c>
      <c r="CL12" s="27" t="n">
        <v>0</v>
      </c>
      <c r="CM12" s="27" t="n">
        <v>0</v>
      </c>
      <c r="CN12" s="27" t="n">
        <v>0</v>
      </c>
      <c r="CO12" s="27" t="n">
        <v>0</v>
      </c>
      <c r="CP12" s="27" t="n">
        <v>0</v>
      </c>
      <c r="CQ12" s="27" t="n">
        <v>0</v>
      </c>
      <c r="CR12" s="27" t="n">
        <v>0</v>
      </c>
      <c r="CS12" s="27" t="n">
        <v>0</v>
      </c>
      <c r="CT12" s="27" t="n">
        <v>0</v>
      </c>
      <c r="CU12" s="27" t="n">
        <v>0</v>
      </c>
      <c r="CV12" s="27" t="n">
        <v>0</v>
      </c>
      <c r="CW12" s="27" t="n">
        <v>0</v>
      </c>
      <c r="CX12" s="27" t="n">
        <v>0</v>
      </c>
      <c r="CY12" s="27" t="n">
        <v>0</v>
      </c>
      <c r="CZ12" s="27" t="n">
        <v>0</v>
      </c>
      <c r="DA12" s="27" t="n">
        <v>0</v>
      </c>
    </row>
    <row r="13">
      <c r="A13" t="inlineStr">
        <is>
          <t>TSP-1446</t>
        </is>
      </c>
      <c r="B13" s="27" t="n">
        <v>0</v>
      </c>
      <c r="C13" s="27" t="n">
        <v>0</v>
      </c>
      <c r="D13" s="27" t="n">
        <v>0</v>
      </c>
      <c r="E13" s="27" t="n">
        <v>0</v>
      </c>
      <c r="F13" s="27" t="n">
        <v>0</v>
      </c>
      <c r="G13" s="27" t="n">
        <v>0</v>
      </c>
      <c r="H13" s="27" t="n">
        <v>0</v>
      </c>
      <c r="I13" s="27" t="n">
        <v>0</v>
      </c>
      <c r="J13" s="27" t="n">
        <v>0</v>
      </c>
      <c r="K13" s="27" t="n">
        <v>0</v>
      </c>
      <c r="L13" s="27" t="n">
        <v>0</v>
      </c>
      <c r="M13" s="27" t="n">
        <v>0</v>
      </c>
      <c r="N13" s="27" t="n">
        <v>0</v>
      </c>
      <c r="O13" s="27" t="n">
        <v>0</v>
      </c>
      <c r="P13" s="27" t="n">
        <v>0</v>
      </c>
      <c r="Q13" s="27" t="n">
        <v>0</v>
      </c>
      <c r="R13" s="27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7" t="n">
        <v>0</v>
      </c>
      <c r="X13" s="27" t="n">
        <v>0</v>
      </c>
      <c r="Y13" s="27" t="n">
        <v>0</v>
      </c>
      <c r="Z13" s="27" t="n">
        <v>0</v>
      </c>
      <c r="AA13" s="27" t="n">
        <v>0</v>
      </c>
      <c r="AB13" s="27" t="n">
        <v>0</v>
      </c>
      <c r="AC13" s="27" t="n">
        <v>0</v>
      </c>
      <c r="AD13" s="27" t="n">
        <v>0</v>
      </c>
      <c r="AE13" s="27" t="n">
        <v>0</v>
      </c>
      <c r="AF13" s="27" t="n">
        <v>0</v>
      </c>
      <c r="AG13" s="27" t="n">
        <v>0</v>
      </c>
      <c r="AH13" s="27" t="n">
        <v>0</v>
      </c>
      <c r="AI13" s="27" t="n">
        <v>0</v>
      </c>
      <c r="AJ13" s="27" t="n">
        <v>0</v>
      </c>
      <c r="AK13" s="27" t="n">
        <v>0</v>
      </c>
      <c r="AL13" s="27" t="n">
        <v>0</v>
      </c>
      <c r="AM13" s="27" t="n">
        <v>0</v>
      </c>
      <c r="AN13" s="27" t="n">
        <v>0</v>
      </c>
      <c r="AO13" s="27" t="n">
        <v>0</v>
      </c>
      <c r="AP13" s="27" t="n">
        <v>0</v>
      </c>
      <c r="AQ13" s="27" t="n">
        <v>0</v>
      </c>
      <c r="AR13" s="27" t="n">
        <v>0</v>
      </c>
      <c r="AS13" s="27" t="n">
        <v>0</v>
      </c>
      <c r="AT13" s="27" t="n">
        <v>0</v>
      </c>
      <c r="AU13" s="27" t="n">
        <v>0</v>
      </c>
      <c r="AV13" s="27" t="n">
        <v>0</v>
      </c>
      <c r="AW13" s="27" t="n">
        <v>0</v>
      </c>
      <c r="AX13" s="27" t="n">
        <v>0</v>
      </c>
      <c r="AY13" s="27" t="n">
        <v>0</v>
      </c>
      <c r="AZ13" s="27" t="n">
        <v>0</v>
      </c>
      <c r="BA13" s="27" t="n">
        <v>0</v>
      </c>
      <c r="BB13" s="27" t="n">
        <v>0</v>
      </c>
      <c r="BC13" s="27" t="n">
        <v>0</v>
      </c>
      <c r="BD13" s="27" t="n">
        <v>0</v>
      </c>
      <c r="BE13" s="27" t="n">
        <v>0</v>
      </c>
      <c r="BF13" s="27" t="n">
        <v>0</v>
      </c>
      <c r="BG13" s="27" t="n">
        <v>0</v>
      </c>
      <c r="BH13" s="27" t="n">
        <v>0</v>
      </c>
      <c r="BI13" s="27" t="n">
        <v>0</v>
      </c>
      <c r="BJ13" s="27" t="n">
        <v>0</v>
      </c>
      <c r="BK13" s="27" t="n">
        <v>0</v>
      </c>
      <c r="BL13" s="27" t="n">
        <v>0</v>
      </c>
      <c r="BM13" s="27" t="n">
        <v>0</v>
      </c>
      <c r="BN13" s="27" t="n">
        <v>0</v>
      </c>
      <c r="BO13" s="27" t="n">
        <v>0</v>
      </c>
      <c r="BP13" s="27" t="n">
        <v>0</v>
      </c>
      <c r="BQ13" s="27" t="n">
        <v>0</v>
      </c>
      <c r="BR13" s="27" t="n">
        <v>0</v>
      </c>
      <c r="BS13" s="27" t="n">
        <v>0</v>
      </c>
      <c r="BT13" s="27" t="n">
        <v>0</v>
      </c>
      <c r="BU13" s="27" t="n">
        <v>0</v>
      </c>
      <c r="BV13" s="27" t="n">
        <v>0</v>
      </c>
      <c r="BW13" s="27" t="n">
        <v>0</v>
      </c>
      <c r="BX13" s="27" t="n">
        <v>0</v>
      </c>
      <c r="BY13" s="27" t="n">
        <v>0</v>
      </c>
      <c r="BZ13" s="27" t="n">
        <v>0</v>
      </c>
      <c r="CA13" s="27" t="n">
        <v>0</v>
      </c>
      <c r="CB13" s="27" t="n">
        <v>0</v>
      </c>
      <c r="CC13" s="27" t="n">
        <v>0</v>
      </c>
      <c r="CD13" s="27" t="n">
        <v>0</v>
      </c>
      <c r="CE13" s="27" t="n">
        <v>0</v>
      </c>
      <c r="CF13" s="27" t="n">
        <v>0</v>
      </c>
      <c r="CG13" s="27" t="n">
        <v>0</v>
      </c>
      <c r="CH13" s="27" t="n">
        <v>0</v>
      </c>
      <c r="CI13" s="27" t="n">
        <v>0</v>
      </c>
      <c r="CJ13" s="27" t="n">
        <v>0</v>
      </c>
      <c r="CK13" s="27" t="n">
        <v>0</v>
      </c>
      <c r="CL13" s="27" t="n">
        <v>0</v>
      </c>
      <c r="CM13" s="27" t="n">
        <v>0</v>
      </c>
      <c r="CN13" s="27" t="n">
        <v>0</v>
      </c>
      <c r="CO13" s="27" t="n">
        <v>0</v>
      </c>
      <c r="CP13" s="27" t="n">
        <v>0</v>
      </c>
      <c r="CQ13" s="27" t="n">
        <v>0</v>
      </c>
      <c r="CR13" s="27" t="n">
        <v>0</v>
      </c>
      <c r="CS13" s="27" t="n">
        <v>0</v>
      </c>
      <c r="CT13" s="27" t="n">
        <v>0</v>
      </c>
      <c r="CU13" s="27" t="n">
        <v>0</v>
      </c>
      <c r="CV13" s="27" t="n">
        <v>0</v>
      </c>
      <c r="CW13" s="27" t="n">
        <v>0</v>
      </c>
      <c r="CX13" s="27" t="n">
        <v>0</v>
      </c>
      <c r="CY13" s="27" t="n">
        <v>0</v>
      </c>
      <c r="CZ13" s="27" t="n">
        <v>0</v>
      </c>
      <c r="DA13" s="27" t="n">
        <v>0</v>
      </c>
    </row>
    <row r="14">
      <c r="A14" t="inlineStr">
        <is>
          <t>TSP-1448</t>
        </is>
      </c>
      <c r="B14" s="27" t="n">
        <v>0</v>
      </c>
      <c r="C14" s="27" t="n">
        <v>4.629994301523985</v>
      </c>
      <c r="D14" s="27" t="n">
        <v>4.629994301523985</v>
      </c>
      <c r="E14" s="27" t="n">
        <v>4.629994301523985</v>
      </c>
      <c r="F14" s="27" t="n">
        <v>4.629994301523985</v>
      </c>
      <c r="G14" s="27" t="n">
        <v>4.629994301523985</v>
      </c>
      <c r="H14" s="27" t="n">
        <v>4.629994301523985</v>
      </c>
      <c r="I14" s="27" t="n">
        <v>4.629994301523985</v>
      </c>
      <c r="J14" s="27" t="n">
        <v>4.629994301523985</v>
      </c>
      <c r="K14" s="27" t="n">
        <v>4.629994301523985</v>
      </c>
      <c r="L14" s="27" t="n">
        <v>4.629994301523985</v>
      </c>
      <c r="M14" s="27" t="n">
        <v>2.314997150761993</v>
      </c>
      <c r="N14" s="27" t="n">
        <v>6.134017780153573</v>
      </c>
      <c r="O14" s="27" t="n">
        <v>4.629994301523985</v>
      </c>
      <c r="P14" s="27" t="n">
        <v>4.629994301523985</v>
      </c>
      <c r="Q14" s="27" t="n">
        <v>4.629994301523985</v>
      </c>
      <c r="R14" s="27" t="n">
        <v>4.629994301523985</v>
      </c>
      <c r="S14" s="27" t="n">
        <v>0</v>
      </c>
      <c r="T14" s="27" t="n">
        <v>4.629994301523985</v>
      </c>
      <c r="U14" s="27" t="n">
        <v>6.134017780153573</v>
      </c>
      <c r="V14" s="27" t="n">
        <v>5.382006040838779</v>
      </c>
      <c r="W14" s="27" t="n">
        <v>4.629994301523985</v>
      </c>
      <c r="X14" s="27" t="n">
        <v>4.629994301523985</v>
      </c>
      <c r="Y14" s="27" t="n">
        <v>0</v>
      </c>
      <c r="Z14" s="27" t="n">
        <v>0</v>
      </c>
      <c r="AA14" s="27" t="n">
        <v>2.314997150761993</v>
      </c>
      <c r="AB14" s="27" t="n">
        <v>3.81902062939158</v>
      </c>
      <c r="AC14" s="27" t="n">
        <v>0</v>
      </c>
      <c r="AD14" s="27" t="n">
        <v>4.629994301523985</v>
      </c>
      <c r="AE14" s="27" t="n">
        <v>6.134017780153573</v>
      </c>
      <c r="AF14" s="27" t="n">
        <v>4.629994301523985</v>
      </c>
      <c r="AG14" s="27" t="n">
        <v>2.314997150761993</v>
      </c>
      <c r="AH14" s="27" t="n">
        <v>4.629994301523985</v>
      </c>
      <c r="AI14" s="27" t="n">
        <v>6.134017780153573</v>
      </c>
      <c r="AJ14" s="27" t="n">
        <v>4.629994301523985</v>
      </c>
      <c r="AK14" s="27" t="n">
        <v>4.629994301523985</v>
      </c>
      <c r="AL14" s="27" t="n">
        <v>4.629994301523985</v>
      </c>
      <c r="AM14" s="27" t="n">
        <v>4.629994301523985</v>
      </c>
      <c r="AN14" s="27" t="n">
        <v>3.81902062939158</v>
      </c>
      <c r="AO14" s="27" t="n">
        <v>2.314997150761993</v>
      </c>
      <c r="AP14" s="27" t="n">
        <v>4.629994301523985</v>
      </c>
      <c r="AQ14" s="27" t="n">
        <v>4.629994301523985</v>
      </c>
      <c r="AR14" s="27" t="n">
        <v>2.314997150761993</v>
      </c>
      <c r="AS14" s="27" t="n">
        <v>6.134017780153573</v>
      </c>
      <c r="AT14" s="27" t="n">
        <v>6.134017780153573</v>
      </c>
      <c r="AU14" s="27" t="n">
        <v>6.944991452285977</v>
      </c>
      <c r="AV14" s="27" t="n">
        <v>6.944991452285977</v>
      </c>
      <c r="AW14" s="27" t="n">
        <v>6.134017780153573</v>
      </c>
      <c r="AX14" s="27" t="n">
        <v>4.629994301523985</v>
      </c>
      <c r="AY14" s="27" t="n">
        <v>6.134017780153573</v>
      </c>
      <c r="AZ14" s="27" t="n">
        <v>2.314997150761993</v>
      </c>
      <c r="BA14" s="27" t="n">
        <v>0</v>
      </c>
      <c r="BB14" s="27" t="n">
        <v>0</v>
      </c>
      <c r="BC14" s="27" t="n">
        <v>2.314997150761993</v>
      </c>
      <c r="BD14" s="27" t="n">
        <v>6.134017780153573</v>
      </c>
      <c r="BE14" s="27" t="n">
        <v>4.629994301523985</v>
      </c>
      <c r="BF14" s="27" t="n">
        <v>4.629994301523985</v>
      </c>
      <c r="BG14" s="27" t="n">
        <v>2.314997150761993</v>
      </c>
      <c r="BH14" s="27" t="n">
        <v>4.629994301523985</v>
      </c>
      <c r="BI14" s="27" t="n">
        <v>2.314997150761993</v>
      </c>
      <c r="BJ14" s="27" t="n">
        <v>3.81902062939158</v>
      </c>
      <c r="BK14" s="27" t="n">
        <v>2.314997150761993</v>
      </c>
      <c r="BL14" s="27" t="n">
        <v>4.629994301523985</v>
      </c>
      <c r="BM14" s="27" t="n">
        <v>3.067008890076786</v>
      </c>
      <c r="BN14" s="27" t="n">
        <v>2.314997150761993</v>
      </c>
      <c r="BO14" s="27" t="n">
        <v>2.314997150761993</v>
      </c>
      <c r="BP14" s="27" t="n">
        <v>0</v>
      </c>
      <c r="BQ14" s="27" t="n">
        <v>2.816338310305189</v>
      </c>
      <c r="BR14" s="27" t="n">
        <v>2.314997150761993</v>
      </c>
      <c r="BS14" s="27" t="n">
        <v>2.314997150761993</v>
      </c>
      <c r="BT14" s="27" t="n">
        <v>0</v>
      </c>
      <c r="BU14" s="27" t="n">
        <v>2.314997150761993</v>
      </c>
      <c r="BV14" s="27" t="n">
        <v>1.736247863071494</v>
      </c>
      <c r="BW14" s="27" t="n">
        <v>0</v>
      </c>
      <c r="BX14" s="27" t="n">
        <v>0</v>
      </c>
      <c r="BY14" s="27" t="n">
        <v>2.122080721531827</v>
      </c>
      <c r="BZ14" s="27" t="n">
        <v>0</v>
      </c>
      <c r="CA14" s="27" t="n">
        <v>0</v>
      </c>
      <c r="CB14" s="27" t="n">
        <v>0</v>
      </c>
      <c r="CC14" s="27" t="n">
        <v>0</v>
      </c>
      <c r="CD14" s="27" t="n">
        <v>0</v>
      </c>
      <c r="CE14" s="27" t="n">
        <v>0</v>
      </c>
      <c r="CF14" s="27" t="n">
        <v>0</v>
      </c>
      <c r="CG14" s="27" t="n">
        <v>0</v>
      </c>
      <c r="CH14" s="27" t="n">
        <v>0</v>
      </c>
      <c r="CI14" s="27" t="n">
        <v>0</v>
      </c>
      <c r="CJ14" s="27" t="n">
        <v>0</v>
      </c>
      <c r="CK14" s="27" t="n">
        <v>0</v>
      </c>
      <c r="CL14" s="27" t="n">
        <v>0</v>
      </c>
      <c r="CM14" s="27" t="n">
        <v>0</v>
      </c>
      <c r="CN14" s="27" t="n">
        <v>0</v>
      </c>
      <c r="CO14" s="27" t="n">
        <v>0</v>
      </c>
      <c r="CP14" s="27" t="n">
        <v>0</v>
      </c>
      <c r="CQ14" s="27" t="n">
        <v>0</v>
      </c>
      <c r="CR14" s="27" t="n">
        <v>0</v>
      </c>
      <c r="CS14" s="27" t="n">
        <v>0</v>
      </c>
      <c r="CT14" s="27" t="n">
        <v>0</v>
      </c>
      <c r="CU14" s="27" t="n">
        <v>0</v>
      </c>
      <c r="CV14" s="27" t="n">
        <v>0</v>
      </c>
      <c r="CW14" s="27" t="n">
        <v>0</v>
      </c>
      <c r="CX14" s="27" t="n">
        <v>0</v>
      </c>
      <c r="CY14" s="27" t="n">
        <v>0</v>
      </c>
      <c r="CZ14" s="27" t="n">
        <v>0</v>
      </c>
      <c r="DA14" s="27" t="n">
        <v>0</v>
      </c>
    </row>
    <row r="15">
      <c r="A15" t="inlineStr">
        <is>
          <t>TSP-1449</t>
        </is>
      </c>
      <c r="B15" s="27" t="n">
        <v>0</v>
      </c>
      <c r="C15" s="27" t="n">
        <v>3.567645225577254</v>
      </c>
      <c r="D15" s="27" t="n">
        <v>4.281174270692706</v>
      </c>
      <c r="E15" s="27" t="n">
        <v>4.281174270692706</v>
      </c>
      <c r="F15" s="27" t="n">
        <v>4.281174270692706</v>
      </c>
      <c r="G15" s="27" t="n">
        <v>2.140587135346353</v>
      </c>
      <c r="H15" s="27" t="n">
        <v>0.7135290451154509</v>
      </c>
      <c r="I15" s="27" t="n">
        <v>1.664901105269386</v>
      </c>
      <c r="J15" s="27" t="n">
        <v>3.646926230590083</v>
      </c>
      <c r="K15" s="27" t="n">
        <v>0</v>
      </c>
      <c r="L15" s="27" t="n">
        <v>4.281174270692706</v>
      </c>
      <c r="M15" s="27" t="n">
        <v>2.140587135346353</v>
      </c>
      <c r="N15" s="27" t="n">
        <v>2.140587135346353</v>
      </c>
      <c r="O15" s="27" t="n">
        <v>2.140587135346353</v>
      </c>
      <c r="P15" s="27" t="n">
        <v>2.140587135346353</v>
      </c>
      <c r="Q15" s="27" t="n">
        <v>2.140587135346353</v>
      </c>
      <c r="R15" s="27" t="n">
        <v>2.140587135346353</v>
      </c>
      <c r="S15" s="27" t="n">
        <v>0</v>
      </c>
      <c r="T15" s="27" t="n">
        <v>2.140587135346353</v>
      </c>
      <c r="U15" s="27" t="n">
        <v>0</v>
      </c>
      <c r="V15" s="27" t="n">
        <v>2.140587135346353</v>
      </c>
      <c r="W15" s="27" t="n">
        <v>2.140587135346353</v>
      </c>
      <c r="X15" s="27" t="n">
        <v>4.281174270692706</v>
      </c>
      <c r="Y15" s="27" t="n">
        <v>2.140587135346353</v>
      </c>
      <c r="Z15" s="27" t="n">
        <v>0</v>
      </c>
      <c r="AA15" s="27" t="n">
        <v>2.140587135346353</v>
      </c>
      <c r="AB15" s="27" t="n">
        <v>2.140587135346353</v>
      </c>
      <c r="AC15" s="27" t="n">
        <v>2.140587135346353</v>
      </c>
      <c r="AD15" s="27" t="n">
        <v>0</v>
      </c>
      <c r="AE15" s="27" t="n">
        <v>0</v>
      </c>
      <c r="AF15" s="27" t="n">
        <v>2.140587135346353</v>
      </c>
      <c r="AG15" s="27" t="n">
        <v>2.140587135346353</v>
      </c>
      <c r="AH15" s="27" t="n">
        <v>2.140587135346353</v>
      </c>
      <c r="AI15" s="27" t="n">
        <v>2.140587135346353</v>
      </c>
      <c r="AJ15" s="27" t="n">
        <v>2.140587135346353</v>
      </c>
      <c r="AK15" s="27" t="n">
        <v>2.140587135346353</v>
      </c>
      <c r="AL15" s="27" t="n">
        <v>2.140587135346353</v>
      </c>
      <c r="AM15" s="27" t="n">
        <v>0</v>
      </c>
      <c r="AN15" s="27" t="n">
        <v>2.140587135346353</v>
      </c>
      <c r="AO15" s="27" t="n">
        <v>2.140587135346353</v>
      </c>
      <c r="AP15" s="27" t="n">
        <v>2.140587135346353</v>
      </c>
      <c r="AQ15" s="27" t="n">
        <v>2.140587135346353</v>
      </c>
      <c r="AR15" s="27" t="n">
        <v>2.140587135346353</v>
      </c>
      <c r="AS15" s="27" t="n">
        <v>2.140587135346353</v>
      </c>
      <c r="AT15" s="27" t="n">
        <v>2.140587135346353</v>
      </c>
      <c r="AU15" s="27" t="n">
        <v>2.140587135346353</v>
      </c>
      <c r="AV15" s="27" t="n">
        <v>2.140587135346353</v>
      </c>
      <c r="AW15" s="27" t="n">
        <v>2.140587135346353</v>
      </c>
      <c r="AX15" s="27" t="n">
        <v>2.140587135346353</v>
      </c>
      <c r="AY15" s="27" t="n">
        <v>2.140587135346353</v>
      </c>
      <c r="AZ15" s="27" t="n">
        <v>0</v>
      </c>
      <c r="BA15" s="27" t="n">
        <v>0</v>
      </c>
      <c r="BB15" s="27" t="n">
        <v>0</v>
      </c>
      <c r="BC15" s="27" t="n">
        <v>0</v>
      </c>
      <c r="BD15" s="27" t="n">
        <v>2.140587135346353</v>
      </c>
      <c r="BE15" s="27" t="n">
        <v>2.140587135346353</v>
      </c>
      <c r="BF15" s="27" t="n">
        <v>2.854116180461804</v>
      </c>
      <c r="BG15" s="27" t="n">
        <v>2.140587135346353</v>
      </c>
      <c r="BH15" s="27" t="n">
        <v>2.140587135346353</v>
      </c>
      <c r="BI15" s="27" t="n">
        <v>0</v>
      </c>
      <c r="BJ15" s="27" t="n">
        <v>2.140587135346353</v>
      </c>
      <c r="BK15" s="27" t="n">
        <v>0</v>
      </c>
      <c r="BL15" s="27" t="n">
        <v>2.854116180461804</v>
      </c>
      <c r="BM15" s="27" t="n">
        <v>0</v>
      </c>
      <c r="BN15" s="27" t="n">
        <v>2.140587135346353</v>
      </c>
      <c r="BO15" s="27" t="n">
        <v>0</v>
      </c>
      <c r="BP15" s="27" t="n">
        <v>0.7135290451154509</v>
      </c>
      <c r="BQ15" s="27" t="n">
        <v>0</v>
      </c>
      <c r="BR15" s="27" t="n">
        <v>0</v>
      </c>
      <c r="BS15" s="27" t="n">
        <v>0.7135290451154509</v>
      </c>
      <c r="BT15" s="27" t="n">
        <v>0</v>
      </c>
      <c r="BU15" s="27" t="n">
        <v>0</v>
      </c>
      <c r="BV15" s="27" t="n">
        <v>0</v>
      </c>
      <c r="BW15" s="27" t="n">
        <v>0.7135290451154509</v>
      </c>
      <c r="BX15" s="27" t="n">
        <v>0</v>
      </c>
      <c r="BY15" s="27" t="n">
        <v>0</v>
      </c>
      <c r="BZ15" s="27" t="n">
        <v>0</v>
      </c>
      <c r="CA15" s="27" t="n">
        <v>0</v>
      </c>
      <c r="CB15" s="27" t="n">
        <v>0</v>
      </c>
      <c r="CC15" s="27" t="n">
        <v>0</v>
      </c>
      <c r="CD15" s="27" t="n">
        <v>0</v>
      </c>
      <c r="CE15" s="27" t="n">
        <v>0</v>
      </c>
      <c r="CF15" s="27" t="n">
        <v>0</v>
      </c>
      <c r="CG15" s="27" t="n">
        <v>0</v>
      </c>
      <c r="CH15" s="27" t="n">
        <v>0</v>
      </c>
      <c r="CI15" s="27" t="n">
        <v>0</v>
      </c>
      <c r="CJ15" s="27" t="n">
        <v>0</v>
      </c>
      <c r="CK15" s="27" t="n">
        <v>0</v>
      </c>
      <c r="CL15" s="27" t="n">
        <v>0</v>
      </c>
      <c r="CM15" s="27" t="n">
        <v>0</v>
      </c>
      <c r="CN15" s="27" t="n">
        <v>0</v>
      </c>
      <c r="CO15" s="27" t="n">
        <v>0</v>
      </c>
      <c r="CP15" s="27" t="n">
        <v>0</v>
      </c>
      <c r="CQ15" s="27" t="n">
        <v>0</v>
      </c>
      <c r="CR15" s="27" t="n">
        <v>0</v>
      </c>
      <c r="CS15" s="27" t="n">
        <v>0</v>
      </c>
      <c r="CT15" s="27" t="n">
        <v>0</v>
      </c>
      <c r="CU15" s="27" t="n">
        <v>0</v>
      </c>
      <c r="CV15" s="27" t="n">
        <v>0</v>
      </c>
      <c r="CW15" s="27" t="n">
        <v>0</v>
      </c>
      <c r="CX15" s="27" t="n">
        <v>0</v>
      </c>
      <c r="CY15" s="27" t="n">
        <v>0</v>
      </c>
      <c r="CZ15" s="27" t="n">
        <v>0</v>
      </c>
      <c r="DA15" s="27" t="n">
        <v>0</v>
      </c>
    </row>
    <row r="16">
      <c r="A16" t="inlineStr">
        <is>
          <t>TSP-199</t>
        </is>
      </c>
      <c r="B16" s="27" t="n">
        <v>0</v>
      </c>
      <c r="C16" s="27" t="n">
        <v>0</v>
      </c>
      <c r="D16" s="27" t="n">
        <v>0</v>
      </c>
      <c r="E16" s="27" t="n">
        <v>0</v>
      </c>
      <c r="F16" s="27" t="n">
        <v>0</v>
      </c>
      <c r="G16" s="27" t="n">
        <v>0</v>
      </c>
      <c r="H16" s="27" t="n">
        <v>0</v>
      </c>
      <c r="I16" s="27" t="n">
        <v>0</v>
      </c>
      <c r="J16" s="27" t="n">
        <v>0</v>
      </c>
      <c r="K16" s="27" t="n">
        <v>0</v>
      </c>
      <c r="L16" s="27" t="n">
        <v>0</v>
      </c>
      <c r="M16" s="27" t="n">
        <v>0</v>
      </c>
      <c r="N16" s="27" t="n">
        <v>0</v>
      </c>
      <c r="O16" s="27" t="n">
        <v>0</v>
      </c>
      <c r="P16" s="27" t="n">
        <v>0</v>
      </c>
      <c r="Q16" s="27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27" t="n">
        <v>0</v>
      </c>
      <c r="AB16" s="27" t="n">
        <v>0</v>
      </c>
      <c r="AC16" s="27" t="n">
        <v>0</v>
      </c>
      <c r="AD16" s="27" t="n">
        <v>0</v>
      </c>
      <c r="AE16" s="27" t="n">
        <v>0</v>
      </c>
      <c r="AF16" s="27" t="n">
        <v>0</v>
      </c>
      <c r="AG16" s="27" t="n">
        <v>0</v>
      </c>
      <c r="AH16" s="27" t="n">
        <v>0</v>
      </c>
      <c r="AI16" s="27" t="n">
        <v>0</v>
      </c>
      <c r="AJ16" s="27" t="n">
        <v>0</v>
      </c>
      <c r="AK16" s="27" t="n">
        <v>0</v>
      </c>
      <c r="AL16" s="27" t="n">
        <v>0</v>
      </c>
      <c r="AM16" s="27" t="n">
        <v>0</v>
      </c>
      <c r="AN16" s="27" t="n">
        <v>0</v>
      </c>
      <c r="AO16" s="27" t="n">
        <v>0</v>
      </c>
      <c r="AP16" s="27" t="n">
        <v>0</v>
      </c>
      <c r="AQ16" s="27" t="n">
        <v>0</v>
      </c>
      <c r="AR16" s="27" t="n">
        <v>0</v>
      </c>
      <c r="AS16" s="27" t="n">
        <v>0</v>
      </c>
      <c r="AT16" s="27" t="n">
        <v>0</v>
      </c>
      <c r="AU16" s="27" t="n">
        <v>0</v>
      </c>
      <c r="AV16" s="27" t="n">
        <v>0</v>
      </c>
      <c r="AW16" s="27" t="n">
        <v>0</v>
      </c>
      <c r="AX16" s="27" t="n">
        <v>0</v>
      </c>
      <c r="AY16" s="27" t="n">
        <v>0</v>
      </c>
      <c r="AZ16" s="27" t="n">
        <v>0</v>
      </c>
      <c r="BA16" s="27" t="n">
        <v>0</v>
      </c>
      <c r="BB16" s="27" t="n">
        <v>0</v>
      </c>
      <c r="BC16" s="27" t="n">
        <v>0</v>
      </c>
      <c r="BD16" s="27" t="n">
        <v>0</v>
      </c>
      <c r="BE16" s="27" t="n">
        <v>0</v>
      </c>
      <c r="BF16" s="27" t="n">
        <v>0</v>
      </c>
      <c r="BG16" s="27" t="n">
        <v>0</v>
      </c>
      <c r="BH16" s="27" t="n">
        <v>0</v>
      </c>
      <c r="BI16" s="27" t="n">
        <v>0</v>
      </c>
      <c r="BJ16" s="27" t="n">
        <v>0</v>
      </c>
      <c r="BK16" s="27" t="n">
        <v>0</v>
      </c>
      <c r="BL16" s="27" t="n">
        <v>0</v>
      </c>
      <c r="BM16" s="27" t="n">
        <v>0</v>
      </c>
      <c r="BN16" s="27" t="n">
        <v>0</v>
      </c>
      <c r="BO16" s="27" t="n">
        <v>0</v>
      </c>
      <c r="BP16" s="27" t="n">
        <v>0</v>
      </c>
      <c r="BQ16" s="27" t="n">
        <v>0</v>
      </c>
      <c r="BR16" s="27" t="n">
        <v>0</v>
      </c>
      <c r="BS16" s="27" t="n">
        <v>0</v>
      </c>
      <c r="BT16" s="27" t="n">
        <v>0</v>
      </c>
      <c r="BU16" s="27" t="n">
        <v>0</v>
      </c>
      <c r="BV16" s="27" t="n">
        <v>0</v>
      </c>
      <c r="BW16" s="27" t="n">
        <v>0</v>
      </c>
      <c r="BX16" s="27" t="n">
        <v>0</v>
      </c>
      <c r="BY16" s="27" t="n">
        <v>0</v>
      </c>
      <c r="BZ16" s="27" t="n">
        <v>0</v>
      </c>
      <c r="CA16" s="27" t="n">
        <v>0</v>
      </c>
      <c r="CB16" s="27" t="n">
        <v>0</v>
      </c>
      <c r="CC16" s="27" t="n">
        <v>0</v>
      </c>
      <c r="CD16" s="27" t="n">
        <v>0</v>
      </c>
      <c r="CE16" s="27" t="n">
        <v>0</v>
      </c>
      <c r="CF16" s="27" t="n">
        <v>0</v>
      </c>
      <c r="CG16" s="27" t="n">
        <v>0</v>
      </c>
      <c r="CH16" s="27" t="n">
        <v>0</v>
      </c>
      <c r="CI16" s="27" t="n">
        <v>0</v>
      </c>
      <c r="CJ16" s="27" t="n">
        <v>0</v>
      </c>
      <c r="CK16" s="27" t="n">
        <v>0</v>
      </c>
      <c r="CL16" s="27" t="n">
        <v>0</v>
      </c>
      <c r="CM16" s="27" t="n">
        <v>0</v>
      </c>
      <c r="CN16" s="27" t="n">
        <v>0</v>
      </c>
      <c r="CO16" s="27" t="n">
        <v>0</v>
      </c>
      <c r="CP16" s="27" t="n">
        <v>0</v>
      </c>
      <c r="CQ16" s="27" t="n">
        <v>0</v>
      </c>
      <c r="CR16" s="27" t="n">
        <v>0</v>
      </c>
      <c r="CS16" s="27" t="n">
        <v>0</v>
      </c>
      <c r="CT16" s="27" t="n">
        <v>0</v>
      </c>
      <c r="CU16" s="27" t="n">
        <v>0</v>
      </c>
      <c r="CV16" s="27" t="n">
        <v>0</v>
      </c>
      <c r="CW16" s="27" t="n">
        <v>0</v>
      </c>
      <c r="CX16" s="27" t="n">
        <v>0</v>
      </c>
      <c r="CY16" s="27" t="n">
        <v>0</v>
      </c>
      <c r="CZ16" s="27" t="n">
        <v>0</v>
      </c>
      <c r="DA16" s="27" t="n">
        <v>0</v>
      </c>
    </row>
    <row r="17">
      <c r="A17" t="inlineStr">
        <is>
          <t>TSP-205</t>
        </is>
      </c>
      <c r="B17" s="27" t="n">
        <v>0</v>
      </c>
      <c r="C17" s="27" t="n">
        <v>0</v>
      </c>
      <c r="D17" s="27" t="n">
        <v>0</v>
      </c>
      <c r="E17" s="27" t="n">
        <v>0</v>
      </c>
      <c r="F17" s="27" t="n">
        <v>0</v>
      </c>
      <c r="G17" s="27" t="n">
        <v>0</v>
      </c>
      <c r="H17" s="27" t="n">
        <v>0</v>
      </c>
      <c r="I17" s="27" t="n">
        <v>0</v>
      </c>
      <c r="J17" s="27" t="n">
        <v>0</v>
      </c>
      <c r="K17" s="27" t="n">
        <v>0</v>
      </c>
      <c r="L17" s="27" t="n">
        <v>0</v>
      </c>
      <c r="M17" s="27" t="n">
        <v>0</v>
      </c>
      <c r="N17" s="27" t="n">
        <v>0</v>
      </c>
      <c r="O17" s="27" t="n">
        <v>0</v>
      </c>
      <c r="P17" s="27" t="n">
        <v>0</v>
      </c>
      <c r="Q17" s="27" t="n">
        <v>0</v>
      </c>
      <c r="R17" s="27" t="n">
        <v>0</v>
      </c>
      <c r="S17" s="27" t="n">
        <v>0</v>
      </c>
      <c r="T17" s="27" t="n">
        <v>0</v>
      </c>
      <c r="U17" s="27" t="n">
        <v>0</v>
      </c>
      <c r="V17" s="27" t="n">
        <v>0</v>
      </c>
      <c r="W17" s="27" t="n">
        <v>0</v>
      </c>
      <c r="X17" s="27" t="n">
        <v>0</v>
      </c>
      <c r="Y17" s="27" t="n">
        <v>0</v>
      </c>
      <c r="Z17" s="27" t="n">
        <v>0</v>
      </c>
      <c r="AA17" s="27" t="n">
        <v>0</v>
      </c>
      <c r="AB17" s="27" t="n">
        <v>0</v>
      </c>
      <c r="AC17" s="27" t="n">
        <v>0</v>
      </c>
      <c r="AD17" s="27" t="n">
        <v>0</v>
      </c>
      <c r="AE17" s="27" t="n">
        <v>0</v>
      </c>
      <c r="AF17" s="27" t="n">
        <v>0</v>
      </c>
      <c r="AG17" s="27" t="n">
        <v>0</v>
      </c>
      <c r="AH17" s="27" t="n">
        <v>0</v>
      </c>
      <c r="AI17" s="27" t="n">
        <v>0</v>
      </c>
      <c r="AJ17" s="27" t="n">
        <v>0</v>
      </c>
      <c r="AK17" s="27" t="n">
        <v>0</v>
      </c>
      <c r="AL17" s="27" t="n">
        <v>0</v>
      </c>
      <c r="AM17" s="27" t="n">
        <v>0</v>
      </c>
      <c r="AN17" s="27" t="n">
        <v>0</v>
      </c>
      <c r="AO17" s="27" t="n">
        <v>0</v>
      </c>
      <c r="AP17" s="27" t="n">
        <v>0</v>
      </c>
      <c r="AQ17" s="27" t="n">
        <v>0</v>
      </c>
      <c r="AR17" s="27" t="n">
        <v>0</v>
      </c>
      <c r="AS17" s="27" t="n">
        <v>0</v>
      </c>
      <c r="AT17" s="27" t="n">
        <v>0</v>
      </c>
      <c r="AU17" s="27" t="n">
        <v>0</v>
      </c>
      <c r="AV17" s="27" t="n">
        <v>0</v>
      </c>
      <c r="AW17" s="27" t="n">
        <v>0</v>
      </c>
      <c r="AX17" s="27" t="n">
        <v>0</v>
      </c>
      <c r="AY17" s="27" t="n">
        <v>0</v>
      </c>
      <c r="AZ17" s="27" t="n">
        <v>0</v>
      </c>
      <c r="BA17" s="27" t="n">
        <v>0</v>
      </c>
      <c r="BB17" s="27" t="n">
        <v>0</v>
      </c>
      <c r="BC17" s="27" t="n">
        <v>0</v>
      </c>
      <c r="BD17" s="27" t="n">
        <v>0</v>
      </c>
      <c r="BE17" s="27" t="n">
        <v>0</v>
      </c>
      <c r="BF17" s="27" t="n">
        <v>0</v>
      </c>
      <c r="BG17" s="27" t="n">
        <v>0</v>
      </c>
      <c r="BH17" s="27" t="n">
        <v>0</v>
      </c>
      <c r="BI17" s="27" t="n">
        <v>0</v>
      </c>
      <c r="BJ17" s="27" t="n">
        <v>0</v>
      </c>
      <c r="BK17" s="27" t="n">
        <v>0</v>
      </c>
      <c r="BL17" s="27" t="n">
        <v>0</v>
      </c>
      <c r="BM17" s="27" t="n">
        <v>0</v>
      </c>
      <c r="BN17" s="27" t="n">
        <v>0</v>
      </c>
      <c r="BO17" s="27" t="n">
        <v>0</v>
      </c>
      <c r="BP17" s="27" t="n">
        <v>0</v>
      </c>
      <c r="BQ17" s="27" t="n">
        <v>0</v>
      </c>
      <c r="BR17" s="27" t="n">
        <v>0</v>
      </c>
      <c r="BS17" s="27" t="n">
        <v>0</v>
      </c>
      <c r="BT17" s="27" t="n">
        <v>0</v>
      </c>
      <c r="BU17" s="27" t="n">
        <v>0</v>
      </c>
      <c r="BV17" s="27" t="n">
        <v>0</v>
      </c>
      <c r="BW17" s="27" t="n">
        <v>0</v>
      </c>
      <c r="BX17" s="27" t="n">
        <v>0</v>
      </c>
      <c r="BY17" s="27" t="n">
        <v>0</v>
      </c>
      <c r="BZ17" s="27" t="n">
        <v>0</v>
      </c>
      <c r="CA17" s="27" t="n">
        <v>0</v>
      </c>
      <c r="CB17" s="27" t="n">
        <v>0</v>
      </c>
      <c r="CC17" s="27" t="n">
        <v>0</v>
      </c>
      <c r="CD17" s="27" t="n">
        <v>0</v>
      </c>
      <c r="CE17" s="27" t="n">
        <v>0</v>
      </c>
      <c r="CF17" s="27" t="n">
        <v>0</v>
      </c>
      <c r="CG17" s="27" t="n">
        <v>0</v>
      </c>
      <c r="CH17" s="27" t="n">
        <v>0</v>
      </c>
      <c r="CI17" s="27" t="n">
        <v>0</v>
      </c>
      <c r="CJ17" s="27" t="n">
        <v>0</v>
      </c>
      <c r="CK17" s="27" t="n">
        <v>0</v>
      </c>
      <c r="CL17" s="27" t="n">
        <v>0</v>
      </c>
      <c r="CM17" s="27" t="n">
        <v>0</v>
      </c>
      <c r="CN17" s="27" t="n">
        <v>0</v>
      </c>
      <c r="CO17" s="27" t="n">
        <v>0</v>
      </c>
      <c r="CP17" s="27" t="n">
        <v>0</v>
      </c>
      <c r="CQ17" s="27" t="n">
        <v>0</v>
      </c>
      <c r="CR17" s="27" t="n">
        <v>0</v>
      </c>
      <c r="CS17" s="27" t="n">
        <v>0</v>
      </c>
      <c r="CT17" s="27" t="n">
        <v>0</v>
      </c>
      <c r="CU17" s="27" t="n">
        <v>0</v>
      </c>
      <c r="CV17" s="27" t="n">
        <v>0</v>
      </c>
      <c r="CW17" s="27" t="n">
        <v>0</v>
      </c>
      <c r="CX17" s="27" t="n">
        <v>0</v>
      </c>
      <c r="CY17" s="27" t="n">
        <v>0</v>
      </c>
      <c r="CZ17" s="27" t="n">
        <v>0</v>
      </c>
      <c r="DA17" s="27" t="n">
        <v>0</v>
      </c>
    </row>
    <row r="18">
      <c r="A18" t="inlineStr">
        <is>
          <t>TSP-206</t>
        </is>
      </c>
      <c r="B18" s="27" t="n">
        <v>0</v>
      </c>
      <c r="C18" s="27" t="n">
        <v>0</v>
      </c>
      <c r="D18" s="27" t="n">
        <v>0</v>
      </c>
      <c r="E18" s="27" t="n">
        <v>0</v>
      </c>
      <c r="F18" s="27" t="n">
        <v>0</v>
      </c>
      <c r="G18" s="27" t="n">
        <v>0</v>
      </c>
      <c r="H18" s="27" t="n">
        <v>0</v>
      </c>
      <c r="I18" s="27" t="n">
        <v>0</v>
      </c>
      <c r="J18" s="27" t="n">
        <v>0</v>
      </c>
      <c r="K18" s="27" t="n">
        <v>0</v>
      </c>
      <c r="L18" s="27" t="n">
        <v>0</v>
      </c>
      <c r="M18" s="27" t="n">
        <v>0</v>
      </c>
      <c r="N18" s="27" t="n">
        <v>0</v>
      </c>
      <c r="O18" s="27" t="n">
        <v>0</v>
      </c>
      <c r="P18" s="27" t="n">
        <v>0</v>
      </c>
      <c r="Q18" s="27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27" t="n">
        <v>0</v>
      </c>
      <c r="AA18" s="27" t="n">
        <v>0</v>
      </c>
      <c r="AB18" s="27" t="n">
        <v>0</v>
      </c>
      <c r="AC18" s="27" t="n">
        <v>0</v>
      </c>
      <c r="AD18" s="27" t="n">
        <v>0</v>
      </c>
      <c r="AE18" s="27" t="n">
        <v>0</v>
      </c>
      <c r="AF18" s="27" t="n">
        <v>0</v>
      </c>
      <c r="AG18" s="27" t="n">
        <v>0</v>
      </c>
      <c r="AH18" s="27" t="n">
        <v>0</v>
      </c>
      <c r="AI18" s="27" t="n">
        <v>0</v>
      </c>
      <c r="AJ18" s="27" t="n">
        <v>0</v>
      </c>
      <c r="AK18" s="27" t="n">
        <v>0</v>
      </c>
      <c r="AL18" s="27" t="n">
        <v>0</v>
      </c>
      <c r="AM18" s="27" t="n">
        <v>0</v>
      </c>
      <c r="AN18" s="27" t="n">
        <v>0</v>
      </c>
      <c r="AO18" s="27" t="n">
        <v>0</v>
      </c>
      <c r="AP18" s="27" t="n">
        <v>0</v>
      </c>
      <c r="AQ18" s="27" t="n">
        <v>0</v>
      </c>
      <c r="AR18" s="27" t="n">
        <v>0</v>
      </c>
      <c r="AS18" s="27" t="n">
        <v>0</v>
      </c>
      <c r="AT18" s="27" t="n">
        <v>0</v>
      </c>
      <c r="AU18" s="27" t="n">
        <v>0</v>
      </c>
      <c r="AV18" s="27" t="n">
        <v>0</v>
      </c>
      <c r="AW18" s="27" t="n">
        <v>0</v>
      </c>
      <c r="AX18" s="27" t="n">
        <v>0</v>
      </c>
      <c r="AY18" s="27" t="n">
        <v>0</v>
      </c>
      <c r="AZ18" s="27" t="n">
        <v>0</v>
      </c>
      <c r="BA18" s="27" t="n">
        <v>0</v>
      </c>
      <c r="BB18" s="27" t="n">
        <v>0</v>
      </c>
      <c r="BC18" s="27" t="n">
        <v>0</v>
      </c>
      <c r="BD18" s="27" t="n">
        <v>0</v>
      </c>
      <c r="BE18" s="27" t="n">
        <v>0</v>
      </c>
      <c r="BF18" s="27" t="n">
        <v>0</v>
      </c>
      <c r="BG18" s="27" t="n">
        <v>0</v>
      </c>
      <c r="BH18" s="27" t="n">
        <v>0</v>
      </c>
      <c r="BI18" s="27" t="n">
        <v>0</v>
      </c>
      <c r="BJ18" s="27" t="n">
        <v>0</v>
      </c>
      <c r="BK18" s="27" t="n">
        <v>0</v>
      </c>
      <c r="BL18" s="27" t="n">
        <v>0</v>
      </c>
      <c r="BM18" s="27" t="n">
        <v>0</v>
      </c>
      <c r="BN18" s="27" t="n">
        <v>0</v>
      </c>
      <c r="BO18" s="27" t="n">
        <v>0</v>
      </c>
      <c r="BP18" s="27" t="n">
        <v>0</v>
      </c>
      <c r="BQ18" s="27" t="n">
        <v>0</v>
      </c>
      <c r="BR18" s="27" t="n">
        <v>0</v>
      </c>
      <c r="BS18" s="27" t="n">
        <v>0</v>
      </c>
      <c r="BT18" s="27" t="n">
        <v>0</v>
      </c>
      <c r="BU18" s="27" t="n">
        <v>0</v>
      </c>
      <c r="BV18" s="27" t="n">
        <v>0</v>
      </c>
      <c r="BW18" s="27" t="n">
        <v>0</v>
      </c>
      <c r="BX18" s="27" t="n">
        <v>0</v>
      </c>
      <c r="BY18" s="27" t="n">
        <v>0</v>
      </c>
      <c r="BZ18" s="27" t="n">
        <v>0</v>
      </c>
      <c r="CA18" s="27" t="n">
        <v>0</v>
      </c>
      <c r="CB18" s="27" t="n">
        <v>0</v>
      </c>
      <c r="CC18" s="27" t="n">
        <v>0</v>
      </c>
      <c r="CD18" s="27" t="n">
        <v>0</v>
      </c>
      <c r="CE18" s="27" t="n">
        <v>0</v>
      </c>
      <c r="CF18" s="27" t="n">
        <v>0</v>
      </c>
      <c r="CG18" s="27" t="n">
        <v>0</v>
      </c>
      <c r="CH18" s="27" t="n">
        <v>0</v>
      </c>
      <c r="CI18" s="27" t="n">
        <v>0</v>
      </c>
      <c r="CJ18" s="27" t="n">
        <v>0</v>
      </c>
      <c r="CK18" s="27" t="n">
        <v>0</v>
      </c>
      <c r="CL18" s="27" t="n">
        <v>0</v>
      </c>
      <c r="CM18" s="27" t="n">
        <v>0</v>
      </c>
      <c r="CN18" s="27" t="n">
        <v>0</v>
      </c>
      <c r="CO18" s="27" t="n">
        <v>0</v>
      </c>
      <c r="CP18" s="27" t="n">
        <v>0</v>
      </c>
      <c r="CQ18" s="27" t="n">
        <v>0</v>
      </c>
      <c r="CR18" s="27" t="n">
        <v>0</v>
      </c>
      <c r="CS18" s="27" t="n">
        <v>0</v>
      </c>
      <c r="CT18" s="27" t="n">
        <v>0</v>
      </c>
      <c r="CU18" s="27" t="n">
        <v>0</v>
      </c>
      <c r="CV18" s="27" t="n">
        <v>0</v>
      </c>
      <c r="CW18" s="27" t="n">
        <v>0</v>
      </c>
      <c r="CX18" s="27" t="n">
        <v>0</v>
      </c>
      <c r="CY18" s="27" t="n">
        <v>0</v>
      </c>
      <c r="CZ18" s="27" t="n">
        <v>0</v>
      </c>
      <c r="DA18" s="27" t="n">
        <v>0</v>
      </c>
    </row>
    <row r="19">
      <c r="A19" t="inlineStr">
        <is>
          <t>TSP-224</t>
        </is>
      </c>
      <c r="B19" s="27" t="n">
        <v>0</v>
      </c>
      <c r="C19" s="27" t="n">
        <v>0</v>
      </c>
      <c r="D19" s="27" t="n">
        <v>0</v>
      </c>
      <c r="E19" s="27" t="n">
        <v>0</v>
      </c>
      <c r="F19" s="27" t="n">
        <v>0</v>
      </c>
      <c r="G19" s="27" t="n">
        <v>0</v>
      </c>
      <c r="H19" s="27" t="n">
        <v>0</v>
      </c>
      <c r="I19" s="27" t="n">
        <v>0</v>
      </c>
      <c r="J19" s="27" t="n">
        <v>0</v>
      </c>
      <c r="K19" s="27" t="n">
        <v>0</v>
      </c>
      <c r="L19" s="27" t="n">
        <v>0</v>
      </c>
      <c r="M19" s="27" t="n">
        <v>0</v>
      </c>
      <c r="N19" s="27" t="n">
        <v>0</v>
      </c>
      <c r="O19" s="27" t="n">
        <v>0</v>
      </c>
      <c r="P19" s="27" t="n">
        <v>0</v>
      </c>
      <c r="Q19" s="27" t="n">
        <v>0</v>
      </c>
      <c r="R19" s="27" t="n">
        <v>0</v>
      </c>
      <c r="S19" s="27" t="n">
        <v>0</v>
      </c>
      <c r="T19" s="27" t="n">
        <v>0</v>
      </c>
      <c r="U19" s="27" t="n">
        <v>0</v>
      </c>
      <c r="V19" s="27" t="n">
        <v>0</v>
      </c>
      <c r="W19" s="27" t="n">
        <v>0</v>
      </c>
      <c r="X19" s="27" t="n">
        <v>0</v>
      </c>
      <c r="Y19" s="27" t="n">
        <v>0</v>
      </c>
      <c r="Z19" s="27" t="n">
        <v>0</v>
      </c>
      <c r="AA19" s="27" t="n">
        <v>0</v>
      </c>
      <c r="AB19" s="27" t="n">
        <v>0</v>
      </c>
      <c r="AC19" s="27" t="n">
        <v>0</v>
      </c>
      <c r="AD19" s="27" t="n">
        <v>0</v>
      </c>
      <c r="AE19" s="27" t="n">
        <v>0</v>
      </c>
      <c r="AF19" s="27" t="n">
        <v>0</v>
      </c>
      <c r="AG19" s="27" t="n">
        <v>0</v>
      </c>
      <c r="AH19" s="27" t="n">
        <v>0</v>
      </c>
      <c r="AI19" s="27" t="n">
        <v>0</v>
      </c>
      <c r="AJ19" s="27" t="n">
        <v>0</v>
      </c>
      <c r="AK19" s="27" t="n">
        <v>0</v>
      </c>
      <c r="AL19" s="27" t="n">
        <v>0</v>
      </c>
      <c r="AM19" s="27" t="n">
        <v>0</v>
      </c>
      <c r="AN19" s="27" t="n">
        <v>0</v>
      </c>
      <c r="AO19" s="27" t="n">
        <v>0</v>
      </c>
      <c r="AP19" s="27" t="n">
        <v>0</v>
      </c>
      <c r="AQ19" s="27" t="n">
        <v>0</v>
      </c>
      <c r="AR19" s="27" t="n">
        <v>0</v>
      </c>
      <c r="AS19" s="27" t="n">
        <v>0</v>
      </c>
      <c r="AT19" s="27" t="n">
        <v>0</v>
      </c>
      <c r="AU19" s="27" t="n">
        <v>0</v>
      </c>
      <c r="AV19" s="27" t="n">
        <v>0</v>
      </c>
      <c r="AW19" s="27" t="n">
        <v>0</v>
      </c>
      <c r="AX19" s="27" t="n">
        <v>0</v>
      </c>
      <c r="AY19" s="27" t="n">
        <v>0</v>
      </c>
      <c r="AZ19" s="27" t="n">
        <v>0</v>
      </c>
      <c r="BA19" s="27" t="n">
        <v>0</v>
      </c>
      <c r="BB19" s="27" t="n">
        <v>0</v>
      </c>
      <c r="BC19" s="27" t="n">
        <v>0</v>
      </c>
      <c r="BD19" s="27" t="n">
        <v>0</v>
      </c>
      <c r="BE19" s="27" t="n">
        <v>0</v>
      </c>
      <c r="BF19" s="27" t="n">
        <v>0</v>
      </c>
      <c r="BG19" s="27" t="n">
        <v>0</v>
      </c>
      <c r="BH19" s="27" t="n">
        <v>0</v>
      </c>
      <c r="BI19" s="27" t="n">
        <v>0</v>
      </c>
      <c r="BJ19" s="27" t="n">
        <v>0</v>
      </c>
      <c r="BK19" s="27" t="n">
        <v>0</v>
      </c>
      <c r="BL19" s="27" t="n">
        <v>0</v>
      </c>
      <c r="BM19" s="27" t="n">
        <v>0</v>
      </c>
      <c r="BN19" s="27" t="n">
        <v>0</v>
      </c>
      <c r="BO19" s="27" t="n">
        <v>0</v>
      </c>
      <c r="BP19" s="27" t="n">
        <v>0</v>
      </c>
      <c r="BQ19" s="27" t="n">
        <v>0</v>
      </c>
      <c r="BR19" s="27" t="n">
        <v>0</v>
      </c>
      <c r="BS19" s="27" t="n">
        <v>0</v>
      </c>
      <c r="BT19" s="27" t="n">
        <v>0</v>
      </c>
      <c r="BU19" s="27" t="n">
        <v>0</v>
      </c>
      <c r="BV19" s="27" t="n">
        <v>0</v>
      </c>
      <c r="BW19" s="27" t="n">
        <v>0</v>
      </c>
      <c r="BX19" s="27" t="n">
        <v>0</v>
      </c>
      <c r="BY19" s="27" t="n">
        <v>0</v>
      </c>
      <c r="BZ19" s="27" t="n">
        <v>0</v>
      </c>
      <c r="CA19" s="27" t="n">
        <v>0</v>
      </c>
      <c r="CB19" s="27" t="n">
        <v>0</v>
      </c>
      <c r="CC19" s="27" t="n">
        <v>0</v>
      </c>
      <c r="CD19" s="27" t="n">
        <v>0</v>
      </c>
      <c r="CE19" s="27" t="n">
        <v>0</v>
      </c>
      <c r="CF19" s="27" t="n">
        <v>0</v>
      </c>
      <c r="CG19" s="27" t="n">
        <v>0</v>
      </c>
      <c r="CH19" s="27" t="n">
        <v>0</v>
      </c>
      <c r="CI19" s="27" t="n">
        <v>0</v>
      </c>
      <c r="CJ19" s="27" t="n">
        <v>0</v>
      </c>
      <c r="CK19" s="27" t="n">
        <v>0</v>
      </c>
      <c r="CL19" s="27" t="n">
        <v>0</v>
      </c>
      <c r="CM19" s="27" t="n">
        <v>0</v>
      </c>
      <c r="CN19" s="27" t="n">
        <v>0</v>
      </c>
      <c r="CO19" s="27" t="n">
        <v>0</v>
      </c>
      <c r="CP19" s="27" t="n">
        <v>0</v>
      </c>
      <c r="CQ19" s="27" t="n">
        <v>0</v>
      </c>
      <c r="CR19" s="27" t="n">
        <v>0</v>
      </c>
      <c r="CS19" s="27" t="n">
        <v>0</v>
      </c>
      <c r="CT19" s="27" t="n">
        <v>0</v>
      </c>
      <c r="CU19" s="27" t="n">
        <v>0</v>
      </c>
      <c r="CV19" s="27" t="n">
        <v>0</v>
      </c>
      <c r="CW19" s="27" t="n">
        <v>0</v>
      </c>
      <c r="CX19" s="27" t="n">
        <v>0</v>
      </c>
      <c r="CY19" s="27" t="n">
        <v>0</v>
      </c>
      <c r="CZ19" s="27" t="n">
        <v>0</v>
      </c>
      <c r="DA19" s="27" t="n">
        <v>0</v>
      </c>
    </row>
    <row r="20">
      <c r="A20" t="inlineStr">
        <is>
          <t>TSP-225</t>
        </is>
      </c>
      <c r="B20" s="27" t="n">
        <v>0</v>
      </c>
      <c r="C20" s="27" t="n">
        <v>0</v>
      </c>
      <c r="D20" s="27" t="n">
        <v>0</v>
      </c>
      <c r="E20" s="27" t="n">
        <v>0</v>
      </c>
      <c r="F20" s="27" t="n">
        <v>0</v>
      </c>
      <c r="G20" s="27" t="n">
        <v>0</v>
      </c>
      <c r="H20" s="27" t="n">
        <v>0</v>
      </c>
      <c r="I20" s="27" t="n">
        <v>0</v>
      </c>
      <c r="J20" s="27" t="n">
        <v>0</v>
      </c>
      <c r="K20" s="27" t="n">
        <v>0</v>
      </c>
      <c r="L20" s="27" t="n">
        <v>0</v>
      </c>
      <c r="M20" s="27" t="n">
        <v>0</v>
      </c>
      <c r="N20" s="27" t="n">
        <v>0</v>
      </c>
      <c r="O20" s="27" t="n">
        <v>0</v>
      </c>
      <c r="P20" s="27" t="n">
        <v>0</v>
      </c>
      <c r="Q20" s="27" t="n">
        <v>0</v>
      </c>
      <c r="R20" s="27" t="n">
        <v>0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v>0</v>
      </c>
      <c r="X20" s="27" t="n">
        <v>0</v>
      </c>
      <c r="Y20" s="27" t="n">
        <v>0</v>
      </c>
      <c r="Z20" s="27" t="n">
        <v>0</v>
      </c>
      <c r="AA20" s="27" t="n">
        <v>0</v>
      </c>
      <c r="AB20" s="27" t="n">
        <v>0</v>
      </c>
      <c r="AC20" s="27" t="n">
        <v>0</v>
      </c>
      <c r="AD20" s="27" t="n">
        <v>0</v>
      </c>
      <c r="AE20" s="27" t="n">
        <v>0</v>
      </c>
      <c r="AF20" s="27" t="n">
        <v>0</v>
      </c>
      <c r="AG20" s="27" t="n">
        <v>0</v>
      </c>
      <c r="AH20" s="27" t="n">
        <v>0</v>
      </c>
      <c r="AI20" s="27" t="n">
        <v>0</v>
      </c>
      <c r="AJ20" s="27" t="n">
        <v>0</v>
      </c>
      <c r="AK20" s="27" t="n">
        <v>0</v>
      </c>
      <c r="AL20" s="27" t="n">
        <v>0</v>
      </c>
      <c r="AM20" s="27" t="n">
        <v>0</v>
      </c>
      <c r="AN20" s="27" t="n">
        <v>0</v>
      </c>
      <c r="AO20" s="27" t="n">
        <v>0</v>
      </c>
      <c r="AP20" s="27" t="n">
        <v>0</v>
      </c>
      <c r="AQ20" s="27" t="n">
        <v>0</v>
      </c>
      <c r="AR20" s="27" t="n">
        <v>0</v>
      </c>
      <c r="AS20" s="27" t="n">
        <v>0</v>
      </c>
      <c r="AT20" s="27" t="n">
        <v>0</v>
      </c>
      <c r="AU20" s="27" t="n">
        <v>0</v>
      </c>
      <c r="AV20" s="27" t="n">
        <v>0</v>
      </c>
      <c r="AW20" s="27" t="n">
        <v>0</v>
      </c>
      <c r="AX20" s="27" t="n">
        <v>0</v>
      </c>
      <c r="AY20" s="27" t="n">
        <v>0</v>
      </c>
      <c r="AZ20" s="27" t="n">
        <v>0</v>
      </c>
      <c r="BA20" s="27" t="n">
        <v>0</v>
      </c>
      <c r="BB20" s="27" t="n">
        <v>0</v>
      </c>
      <c r="BC20" s="27" t="n">
        <v>0</v>
      </c>
      <c r="BD20" s="27" t="n">
        <v>0</v>
      </c>
      <c r="BE20" s="27" t="n">
        <v>0</v>
      </c>
      <c r="BF20" s="27" t="n">
        <v>0</v>
      </c>
      <c r="BG20" s="27" t="n">
        <v>0</v>
      </c>
      <c r="BH20" s="27" t="n">
        <v>0</v>
      </c>
      <c r="BI20" s="27" t="n">
        <v>0</v>
      </c>
      <c r="BJ20" s="27" t="n">
        <v>0</v>
      </c>
      <c r="BK20" s="27" t="n">
        <v>0</v>
      </c>
      <c r="BL20" s="27" t="n">
        <v>0</v>
      </c>
      <c r="BM20" s="27" t="n">
        <v>0</v>
      </c>
      <c r="BN20" s="27" t="n">
        <v>0</v>
      </c>
      <c r="BO20" s="27" t="n">
        <v>0</v>
      </c>
      <c r="BP20" s="27" t="n">
        <v>0</v>
      </c>
      <c r="BQ20" s="27" t="n">
        <v>0</v>
      </c>
      <c r="BR20" s="27" t="n">
        <v>0</v>
      </c>
      <c r="BS20" s="27" t="n">
        <v>0</v>
      </c>
      <c r="BT20" s="27" t="n">
        <v>0</v>
      </c>
      <c r="BU20" s="27" t="n">
        <v>0</v>
      </c>
      <c r="BV20" s="27" t="n">
        <v>0</v>
      </c>
      <c r="BW20" s="27" t="n">
        <v>0</v>
      </c>
      <c r="BX20" s="27" t="n">
        <v>0</v>
      </c>
      <c r="BY20" s="27" t="n">
        <v>0</v>
      </c>
      <c r="BZ20" s="27" t="n">
        <v>0</v>
      </c>
      <c r="CA20" s="27" t="n">
        <v>0</v>
      </c>
      <c r="CB20" s="27" t="n">
        <v>0</v>
      </c>
      <c r="CC20" s="27" t="n">
        <v>0</v>
      </c>
      <c r="CD20" s="27" t="n">
        <v>0</v>
      </c>
      <c r="CE20" s="27" t="n">
        <v>0</v>
      </c>
      <c r="CF20" s="27" t="n">
        <v>0</v>
      </c>
      <c r="CG20" s="27" t="n">
        <v>0</v>
      </c>
      <c r="CH20" s="27" t="n">
        <v>0</v>
      </c>
      <c r="CI20" s="27" t="n">
        <v>0</v>
      </c>
      <c r="CJ20" s="27" t="n">
        <v>0</v>
      </c>
      <c r="CK20" s="27" t="n">
        <v>0</v>
      </c>
      <c r="CL20" s="27" t="n">
        <v>0</v>
      </c>
      <c r="CM20" s="27" t="n">
        <v>0</v>
      </c>
      <c r="CN20" s="27" t="n">
        <v>0</v>
      </c>
      <c r="CO20" s="27" t="n">
        <v>0</v>
      </c>
      <c r="CP20" s="27" t="n">
        <v>0</v>
      </c>
      <c r="CQ20" s="27" t="n">
        <v>0</v>
      </c>
      <c r="CR20" s="27" t="n">
        <v>0</v>
      </c>
      <c r="CS20" s="27" t="n">
        <v>0</v>
      </c>
      <c r="CT20" s="27" t="n">
        <v>0</v>
      </c>
      <c r="CU20" s="27" t="n">
        <v>0</v>
      </c>
      <c r="CV20" s="27" t="n">
        <v>0</v>
      </c>
      <c r="CW20" s="27" t="n">
        <v>0</v>
      </c>
      <c r="CX20" s="27" t="n">
        <v>0</v>
      </c>
      <c r="CY20" s="27" t="n">
        <v>0</v>
      </c>
      <c r="CZ20" s="27" t="n">
        <v>0</v>
      </c>
      <c r="DA20" s="27" t="n">
        <v>0</v>
      </c>
    </row>
    <row r="21">
      <c r="A21" t="inlineStr">
        <is>
          <t>TSP-360</t>
        </is>
      </c>
      <c r="B21" s="27" t="n">
        <v>0</v>
      </c>
      <c r="C21" s="27" t="n">
        <v>0</v>
      </c>
      <c r="D21" s="27" t="n">
        <v>0</v>
      </c>
      <c r="E21" s="27" t="n">
        <v>0</v>
      </c>
      <c r="F21" s="27" t="n">
        <v>0</v>
      </c>
      <c r="G21" s="27" t="n">
        <v>0</v>
      </c>
      <c r="H21" s="27" t="n">
        <v>0</v>
      </c>
      <c r="I21" s="27" t="n">
        <v>0</v>
      </c>
      <c r="J21" s="27" t="n">
        <v>0</v>
      </c>
      <c r="K21" s="27" t="n">
        <v>0</v>
      </c>
      <c r="L21" s="27" t="n">
        <v>0</v>
      </c>
      <c r="M21" s="27" t="n">
        <v>0</v>
      </c>
      <c r="N21" s="27" t="n">
        <v>0</v>
      </c>
      <c r="O21" s="27" t="n">
        <v>0</v>
      </c>
      <c r="P21" s="27" t="n">
        <v>0</v>
      </c>
      <c r="Q21" s="27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v>0</v>
      </c>
      <c r="X21" s="27" t="n">
        <v>0</v>
      </c>
      <c r="Y21" s="27" t="n">
        <v>0</v>
      </c>
      <c r="Z21" s="27" t="n">
        <v>0</v>
      </c>
      <c r="AA21" s="27" t="n">
        <v>0</v>
      </c>
      <c r="AB21" s="27" t="n">
        <v>0</v>
      </c>
      <c r="AC21" s="27" t="n">
        <v>0</v>
      </c>
      <c r="AD21" s="27" t="n">
        <v>0</v>
      </c>
      <c r="AE21" s="27" t="n">
        <v>0</v>
      </c>
      <c r="AF21" s="27" t="n">
        <v>0</v>
      </c>
      <c r="AG21" s="27" t="n">
        <v>0</v>
      </c>
      <c r="AH21" s="27" t="n">
        <v>0</v>
      </c>
      <c r="AI21" s="27" t="n">
        <v>0</v>
      </c>
      <c r="AJ21" s="27" t="n">
        <v>0</v>
      </c>
      <c r="AK21" s="27" t="n">
        <v>0</v>
      </c>
      <c r="AL21" s="27" t="n">
        <v>0</v>
      </c>
      <c r="AM21" s="27" t="n">
        <v>0</v>
      </c>
      <c r="AN21" s="27" t="n">
        <v>0</v>
      </c>
      <c r="AO21" s="27" t="n">
        <v>0</v>
      </c>
      <c r="AP21" s="27" t="n">
        <v>0</v>
      </c>
      <c r="AQ21" s="27" t="n">
        <v>0</v>
      </c>
      <c r="AR21" s="27" t="n">
        <v>0</v>
      </c>
      <c r="AS21" s="27" t="n">
        <v>0</v>
      </c>
      <c r="AT21" s="27" t="n">
        <v>0</v>
      </c>
      <c r="AU21" s="27" t="n">
        <v>0</v>
      </c>
      <c r="AV21" s="27" t="n">
        <v>0</v>
      </c>
      <c r="AW21" s="27" t="n">
        <v>0</v>
      </c>
      <c r="AX21" s="27" t="n">
        <v>0</v>
      </c>
      <c r="AY21" s="27" t="n">
        <v>0</v>
      </c>
      <c r="AZ21" s="27" t="n">
        <v>0</v>
      </c>
      <c r="BA21" s="27" t="n">
        <v>0</v>
      </c>
      <c r="BB21" s="27" t="n">
        <v>0</v>
      </c>
      <c r="BC21" s="27" t="n">
        <v>0</v>
      </c>
      <c r="BD21" s="27" t="n">
        <v>0</v>
      </c>
      <c r="BE21" s="27" t="n">
        <v>0</v>
      </c>
      <c r="BF21" s="27" t="n">
        <v>0</v>
      </c>
      <c r="BG21" s="27" t="n">
        <v>0</v>
      </c>
      <c r="BH21" s="27" t="n">
        <v>0</v>
      </c>
      <c r="BI21" s="27" t="n">
        <v>0</v>
      </c>
      <c r="BJ21" s="27" t="n">
        <v>0</v>
      </c>
      <c r="BK21" s="27" t="n">
        <v>0</v>
      </c>
      <c r="BL21" s="27" t="n">
        <v>0</v>
      </c>
      <c r="BM21" s="27" t="n">
        <v>0</v>
      </c>
      <c r="BN21" s="27" t="n">
        <v>0</v>
      </c>
      <c r="BO21" s="27" t="n">
        <v>0</v>
      </c>
      <c r="BP21" s="27" t="n">
        <v>0</v>
      </c>
      <c r="BQ21" s="27" t="n">
        <v>0</v>
      </c>
      <c r="BR21" s="27" t="n">
        <v>0</v>
      </c>
      <c r="BS21" s="27" t="n">
        <v>0</v>
      </c>
      <c r="BT21" s="27" t="n">
        <v>0</v>
      </c>
      <c r="BU21" s="27" t="n">
        <v>0</v>
      </c>
      <c r="BV21" s="27" t="n">
        <v>0</v>
      </c>
      <c r="BW21" s="27" t="n">
        <v>0</v>
      </c>
      <c r="BX21" s="27" t="n">
        <v>0</v>
      </c>
      <c r="BY21" s="27" t="n">
        <v>0</v>
      </c>
      <c r="BZ21" s="27" t="n">
        <v>0</v>
      </c>
      <c r="CA21" s="27" t="n">
        <v>0</v>
      </c>
      <c r="CB21" s="27" t="n">
        <v>0</v>
      </c>
      <c r="CC21" s="27" t="n">
        <v>0</v>
      </c>
      <c r="CD21" s="27" t="n">
        <v>0</v>
      </c>
      <c r="CE21" s="27" t="n">
        <v>0</v>
      </c>
      <c r="CF21" s="27" t="n">
        <v>0</v>
      </c>
      <c r="CG21" s="27" t="n">
        <v>0</v>
      </c>
      <c r="CH21" s="27" t="n">
        <v>0</v>
      </c>
      <c r="CI21" s="27" t="n">
        <v>0</v>
      </c>
      <c r="CJ21" s="27" t="n">
        <v>0</v>
      </c>
      <c r="CK21" s="27" t="n">
        <v>0</v>
      </c>
      <c r="CL21" s="27" t="n">
        <v>0</v>
      </c>
      <c r="CM21" s="27" t="n">
        <v>0</v>
      </c>
      <c r="CN21" s="27" t="n">
        <v>0</v>
      </c>
      <c r="CO21" s="27" t="n">
        <v>0</v>
      </c>
      <c r="CP21" s="27" t="n">
        <v>0</v>
      </c>
      <c r="CQ21" s="27" t="n">
        <v>0</v>
      </c>
      <c r="CR21" s="27" t="n">
        <v>0</v>
      </c>
      <c r="CS21" s="27" t="n">
        <v>0</v>
      </c>
      <c r="CT21" s="27" t="n">
        <v>0</v>
      </c>
      <c r="CU21" s="27" t="n">
        <v>0</v>
      </c>
      <c r="CV21" s="27" t="n">
        <v>0</v>
      </c>
      <c r="CW21" s="27" t="n">
        <v>0</v>
      </c>
      <c r="CX21" s="27" t="n">
        <v>0</v>
      </c>
      <c r="CY21" s="27" t="n">
        <v>0</v>
      </c>
      <c r="CZ21" s="27" t="n">
        <v>0</v>
      </c>
      <c r="DA21" s="27" t="n">
        <v>0</v>
      </c>
    </row>
    <row r="22">
      <c r="A22" t="inlineStr">
        <is>
          <t>TSP-367</t>
        </is>
      </c>
      <c r="B22" s="27" t="n">
        <v>0</v>
      </c>
      <c r="C22" s="27" t="n">
        <v>0</v>
      </c>
      <c r="D22" s="27" t="n">
        <v>0</v>
      </c>
      <c r="E22" s="27" t="n">
        <v>0</v>
      </c>
      <c r="F22" s="27" t="n">
        <v>0</v>
      </c>
      <c r="G22" s="27" t="n">
        <v>0</v>
      </c>
      <c r="H22" s="27" t="n">
        <v>0</v>
      </c>
      <c r="I22" s="27" t="n">
        <v>0</v>
      </c>
      <c r="J22" s="27" t="n">
        <v>0</v>
      </c>
      <c r="K22" s="27" t="n">
        <v>0</v>
      </c>
      <c r="L22" s="27" t="n">
        <v>0</v>
      </c>
      <c r="M22" s="27" t="n">
        <v>0</v>
      </c>
      <c r="N22" s="27" t="n">
        <v>0</v>
      </c>
      <c r="O22" s="27" t="n">
        <v>0</v>
      </c>
      <c r="P22" s="27" t="n">
        <v>0</v>
      </c>
      <c r="Q22" s="27" t="n">
        <v>0</v>
      </c>
      <c r="R22" s="27" t="n">
        <v>0</v>
      </c>
      <c r="S22" s="27" t="n">
        <v>0</v>
      </c>
      <c r="T22" s="27" t="n">
        <v>0</v>
      </c>
      <c r="U22" s="27" t="n">
        <v>0</v>
      </c>
      <c r="V22" s="27" t="n">
        <v>0</v>
      </c>
      <c r="W22" s="27" t="n">
        <v>0</v>
      </c>
      <c r="X22" s="27" t="n">
        <v>0</v>
      </c>
      <c r="Y22" s="27" t="n">
        <v>0</v>
      </c>
      <c r="Z22" s="27" t="n">
        <v>0</v>
      </c>
      <c r="AA22" s="27" t="n">
        <v>0</v>
      </c>
      <c r="AB22" s="27" t="n">
        <v>0</v>
      </c>
      <c r="AC22" s="27" t="n">
        <v>0</v>
      </c>
      <c r="AD22" s="27" t="n">
        <v>0</v>
      </c>
      <c r="AE22" s="27" t="n">
        <v>0</v>
      </c>
      <c r="AF22" s="27" t="n">
        <v>0</v>
      </c>
      <c r="AG22" s="27" t="n">
        <v>0</v>
      </c>
      <c r="AH22" s="27" t="n">
        <v>0</v>
      </c>
      <c r="AI22" s="27" t="n">
        <v>0</v>
      </c>
      <c r="AJ22" s="27" t="n">
        <v>0</v>
      </c>
      <c r="AK22" s="27" t="n">
        <v>0</v>
      </c>
      <c r="AL22" s="27" t="n">
        <v>0</v>
      </c>
      <c r="AM22" s="27" t="n">
        <v>0</v>
      </c>
      <c r="AN22" s="27" t="n">
        <v>0</v>
      </c>
      <c r="AO22" s="27" t="n">
        <v>0</v>
      </c>
      <c r="AP22" s="27" t="n">
        <v>0</v>
      </c>
      <c r="AQ22" s="27" t="n">
        <v>0</v>
      </c>
      <c r="AR22" s="27" t="n">
        <v>0</v>
      </c>
      <c r="AS22" s="27" t="n">
        <v>0</v>
      </c>
      <c r="AT22" s="27" t="n">
        <v>0</v>
      </c>
      <c r="AU22" s="27" t="n">
        <v>0</v>
      </c>
      <c r="AV22" s="27" t="n">
        <v>0</v>
      </c>
      <c r="AW22" s="27" t="n">
        <v>0</v>
      </c>
      <c r="AX22" s="27" t="n">
        <v>0</v>
      </c>
      <c r="AY22" s="27" t="n">
        <v>0</v>
      </c>
      <c r="AZ22" s="27" t="n">
        <v>0</v>
      </c>
      <c r="BA22" s="27" t="n">
        <v>0</v>
      </c>
      <c r="BB22" s="27" t="n">
        <v>0</v>
      </c>
      <c r="BC22" s="27" t="n">
        <v>0</v>
      </c>
      <c r="BD22" s="27" t="n">
        <v>0</v>
      </c>
      <c r="BE22" s="27" t="n">
        <v>0</v>
      </c>
      <c r="BF22" s="27" t="n">
        <v>0</v>
      </c>
      <c r="BG22" s="27" t="n">
        <v>0</v>
      </c>
      <c r="BH22" s="27" t="n">
        <v>0</v>
      </c>
      <c r="BI22" s="27" t="n">
        <v>0</v>
      </c>
      <c r="BJ22" s="27" t="n">
        <v>0</v>
      </c>
      <c r="BK22" s="27" t="n">
        <v>0</v>
      </c>
      <c r="BL22" s="27" t="n">
        <v>0</v>
      </c>
      <c r="BM22" s="27" t="n">
        <v>0</v>
      </c>
      <c r="BN22" s="27" t="n">
        <v>0</v>
      </c>
      <c r="BO22" s="27" t="n">
        <v>0</v>
      </c>
      <c r="BP22" s="27" t="n">
        <v>0</v>
      </c>
      <c r="BQ22" s="27" t="n">
        <v>0</v>
      </c>
      <c r="BR22" s="27" t="n">
        <v>0</v>
      </c>
      <c r="BS22" s="27" t="n">
        <v>0</v>
      </c>
      <c r="BT22" s="27" t="n">
        <v>0</v>
      </c>
      <c r="BU22" s="27" t="n">
        <v>0</v>
      </c>
      <c r="BV22" s="27" t="n">
        <v>0</v>
      </c>
      <c r="BW22" s="27" t="n">
        <v>0</v>
      </c>
      <c r="BX22" s="27" t="n">
        <v>0</v>
      </c>
      <c r="BY22" s="27" t="n">
        <v>0</v>
      </c>
      <c r="BZ22" s="27" t="n">
        <v>0</v>
      </c>
      <c r="CA22" s="27" t="n">
        <v>0</v>
      </c>
      <c r="CB22" s="27" t="n">
        <v>0</v>
      </c>
      <c r="CC22" s="27" t="n">
        <v>0</v>
      </c>
      <c r="CD22" s="27" t="n">
        <v>0</v>
      </c>
      <c r="CE22" s="27" t="n">
        <v>0</v>
      </c>
      <c r="CF22" s="27" t="n">
        <v>0</v>
      </c>
      <c r="CG22" s="27" t="n">
        <v>0</v>
      </c>
      <c r="CH22" s="27" t="n">
        <v>0</v>
      </c>
      <c r="CI22" s="27" t="n">
        <v>0</v>
      </c>
      <c r="CJ22" s="27" t="n">
        <v>0</v>
      </c>
      <c r="CK22" s="27" t="n">
        <v>0</v>
      </c>
      <c r="CL22" s="27" t="n">
        <v>0</v>
      </c>
      <c r="CM22" s="27" t="n">
        <v>0</v>
      </c>
      <c r="CN22" s="27" t="n">
        <v>0</v>
      </c>
      <c r="CO22" s="27" t="n">
        <v>0</v>
      </c>
      <c r="CP22" s="27" t="n">
        <v>0</v>
      </c>
      <c r="CQ22" s="27" t="n">
        <v>0</v>
      </c>
      <c r="CR22" s="27" t="n">
        <v>0</v>
      </c>
      <c r="CS22" s="27" t="n">
        <v>0</v>
      </c>
      <c r="CT22" s="27" t="n">
        <v>0</v>
      </c>
      <c r="CU22" s="27" t="n">
        <v>0</v>
      </c>
      <c r="CV22" s="27" t="n">
        <v>0</v>
      </c>
      <c r="CW22" s="27" t="n">
        <v>0</v>
      </c>
      <c r="CX22" s="27" t="n">
        <v>0</v>
      </c>
      <c r="CY22" s="27" t="n">
        <v>0</v>
      </c>
      <c r="CZ22" s="27" t="n">
        <v>0</v>
      </c>
      <c r="DA22" s="27" t="n">
        <v>0</v>
      </c>
    </row>
    <row r="23">
      <c r="A23" t="inlineStr">
        <is>
          <t>TSP-369</t>
        </is>
      </c>
      <c r="B23" s="27" t="n">
        <v>0</v>
      </c>
      <c r="C23" s="27" t="n">
        <v>0</v>
      </c>
      <c r="D23" s="27" t="n">
        <v>0</v>
      </c>
      <c r="E23" s="27" t="n">
        <v>0</v>
      </c>
      <c r="F23" s="27" t="n">
        <v>0</v>
      </c>
      <c r="G23" s="27" t="n">
        <v>0</v>
      </c>
      <c r="H23" s="27" t="n">
        <v>0</v>
      </c>
      <c r="I23" s="27" t="n">
        <v>0</v>
      </c>
      <c r="J23" s="27" t="n">
        <v>0</v>
      </c>
      <c r="K23" s="27" t="n">
        <v>0</v>
      </c>
      <c r="L23" s="27" t="n">
        <v>0</v>
      </c>
      <c r="M23" s="27" t="n">
        <v>0</v>
      </c>
      <c r="N23" s="27" t="n">
        <v>0</v>
      </c>
      <c r="O23" s="27" t="n">
        <v>0</v>
      </c>
      <c r="P23" s="27" t="n">
        <v>0</v>
      </c>
      <c r="Q23" s="27" t="n">
        <v>0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0</v>
      </c>
      <c r="W23" s="27" t="n">
        <v>0</v>
      </c>
      <c r="X23" s="27" t="n">
        <v>0</v>
      </c>
      <c r="Y23" s="27" t="n">
        <v>0</v>
      </c>
      <c r="Z23" s="27" t="n">
        <v>0</v>
      </c>
      <c r="AA23" s="27" t="n">
        <v>0</v>
      </c>
      <c r="AB23" s="27" t="n">
        <v>0</v>
      </c>
      <c r="AC23" s="27" t="n">
        <v>0</v>
      </c>
      <c r="AD23" s="27" t="n">
        <v>0</v>
      </c>
      <c r="AE23" s="27" t="n">
        <v>0</v>
      </c>
      <c r="AF23" s="27" t="n">
        <v>0</v>
      </c>
      <c r="AG23" s="27" t="n">
        <v>0</v>
      </c>
      <c r="AH23" s="27" t="n">
        <v>0</v>
      </c>
      <c r="AI23" s="27" t="n">
        <v>0</v>
      </c>
      <c r="AJ23" s="27" t="n">
        <v>0</v>
      </c>
      <c r="AK23" s="27" t="n">
        <v>0</v>
      </c>
      <c r="AL23" s="27" t="n">
        <v>0</v>
      </c>
      <c r="AM23" s="27" t="n">
        <v>0</v>
      </c>
      <c r="AN23" s="27" t="n">
        <v>0</v>
      </c>
      <c r="AO23" s="27" t="n">
        <v>0</v>
      </c>
      <c r="AP23" s="27" t="n">
        <v>0</v>
      </c>
      <c r="AQ23" s="27" t="n">
        <v>0</v>
      </c>
      <c r="AR23" s="27" t="n">
        <v>0</v>
      </c>
      <c r="AS23" s="27" t="n">
        <v>0</v>
      </c>
      <c r="AT23" s="27" t="n">
        <v>0</v>
      </c>
      <c r="AU23" s="27" t="n">
        <v>0</v>
      </c>
      <c r="AV23" s="27" t="n">
        <v>0</v>
      </c>
      <c r="AW23" s="27" t="n">
        <v>0</v>
      </c>
      <c r="AX23" s="27" t="n">
        <v>0</v>
      </c>
      <c r="AY23" s="27" t="n">
        <v>0</v>
      </c>
      <c r="AZ23" s="27" t="n">
        <v>0</v>
      </c>
      <c r="BA23" s="27" t="n">
        <v>0</v>
      </c>
      <c r="BB23" s="27" t="n">
        <v>0</v>
      </c>
      <c r="BC23" s="27" t="n">
        <v>0</v>
      </c>
      <c r="BD23" s="27" t="n">
        <v>0</v>
      </c>
      <c r="BE23" s="27" t="n">
        <v>0</v>
      </c>
      <c r="BF23" s="27" t="n">
        <v>0</v>
      </c>
      <c r="BG23" s="27" t="n">
        <v>0</v>
      </c>
      <c r="BH23" s="27" t="n">
        <v>0</v>
      </c>
      <c r="BI23" s="27" t="n">
        <v>0</v>
      </c>
      <c r="BJ23" s="27" t="n">
        <v>0</v>
      </c>
      <c r="BK23" s="27" t="n">
        <v>0</v>
      </c>
      <c r="BL23" s="27" t="n">
        <v>0</v>
      </c>
      <c r="BM23" s="27" t="n">
        <v>0</v>
      </c>
      <c r="BN23" s="27" t="n">
        <v>0</v>
      </c>
      <c r="BO23" s="27" t="n">
        <v>0</v>
      </c>
      <c r="BP23" s="27" t="n">
        <v>0</v>
      </c>
      <c r="BQ23" s="27" t="n">
        <v>0</v>
      </c>
      <c r="BR23" s="27" t="n">
        <v>0</v>
      </c>
      <c r="BS23" s="27" t="n">
        <v>0</v>
      </c>
      <c r="BT23" s="27" t="n">
        <v>0</v>
      </c>
      <c r="BU23" s="27" t="n">
        <v>0</v>
      </c>
      <c r="BV23" s="27" t="n">
        <v>0</v>
      </c>
      <c r="BW23" s="27" t="n">
        <v>0</v>
      </c>
      <c r="BX23" s="27" t="n">
        <v>0</v>
      </c>
      <c r="BY23" s="27" t="n">
        <v>0</v>
      </c>
      <c r="BZ23" s="27" t="n">
        <v>0</v>
      </c>
      <c r="CA23" s="27" t="n">
        <v>0</v>
      </c>
      <c r="CB23" s="27" t="n">
        <v>0</v>
      </c>
      <c r="CC23" s="27" t="n">
        <v>0</v>
      </c>
      <c r="CD23" s="27" t="n">
        <v>0</v>
      </c>
      <c r="CE23" s="27" t="n">
        <v>0</v>
      </c>
      <c r="CF23" s="27" t="n">
        <v>0</v>
      </c>
      <c r="CG23" s="27" t="n">
        <v>0</v>
      </c>
      <c r="CH23" s="27" t="n">
        <v>0</v>
      </c>
      <c r="CI23" s="27" t="n">
        <v>0</v>
      </c>
      <c r="CJ23" s="27" t="n">
        <v>0</v>
      </c>
      <c r="CK23" s="27" t="n">
        <v>0</v>
      </c>
      <c r="CL23" s="27" t="n">
        <v>0</v>
      </c>
      <c r="CM23" s="27" t="n">
        <v>0</v>
      </c>
      <c r="CN23" s="27" t="n">
        <v>0</v>
      </c>
      <c r="CO23" s="27" t="n">
        <v>0</v>
      </c>
      <c r="CP23" s="27" t="n">
        <v>0</v>
      </c>
      <c r="CQ23" s="27" t="n">
        <v>0</v>
      </c>
      <c r="CR23" s="27" t="n">
        <v>0</v>
      </c>
      <c r="CS23" s="27" t="n">
        <v>0</v>
      </c>
      <c r="CT23" s="27" t="n">
        <v>0</v>
      </c>
      <c r="CU23" s="27" t="n">
        <v>0</v>
      </c>
      <c r="CV23" s="27" t="n">
        <v>0</v>
      </c>
      <c r="CW23" s="27" t="n">
        <v>0</v>
      </c>
      <c r="CX23" s="27" t="n">
        <v>0</v>
      </c>
      <c r="CY23" s="27" t="n">
        <v>0</v>
      </c>
      <c r="CZ23" s="27" t="n">
        <v>0</v>
      </c>
      <c r="DA23" s="27" t="n">
        <v>0</v>
      </c>
    </row>
    <row r="24">
      <c r="A24" t="inlineStr">
        <is>
          <t>TSP-402</t>
        </is>
      </c>
      <c r="B24" s="27" t="n">
        <v>0</v>
      </c>
      <c r="C24" s="27" t="n">
        <v>0</v>
      </c>
      <c r="D24" s="27" t="n">
        <v>0</v>
      </c>
      <c r="E24" s="27" t="n">
        <v>0</v>
      </c>
      <c r="F24" s="27" t="n">
        <v>0</v>
      </c>
      <c r="G24" s="27" t="n">
        <v>0</v>
      </c>
      <c r="H24" s="27" t="n">
        <v>0</v>
      </c>
      <c r="I24" s="27" t="n">
        <v>0</v>
      </c>
      <c r="J24" s="27" t="n">
        <v>0</v>
      </c>
      <c r="K24" s="27" t="n">
        <v>0</v>
      </c>
      <c r="L24" s="27" t="n">
        <v>0</v>
      </c>
      <c r="M24" s="27" t="n">
        <v>0</v>
      </c>
      <c r="N24" s="27" t="n">
        <v>0</v>
      </c>
      <c r="O24" s="27" t="n">
        <v>0</v>
      </c>
      <c r="P24" s="27" t="n">
        <v>0</v>
      </c>
      <c r="Q24" s="27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27" t="n">
        <v>0</v>
      </c>
      <c r="AB24" s="27" t="n">
        <v>0</v>
      </c>
      <c r="AC24" s="27" t="n">
        <v>0</v>
      </c>
      <c r="AD24" s="27" t="n">
        <v>0</v>
      </c>
      <c r="AE24" s="27" t="n">
        <v>0</v>
      </c>
      <c r="AF24" s="27" t="n">
        <v>0</v>
      </c>
      <c r="AG24" s="27" t="n">
        <v>0</v>
      </c>
      <c r="AH24" s="27" t="n">
        <v>0</v>
      </c>
      <c r="AI24" s="27" t="n">
        <v>0</v>
      </c>
      <c r="AJ24" s="27" t="n">
        <v>0</v>
      </c>
      <c r="AK24" s="27" t="n">
        <v>0</v>
      </c>
      <c r="AL24" s="27" t="n">
        <v>0</v>
      </c>
      <c r="AM24" s="27" t="n">
        <v>0</v>
      </c>
      <c r="AN24" s="27" t="n">
        <v>0</v>
      </c>
      <c r="AO24" s="27" t="n">
        <v>0</v>
      </c>
      <c r="AP24" s="27" t="n">
        <v>0</v>
      </c>
      <c r="AQ24" s="27" t="n">
        <v>0</v>
      </c>
      <c r="AR24" s="27" t="n">
        <v>0</v>
      </c>
      <c r="AS24" s="27" t="n">
        <v>0</v>
      </c>
      <c r="AT24" s="27" t="n">
        <v>0</v>
      </c>
      <c r="AU24" s="27" t="n">
        <v>0</v>
      </c>
      <c r="AV24" s="27" t="n">
        <v>0</v>
      </c>
      <c r="AW24" s="27" t="n">
        <v>0</v>
      </c>
      <c r="AX24" s="27" t="n">
        <v>0</v>
      </c>
      <c r="AY24" s="27" t="n">
        <v>0</v>
      </c>
      <c r="AZ24" s="27" t="n">
        <v>0</v>
      </c>
      <c r="BA24" s="27" t="n">
        <v>0</v>
      </c>
      <c r="BB24" s="27" t="n">
        <v>0</v>
      </c>
      <c r="BC24" s="27" t="n">
        <v>0</v>
      </c>
      <c r="BD24" s="27" t="n">
        <v>0</v>
      </c>
      <c r="BE24" s="27" t="n">
        <v>0</v>
      </c>
      <c r="BF24" s="27" t="n">
        <v>0</v>
      </c>
      <c r="BG24" s="27" t="n">
        <v>0</v>
      </c>
      <c r="BH24" s="27" t="n">
        <v>0</v>
      </c>
      <c r="BI24" s="27" t="n">
        <v>0</v>
      </c>
      <c r="BJ24" s="27" t="n">
        <v>0</v>
      </c>
      <c r="BK24" s="27" t="n">
        <v>0</v>
      </c>
      <c r="BL24" s="27" t="n">
        <v>0</v>
      </c>
      <c r="BM24" s="27" t="n">
        <v>0</v>
      </c>
      <c r="BN24" s="27" t="n">
        <v>0</v>
      </c>
      <c r="BO24" s="27" t="n">
        <v>0</v>
      </c>
      <c r="BP24" s="27" t="n">
        <v>0</v>
      </c>
      <c r="BQ24" s="27" t="n">
        <v>0</v>
      </c>
      <c r="BR24" s="27" t="n">
        <v>0</v>
      </c>
      <c r="BS24" s="27" t="n">
        <v>0</v>
      </c>
      <c r="BT24" s="27" t="n">
        <v>0</v>
      </c>
      <c r="BU24" s="27" t="n">
        <v>0</v>
      </c>
      <c r="BV24" s="27" t="n">
        <v>0</v>
      </c>
      <c r="BW24" s="27" t="n">
        <v>0</v>
      </c>
      <c r="BX24" s="27" t="n">
        <v>0</v>
      </c>
      <c r="BY24" s="27" t="n">
        <v>0</v>
      </c>
      <c r="BZ24" s="27" t="n">
        <v>0</v>
      </c>
      <c r="CA24" s="27" t="n">
        <v>0</v>
      </c>
      <c r="CB24" s="27" t="n">
        <v>0</v>
      </c>
      <c r="CC24" s="27" t="n">
        <v>0</v>
      </c>
      <c r="CD24" s="27" t="n">
        <v>0</v>
      </c>
      <c r="CE24" s="27" t="n">
        <v>0</v>
      </c>
      <c r="CF24" s="27" t="n">
        <v>0</v>
      </c>
      <c r="CG24" s="27" t="n">
        <v>0</v>
      </c>
      <c r="CH24" s="27" t="n">
        <v>0</v>
      </c>
      <c r="CI24" s="27" t="n">
        <v>0</v>
      </c>
      <c r="CJ24" s="27" t="n">
        <v>0</v>
      </c>
      <c r="CK24" s="27" t="n">
        <v>0</v>
      </c>
      <c r="CL24" s="27" t="n">
        <v>0</v>
      </c>
      <c r="CM24" s="27" t="n">
        <v>0</v>
      </c>
      <c r="CN24" s="27" t="n">
        <v>0</v>
      </c>
      <c r="CO24" s="27" t="n">
        <v>0</v>
      </c>
      <c r="CP24" s="27" t="n">
        <v>0</v>
      </c>
      <c r="CQ24" s="27" t="n">
        <v>0</v>
      </c>
      <c r="CR24" s="27" t="n">
        <v>0</v>
      </c>
      <c r="CS24" s="27" t="n">
        <v>0</v>
      </c>
      <c r="CT24" s="27" t="n">
        <v>0</v>
      </c>
      <c r="CU24" s="27" t="n">
        <v>0</v>
      </c>
      <c r="CV24" s="27" t="n">
        <v>0</v>
      </c>
      <c r="CW24" s="27" t="n">
        <v>0</v>
      </c>
      <c r="CX24" s="27" t="n">
        <v>0</v>
      </c>
      <c r="CY24" s="27" t="n">
        <v>0</v>
      </c>
      <c r="CZ24" s="27" t="n">
        <v>0</v>
      </c>
      <c r="DA24" s="27" t="n">
        <v>0</v>
      </c>
    </row>
    <row r="25">
      <c r="A25" t="inlineStr">
        <is>
          <t>TSP-403</t>
        </is>
      </c>
      <c r="B25" s="27" t="n">
        <v>0</v>
      </c>
      <c r="C25" s="27" t="n">
        <v>0</v>
      </c>
      <c r="D25" s="27" t="n">
        <v>0</v>
      </c>
      <c r="E25" s="27" t="n">
        <v>0</v>
      </c>
      <c r="F25" s="27" t="n">
        <v>0</v>
      </c>
      <c r="G25" s="27" t="n">
        <v>0</v>
      </c>
      <c r="H25" s="27" t="n">
        <v>0</v>
      </c>
      <c r="I25" s="27" t="n">
        <v>0</v>
      </c>
      <c r="J25" s="27" t="n">
        <v>0</v>
      </c>
      <c r="K25" s="27" t="n">
        <v>0</v>
      </c>
      <c r="L25" s="27" t="n">
        <v>0</v>
      </c>
      <c r="M25" s="27" t="n">
        <v>0</v>
      </c>
      <c r="N25" s="27" t="n">
        <v>0</v>
      </c>
      <c r="O25" s="27" t="n">
        <v>0</v>
      </c>
      <c r="P25" s="27" t="n">
        <v>0</v>
      </c>
      <c r="Q25" s="27" t="n">
        <v>0</v>
      </c>
      <c r="R25" s="27" t="n">
        <v>0</v>
      </c>
      <c r="S25" s="27" t="n">
        <v>0</v>
      </c>
      <c r="T25" s="27" t="n">
        <v>0</v>
      </c>
      <c r="U25" s="27" t="n">
        <v>0</v>
      </c>
      <c r="V25" s="27" t="n">
        <v>0</v>
      </c>
      <c r="W25" s="27" t="n">
        <v>0</v>
      </c>
      <c r="X25" s="27" t="n">
        <v>0</v>
      </c>
      <c r="Y25" s="27" t="n">
        <v>0</v>
      </c>
      <c r="Z25" s="27" t="n">
        <v>0</v>
      </c>
      <c r="AA25" s="27" t="n">
        <v>0</v>
      </c>
      <c r="AB25" s="27" t="n">
        <v>0</v>
      </c>
      <c r="AC25" s="27" t="n">
        <v>0</v>
      </c>
      <c r="AD25" s="27" t="n">
        <v>0</v>
      </c>
      <c r="AE25" s="27" t="n">
        <v>0</v>
      </c>
      <c r="AF25" s="27" t="n">
        <v>0</v>
      </c>
      <c r="AG25" s="27" t="n">
        <v>0</v>
      </c>
      <c r="AH25" s="27" t="n">
        <v>0</v>
      </c>
      <c r="AI25" s="27" t="n">
        <v>0</v>
      </c>
      <c r="AJ25" s="27" t="n">
        <v>0</v>
      </c>
      <c r="AK25" s="27" t="n">
        <v>0</v>
      </c>
      <c r="AL25" s="27" t="n">
        <v>0</v>
      </c>
      <c r="AM25" s="27" t="n">
        <v>0</v>
      </c>
      <c r="AN25" s="27" t="n">
        <v>0</v>
      </c>
      <c r="AO25" s="27" t="n">
        <v>0</v>
      </c>
      <c r="AP25" s="27" t="n">
        <v>0</v>
      </c>
      <c r="AQ25" s="27" t="n">
        <v>0</v>
      </c>
      <c r="AR25" s="27" t="n">
        <v>0</v>
      </c>
      <c r="AS25" s="27" t="n">
        <v>0</v>
      </c>
      <c r="AT25" s="27" t="n">
        <v>0</v>
      </c>
      <c r="AU25" s="27" t="n">
        <v>0</v>
      </c>
      <c r="AV25" s="27" t="n">
        <v>0</v>
      </c>
      <c r="AW25" s="27" t="n">
        <v>0</v>
      </c>
      <c r="AX25" s="27" t="n">
        <v>0</v>
      </c>
      <c r="AY25" s="27" t="n">
        <v>0</v>
      </c>
      <c r="AZ25" s="27" t="n">
        <v>0</v>
      </c>
      <c r="BA25" s="27" t="n">
        <v>0</v>
      </c>
      <c r="BB25" s="27" t="n">
        <v>0</v>
      </c>
      <c r="BC25" s="27" t="n">
        <v>0</v>
      </c>
      <c r="BD25" s="27" t="n">
        <v>0</v>
      </c>
      <c r="BE25" s="27" t="n">
        <v>0</v>
      </c>
      <c r="BF25" s="27" t="n">
        <v>0</v>
      </c>
      <c r="BG25" s="27" t="n">
        <v>0</v>
      </c>
      <c r="BH25" s="27" t="n">
        <v>0</v>
      </c>
      <c r="BI25" s="27" t="n">
        <v>0</v>
      </c>
      <c r="BJ25" s="27" t="n">
        <v>0</v>
      </c>
      <c r="BK25" s="27" t="n">
        <v>0</v>
      </c>
      <c r="BL25" s="27" t="n">
        <v>0</v>
      </c>
      <c r="BM25" s="27" t="n">
        <v>0</v>
      </c>
      <c r="BN25" s="27" t="n">
        <v>0</v>
      </c>
      <c r="BO25" s="27" t="n">
        <v>0</v>
      </c>
      <c r="BP25" s="27" t="n">
        <v>0</v>
      </c>
      <c r="BQ25" s="27" t="n">
        <v>0</v>
      </c>
      <c r="BR25" s="27" t="n">
        <v>0</v>
      </c>
      <c r="BS25" s="27" t="n">
        <v>0</v>
      </c>
      <c r="BT25" s="27" t="n">
        <v>0</v>
      </c>
      <c r="BU25" s="27" t="n">
        <v>0</v>
      </c>
      <c r="BV25" s="27" t="n">
        <v>0</v>
      </c>
      <c r="BW25" s="27" t="n">
        <v>0</v>
      </c>
      <c r="BX25" s="27" t="n">
        <v>0</v>
      </c>
      <c r="BY25" s="27" t="n">
        <v>0</v>
      </c>
      <c r="BZ25" s="27" t="n">
        <v>0</v>
      </c>
      <c r="CA25" s="27" t="n">
        <v>0</v>
      </c>
      <c r="CB25" s="27" t="n">
        <v>0</v>
      </c>
      <c r="CC25" s="27" t="n">
        <v>0</v>
      </c>
      <c r="CD25" s="27" t="n">
        <v>0</v>
      </c>
      <c r="CE25" s="27" t="n">
        <v>0</v>
      </c>
      <c r="CF25" s="27" t="n">
        <v>0</v>
      </c>
      <c r="CG25" s="27" t="n">
        <v>0</v>
      </c>
      <c r="CH25" s="27" t="n">
        <v>0</v>
      </c>
      <c r="CI25" s="27" t="n">
        <v>0</v>
      </c>
      <c r="CJ25" s="27" t="n">
        <v>0</v>
      </c>
      <c r="CK25" s="27" t="n">
        <v>0</v>
      </c>
      <c r="CL25" s="27" t="n">
        <v>0</v>
      </c>
      <c r="CM25" s="27" t="n">
        <v>0</v>
      </c>
      <c r="CN25" s="27" t="n">
        <v>0</v>
      </c>
      <c r="CO25" s="27" t="n">
        <v>0</v>
      </c>
      <c r="CP25" s="27" t="n">
        <v>0</v>
      </c>
      <c r="CQ25" s="27" t="n">
        <v>0</v>
      </c>
      <c r="CR25" s="27" t="n">
        <v>0</v>
      </c>
      <c r="CS25" s="27" t="n">
        <v>0</v>
      </c>
      <c r="CT25" s="27" t="n">
        <v>0</v>
      </c>
      <c r="CU25" s="27" t="n">
        <v>0</v>
      </c>
      <c r="CV25" s="27" t="n">
        <v>0</v>
      </c>
      <c r="CW25" s="27" t="n">
        <v>0</v>
      </c>
      <c r="CX25" s="27" t="n">
        <v>0</v>
      </c>
      <c r="CY25" s="27" t="n">
        <v>0</v>
      </c>
      <c r="CZ25" s="27" t="n">
        <v>0</v>
      </c>
      <c r="DA25" s="27" t="n">
        <v>0</v>
      </c>
    </row>
    <row r="26">
      <c r="A26" t="inlineStr">
        <is>
          <t>TSP-404</t>
        </is>
      </c>
      <c r="B26" s="27" t="n">
        <v>0</v>
      </c>
      <c r="C26" s="27" t="n">
        <v>0</v>
      </c>
      <c r="D26" s="27" t="n">
        <v>0</v>
      </c>
      <c r="E26" s="27" t="n">
        <v>0</v>
      </c>
      <c r="F26" s="27" t="n">
        <v>0</v>
      </c>
      <c r="G26" s="27" t="n">
        <v>0</v>
      </c>
      <c r="H26" s="27" t="n">
        <v>0</v>
      </c>
      <c r="I26" s="27" t="n">
        <v>0</v>
      </c>
      <c r="J26" s="27" t="n">
        <v>0</v>
      </c>
      <c r="K26" s="27" t="n">
        <v>0</v>
      </c>
      <c r="L26" s="27" t="n">
        <v>0</v>
      </c>
      <c r="M26" s="27" t="n">
        <v>0</v>
      </c>
      <c r="N26" s="27" t="n">
        <v>0</v>
      </c>
      <c r="O26" s="27" t="n">
        <v>0</v>
      </c>
      <c r="P26" s="27" t="n">
        <v>0</v>
      </c>
      <c r="Q26" s="27" t="n">
        <v>0</v>
      </c>
      <c r="R26" s="27" t="n">
        <v>0</v>
      </c>
      <c r="S26" s="27" t="n">
        <v>0</v>
      </c>
      <c r="T26" s="27" t="n">
        <v>0</v>
      </c>
      <c r="U26" s="27" t="n">
        <v>0</v>
      </c>
      <c r="V26" s="27" t="n">
        <v>0</v>
      </c>
      <c r="W26" s="27" t="n">
        <v>0</v>
      </c>
      <c r="X26" s="27" t="n">
        <v>0</v>
      </c>
      <c r="Y26" s="27" t="n">
        <v>0</v>
      </c>
      <c r="Z26" s="27" t="n">
        <v>0</v>
      </c>
      <c r="AA26" s="27" t="n">
        <v>0</v>
      </c>
      <c r="AB26" s="27" t="n">
        <v>0</v>
      </c>
      <c r="AC26" s="27" t="n">
        <v>0</v>
      </c>
      <c r="AD26" s="27" t="n">
        <v>0</v>
      </c>
      <c r="AE26" s="27" t="n">
        <v>0</v>
      </c>
      <c r="AF26" s="27" t="n">
        <v>0</v>
      </c>
      <c r="AG26" s="27" t="n">
        <v>0</v>
      </c>
      <c r="AH26" s="27" t="n">
        <v>0</v>
      </c>
      <c r="AI26" s="27" t="n">
        <v>0</v>
      </c>
      <c r="AJ26" s="27" t="n">
        <v>0</v>
      </c>
      <c r="AK26" s="27" t="n">
        <v>0</v>
      </c>
      <c r="AL26" s="27" t="n">
        <v>0</v>
      </c>
      <c r="AM26" s="27" t="n">
        <v>0</v>
      </c>
      <c r="AN26" s="27" t="n">
        <v>0</v>
      </c>
      <c r="AO26" s="27" t="n">
        <v>0</v>
      </c>
      <c r="AP26" s="27" t="n">
        <v>0</v>
      </c>
      <c r="AQ26" s="27" t="n">
        <v>0</v>
      </c>
      <c r="AR26" s="27" t="n">
        <v>0</v>
      </c>
      <c r="AS26" s="27" t="n">
        <v>0</v>
      </c>
      <c r="AT26" s="27" t="n">
        <v>0</v>
      </c>
      <c r="AU26" s="27" t="n">
        <v>0</v>
      </c>
      <c r="AV26" s="27" t="n">
        <v>0</v>
      </c>
      <c r="AW26" s="27" t="n">
        <v>0</v>
      </c>
      <c r="AX26" s="27" t="n">
        <v>0</v>
      </c>
      <c r="AY26" s="27" t="n">
        <v>0</v>
      </c>
      <c r="AZ26" s="27" t="n">
        <v>0</v>
      </c>
      <c r="BA26" s="27" t="n">
        <v>0</v>
      </c>
      <c r="BB26" s="27" t="n">
        <v>0</v>
      </c>
      <c r="BC26" s="27" t="n">
        <v>0</v>
      </c>
      <c r="BD26" s="27" t="n">
        <v>0</v>
      </c>
      <c r="BE26" s="27" t="n">
        <v>0</v>
      </c>
      <c r="BF26" s="27" t="n">
        <v>0</v>
      </c>
      <c r="BG26" s="27" t="n">
        <v>0</v>
      </c>
      <c r="BH26" s="27" t="n">
        <v>0</v>
      </c>
      <c r="BI26" s="27" t="n">
        <v>0</v>
      </c>
      <c r="BJ26" s="27" t="n">
        <v>0</v>
      </c>
      <c r="BK26" s="27" t="n">
        <v>0</v>
      </c>
      <c r="BL26" s="27" t="n">
        <v>0</v>
      </c>
      <c r="BM26" s="27" t="n">
        <v>0</v>
      </c>
      <c r="BN26" s="27" t="n">
        <v>0</v>
      </c>
      <c r="BO26" s="27" t="n">
        <v>0</v>
      </c>
      <c r="BP26" s="27" t="n">
        <v>0</v>
      </c>
      <c r="BQ26" s="27" t="n">
        <v>0</v>
      </c>
      <c r="BR26" s="27" t="n">
        <v>0</v>
      </c>
      <c r="BS26" s="27" t="n">
        <v>0</v>
      </c>
      <c r="BT26" s="27" t="n">
        <v>0</v>
      </c>
      <c r="BU26" s="27" t="n">
        <v>0</v>
      </c>
      <c r="BV26" s="27" t="n">
        <v>0</v>
      </c>
      <c r="BW26" s="27" t="n">
        <v>0</v>
      </c>
      <c r="BX26" s="27" t="n">
        <v>0</v>
      </c>
      <c r="BY26" s="27" t="n">
        <v>0</v>
      </c>
      <c r="BZ26" s="27" t="n">
        <v>0</v>
      </c>
      <c r="CA26" s="27" t="n">
        <v>0</v>
      </c>
      <c r="CB26" s="27" t="n">
        <v>0</v>
      </c>
      <c r="CC26" s="27" t="n">
        <v>0</v>
      </c>
      <c r="CD26" s="27" t="n">
        <v>0</v>
      </c>
      <c r="CE26" s="27" t="n">
        <v>0</v>
      </c>
      <c r="CF26" s="27" t="n">
        <v>0</v>
      </c>
      <c r="CG26" s="27" t="n">
        <v>0</v>
      </c>
      <c r="CH26" s="27" t="n">
        <v>0</v>
      </c>
      <c r="CI26" s="27" t="n">
        <v>0</v>
      </c>
      <c r="CJ26" s="27" t="n">
        <v>0</v>
      </c>
      <c r="CK26" s="27" t="n">
        <v>0</v>
      </c>
      <c r="CL26" s="27" t="n">
        <v>0</v>
      </c>
      <c r="CM26" s="27" t="n">
        <v>0</v>
      </c>
      <c r="CN26" s="27" t="n">
        <v>0</v>
      </c>
      <c r="CO26" s="27" t="n">
        <v>0</v>
      </c>
      <c r="CP26" s="27" t="n">
        <v>0</v>
      </c>
      <c r="CQ26" s="27" t="n">
        <v>0</v>
      </c>
      <c r="CR26" s="27" t="n">
        <v>0</v>
      </c>
      <c r="CS26" s="27" t="n">
        <v>0</v>
      </c>
      <c r="CT26" s="27" t="n">
        <v>0</v>
      </c>
      <c r="CU26" s="27" t="n">
        <v>0</v>
      </c>
      <c r="CV26" s="27" t="n">
        <v>0</v>
      </c>
      <c r="CW26" s="27" t="n">
        <v>0</v>
      </c>
      <c r="CX26" s="27" t="n">
        <v>0</v>
      </c>
      <c r="CY26" s="27" t="n">
        <v>0</v>
      </c>
      <c r="CZ26" s="27" t="n">
        <v>0</v>
      </c>
      <c r="DA26" s="27" t="n">
        <v>0</v>
      </c>
    </row>
    <row r="27">
      <c r="A27" t="inlineStr">
        <is>
          <t>TSP-405</t>
        </is>
      </c>
      <c r="B27" s="27" t="n">
        <v>0</v>
      </c>
      <c r="C27" s="27" t="n">
        <v>0</v>
      </c>
      <c r="D27" s="27" t="n">
        <v>0</v>
      </c>
      <c r="E27" s="27" t="n">
        <v>0</v>
      </c>
      <c r="F27" s="27" t="n">
        <v>0</v>
      </c>
      <c r="G27" s="27" t="n">
        <v>0</v>
      </c>
      <c r="H27" s="27" t="n">
        <v>0</v>
      </c>
      <c r="I27" s="27" t="n">
        <v>0</v>
      </c>
      <c r="J27" s="27" t="n">
        <v>0</v>
      </c>
      <c r="K27" s="27" t="n">
        <v>0</v>
      </c>
      <c r="L27" s="27" t="n">
        <v>0</v>
      </c>
      <c r="M27" s="27" t="n">
        <v>0</v>
      </c>
      <c r="N27" s="27" t="n">
        <v>0</v>
      </c>
      <c r="O27" s="27" t="n">
        <v>0</v>
      </c>
      <c r="P27" s="27" t="n">
        <v>0</v>
      </c>
      <c r="Q27" s="27" t="n">
        <v>0</v>
      </c>
      <c r="R27" s="27" t="n">
        <v>0</v>
      </c>
      <c r="S27" s="27" t="n">
        <v>0</v>
      </c>
      <c r="T27" s="27" t="n">
        <v>0</v>
      </c>
      <c r="U27" s="27" t="n">
        <v>0</v>
      </c>
      <c r="V27" s="27" t="n">
        <v>0</v>
      </c>
      <c r="W27" s="27" t="n">
        <v>0</v>
      </c>
      <c r="X27" s="27" t="n">
        <v>0</v>
      </c>
      <c r="Y27" s="27" t="n">
        <v>0</v>
      </c>
      <c r="Z27" s="27" t="n">
        <v>0</v>
      </c>
      <c r="AA27" s="27" t="n">
        <v>0</v>
      </c>
      <c r="AB27" s="27" t="n">
        <v>0</v>
      </c>
      <c r="AC27" s="27" t="n">
        <v>0</v>
      </c>
      <c r="AD27" s="27" t="n">
        <v>0</v>
      </c>
      <c r="AE27" s="27" t="n">
        <v>0</v>
      </c>
      <c r="AF27" s="27" t="n">
        <v>0</v>
      </c>
      <c r="AG27" s="27" t="n">
        <v>0</v>
      </c>
      <c r="AH27" s="27" t="n">
        <v>0</v>
      </c>
      <c r="AI27" s="27" t="n">
        <v>0</v>
      </c>
      <c r="AJ27" s="27" t="n">
        <v>0</v>
      </c>
      <c r="AK27" s="27" t="n">
        <v>0</v>
      </c>
      <c r="AL27" s="27" t="n">
        <v>0</v>
      </c>
      <c r="AM27" s="27" t="n">
        <v>0</v>
      </c>
      <c r="AN27" s="27" t="n">
        <v>0</v>
      </c>
      <c r="AO27" s="27" t="n">
        <v>0</v>
      </c>
      <c r="AP27" s="27" t="n">
        <v>0</v>
      </c>
      <c r="AQ27" s="27" t="n">
        <v>0</v>
      </c>
      <c r="AR27" s="27" t="n">
        <v>0</v>
      </c>
      <c r="AS27" s="27" t="n">
        <v>0</v>
      </c>
      <c r="AT27" s="27" t="n">
        <v>0</v>
      </c>
      <c r="AU27" s="27" t="n">
        <v>0</v>
      </c>
      <c r="AV27" s="27" t="n">
        <v>0</v>
      </c>
      <c r="AW27" s="27" t="n">
        <v>0</v>
      </c>
      <c r="AX27" s="27" t="n">
        <v>0</v>
      </c>
      <c r="AY27" s="27" t="n">
        <v>0</v>
      </c>
      <c r="AZ27" s="27" t="n">
        <v>0</v>
      </c>
      <c r="BA27" s="27" t="n">
        <v>0</v>
      </c>
      <c r="BB27" s="27" t="n">
        <v>0</v>
      </c>
      <c r="BC27" s="27" t="n">
        <v>0</v>
      </c>
      <c r="BD27" s="27" t="n">
        <v>0</v>
      </c>
      <c r="BE27" s="27" t="n">
        <v>0</v>
      </c>
      <c r="BF27" s="27" t="n">
        <v>0</v>
      </c>
      <c r="BG27" s="27" t="n">
        <v>0</v>
      </c>
      <c r="BH27" s="27" t="n">
        <v>0</v>
      </c>
      <c r="BI27" s="27" t="n">
        <v>0</v>
      </c>
      <c r="BJ27" s="27" t="n">
        <v>0</v>
      </c>
      <c r="BK27" s="27" t="n">
        <v>0</v>
      </c>
      <c r="BL27" s="27" t="n">
        <v>0</v>
      </c>
      <c r="BM27" s="27" t="n">
        <v>0</v>
      </c>
      <c r="BN27" s="27" t="n">
        <v>0</v>
      </c>
      <c r="BO27" s="27" t="n">
        <v>0</v>
      </c>
      <c r="BP27" s="27" t="n">
        <v>0</v>
      </c>
      <c r="BQ27" s="27" t="n">
        <v>0</v>
      </c>
      <c r="BR27" s="27" t="n">
        <v>0</v>
      </c>
      <c r="BS27" s="27" t="n">
        <v>0</v>
      </c>
      <c r="BT27" s="27" t="n">
        <v>0</v>
      </c>
      <c r="BU27" s="27" t="n">
        <v>0</v>
      </c>
      <c r="BV27" s="27" t="n">
        <v>0</v>
      </c>
      <c r="BW27" s="27" t="n">
        <v>0</v>
      </c>
      <c r="BX27" s="27" t="n">
        <v>0</v>
      </c>
      <c r="BY27" s="27" t="n">
        <v>0</v>
      </c>
      <c r="BZ27" s="27" t="n">
        <v>0</v>
      </c>
      <c r="CA27" s="27" t="n">
        <v>0</v>
      </c>
      <c r="CB27" s="27" t="n">
        <v>0</v>
      </c>
      <c r="CC27" s="27" t="n">
        <v>0</v>
      </c>
      <c r="CD27" s="27" t="n">
        <v>0</v>
      </c>
      <c r="CE27" s="27" t="n">
        <v>0</v>
      </c>
      <c r="CF27" s="27" t="n">
        <v>0</v>
      </c>
      <c r="CG27" s="27" t="n">
        <v>0</v>
      </c>
      <c r="CH27" s="27" t="n">
        <v>0</v>
      </c>
      <c r="CI27" s="27" t="n">
        <v>0</v>
      </c>
      <c r="CJ27" s="27" t="n">
        <v>0</v>
      </c>
      <c r="CK27" s="27" t="n">
        <v>0</v>
      </c>
      <c r="CL27" s="27" t="n">
        <v>0</v>
      </c>
      <c r="CM27" s="27" t="n">
        <v>0</v>
      </c>
      <c r="CN27" s="27" t="n">
        <v>0</v>
      </c>
      <c r="CO27" s="27" t="n">
        <v>0</v>
      </c>
      <c r="CP27" s="27" t="n">
        <v>0</v>
      </c>
      <c r="CQ27" s="27" t="n">
        <v>0</v>
      </c>
      <c r="CR27" s="27" t="n">
        <v>0</v>
      </c>
      <c r="CS27" s="27" t="n">
        <v>0</v>
      </c>
      <c r="CT27" s="27" t="n">
        <v>0</v>
      </c>
      <c r="CU27" s="27" t="n">
        <v>0</v>
      </c>
      <c r="CV27" s="27" t="n">
        <v>0</v>
      </c>
      <c r="CW27" s="27" t="n">
        <v>0</v>
      </c>
      <c r="CX27" s="27" t="n">
        <v>0</v>
      </c>
      <c r="CY27" s="27" t="n">
        <v>0</v>
      </c>
      <c r="CZ27" s="27" t="n">
        <v>0</v>
      </c>
      <c r="DA27" s="27" t="n">
        <v>0</v>
      </c>
    </row>
    <row r="28">
      <c r="A28" t="inlineStr">
        <is>
          <t>TSP-544</t>
        </is>
      </c>
      <c r="B28" s="27" t="n">
        <v>0</v>
      </c>
      <c r="C28" s="27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0</v>
      </c>
      <c r="I28" s="27" t="n">
        <v>0</v>
      </c>
      <c r="J28" s="27" t="n">
        <v>0</v>
      </c>
      <c r="K28" s="27" t="n">
        <v>0</v>
      </c>
      <c r="L28" s="27" t="n">
        <v>0</v>
      </c>
      <c r="M28" s="27" t="n">
        <v>0</v>
      </c>
      <c r="N28" s="27" t="n">
        <v>0</v>
      </c>
      <c r="O28" s="27" t="n">
        <v>0</v>
      </c>
      <c r="P28" s="27" t="n">
        <v>0</v>
      </c>
      <c r="Q28" s="27" t="n">
        <v>0</v>
      </c>
      <c r="R28" s="27" t="n">
        <v>0</v>
      </c>
      <c r="S28" s="27" t="n">
        <v>0</v>
      </c>
      <c r="T28" s="27" t="n">
        <v>0</v>
      </c>
      <c r="U28" s="27" t="n">
        <v>0</v>
      </c>
      <c r="V28" s="27" t="n">
        <v>0</v>
      </c>
      <c r="W28" s="27" t="n">
        <v>0</v>
      </c>
      <c r="X28" s="27" t="n">
        <v>0</v>
      </c>
      <c r="Y28" s="27" t="n">
        <v>0</v>
      </c>
      <c r="Z28" s="27" t="n">
        <v>0</v>
      </c>
      <c r="AA28" s="27" t="n">
        <v>0</v>
      </c>
      <c r="AB28" s="27" t="n">
        <v>0</v>
      </c>
      <c r="AC28" s="27" t="n">
        <v>0</v>
      </c>
      <c r="AD28" s="27" t="n">
        <v>0</v>
      </c>
      <c r="AE28" s="27" t="n">
        <v>0</v>
      </c>
      <c r="AF28" s="27" t="n">
        <v>0</v>
      </c>
      <c r="AG28" s="27" t="n">
        <v>0</v>
      </c>
      <c r="AH28" s="27" t="n">
        <v>0</v>
      </c>
      <c r="AI28" s="27" t="n">
        <v>0</v>
      </c>
      <c r="AJ28" s="27" t="n">
        <v>0</v>
      </c>
      <c r="AK28" s="27" t="n">
        <v>0</v>
      </c>
      <c r="AL28" s="27" t="n">
        <v>0</v>
      </c>
      <c r="AM28" s="27" t="n">
        <v>0</v>
      </c>
      <c r="AN28" s="27" t="n">
        <v>0</v>
      </c>
      <c r="AO28" s="27" t="n">
        <v>0</v>
      </c>
      <c r="AP28" s="27" t="n">
        <v>0</v>
      </c>
      <c r="AQ28" s="27" t="n">
        <v>0</v>
      </c>
      <c r="AR28" s="27" t="n">
        <v>0</v>
      </c>
      <c r="AS28" s="27" t="n">
        <v>0</v>
      </c>
      <c r="AT28" s="27" t="n">
        <v>0</v>
      </c>
      <c r="AU28" s="27" t="n">
        <v>0</v>
      </c>
      <c r="AV28" s="27" t="n">
        <v>0</v>
      </c>
      <c r="AW28" s="27" t="n">
        <v>0</v>
      </c>
      <c r="AX28" s="27" t="n">
        <v>0</v>
      </c>
      <c r="AY28" s="27" t="n">
        <v>0</v>
      </c>
      <c r="AZ28" s="27" t="n">
        <v>0</v>
      </c>
      <c r="BA28" s="27" t="n">
        <v>0</v>
      </c>
      <c r="BB28" s="27" t="n">
        <v>0</v>
      </c>
      <c r="BC28" s="27" t="n">
        <v>0</v>
      </c>
      <c r="BD28" s="27" t="n">
        <v>0</v>
      </c>
      <c r="BE28" s="27" t="n">
        <v>0</v>
      </c>
      <c r="BF28" s="27" t="n">
        <v>0</v>
      </c>
      <c r="BG28" s="27" t="n">
        <v>0</v>
      </c>
      <c r="BH28" s="27" t="n">
        <v>0</v>
      </c>
      <c r="BI28" s="27" t="n">
        <v>0</v>
      </c>
      <c r="BJ28" s="27" t="n">
        <v>0</v>
      </c>
      <c r="BK28" s="27" t="n">
        <v>0</v>
      </c>
      <c r="BL28" s="27" t="n">
        <v>0</v>
      </c>
      <c r="BM28" s="27" t="n">
        <v>0</v>
      </c>
      <c r="BN28" s="27" t="n">
        <v>0</v>
      </c>
      <c r="BO28" s="27" t="n">
        <v>0</v>
      </c>
      <c r="BP28" s="27" t="n">
        <v>0</v>
      </c>
      <c r="BQ28" s="27" t="n">
        <v>0</v>
      </c>
      <c r="BR28" s="27" t="n">
        <v>0</v>
      </c>
      <c r="BS28" s="27" t="n">
        <v>0</v>
      </c>
      <c r="BT28" s="27" t="n">
        <v>0</v>
      </c>
      <c r="BU28" s="27" t="n">
        <v>0</v>
      </c>
      <c r="BV28" s="27" t="n">
        <v>0</v>
      </c>
      <c r="BW28" s="27" t="n">
        <v>0</v>
      </c>
      <c r="BX28" s="27" t="n">
        <v>0</v>
      </c>
      <c r="BY28" s="27" t="n">
        <v>0</v>
      </c>
      <c r="BZ28" s="27" t="n">
        <v>0</v>
      </c>
      <c r="CA28" s="27" t="n">
        <v>0</v>
      </c>
      <c r="CB28" s="27" t="n">
        <v>0</v>
      </c>
      <c r="CC28" s="27" t="n">
        <v>0</v>
      </c>
      <c r="CD28" s="27" t="n">
        <v>0</v>
      </c>
      <c r="CE28" s="27" t="n">
        <v>0</v>
      </c>
      <c r="CF28" s="27" t="n">
        <v>0</v>
      </c>
      <c r="CG28" s="27" t="n">
        <v>0</v>
      </c>
      <c r="CH28" s="27" t="n">
        <v>0</v>
      </c>
      <c r="CI28" s="27" t="n">
        <v>0</v>
      </c>
      <c r="CJ28" s="27" t="n">
        <v>0</v>
      </c>
      <c r="CK28" s="27" t="n">
        <v>0</v>
      </c>
      <c r="CL28" s="27" t="n">
        <v>0</v>
      </c>
      <c r="CM28" s="27" t="n">
        <v>0</v>
      </c>
      <c r="CN28" s="27" t="n">
        <v>0</v>
      </c>
      <c r="CO28" s="27" t="n">
        <v>0</v>
      </c>
      <c r="CP28" s="27" t="n">
        <v>0</v>
      </c>
      <c r="CQ28" s="27" t="n">
        <v>0</v>
      </c>
      <c r="CR28" s="27" t="n">
        <v>0</v>
      </c>
      <c r="CS28" s="27" t="n">
        <v>0</v>
      </c>
      <c r="CT28" s="27" t="n">
        <v>0</v>
      </c>
      <c r="CU28" s="27" t="n">
        <v>0</v>
      </c>
      <c r="CV28" s="27" t="n">
        <v>0</v>
      </c>
      <c r="CW28" s="27" t="n">
        <v>0</v>
      </c>
      <c r="CX28" s="27" t="n">
        <v>0</v>
      </c>
      <c r="CY28" s="27" t="n">
        <v>0</v>
      </c>
      <c r="CZ28" s="27" t="n">
        <v>0</v>
      </c>
      <c r="DA28" s="27" t="n">
        <v>0</v>
      </c>
    </row>
    <row r="29">
      <c r="A29" t="inlineStr">
        <is>
          <t>TSP-558</t>
        </is>
      </c>
      <c r="B29" s="27" t="n">
        <v>0</v>
      </c>
      <c r="C29" s="27" t="n">
        <v>0</v>
      </c>
      <c r="D29" s="27" t="n">
        <v>0</v>
      </c>
      <c r="E29" s="27" t="n">
        <v>0</v>
      </c>
      <c r="F29" s="27" t="n">
        <v>0</v>
      </c>
      <c r="G29" s="27" t="n">
        <v>0</v>
      </c>
      <c r="H29" s="27" t="n">
        <v>0</v>
      </c>
      <c r="I29" s="27" t="n">
        <v>0</v>
      </c>
      <c r="J29" s="27" t="n">
        <v>0</v>
      </c>
      <c r="K29" s="27" t="n">
        <v>0</v>
      </c>
      <c r="L29" s="27" t="n">
        <v>0</v>
      </c>
      <c r="M29" s="27" t="n">
        <v>0</v>
      </c>
      <c r="N29" s="27" t="n">
        <v>0</v>
      </c>
      <c r="O29" s="27" t="n">
        <v>0</v>
      </c>
      <c r="P29" s="27" t="n">
        <v>0</v>
      </c>
      <c r="Q29" s="27" t="n">
        <v>0</v>
      </c>
      <c r="R29" s="27" t="n">
        <v>0</v>
      </c>
      <c r="S29" s="27" t="n">
        <v>0</v>
      </c>
      <c r="T29" s="27" t="n">
        <v>0</v>
      </c>
      <c r="U29" s="27" t="n">
        <v>0</v>
      </c>
      <c r="V29" s="27" t="n">
        <v>0</v>
      </c>
      <c r="W29" s="27" t="n">
        <v>0</v>
      </c>
      <c r="X29" s="27" t="n">
        <v>0</v>
      </c>
      <c r="Y29" s="27" t="n">
        <v>0</v>
      </c>
      <c r="Z29" s="27" t="n">
        <v>0</v>
      </c>
      <c r="AA29" s="27" t="n">
        <v>0</v>
      </c>
      <c r="AB29" s="27" t="n">
        <v>0</v>
      </c>
      <c r="AC29" s="27" t="n">
        <v>0</v>
      </c>
      <c r="AD29" s="27" t="n">
        <v>0</v>
      </c>
      <c r="AE29" s="27" t="n">
        <v>0</v>
      </c>
      <c r="AF29" s="27" t="n">
        <v>0</v>
      </c>
      <c r="AG29" s="27" t="n">
        <v>0</v>
      </c>
      <c r="AH29" s="27" t="n">
        <v>0</v>
      </c>
      <c r="AI29" s="27" t="n">
        <v>0</v>
      </c>
      <c r="AJ29" s="27" t="n">
        <v>0</v>
      </c>
      <c r="AK29" s="27" t="n">
        <v>0</v>
      </c>
      <c r="AL29" s="27" t="n">
        <v>0</v>
      </c>
      <c r="AM29" s="27" t="n">
        <v>0</v>
      </c>
      <c r="AN29" s="27" t="n">
        <v>0</v>
      </c>
      <c r="AO29" s="27" t="n">
        <v>0</v>
      </c>
      <c r="AP29" s="27" t="n">
        <v>0</v>
      </c>
      <c r="AQ29" s="27" t="n">
        <v>0</v>
      </c>
      <c r="AR29" s="27" t="n">
        <v>0</v>
      </c>
      <c r="AS29" s="27" t="n">
        <v>0</v>
      </c>
      <c r="AT29" s="27" t="n">
        <v>0</v>
      </c>
      <c r="AU29" s="27" t="n">
        <v>0</v>
      </c>
      <c r="AV29" s="27" t="n">
        <v>0</v>
      </c>
      <c r="AW29" s="27" t="n">
        <v>0</v>
      </c>
      <c r="AX29" s="27" t="n">
        <v>0</v>
      </c>
      <c r="AY29" s="27" t="n">
        <v>0</v>
      </c>
      <c r="AZ29" s="27" t="n">
        <v>0</v>
      </c>
      <c r="BA29" s="27" t="n">
        <v>0</v>
      </c>
      <c r="BB29" s="27" t="n">
        <v>0</v>
      </c>
      <c r="BC29" s="27" t="n">
        <v>0</v>
      </c>
      <c r="BD29" s="27" t="n">
        <v>0</v>
      </c>
      <c r="BE29" s="27" t="n">
        <v>0</v>
      </c>
      <c r="BF29" s="27" t="n">
        <v>0</v>
      </c>
      <c r="BG29" s="27" t="n">
        <v>0</v>
      </c>
      <c r="BH29" s="27" t="n">
        <v>0</v>
      </c>
      <c r="BI29" s="27" t="n">
        <v>0</v>
      </c>
      <c r="BJ29" s="27" t="n">
        <v>0</v>
      </c>
      <c r="BK29" s="27" t="n">
        <v>0</v>
      </c>
      <c r="BL29" s="27" t="n">
        <v>0</v>
      </c>
      <c r="BM29" s="27" t="n">
        <v>0</v>
      </c>
      <c r="BN29" s="27" t="n">
        <v>0</v>
      </c>
      <c r="BO29" s="27" t="n">
        <v>0</v>
      </c>
      <c r="BP29" s="27" t="n">
        <v>0</v>
      </c>
      <c r="BQ29" s="27" t="n">
        <v>0</v>
      </c>
      <c r="BR29" s="27" t="n">
        <v>0</v>
      </c>
      <c r="BS29" s="27" t="n">
        <v>0</v>
      </c>
      <c r="BT29" s="27" t="n">
        <v>0</v>
      </c>
      <c r="BU29" s="27" t="n">
        <v>0</v>
      </c>
      <c r="BV29" s="27" t="n">
        <v>0</v>
      </c>
      <c r="BW29" s="27" t="n">
        <v>0</v>
      </c>
      <c r="BX29" s="27" t="n">
        <v>0</v>
      </c>
      <c r="BY29" s="27" t="n">
        <v>0</v>
      </c>
      <c r="BZ29" s="27" t="n">
        <v>0</v>
      </c>
      <c r="CA29" s="27" t="n">
        <v>0</v>
      </c>
      <c r="CB29" s="27" t="n">
        <v>0</v>
      </c>
      <c r="CC29" s="27" t="n">
        <v>0</v>
      </c>
      <c r="CD29" s="27" t="n">
        <v>0</v>
      </c>
      <c r="CE29" s="27" t="n">
        <v>0</v>
      </c>
      <c r="CF29" s="27" t="n">
        <v>0</v>
      </c>
      <c r="CG29" s="27" t="n">
        <v>0</v>
      </c>
      <c r="CH29" s="27" t="n">
        <v>0</v>
      </c>
      <c r="CI29" s="27" t="n">
        <v>0</v>
      </c>
      <c r="CJ29" s="27" t="n">
        <v>0</v>
      </c>
      <c r="CK29" s="27" t="n">
        <v>0</v>
      </c>
      <c r="CL29" s="27" t="n">
        <v>0</v>
      </c>
      <c r="CM29" s="27" t="n">
        <v>0</v>
      </c>
      <c r="CN29" s="27" t="n">
        <v>0</v>
      </c>
      <c r="CO29" s="27" t="n">
        <v>0</v>
      </c>
      <c r="CP29" s="27" t="n">
        <v>0</v>
      </c>
      <c r="CQ29" s="27" t="n">
        <v>0</v>
      </c>
      <c r="CR29" s="27" t="n">
        <v>0</v>
      </c>
      <c r="CS29" s="27" t="n">
        <v>0</v>
      </c>
      <c r="CT29" s="27" t="n">
        <v>0</v>
      </c>
      <c r="CU29" s="27" t="n">
        <v>0</v>
      </c>
      <c r="CV29" s="27" t="n">
        <v>0</v>
      </c>
      <c r="CW29" s="27" t="n">
        <v>0</v>
      </c>
      <c r="CX29" s="27" t="n">
        <v>0</v>
      </c>
      <c r="CY29" s="27" t="n">
        <v>0</v>
      </c>
      <c r="CZ29" s="27" t="n">
        <v>0</v>
      </c>
      <c r="DA29" s="27" t="n">
        <v>0</v>
      </c>
    </row>
    <row r="30">
      <c r="A30" t="inlineStr">
        <is>
          <t>TSP-618</t>
        </is>
      </c>
      <c r="B30" s="27" t="n">
        <v>0</v>
      </c>
      <c r="C30" s="27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0</v>
      </c>
      <c r="I30" s="27" t="n">
        <v>0</v>
      </c>
      <c r="J30" s="27" t="n">
        <v>0</v>
      </c>
      <c r="K30" s="27" t="n">
        <v>0</v>
      </c>
      <c r="L30" s="27" t="n">
        <v>0</v>
      </c>
      <c r="M30" s="27" t="n">
        <v>0</v>
      </c>
      <c r="N30" s="27" t="n">
        <v>0</v>
      </c>
      <c r="O30" s="27" t="n">
        <v>0</v>
      </c>
      <c r="P30" s="27" t="n">
        <v>0</v>
      </c>
      <c r="Q30" s="27" t="n">
        <v>0</v>
      </c>
      <c r="R30" s="27" t="n">
        <v>0</v>
      </c>
      <c r="S30" s="27" t="n">
        <v>0</v>
      </c>
      <c r="T30" s="27" t="n">
        <v>0</v>
      </c>
      <c r="U30" s="27" t="n">
        <v>0</v>
      </c>
      <c r="V30" s="27" t="n">
        <v>0</v>
      </c>
      <c r="W30" s="27" t="n">
        <v>0</v>
      </c>
      <c r="X30" s="27" t="n">
        <v>0</v>
      </c>
      <c r="Y30" s="27" t="n">
        <v>0</v>
      </c>
      <c r="Z30" s="27" t="n">
        <v>0</v>
      </c>
      <c r="AA30" s="27" t="n">
        <v>0</v>
      </c>
      <c r="AB30" s="27" t="n">
        <v>0</v>
      </c>
      <c r="AC30" s="27" t="n">
        <v>0</v>
      </c>
      <c r="AD30" s="27" t="n">
        <v>0</v>
      </c>
      <c r="AE30" s="27" t="n">
        <v>0</v>
      </c>
      <c r="AF30" s="27" t="n">
        <v>0</v>
      </c>
      <c r="AG30" s="27" t="n">
        <v>0</v>
      </c>
      <c r="AH30" s="27" t="n">
        <v>0</v>
      </c>
      <c r="AI30" s="27" t="n">
        <v>0</v>
      </c>
      <c r="AJ30" s="27" t="n">
        <v>0</v>
      </c>
      <c r="AK30" s="27" t="n">
        <v>0</v>
      </c>
      <c r="AL30" s="27" t="n">
        <v>0</v>
      </c>
      <c r="AM30" s="27" t="n">
        <v>0</v>
      </c>
      <c r="AN30" s="27" t="n">
        <v>0</v>
      </c>
      <c r="AO30" s="27" t="n">
        <v>0</v>
      </c>
      <c r="AP30" s="27" t="n">
        <v>0</v>
      </c>
      <c r="AQ30" s="27" t="n">
        <v>0</v>
      </c>
      <c r="AR30" s="27" t="n">
        <v>0</v>
      </c>
      <c r="AS30" s="27" t="n">
        <v>0</v>
      </c>
      <c r="AT30" s="27" t="n">
        <v>0</v>
      </c>
      <c r="AU30" s="27" t="n">
        <v>0</v>
      </c>
      <c r="AV30" s="27" t="n">
        <v>0</v>
      </c>
      <c r="AW30" s="27" t="n">
        <v>0</v>
      </c>
      <c r="AX30" s="27" t="n">
        <v>0</v>
      </c>
      <c r="AY30" s="27" t="n">
        <v>0</v>
      </c>
      <c r="AZ30" s="27" t="n">
        <v>0</v>
      </c>
      <c r="BA30" s="27" t="n">
        <v>0</v>
      </c>
      <c r="BB30" s="27" t="n">
        <v>0</v>
      </c>
      <c r="BC30" s="27" t="n">
        <v>0</v>
      </c>
      <c r="BD30" s="27" t="n">
        <v>0</v>
      </c>
      <c r="BE30" s="27" t="n">
        <v>0</v>
      </c>
      <c r="BF30" s="27" t="n">
        <v>0</v>
      </c>
      <c r="BG30" s="27" t="n">
        <v>0</v>
      </c>
      <c r="BH30" s="27" t="n">
        <v>0</v>
      </c>
      <c r="BI30" s="27" t="n">
        <v>0</v>
      </c>
      <c r="BJ30" s="27" t="n">
        <v>0</v>
      </c>
      <c r="BK30" s="27" t="n">
        <v>0</v>
      </c>
      <c r="BL30" s="27" t="n">
        <v>0</v>
      </c>
      <c r="BM30" s="27" t="n">
        <v>0</v>
      </c>
      <c r="BN30" s="27" t="n">
        <v>0</v>
      </c>
      <c r="BO30" s="27" t="n">
        <v>0</v>
      </c>
      <c r="BP30" s="27" t="n">
        <v>0</v>
      </c>
      <c r="BQ30" s="27" t="n">
        <v>0</v>
      </c>
      <c r="BR30" s="27" t="n">
        <v>0</v>
      </c>
      <c r="BS30" s="27" t="n">
        <v>0</v>
      </c>
      <c r="BT30" s="27" t="n">
        <v>0</v>
      </c>
      <c r="BU30" s="27" t="n">
        <v>0</v>
      </c>
      <c r="BV30" s="27" t="n">
        <v>0</v>
      </c>
      <c r="BW30" s="27" t="n">
        <v>0</v>
      </c>
      <c r="BX30" s="27" t="n">
        <v>0</v>
      </c>
      <c r="BY30" s="27" t="n">
        <v>0</v>
      </c>
      <c r="BZ30" s="27" t="n">
        <v>0</v>
      </c>
      <c r="CA30" s="27" t="n">
        <v>0</v>
      </c>
      <c r="CB30" s="27" t="n">
        <v>0</v>
      </c>
      <c r="CC30" s="27" t="n">
        <v>0</v>
      </c>
      <c r="CD30" s="27" t="n">
        <v>0</v>
      </c>
      <c r="CE30" s="27" t="n">
        <v>0</v>
      </c>
      <c r="CF30" s="27" t="n">
        <v>0</v>
      </c>
      <c r="CG30" s="27" t="n">
        <v>0</v>
      </c>
      <c r="CH30" s="27" t="n">
        <v>0</v>
      </c>
      <c r="CI30" s="27" t="n">
        <v>0</v>
      </c>
      <c r="CJ30" s="27" t="n">
        <v>0</v>
      </c>
      <c r="CK30" s="27" t="n">
        <v>0</v>
      </c>
      <c r="CL30" s="27" t="n">
        <v>0</v>
      </c>
      <c r="CM30" s="27" t="n">
        <v>0</v>
      </c>
      <c r="CN30" s="27" t="n">
        <v>0</v>
      </c>
      <c r="CO30" s="27" t="n">
        <v>0</v>
      </c>
      <c r="CP30" s="27" t="n">
        <v>0</v>
      </c>
      <c r="CQ30" s="27" t="n">
        <v>0</v>
      </c>
      <c r="CR30" s="27" t="n">
        <v>0</v>
      </c>
      <c r="CS30" s="27" t="n">
        <v>0</v>
      </c>
      <c r="CT30" s="27" t="n">
        <v>0</v>
      </c>
      <c r="CU30" s="27" t="n">
        <v>0</v>
      </c>
      <c r="CV30" s="27" t="n">
        <v>0</v>
      </c>
      <c r="CW30" s="27" t="n">
        <v>0</v>
      </c>
      <c r="CX30" s="27" t="n">
        <v>0</v>
      </c>
      <c r="CY30" s="27" t="n">
        <v>0</v>
      </c>
      <c r="CZ30" s="27" t="n">
        <v>0</v>
      </c>
      <c r="DA30" s="27" t="n">
        <v>0</v>
      </c>
    </row>
    <row r="31">
      <c r="A31" t="inlineStr">
        <is>
          <t>TSP-620</t>
        </is>
      </c>
      <c r="B31" s="27" t="n">
        <v>0</v>
      </c>
      <c r="C31" s="27" t="n">
        <v>0</v>
      </c>
      <c r="D31" s="27" t="n">
        <v>0</v>
      </c>
      <c r="E31" s="27" t="n">
        <v>0</v>
      </c>
      <c r="F31" s="27" t="n">
        <v>0</v>
      </c>
      <c r="G31" s="27" t="n">
        <v>0</v>
      </c>
      <c r="H31" s="27" t="n">
        <v>0</v>
      </c>
      <c r="I31" s="27" t="n">
        <v>0</v>
      </c>
      <c r="J31" s="27" t="n">
        <v>0</v>
      </c>
      <c r="K31" s="27" t="n">
        <v>0</v>
      </c>
      <c r="L31" s="27" t="n">
        <v>0</v>
      </c>
      <c r="M31" s="27" t="n">
        <v>0</v>
      </c>
      <c r="N31" s="27" t="n">
        <v>0</v>
      </c>
      <c r="O31" s="27" t="n">
        <v>0</v>
      </c>
      <c r="P31" s="27" t="n">
        <v>0</v>
      </c>
      <c r="Q31" s="27" t="n">
        <v>0</v>
      </c>
      <c r="R31" s="27" t="n">
        <v>0</v>
      </c>
      <c r="S31" s="27" t="n">
        <v>0</v>
      </c>
      <c r="T31" s="27" t="n">
        <v>0</v>
      </c>
      <c r="U31" s="27" t="n">
        <v>0</v>
      </c>
      <c r="V31" s="27" t="n">
        <v>0</v>
      </c>
      <c r="W31" s="27" t="n">
        <v>0</v>
      </c>
      <c r="X31" s="27" t="n">
        <v>0</v>
      </c>
      <c r="Y31" s="27" t="n">
        <v>0</v>
      </c>
      <c r="Z31" s="27" t="n">
        <v>0</v>
      </c>
      <c r="AA31" s="27" t="n">
        <v>0</v>
      </c>
      <c r="AB31" s="27" t="n">
        <v>0</v>
      </c>
      <c r="AC31" s="27" t="n">
        <v>0</v>
      </c>
      <c r="AD31" s="27" t="n">
        <v>0</v>
      </c>
      <c r="AE31" s="27" t="n">
        <v>0</v>
      </c>
      <c r="AF31" s="27" t="n">
        <v>0</v>
      </c>
      <c r="AG31" s="27" t="n">
        <v>0</v>
      </c>
      <c r="AH31" s="27" t="n">
        <v>0</v>
      </c>
      <c r="AI31" s="27" t="n">
        <v>0</v>
      </c>
      <c r="AJ31" s="27" t="n">
        <v>0</v>
      </c>
      <c r="AK31" s="27" t="n">
        <v>0</v>
      </c>
      <c r="AL31" s="27" t="n">
        <v>0</v>
      </c>
      <c r="AM31" s="27" t="n">
        <v>0</v>
      </c>
      <c r="AN31" s="27" t="n">
        <v>0</v>
      </c>
      <c r="AO31" s="27" t="n">
        <v>0</v>
      </c>
      <c r="AP31" s="27" t="n">
        <v>0</v>
      </c>
      <c r="AQ31" s="27" t="n">
        <v>0</v>
      </c>
      <c r="AR31" s="27" t="n">
        <v>0</v>
      </c>
      <c r="AS31" s="27" t="n">
        <v>0</v>
      </c>
      <c r="AT31" s="27" t="n">
        <v>0</v>
      </c>
      <c r="AU31" s="27" t="n">
        <v>0</v>
      </c>
      <c r="AV31" s="27" t="n">
        <v>0</v>
      </c>
      <c r="AW31" s="27" t="n">
        <v>0</v>
      </c>
      <c r="AX31" s="27" t="n">
        <v>0</v>
      </c>
      <c r="AY31" s="27" t="n">
        <v>0</v>
      </c>
      <c r="AZ31" s="27" t="n">
        <v>0</v>
      </c>
      <c r="BA31" s="27" t="n">
        <v>0</v>
      </c>
      <c r="BB31" s="27" t="n">
        <v>0</v>
      </c>
      <c r="BC31" s="27" t="n">
        <v>0</v>
      </c>
      <c r="BD31" s="27" t="n">
        <v>0</v>
      </c>
      <c r="BE31" s="27" t="n">
        <v>0</v>
      </c>
      <c r="BF31" s="27" t="n">
        <v>0</v>
      </c>
      <c r="BG31" s="27" t="n">
        <v>0</v>
      </c>
      <c r="BH31" s="27" t="n">
        <v>0</v>
      </c>
      <c r="BI31" s="27" t="n">
        <v>0</v>
      </c>
      <c r="BJ31" s="27" t="n">
        <v>0</v>
      </c>
      <c r="BK31" s="27" t="n">
        <v>0</v>
      </c>
      <c r="BL31" s="27" t="n">
        <v>0</v>
      </c>
      <c r="BM31" s="27" t="n">
        <v>0</v>
      </c>
      <c r="BN31" s="27" t="n">
        <v>0</v>
      </c>
      <c r="BO31" s="27" t="n">
        <v>0</v>
      </c>
      <c r="BP31" s="27" t="n">
        <v>0</v>
      </c>
      <c r="BQ31" s="27" t="n">
        <v>0</v>
      </c>
      <c r="BR31" s="27" t="n">
        <v>0</v>
      </c>
      <c r="BS31" s="27" t="n">
        <v>0</v>
      </c>
      <c r="BT31" s="27" t="n">
        <v>0</v>
      </c>
      <c r="BU31" s="27" t="n">
        <v>0</v>
      </c>
      <c r="BV31" s="27" t="n">
        <v>0</v>
      </c>
      <c r="BW31" s="27" t="n">
        <v>0</v>
      </c>
      <c r="BX31" s="27" t="n">
        <v>0</v>
      </c>
      <c r="BY31" s="27" t="n">
        <v>0</v>
      </c>
      <c r="BZ31" s="27" t="n">
        <v>0</v>
      </c>
      <c r="CA31" s="27" t="n">
        <v>0</v>
      </c>
      <c r="CB31" s="27" t="n">
        <v>0</v>
      </c>
      <c r="CC31" s="27" t="n">
        <v>0</v>
      </c>
      <c r="CD31" s="27" t="n">
        <v>0</v>
      </c>
      <c r="CE31" s="27" t="n">
        <v>0</v>
      </c>
      <c r="CF31" s="27" t="n">
        <v>0</v>
      </c>
      <c r="CG31" s="27" t="n">
        <v>0</v>
      </c>
      <c r="CH31" s="27" t="n">
        <v>0</v>
      </c>
      <c r="CI31" s="27" t="n">
        <v>0</v>
      </c>
      <c r="CJ31" s="27" t="n">
        <v>0</v>
      </c>
      <c r="CK31" s="27" t="n">
        <v>0</v>
      </c>
      <c r="CL31" s="27" t="n">
        <v>0</v>
      </c>
      <c r="CM31" s="27" t="n">
        <v>0</v>
      </c>
      <c r="CN31" s="27" t="n">
        <v>0</v>
      </c>
      <c r="CO31" s="27" t="n">
        <v>0</v>
      </c>
      <c r="CP31" s="27" t="n">
        <v>0</v>
      </c>
      <c r="CQ31" s="27" t="n">
        <v>0</v>
      </c>
      <c r="CR31" s="27" t="n">
        <v>0</v>
      </c>
      <c r="CS31" s="27" t="n">
        <v>0</v>
      </c>
      <c r="CT31" s="27" t="n">
        <v>0</v>
      </c>
      <c r="CU31" s="27" t="n">
        <v>0</v>
      </c>
      <c r="CV31" s="27" t="n">
        <v>0</v>
      </c>
      <c r="CW31" s="27" t="n">
        <v>0</v>
      </c>
      <c r="CX31" s="27" t="n">
        <v>0</v>
      </c>
      <c r="CY31" s="27" t="n">
        <v>0</v>
      </c>
      <c r="CZ31" s="27" t="n">
        <v>0</v>
      </c>
      <c r="DA31" s="27" t="n">
        <v>0</v>
      </c>
    </row>
    <row r="32">
      <c r="A32" t="inlineStr">
        <is>
          <t>TSP-623</t>
        </is>
      </c>
      <c r="B32" s="27" t="n">
        <v>0</v>
      </c>
      <c r="C32" s="27" t="n">
        <v>0</v>
      </c>
      <c r="D32" s="27" t="n">
        <v>0</v>
      </c>
      <c r="E32" s="27" t="n">
        <v>0</v>
      </c>
      <c r="F32" s="27" t="n">
        <v>0</v>
      </c>
      <c r="G32" s="27" t="n">
        <v>0</v>
      </c>
      <c r="H32" s="27" t="n">
        <v>0</v>
      </c>
      <c r="I32" s="27" t="n">
        <v>0</v>
      </c>
      <c r="J32" s="27" t="n">
        <v>0</v>
      </c>
      <c r="K32" s="27" t="n">
        <v>0</v>
      </c>
      <c r="L32" s="27" t="n">
        <v>0</v>
      </c>
      <c r="M32" s="27" t="n">
        <v>0</v>
      </c>
      <c r="N32" s="27" t="n">
        <v>0</v>
      </c>
      <c r="O32" s="27" t="n">
        <v>0</v>
      </c>
      <c r="P32" s="27" t="n">
        <v>0</v>
      </c>
      <c r="Q32" s="27" t="n">
        <v>0</v>
      </c>
      <c r="R32" s="27" t="n">
        <v>0</v>
      </c>
      <c r="S32" s="27" t="n">
        <v>0</v>
      </c>
      <c r="T32" s="27" t="n">
        <v>0</v>
      </c>
      <c r="U32" s="27" t="n">
        <v>0</v>
      </c>
      <c r="V32" s="27" t="n">
        <v>0</v>
      </c>
      <c r="W32" s="27" t="n">
        <v>0</v>
      </c>
      <c r="X32" s="27" t="n">
        <v>0</v>
      </c>
      <c r="Y32" s="27" t="n">
        <v>0</v>
      </c>
      <c r="Z32" s="27" t="n">
        <v>0</v>
      </c>
      <c r="AA32" s="27" t="n">
        <v>0</v>
      </c>
      <c r="AB32" s="27" t="n">
        <v>0</v>
      </c>
      <c r="AC32" s="27" t="n">
        <v>0</v>
      </c>
      <c r="AD32" s="27" t="n">
        <v>0</v>
      </c>
      <c r="AE32" s="27" t="n">
        <v>0</v>
      </c>
      <c r="AF32" s="27" t="n">
        <v>0</v>
      </c>
      <c r="AG32" s="27" t="n">
        <v>0</v>
      </c>
      <c r="AH32" s="27" t="n">
        <v>0</v>
      </c>
      <c r="AI32" s="27" t="n">
        <v>0</v>
      </c>
      <c r="AJ32" s="27" t="n">
        <v>0</v>
      </c>
      <c r="AK32" s="27" t="n">
        <v>0</v>
      </c>
      <c r="AL32" s="27" t="n">
        <v>0</v>
      </c>
      <c r="AM32" s="27" t="n">
        <v>0</v>
      </c>
      <c r="AN32" s="27" t="n">
        <v>0</v>
      </c>
      <c r="AO32" s="27" t="n">
        <v>0</v>
      </c>
      <c r="AP32" s="27" t="n">
        <v>0</v>
      </c>
      <c r="AQ32" s="27" t="n">
        <v>0</v>
      </c>
      <c r="AR32" s="27" t="n">
        <v>0</v>
      </c>
      <c r="AS32" s="27" t="n">
        <v>0</v>
      </c>
      <c r="AT32" s="27" t="n">
        <v>0</v>
      </c>
      <c r="AU32" s="27" t="n">
        <v>0</v>
      </c>
      <c r="AV32" s="27" t="n">
        <v>0</v>
      </c>
      <c r="AW32" s="27" t="n">
        <v>0</v>
      </c>
      <c r="AX32" s="27" t="n">
        <v>0</v>
      </c>
      <c r="AY32" s="27" t="n">
        <v>0</v>
      </c>
      <c r="AZ32" s="27" t="n">
        <v>0</v>
      </c>
      <c r="BA32" s="27" t="n">
        <v>0</v>
      </c>
      <c r="BB32" s="27" t="n">
        <v>0</v>
      </c>
      <c r="BC32" s="27" t="n">
        <v>0</v>
      </c>
      <c r="BD32" s="27" t="n">
        <v>0</v>
      </c>
      <c r="BE32" s="27" t="n">
        <v>0</v>
      </c>
      <c r="BF32" s="27" t="n">
        <v>0</v>
      </c>
      <c r="BG32" s="27" t="n">
        <v>0</v>
      </c>
      <c r="BH32" s="27" t="n">
        <v>0</v>
      </c>
      <c r="BI32" s="27" t="n">
        <v>0</v>
      </c>
      <c r="BJ32" s="27" t="n">
        <v>0</v>
      </c>
      <c r="BK32" s="27" t="n">
        <v>0</v>
      </c>
      <c r="BL32" s="27" t="n">
        <v>0</v>
      </c>
      <c r="BM32" s="27" t="n">
        <v>0</v>
      </c>
      <c r="BN32" s="27" t="n">
        <v>0</v>
      </c>
      <c r="BO32" s="27" t="n">
        <v>0</v>
      </c>
      <c r="BP32" s="27" t="n">
        <v>0</v>
      </c>
      <c r="BQ32" s="27" t="n">
        <v>0</v>
      </c>
      <c r="BR32" s="27" t="n">
        <v>0</v>
      </c>
      <c r="BS32" s="27" t="n">
        <v>0</v>
      </c>
      <c r="BT32" s="27" t="n">
        <v>0</v>
      </c>
      <c r="BU32" s="27" t="n">
        <v>0</v>
      </c>
      <c r="BV32" s="27" t="n">
        <v>0</v>
      </c>
      <c r="BW32" s="27" t="n">
        <v>0</v>
      </c>
      <c r="BX32" s="27" t="n">
        <v>0</v>
      </c>
      <c r="BY32" s="27" t="n">
        <v>0</v>
      </c>
      <c r="BZ32" s="27" t="n">
        <v>0</v>
      </c>
      <c r="CA32" s="27" t="n">
        <v>0</v>
      </c>
      <c r="CB32" s="27" t="n">
        <v>0</v>
      </c>
      <c r="CC32" s="27" t="n">
        <v>0</v>
      </c>
      <c r="CD32" s="27" t="n">
        <v>0</v>
      </c>
      <c r="CE32" s="27" t="n">
        <v>0</v>
      </c>
      <c r="CF32" s="27" t="n">
        <v>0</v>
      </c>
      <c r="CG32" s="27" t="n">
        <v>0</v>
      </c>
      <c r="CH32" s="27" t="n">
        <v>0</v>
      </c>
      <c r="CI32" s="27" t="n">
        <v>0</v>
      </c>
      <c r="CJ32" s="27" t="n">
        <v>0</v>
      </c>
      <c r="CK32" s="27" t="n">
        <v>0</v>
      </c>
      <c r="CL32" s="27" t="n">
        <v>0</v>
      </c>
      <c r="CM32" s="27" t="n">
        <v>0</v>
      </c>
      <c r="CN32" s="27" t="n">
        <v>0</v>
      </c>
      <c r="CO32" s="27" t="n">
        <v>0</v>
      </c>
      <c r="CP32" s="27" t="n">
        <v>0</v>
      </c>
      <c r="CQ32" s="27" t="n">
        <v>0</v>
      </c>
      <c r="CR32" s="27" t="n">
        <v>0</v>
      </c>
      <c r="CS32" s="27" t="n">
        <v>0</v>
      </c>
      <c r="CT32" s="27" t="n">
        <v>0</v>
      </c>
      <c r="CU32" s="27" t="n">
        <v>0</v>
      </c>
      <c r="CV32" s="27" t="n">
        <v>0</v>
      </c>
      <c r="CW32" s="27" t="n">
        <v>0</v>
      </c>
      <c r="CX32" s="27" t="n">
        <v>0</v>
      </c>
      <c r="CY32" s="27" t="n">
        <v>0</v>
      </c>
      <c r="CZ32" s="27" t="n">
        <v>0</v>
      </c>
      <c r="DA32" s="27" t="n">
        <v>0</v>
      </c>
    </row>
    <row r="33">
      <c r="A33" t="inlineStr">
        <is>
          <t>TSP-655</t>
        </is>
      </c>
      <c r="B33" s="27" t="n">
        <v>0</v>
      </c>
      <c r="C33" s="27" t="n">
        <v>2.503132938187976</v>
      </c>
      <c r="D33" s="27" t="n">
        <v>2.503132938187976</v>
      </c>
      <c r="E33" s="27" t="n">
        <v>5.006265876375952</v>
      </c>
      <c r="F33" s="27" t="n">
        <v>5.006265876375952</v>
      </c>
      <c r="G33" s="27" t="n">
        <v>5.006265876375952</v>
      </c>
      <c r="H33" s="27" t="n">
        <v>0</v>
      </c>
      <c r="I33" s="27" t="n">
        <v>0</v>
      </c>
      <c r="J33" s="27" t="n">
        <v>0</v>
      </c>
      <c r="K33" s="27" t="n">
        <v>10.0125317527519</v>
      </c>
      <c r="L33" s="27" t="n">
        <v>2.252819644369179</v>
      </c>
      <c r="M33" s="27" t="n">
        <v>2.503132938187976</v>
      </c>
      <c r="N33" s="27" t="n">
        <v>0</v>
      </c>
      <c r="O33" s="27" t="n">
        <v>2.70793472403972</v>
      </c>
      <c r="P33" s="27" t="n">
        <v>5.006265876375952</v>
      </c>
      <c r="Q33" s="27" t="n">
        <v>2.503132938187976</v>
      </c>
      <c r="R33" s="27" t="n">
        <v>4.755952582557154</v>
      </c>
      <c r="S33" s="27" t="n">
        <v>0</v>
      </c>
      <c r="T33" s="27" t="n">
        <v>0</v>
      </c>
      <c r="U33" s="27" t="n">
        <v>3.504386113463167</v>
      </c>
      <c r="V33" s="27" t="n">
        <v>2.503132938187976</v>
      </c>
      <c r="W33" s="27" t="n">
        <v>4.255325994919559</v>
      </c>
      <c r="X33" s="27" t="n">
        <v>0</v>
      </c>
      <c r="Y33" s="27" t="n">
        <v>10.0125317527519</v>
      </c>
      <c r="Z33" s="27" t="n">
        <v>0</v>
      </c>
      <c r="AA33" s="27" t="n">
        <v>5.006265876375952</v>
      </c>
      <c r="AB33" s="27" t="n">
        <v>3.754699407281964</v>
      </c>
      <c r="AC33" s="27" t="n">
        <v>5.006265876375952</v>
      </c>
      <c r="AD33" s="27" t="n">
        <v>2.503132938187976</v>
      </c>
      <c r="AE33" s="27" t="n">
        <v>3.754699407281964</v>
      </c>
      <c r="AF33" s="27" t="n">
        <v>2.503132938187976</v>
      </c>
      <c r="AG33" s="27" t="n">
        <v>3.754699407281964</v>
      </c>
      <c r="AH33" s="27" t="n">
        <v>0</v>
      </c>
      <c r="AI33" s="27" t="n">
        <v>0</v>
      </c>
      <c r="AJ33" s="27" t="n">
        <v>3.754699407281964</v>
      </c>
      <c r="AK33" s="27" t="n">
        <v>0</v>
      </c>
      <c r="AL33" s="27" t="n">
        <v>0</v>
      </c>
      <c r="AM33" s="27" t="n">
        <v>5.006265876375952</v>
      </c>
      <c r="AN33" s="27" t="n">
        <v>0</v>
      </c>
      <c r="AO33" s="27" t="n">
        <v>5.006265876375952</v>
      </c>
      <c r="AP33" s="27" t="n">
        <v>0</v>
      </c>
      <c r="AQ33" s="27" t="n">
        <v>0</v>
      </c>
      <c r="AR33" s="27" t="n">
        <v>5.006265876375952</v>
      </c>
      <c r="AS33" s="27" t="n">
        <v>0</v>
      </c>
      <c r="AT33" s="27" t="n">
        <v>5.006265876375952</v>
      </c>
      <c r="AU33" s="27" t="n">
        <v>5.006265876375952</v>
      </c>
      <c r="AV33" s="27" t="n">
        <v>5.006265876375952</v>
      </c>
      <c r="AW33" s="27" t="n">
        <v>5.006265876375952</v>
      </c>
      <c r="AX33" s="27" t="n">
        <v>5.006265876375952</v>
      </c>
      <c r="AY33" s="27" t="n">
        <v>0</v>
      </c>
      <c r="AZ33" s="27" t="n">
        <v>0</v>
      </c>
      <c r="BA33" s="27" t="n">
        <v>0</v>
      </c>
      <c r="BB33" s="27" t="n">
        <v>0</v>
      </c>
      <c r="BC33" s="27" t="n">
        <v>0</v>
      </c>
      <c r="BD33" s="27" t="n">
        <v>5.006265876375952</v>
      </c>
      <c r="BE33" s="27" t="n">
        <v>0</v>
      </c>
      <c r="BF33" s="27" t="n">
        <v>5.006265876375952</v>
      </c>
      <c r="BG33" s="27" t="n">
        <v>0</v>
      </c>
      <c r="BH33" s="27" t="n">
        <v>5.006265876375952</v>
      </c>
      <c r="BI33" s="27" t="n">
        <v>0</v>
      </c>
      <c r="BJ33" s="27" t="n">
        <v>0</v>
      </c>
      <c r="BK33" s="27" t="n">
        <v>5.006265876375952</v>
      </c>
      <c r="BL33" s="27" t="n">
        <v>0</v>
      </c>
      <c r="BM33" s="27" t="n">
        <v>0</v>
      </c>
      <c r="BN33" s="27" t="n">
        <v>2.503132938187976</v>
      </c>
      <c r="BO33" s="27" t="n">
        <v>0</v>
      </c>
      <c r="BP33" s="27" t="n">
        <v>0</v>
      </c>
      <c r="BQ33" s="27" t="n">
        <v>1.251566469093988</v>
      </c>
      <c r="BR33" s="27" t="n">
        <v>0</v>
      </c>
      <c r="BS33" s="27" t="n">
        <v>0</v>
      </c>
      <c r="BT33" s="27" t="n">
        <v>0</v>
      </c>
      <c r="BU33" s="27" t="n">
        <v>0</v>
      </c>
      <c r="BV33" s="27" t="n">
        <v>0</v>
      </c>
      <c r="BW33" s="27" t="n">
        <v>0</v>
      </c>
      <c r="BX33" s="27" t="n">
        <v>0</v>
      </c>
      <c r="BY33" s="27" t="n">
        <v>0</v>
      </c>
      <c r="BZ33" s="27" t="n">
        <v>0</v>
      </c>
      <c r="CA33" s="27" t="n">
        <v>0</v>
      </c>
      <c r="CB33" s="27" t="n">
        <v>0</v>
      </c>
      <c r="CC33" s="27" t="n">
        <v>0</v>
      </c>
      <c r="CD33" s="27" t="n">
        <v>0</v>
      </c>
      <c r="CE33" s="27" t="n">
        <v>0</v>
      </c>
      <c r="CF33" s="27" t="n">
        <v>0</v>
      </c>
      <c r="CG33" s="27" t="n">
        <v>0</v>
      </c>
      <c r="CH33" s="27" t="n">
        <v>0</v>
      </c>
      <c r="CI33" s="27" t="n">
        <v>0</v>
      </c>
      <c r="CJ33" s="27" t="n">
        <v>0</v>
      </c>
      <c r="CK33" s="27" t="n">
        <v>0</v>
      </c>
      <c r="CL33" s="27" t="n">
        <v>0</v>
      </c>
      <c r="CM33" s="27" t="n">
        <v>0</v>
      </c>
      <c r="CN33" s="27" t="n">
        <v>0</v>
      </c>
      <c r="CO33" s="27" t="n">
        <v>0</v>
      </c>
      <c r="CP33" s="27" t="n">
        <v>0</v>
      </c>
      <c r="CQ33" s="27" t="n">
        <v>0</v>
      </c>
      <c r="CR33" s="27" t="n">
        <v>0</v>
      </c>
      <c r="CS33" s="27" t="n">
        <v>0</v>
      </c>
      <c r="CT33" s="27" t="n">
        <v>0</v>
      </c>
      <c r="CU33" s="27" t="n">
        <v>0</v>
      </c>
      <c r="CV33" s="27" t="n">
        <v>0</v>
      </c>
      <c r="CW33" s="27" t="n">
        <v>0</v>
      </c>
      <c r="CX33" s="27" t="n">
        <v>0</v>
      </c>
      <c r="CY33" s="27" t="n">
        <v>0</v>
      </c>
      <c r="CZ33" s="27" t="n">
        <v>0</v>
      </c>
      <c r="DA33" s="27" t="n">
        <v>0</v>
      </c>
    </row>
    <row r="34">
      <c r="A34" t="inlineStr">
        <is>
          <t>TSP-656</t>
        </is>
      </c>
      <c r="B34" s="27" t="n">
        <v>0</v>
      </c>
      <c r="C34" s="27" t="n">
        <v>1.346887259455148</v>
      </c>
      <c r="D34" s="27" t="n">
        <v>1.346887259455148</v>
      </c>
      <c r="E34" s="27" t="n">
        <v>2.693774518910295</v>
      </c>
      <c r="F34" s="27" t="n">
        <v>2.693774518910295</v>
      </c>
      <c r="G34" s="27" t="n">
        <v>2.693774518910295</v>
      </c>
      <c r="H34" s="27" t="n">
        <v>0</v>
      </c>
      <c r="I34" s="27" t="n">
        <v>0</v>
      </c>
      <c r="J34" s="27" t="n">
        <v>0</v>
      </c>
      <c r="K34" s="27" t="n">
        <v>5.38754903782059</v>
      </c>
      <c r="L34" s="27" t="n">
        <v>1.212198533509633</v>
      </c>
      <c r="M34" s="27" t="n">
        <v>1.346887259455148</v>
      </c>
      <c r="N34" s="27" t="n">
        <v>0</v>
      </c>
      <c r="O34" s="27" t="n">
        <v>1.457087126137842</v>
      </c>
      <c r="P34" s="27" t="n">
        <v>2.693774518910295</v>
      </c>
      <c r="Q34" s="27" t="n">
        <v>1.346887259455148</v>
      </c>
      <c r="R34" s="27" t="n">
        <v>2.559085792964781</v>
      </c>
      <c r="S34" s="27" t="n">
        <v>0</v>
      </c>
      <c r="T34" s="27" t="n">
        <v>0</v>
      </c>
      <c r="U34" s="27" t="n">
        <v>1.885642163237207</v>
      </c>
      <c r="V34" s="27" t="n">
        <v>1.346887259455148</v>
      </c>
      <c r="W34" s="27" t="n">
        <v>2.289708341073751</v>
      </c>
      <c r="X34" s="27" t="n">
        <v>0</v>
      </c>
      <c r="Y34" s="27" t="n">
        <v>5.38754903782059</v>
      </c>
      <c r="Z34" s="27" t="n">
        <v>0</v>
      </c>
      <c r="AA34" s="27" t="n">
        <v>2.693774518910295</v>
      </c>
      <c r="AB34" s="27" t="n">
        <v>2.020330889182722</v>
      </c>
      <c r="AC34" s="27" t="n">
        <v>2.693774518910295</v>
      </c>
      <c r="AD34" s="27" t="n">
        <v>1.346887259455148</v>
      </c>
      <c r="AE34" s="27" t="n">
        <v>2.020330889182722</v>
      </c>
      <c r="AF34" s="27" t="n">
        <v>1.346887259455148</v>
      </c>
      <c r="AG34" s="27" t="n">
        <v>2.020330889182722</v>
      </c>
      <c r="AH34" s="27" t="n">
        <v>0</v>
      </c>
      <c r="AI34" s="27" t="n">
        <v>0</v>
      </c>
      <c r="AJ34" s="27" t="n">
        <v>2.020330889182722</v>
      </c>
      <c r="AK34" s="27" t="n">
        <v>0</v>
      </c>
      <c r="AL34" s="27" t="n">
        <v>0</v>
      </c>
      <c r="AM34" s="27" t="n">
        <v>2.693774518910295</v>
      </c>
      <c r="AN34" s="27" t="n">
        <v>0</v>
      </c>
      <c r="AO34" s="27" t="n">
        <v>2.693774518910295</v>
      </c>
      <c r="AP34" s="27" t="n">
        <v>0</v>
      </c>
      <c r="AQ34" s="27" t="n">
        <v>0</v>
      </c>
      <c r="AR34" s="27" t="n">
        <v>2.693774518910295</v>
      </c>
      <c r="AS34" s="27" t="n">
        <v>0</v>
      </c>
      <c r="AT34" s="27" t="n">
        <v>2.693774518910295</v>
      </c>
      <c r="AU34" s="27" t="n">
        <v>2.693774518910295</v>
      </c>
      <c r="AV34" s="27" t="n">
        <v>2.693774518910295</v>
      </c>
      <c r="AW34" s="27" t="n">
        <v>2.693774518910295</v>
      </c>
      <c r="AX34" s="27" t="n">
        <v>2.693774518910295</v>
      </c>
      <c r="AY34" s="27" t="n">
        <v>0</v>
      </c>
      <c r="AZ34" s="27" t="n">
        <v>0</v>
      </c>
      <c r="BA34" s="27" t="n">
        <v>0</v>
      </c>
      <c r="BB34" s="27" t="n">
        <v>0</v>
      </c>
      <c r="BC34" s="27" t="n">
        <v>0</v>
      </c>
      <c r="BD34" s="27" t="n">
        <v>2.693774518910295</v>
      </c>
      <c r="BE34" s="27" t="n">
        <v>0</v>
      </c>
      <c r="BF34" s="27" t="n">
        <v>2.693774518910295</v>
      </c>
      <c r="BG34" s="27" t="n">
        <v>0</v>
      </c>
      <c r="BH34" s="27" t="n">
        <v>2.693774518910295</v>
      </c>
      <c r="BI34" s="27" t="n">
        <v>0</v>
      </c>
      <c r="BJ34" s="27" t="n">
        <v>0</v>
      </c>
      <c r="BK34" s="27" t="n">
        <v>2.693774518910295</v>
      </c>
      <c r="BL34" s="27" t="n">
        <v>0</v>
      </c>
      <c r="BM34" s="27" t="n">
        <v>0</v>
      </c>
      <c r="BN34" s="27" t="n">
        <v>1.346887259455148</v>
      </c>
      <c r="BO34" s="27" t="n">
        <v>0</v>
      </c>
      <c r="BP34" s="27" t="n">
        <v>0</v>
      </c>
      <c r="BQ34" s="27" t="n">
        <v>0.6734436297275738</v>
      </c>
      <c r="BR34" s="27" t="n">
        <v>0</v>
      </c>
      <c r="BS34" s="27" t="n">
        <v>0</v>
      </c>
      <c r="BT34" s="27" t="n">
        <v>0</v>
      </c>
      <c r="BU34" s="27" t="n">
        <v>0</v>
      </c>
      <c r="BV34" s="27" t="n">
        <v>0</v>
      </c>
      <c r="BW34" s="27" t="n">
        <v>0</v>
      </c>
      <c r="BX34" s="27" t="n">
        <v>0</v>
      </c>
      <c r="BY34" s="27" t="n">
        <v>0</v>
      </c>
      <c r="BZ34" s="27" t="n">
        <v>0</v>
      </c>
      <c r="CA34" s="27" t="n">
        <v>0</v>
      </c>
      <c r="CB34" s="27" t="n">
        <v>0</v>
      </c>
      <c r="CC34" s="27" t="n">
        <v>0</v>
      </c>
      <c r="CD34" s="27" t="n">
        <v>0</v>
      </c>
      <c r="CE34" s="27" t="n">
        <v>0</v>
      </c>
      <c r="CF34" s="27" t="n">
        <v>0</v>
      </c>
      <c r="CG34" s="27" t="n">
        <v>0</v>
      </c>
      <c r="CH34" s="27" t="n">
        <v>0</v>
      </c>
      <c r="CI34" s="27" t="n">
        <v>0</v>
      </c>
      <c r="CJ34" s="27" t="n">
        <v>0</v>
      </c>
      <c r="CK34" s="27" t="n">
        <v>0</v>
      </c>
      <c r="CL34" s="27" t="n">
        <v>0</v>
      </c>
      <c r="CM34" s="27" t="n">
        <v>0</v>
      </c>
      <c r="CN34" s="27" t="n">
        <v>0</v>
      </c>
      <c r="CO34" s="27" t="n">
        <v>0</v>
      </c>
      <c r="CP34" s="27" t="n">
        <v>0</v>
      </c>
      <c r="CQ34" s="27" t="n">
        <v>0</v>
      </c>
      <c r="CR34" s="27" t="n">
        <v>0</v>
      </c>
      <c r="CS34" s="27" t="n">
        <v>0</v>
      </c>
      <c r="CT34" s="27" t="n">
        <v>0</v>
      </c>
      <c r="CU34" s="27" t="n">
        <v>0</v>
      </c>
      <c r="CV34" s="27" t="n">
        <v>0</v>
      </c>
      <c r="CW34" s="27" t="n">
        <v>0</v>
      </c>
      <c r="CX34" s="27" t="n">
        <v>0</v>
      </c>
      <c r="CY34" s="27" t="n">
        <v>0</v>
      </c>
      <c r="CZ34" s="27" t="n">
        <v>0</v>
      </c>
      <c r="DA34" s="27" t="n">
        <v>0</v>
      </c>
    </row>
    <row r="35">
      <c r="A35" t="inlineStr">
        <is>
          <t>TSP-668</t>
        </is>
      </c>
      <c r="B35" s="27" t="n">
        <v>0</v>
      </c>
      <c r="C35" s="27" t="n">
        <v>0</v>
      </c>
      <c r="D35" s="27" t="n">
        <v>0</v>
      </c>
      <c r="E35" s="27" t="n">
        <v>0</v>
      </c>
      <c r="F35" s="27" t="n">
        <v>0</v>
      </c>
      <c r="G35" s="27" t="n">
        <v>0</v>
      </c>
      <c r="H35" s="27" t="n">
        <v>0</v>
      </c>
      <c r="I35" s="27" t="n">
        <v>0</v>
      </c>
      <c r="J35" s="27" t="n">
        <v>0</v>
      </c>
      <c r="K35" s="27" t="n">
        <v>0</v>
      </c>
      <c r="L35" s="27" t="n">
        <v>0</v>
      </c>
      <c r="M35" s="27" t="n">
        <v>0</v>
      </c>
      <c r="N35" s="27" t="n">
        <v>0</v>
      </c>
      <c r="O35" s="27" t="n">
        <v>0</v>
      </c>
      <c r="P35" s="27" t="n">
        <v>0</v>
      </c>
      <c r="Q35" s="27" t="n">
        <v>0</v>
      </c>
      <c r="R35" s="27" t="n">
        <v>0</v>
      </c>
      <c r="S35" s="27" t="n">
        <v>0</v>
      </c>
      <c r="T35" s="27" t="n">
        <v>0</v>
      </c>
      <c r="U35" s="27" t="n">
        <v>0</v>
      </c>
      <c r="V35" s="27" t="n">
        <v>0</v>
      </c>
      <c r="W35" s="27" t="n">
        <v>0</v>
      </c>
      <c r="X35" s="27" t="n">
        <v>0</v>
      </c>
      <c r="Y35" s="27" t="n">
        <v>0</v>
      </c>
      <c r="Z35" s="27" t="n">
        <v>0</v>
      </c>
      <c r="AA35" s="27" t="n">
        <v>0</v>
      </c>
      <c r="AB35" s="27" t="n">
        <v>0</v>
      </c>
      <c r="AC35" s="27" t="n">
        <v>0</v>
      </c>
      <c r="AD35" s="27" t="n">
        <v>0</v>
      </c>
      <c r="AE35" s="27" t="n">
        <v>0</v>
      </c>
      <c r="AF35" s="27" t="n">
        <v>0</v>
      </c>
      <c r="AG35" s="27" t="n">
        <v>0</v>
      </c>
      <c r="AH35" s="27" t="n">
        <v>0</v>
      </c>
      <c r="AI35" s="27" t="n">
        <v>0</v>
      </c>
      <c r="AJ35" s="27" t="n">
        <v>0</v>
      </c>
      <c r="AK35" s="27" t="n">
        <v>0</v>
      </c>
      <c r="AL35" s="27" t="n">
        <v>0</v>
      </c>
      <c r="AM35" s="27" t="n">
        <v>0</v>
      </c>
      <c r="AN35" s="27" t="n">
        <v>0</v>
      </c>
      <c r="AO35" s="27" t="n">
        <v>0</v>
      </c>
      <c r="AP35" s="27" t="n">
        <v>0</v>
      </c>
      <c r="AQ35" s="27" t="n">
        <v>0</v>
      </c>
      <c r="AR35" s="27" t="n">
        <v>0</v>
      </c>
      <c r="AS35" s="27" t="n">
        <v>0</v>
      </c>
      <c r="AT35" s="27" t="n">
        <v>0</v>
      </c>
      <c r="AU35" s="27" t="n">
        <v>0</v>
      </c>
      <c r="AV35" s="27" t="n">
        <v>0</v>
      </c>
      <c r="AW35" s="27" t="n">
        <v>0</v>
      </c>
      <c r="AX35" s="27" t="n">
        <v>0</v>
      </c>
      <c r="AY35" s="27" t="n">
        <v>0</v>
      </c>
      <c r="AZ35" s="27" t="n">
        <v>0</v>
      </c>
      <c r="BA35" s="27" t="n">
        <v>0</v>
      </c>
      <c r="BB35" s="27" t="n">
        <v>0</v>
      </c>
      <c r="BC35" s="27" t="n">
        <v>0</v>
      </c>
      <c r="BD35" s="27" t="n">
        <v>0</v>
      </c>
      <c r="BE35" s="27" t="n">
        <v>0</v>
      </c>
      <c r="BF35" s="27" t="n">
        <v>0</v>
      </c>
      <c r="BG35" s="27" t="n">
        <v>0</v>
      </c>
      <c r="BH35" s="27" t="n">
        <v>0</v>
      </c>
      <c r="BI35" s="27" t="n">
        <v>0</v>
      </c>
      <c r="BJ35" s="27" t="n">
        <v>0</v>
      </c>
      <c r="BK35" s="27" t="n">
        <v>0</v>
      </c>
      <c r="BL35" s="27" t="n">
        <v>0</v>
      </c>
      <c r="BM35" s="27" t="n">
        <v>0</v>
      </c>
      <c r="BN35" s="27" t="n">
        <v>0</v>
      </c>
      <c r="BO35" s="27" t="n">
        <v>0</v>
      </c>
      <c r="BP35" s="27" t="n">
        <v>0</v>
      </c>
      <c r="BQ35" s="27" t="n">
        <v>0</v>
      </c>
      <c r="BR35" s="27" t="n">
        <v>0</v>
      </c>
      <c r="BS35" s="27" t="n">
        <v>0</v>
      </c>
      <c r="BT35" s="27" t="n">
        <v>0</v>
      </c>
      <c r="BU35" s="27" t="n">
        <v>0</v>
      </c>
      <c r="BV35" s="27" t="n">
        <v>0</v>
      </c>
      <c r="BW35" s="27" t="n">
        <v>0</v>
      </c>
      <c r="BX35" s="27" t="n">
        <v>0</v>
      </c>
      <c r="BY35" s="27" t="n">
        <v>0</v>
      </c>
      <c r="BZ35" s="27" t="n">
        <v>0</v>
      </c>
      <c r="CA35" s="27" t="n">
        <v>0</v>
      </c>
      <c r="CB35" s="27" t="n">
        <v>0</v>
      </c>
      <c r="CC35" s="27" t="n">
        <v>0</v>
      </c>
      <c r="CD35" s="27" t="n">
        <v>0</v>
      </c>
      <c r="CE35" s="27" t="n">
        <v>0</v>
      </c>
      <c r="CF35" s="27" t="n">
        <v>0</v>
      </c>
      <c r="CG35" s="27" t="n">
        <v>0</v>
      </c>
      <c r="CH35" s="27" t="n">
        <v>0</v>
      </c>
      <c r="CI35" s="27" t="n">
        <v>0</v>
      </c>
      <c r="CJ35" s="27" t="n">
        <v>0</v>
      </c>
      <c r="CK35" s="27" t="n">
        <v>0</v>
      </c>
      <c r="CL35" s="27" t="n">
        <v>0</v>
      </c>
      <c r="CM35" s="27" t="n">
        <v>0</v>
      </c>
      <c r="CN35" s="27" t="n">
        <v>0</v>
      </c>
      <c r="CO35" s="27" t="n">
        <v>0</v>
      </c>
      <c r="CP35" s="27" t="n">
        <v>0</v>
      </c>
      <c r="CQ35" s="27" t="n">
        <v>0</v>
      </c>
      <c r="CR35" s="27" t="n">
        <v>0</v>
      </c>
      <c r="CS35" s="27" t="n">
        <v>0</v>
      </c>
      <c r="CT35" s="27" t="n">
        <v>0</v>
      </c>
      <c r="CU35" s="27" t="n">
        <v>0</v>
      </c>
      <c r="CV35" s="27" t="n">
        <v>0</v>
      </c>
      <c r="CW35" s="27" t="n">
        <v>0</v>
      </c>
      <c r="CX35" s="27" t="n">
        <v>0</v>
      </c>
      <c r="CY35" s="27" t="n">
        <v>0</v>
      </c>
      <c r="CZ35" s="27" t="n">
        <v>0</v>
      </c>
      <c r="DA35" s="27" t="n">
        <v>0</v>
      </c>
    </row>
    <row r="36">
      <c r="A36" t="inlineStr">
        <is>
          <t>TSP-669</t>
        </is>
      </c>
      <c r="B36" s="27" t="n">
        <v>0</v>
      </c>
      <c r="C36" s="27" t="n">
        <v>0</v>
      </c>
      <c r="D36" s="27" t="n">
        <v>0</v>
      </c>
      <c r="E36" s="27" t="n">
        <v>0</v>
      </c>
      <c r="F36" s="27" t="n">
        <v>0</v>
      </c>
      <c r="G36" s="27" t="n">
        <v>0</v>
      </c>
      <c r="H36" s="27" t="n">
        <v>0</v>
      </c>
      <c r="I36" s="27" t="n">
        <v>0</v>
      </c>
      <c r="J36" s="27" t="n">
        <v>0</v>
      </c>
      <c r="K36" s="27" t="n">
        <v>0</v>
      </c>
      <c r="L36" s="27" t="n">
        <v>0</v>
      </c>
      <c r="M36" s="27" t="n">
        <v>0</v>
      </c>
      <c r="N36" s="27" t="n">
        <v>0</v>
      </c>
      <c r="O36" s="27" t="n">
        <v>0</v>
      </c>
      <c r="P36" s="27" t="n">
        <v>0</v>
      </c>
      <c r="Q36" s="27" t="n">
        <v>0</v>
      </c>
      <c r="R36" s="27" t="n">
        <v>0</v>
      </c>
      <c r="S36" s="27" t="n">
        <v>0</v>
      </c>
      <c r="T36" s="27" t="n">
        <v>0</v>
      </c>
      <c r="U36" s="27" t="n">
        <v>0</v>
      </c>
      <c r="V36" s="27" t="n">
        <v>0</v>
      </c>
      <c r="W36" s="27" t="n">
        <v>0</v>
      </c>
      <c r="X36" s="27" t="n">
        <v>0</v>
      </c>
      <c r="Y36" s="27" t="n">
        <v>0</v>
      </c>
      <c r="Z36" s="27" t="n">
        <v>0</v>
      </c>
      <c r="AA36" s="27" t="n">
        <v>0</v>
      </c>
      <c r="AB36" s="27" t="n">
        <v>0</v>
      </c>
      <c r="AC36" s="27" t="n">
        <v>0</v>
      </c>
      <c r="AD36" s="27" t="n">
        <v>0</v>
      </c>
      <c r="AE36" s="27" t="n">
        <v>0</v>
      </c>
      <c r="AF36" s="27" t="n">
        <v>0</v>
      </c>
      <c r="AG36" s="27" t="n">
        <v>0</v>
      </c>
      <c r="AH36" s="27" t="n">
        <v>0</v>
      </c>
      <c r="AI36" s="27" t="n">
        <v>0</v>
      </c>
      <c r="AJ36" s="27" t="n">
        <v>0</v>
      </c>
      <c r="AK36" s="27" t="n">
        <v>0</v>
      </c>
      <c r="AL36" s="27" t="n">
        <v>0</v>
      </c>
      <c r="AM36" s="27" t="n">
        <v>0</v>
      </c>
      <c r="AN36" s="27" t="n">
        <v>0</v>
      </c>
      <c r="AO36" s="27" t="n">
        <v>0</v>
      </c>
      <c r="AP36" s="27" t="n">
        <v>0</v>
      </c>
      <c r="AQ36" s="27" t="n">
        <v>0</v>
      </c>
      <c r="AR36" s="27" t="n">
        <v>0</v>
      </c>
      <c r="AS36" s="27" t="n">
        <v>0</v>
      </c>
      <c r="AT36" s="27" t="n">
        <v>0</v>
      </c>
      <c r="AU36" s="27" t="n">
        <v>0</v>
      </c>
      <c r="AV36" s="27" t="n">
        <v>0</v>
      </c>
      <c r="AW36" s="27" t="n">
        <v>0</v>
      </c>
      <c r="AX36" s="27" t="n">
        <v>0</v>
      </c>
      <c r="AY36" s="27" t="n">
        <v>0</v>
      </c>
      <c r="AZ36" s="27" t="n">
        <v>0</v>
      </c>
      <c r="BA36" s="27" t="n">
        <v>0</v>
      </c>
      <c r="BB36" s="27" t="n">
        <v>0</v>
      </c>
      <c r="BC36" s="27" t="n">
        <v>0</v>
      </c>
      <c r="BD36" s="27" t="n">
        <v>0</v>
      </c>
      <c r="BE36" s="27" t="n">
        <v>0</v>
      </c>
      <c r="BF36" s="27" t="n">
        <v>0</v>
      </c>
      <c r="BG36" s="27" t="n">
        <v>0</v>
      </c>
      <c r="BH36" s="27" t="n">
        <v>0</v>
      </c>
      <c r="BI36" s="27" t="n">
        <v>0</v>
      </c>
      <c r="BJ36" s="27" t="n">
        <v>0</v>
      </c>
      <c r="BK36" s="27" t="n">
        <v>0</v>
      </c>
      <c r="BL36" s="27" t="n">
        <v>0</v>
      </c>
      <c r="BM36" s="27" t="n">
        <v>0</v>
      </c>
      <c r="BN36" s="27" t="n">
        <v>0</v>
      </c>
      <c r="BO36" s="27" t="n">
        <v>0</v>
      </c>
      <c r="BP36" s="27" t="n">
        <v>0</v>
      </c>
      <c r="BQ36" s="27" t="n">
        <v>0</v>
      </c>
      <c r="BR36" s="27" t="n">
        <v>0</v>
      </c>
      <c r="BS36" s="27" t="n">
        <v>0</v>
      </c>
      <c r="BT36" s="27" t="n">
        <v>0</v>
      </c>
      <c r="BU36" s="27" t="n">
        <v>0</v>
      </c>
      <c r="BV36" s="27" t="n">
        <v>0</v>
      </c>
      <c r="BW36" s="27" t="n">
        <v>0</v>
      </c>
      <c r="BX36" s="27" t="n">
        <v>0</v>
      </c>
      <c r="BY36" s="27" t="n">
        <v>0</v>
      </c>
      <c r="BZ36" s="27" t="n">
        <v>0</v>
      </c>
      <c r="CA36" s="27" t="n">
        <v>0</v>
      </c>
      <c r="CB36" s="27" t="n">
        <v>0</v>
      </c>
      <c r="CC36" s="27" t="n">
        <v>0</v>
      </c>
      <c r="CD36" s="27" t="n">
        <v>0</v>
      </c>
      <c r="CE36" s="27" t="n">
        <v>0</v>
      </c>
      <c r="CF36" s="27" t="n">
        <v>0</v>
      </c>
      <c r="CG36" s="27" t="n">
        <v>0</v>
      </c>
      <c r="CH36" s="27" t="n">
        <v>0</v>
      </c>
      <c r="CI36" s="27" t="n">
        <v>0</v>
      </c>
      <c r="CJ36" s="27" t="n">
        <v>0</v>
      </c>
      <c r="CK36" s="27" t="n">
        <v>0</v>
      </c>
      <c r="CL36" s="27" t="n">
        <v>0</v>
      </c>
      <c r="CM36" s="27" t="n">
        <v>0</v>
      </c>
      <c r="CN36" s="27" t="n">
        <v>0</v>
      </c>
      <c r="CO36" s="27" t="n">
        <v>0</v>
      </c>
      <c r="CP36" s="27" t="n">
        <v>0</v>
      </c>
      <c r="CQ36" s="27" t="n">
        <v>0</v>
      </c>
      <c r="CR36" s="27" t="n">
        <v>0</v>
      </c>
      <c r="CS36" s="27" t="n">
        <v>0</v>
      </c>
      <c r="CT36" s="27" t="n">
        <v>0</v>
      </c>
      <c r="CU36" s="27" t="n">
        <v>0</v>
      </c>
      <c r="CV36" s="27" t="n">
        <v>0</v>
      </c>
      <c r="CW36" s="27" t="n">
        <v>0</v>
      </c>
      <c r="CX36" s="27" t="n">
        <v>0</v>
      </c>
      <c r="CY36" s="27" t="n">
        <v>0</v>
      </c>
      <c r="CZ36" s="27" t="n">
        <v>0</v>
      </c>
      <c r="DA36" s="27" t="n">
        <v>0</v>
      </c>
    </row>
    <row r="37">
      <c r="A37" t="inlineStr">
        <is>
          <t>TSP-670</t>
        </is>
      </c>
      <c r="B37" s="27" t="n">
        <v>0</v>
      </c>
      <c r="C37" s="27" t="n">
        <v>0</v>
      </c>
      <c r="D37" s="27" t="n">
        <v>0</v>
      </c>
      <c r="E37" s="27" t="n">
        <v>0</v>
      </c>
      <c r="F37" s="27" t="n">
        <v>0</v>
      </c>
      <c r="G37" s="27" t="n">
        <v>0</v>
      </c>
      <c r="H37" s="27" t="n">
        <v>0</v>
      </c>
      <c r="I37" s="27" t="n">
        <v>0</v>
      </c>
      <c r="J37" s="27" t="n">
        <v>0</v>
      </c>
      <c r="K37" s="27" t="n">
        <v>0</v>
      </c>
      <c r="L37" s="27" t="n">
        <v>0</v>
      </c>
      <c r="M37" s="27" t="n">
        <v>0</v>
      </c>
      <c r="N37" s="27" t="n">
        <v>0</v>
      </c>
      <c r="O37" s="27" t="n">
        <v>0</v>
      </c>
      <c r="P37" s="27" t="n">
        <v>0</v>
      </c>
      <c r="Q37" s="27" t="n">
        <v>0</v>
      </c>
      <c r="R37" s="27" t="n">
        <v>0</v>
      </c>
      <c r="S37" s="27" t="n">
        <v>0</v>
      </c>
      <c r="T37" s="27" t="n">
        <v>0</v>
      </c>
      <c r="U37" s="27" t="n">
        <v>0</v>
      </c>
      <c r="V37" s="27" t="n">
        <v>0</v>
      </c>
      <c r="W37" s="27" t="n">
        <v>0</v>
      </c>
      <c r="X37" s="27" t="n">
        <v>0</v>
      </c>
      <c r="Y37" s="27" t="n">
        <v>0</v>
      </c>
      <c r="Z37" s="27" t="n">
        <v>0</v>
      </c>
      <c r="AA37" s="27" t="n">
        <v>0</v>
      </c>
      <c r="AB37" s="27" t="n">
        <v>0</v>
      </c>
      <c r="AC37" s="27" t="n">
        <v>0</v>
      </c>
      <c r="AD37" s="27" t="n">
        <v>0</v>
      </c>
      <c r="AE37" s="27" t="n">
        <v>0</v>
      </c>
      <c r="AF37" s="27" t="n">
        <v>0</v>
      </c>
      <c r="AG37" s="27" t="n">
        <v>0</v>
      </c>
      <c r="AH37" s="27" t="n">
        <v>0</v>
      </c>
      <c r="AI37" s="27" t="n">
        <v>0</v>
      </c>
      <c r="AJ37" s="27" t="n">
        <v>0</v>
      </c>
      <c r="AK37" s="27" t="n">
        <v>0</v>
      </c>
      <c r="AL37" s="27" t="n">
        <v>0</v>
      </c>
      <c r="AM37" s="27" t="n">
        <v>0</v>
      </c>
      <c r="AN37" s="27" t="n">
        <v>0</v>
      </c>
      <c r="AO37" s="27" t="n">
        <v>0</v>
      </c>
      <c r="AP37" s="27" t="n">
        <v>0</v>
      </c>
      <c r="AQ37" s="27" t="n">
        <v>0</v>
      </c>
      <c r="AR37" s="27" t="n">
        <v>0</v>
      </c>
      <c r="AS37" s="27" t="n">
        <v>0</v>
      </c>
      <c r="AT37" s="27" t="n">
        <v>0</v>
      </c>
      <c r="AU37" s="27" t="n">
        <v>0</v>
      </c>
      <c r="AV37" s="27" t="n">
        <v>0</v>
      </c>
      <c r="AW37" s="27" t="n">
        <v>0</v>
      </c>
      <c r="AX37" s="27" t="n">
        <v>0</v>
      </c>
      <c r="AY37" s="27" t="n">
        <v>0</v>
      </c>
      <c r="AZ37" s="27" t="n">
        <v>0</v>
      </c>
      <c r="BA37" s="27" t="n">
        <v>0</v>
      </c>
      <c r="BB37" s="27" t="n">
        <v>0</v>
      </c>
      <c r="BC37" s="27" t="n">
        <v>0</v>
      </c>
      <c r="BD37" s="27" t="n">
        <v>0</v>
      </c>
      <c r="BE37" s="27" t="n">
        <v>0</v>
      </c>
      <c r="BF37" s="27" t="n">
        <v>0</v>
      </c>
      <c r="BG37" s="27" t="n">
        <v>0</v>
      </c>
      <c r="BH37" s="27" t="n">
        <v>0</v>
      </c>
      <c r="BI37" s="27" t="n">
        <v>0</v>
      </c>
      <c r="BJ37" s="27" t="n">
        <v>0</v>
      </c>
      <c r="BK37" s="27" t="n">
        <v>0</v>
      </c>
      <c r="BL37" s="27" t="n">
        <v>0</v>
      </c>
      <c r="BM37" s="27" t="n">
        <v>0</v>
      </c>
      <c r="BN37" s="27" t="n">
        <v>0</v>
      </c>
      <c r="BO37" s="27" t="n">
        <v>0</v>
      </c>
      <c r="BP37" s="27" t="n">
        <v>0</v>
      </c>
      <c r="BQ37" s="27" t="n">
        <v>0</v>
      </c>
      <c r="BR37" s="27" t="n">
        <v>0</v>
      </c>
      <c r="BS37" s="27" t="n">
        <v>0</v>
      </c>
      <c r="BT37" s="27" t="n">
        <v>0</v>
      </c>
      <c r="BU37" s="27" t="n">
        <v>0</v>
      </c>
      <c r="BV37" s="27" t="n">
        <v>0</v>
      </c>
      <c r="BW37" s="27" t="n">
        <v>0</v>
      </c>
      <c r="BX37" s="27" t="n">
        <v>0</v>
      </c>
      <c r="BY37" s="27" t="n">
        <v>0</v>
      </c>
      <c r="BZ37" s="27" t="n">
        <v>0</v>
      </c>
      <c r="CA37" s="27" t="n">
        <v>0</v>
      </c>
      <c r="CB37" s="27" t="n">
        <v>0</v>
      </c>
      <c r="CC37" s="27" t="n">
        <v>0</v>
      </c>
      <c r="CD37" s="27" t="n">
        <v>0</v>
      </c>
      <c r="CE37" s="27" t="n">
        <v>0</v>
      </c>
      <c r="CF37" s="27" t="n">
        <v>0</v>
      </c>
      <c r="CG37" s="27" t="n">
        <v>0</v>
      </c>
      <c r="CH37" s="27" t="n">
        <v>0</v>
      </c>
      <c r="CI37" s="27" t="n">
        <v>0</v>
      </c>
      <c r="CJ37" s="27" t="n">
        <v>0</v>
      </c>
      <c r="CK37" s="27" t="n">
        <v>0</v>
      </c>
      <c r="CL37" s="27" t="n">
        <v>0</v>
      </c>
      <c r="CM37" s="27" t="n">
        <v>0</v>
      </c>
      <c r="CN37" s="27" t="n">
        <v>0</v>
      </c>
      <c r="CO37" s="27" t="n">
        <v>0</v>
      </c>
      <c r="CP37" s="27" t="n">
        <v>0</v>
      </c>
      <c r="CQ37" s="27" t="n">
        <v>0</v>
      </c>
      <c r="CR37" s="27" t="n">
        <v>0</v>
      </c>
      <c r="CS37" s="27" t="n">
        <v>0</v>
      </c>
      <c r="CT37" s="27" t="n">
        <v>0</v>
      </c>
      <c r="CU37" s="27" t="n">
        <v>0</v>
      </c>
      <c r="CV37" s="27" t="n">
        <v>0</v>
      </c>
      <c r="CW37" s="27" t="n">
        <v>0</v>
      </c>
      <c r="CX37" s="27" t="n">
        <v>0</v>
      </c>
      <c r="CY37" s="27" t="n">
        <v>0</v>
      </c>
      <c r="CZ37" s="27" t="n">
        <v>0</v>
      </c>
      <c r="DA37" s="27" t="n">
        <v>0</v>
      </c>
    </row>
    <row r="38">
      <c r="A38" t="inlineStr">
        <is>
          <t>TSP-710</t>
        </is>
      </c>
      <c r="B38" s="27" t="n">
        <v>0</v>
      </c>
      <c r="C38" s="27" t="n">
        <v>0</v>
      </c>
      <c r="D38" s="27" t="n">
        <v>0</v>
      </c>
      <c r="E38" s="27" t="n">
        <v>0</v>
      </c>
      <c r="F38" s="27" t="n">
        <v>0</v>
      </c>
      <c r="G38" s="27" t="n">
        <v>0</v>
      </c>
      <c r="H38" s="27" t="n">
        <v>0</v>
      </c>
      <c r="I38" s="27" t="n">
        <v>0</v>
      </c>
      <c r="J38" s="27" t="n">
        <v>0</v>
      </c>
      <c r="K38" s="27" t="n">
        <v>0</v>
      </c>
      <c r="L38" s="27" t="n">
        <v>0</v>
      </c>
      <c r="M38" s="27" t="n">
        <v>0</v>
      </c>
      <c r="N38" s="27" t="n">
        <v>0</v>
      </c>
      <c r="O38" s="27" t="n">
        <v>0</v>
      </c>
      <c r="P38" s="27" t="n">
        <v>0</v>
      </c>
      <c r="Q38" s="27" t="n">
        <v>0</v>
      </c>
      <c r="R38" s="27" t="n">
        <v>0</v>
      </c>
      <c r="S38" s="27" t="n">
        <v>0</v>
      </c>
      <c r="T38" s="27" t="n">
        <v>0</v>
      </c>
      <c r="U38" s="27" t="n">
        <v>0</v>
      </c>
      <c r="V38" s="27" t="n">
        <v>0</v>
      </c>
      <c r="W38" s="27" t="n">
        <v>0</v>
      </c>
      <c r="X38" s="27" t="n">
        <v>0</v>
      </c>
      <c r="Y38" s="27" t="n">
        <v>0</v>
      </c>
      <c r="Z38" s="27" t="n">
        <v>0</v>
      </c>
      <c r="AA38" s="27" t="n">
        <v>0</v>
      </c>
      <c r="AB38" s="27" t="n">
        <v>0</v>
      </c>
      <c r="AC38" s="27" t="n">
        <v>0</v>
      </c>
      <c r="AD38" s="27" t="n">
        <v>0</v>
      </c>
      <c r="AE38" s="27" t="n">
        <v>0</v>
      </c>
      <c r="AF38" s="27" t="n">
        <v>0</v>
      </c>
      <c r="AG38" s="27" t="n">
        <v>0</v>
      </c>
      <c r="AH38" s="27" t="n">
        <v>0</v>
      </c>
      <c r="AI38" s="27" t="n">
        <v>0</v>
      </c>
      <c r="AJ38" s="27" t="n">
        <v>0</v>
      </c>
      <c r="AK38" s="27" t="n">
        <v>0</v>
      </c>
      <c r="AL38" s="27" t="n">
        <v>0</v>
      </c>
      <c r="AM38" s="27" t="n">
        <v>0</v>
      </c>
      <c r="AN38" s="27" t="n">
        <v>0</v>
      </c>
      <c r="AO38" s="27" t="n">
        <v>0</v>
      </c>
      <c r="AP38" s="27" t="n">
        <v>0</v>
      </c>
      <c r="AQ38" s="27" t="n">
        <v>0</v>
      </c>
      <c r="AR38" s="27" t="n">
        <v>0</v>
      </c>
      <c r="AS38" s="27" t="n">
        <v>0</v>
      </c>
      <c r="AT38" s="27" t="n">
        <v>0</v>
      </c>
      <c r="AU38" s="27" t="n">
        <v>0</v>
      </c>
      <c r="AV38" s="27" t="n">
        <v>0</v>
      </c>
      <c r="AW38" s="27" t="n">
        <v>0</v>
      </c>
      <c r="AX38" s="27" t="n">
        <v>0</v>
      </c>
      <c r="AY38" s="27" t="n">
        <v>0</v>
      </c>
      <c r="AZ38" s="27" t="n">
        <v>0</v>
      </c>
      <c r="BA38" s="27" t="n">
        <v>0</v>
      </c>
      <c r="BB38" s="27" t="n">
        <v>0</v>
      </c>
      <c r="BC38" s="27" t="n">
        <v>0</v>
      </c>
      <c r="BD38" s="27" t="n">
        <v>0</v>
      </c>
      <c r="BE38" s="27" t="n">
        <v>0</v>
      </c>
      <c r="BF38" s="27" t="n">
        <v>0</v>
      </c>
      <c r="BG38" s="27" t="n">
        <v>0</v>
      </c>
      <c r="BH38" s="27" t="n">
        <v>0</v>
      </c>
      <c r="BI38" s="27" t="n">
        <v>0</v>
      </c>
      <c r="BJ38" s="27" t="n">
        <v>0</v>
      </c>
      <c r="BK38" s="27" t="n">
        <v>0</v>
      </c>
      <c r="BL38" s="27" t="n">
        <v>0</v>
      </c>
      <c r="BM38" s="27" t="n">
        <v>0</v>
      </c>
      <c r="BN38" s="27" t="n">
        <v>0</v>
      </c>
      <c r="BO38" s="27" t="n">
        <v>0</v>
      </c>
      <c r="BP38" s="27" t="n">
        <v>0</v>
      </c>
      <c r="BQ38" s="27" t="n">
        <v>0</v>
      </c>
      <c r="BR38" s="27" t="n">
        <v>0</v>
      </c>
      <c r="BS38" s="27" t="n">
        <v>0</v>
      </c>
      <c r="BT38" s="27" t="n">
        <v>0</v>
      </c>
      <c r="BU38" s="27" t="n">
        <v>0</v>
      </c>
      <c r="BV38" s="27" t="n">
        <v>0</v>
      </c>
      <c r="BW38" s="27" t="n">
        <v>0</v>
      </c>
      <c r="BX38" s="27" t="n">
        <v>0</v>
      </c>
      <c r="BY38" s="27" t="n">
        <v>0</v>
      </c>
      <c r="BZ38" s="27" t="n">
        <v>0</v>
      </c>
      <c r="CA38" s="27" t="n">
        <v>0</v>
      </c>
      <c r="CB38" s="27" t="n">
        <v>0</v>
      </c>
      <c r="CC38" s="27" t="n">
        <v>0</v>
      </c>
      <c r="CD38" s="27" t="n">
        <v>0</v>
      </c>
      <c r="CE38" s="27" t="n">
        <v>0</v>
      </c>
      <c r="CF38" s="27" t="n">
        <v>0</v>
      </c>
      <c r="CG38" s="27" t="n">
        <v>0</v>
      </c>
      <c r="CH38" s="27" t="n">
        <v>0</v>
      </c>
      <c r="CI38" s="27" t="n">
        <v>0</v>
      </c>
      <c r="CJ38" s="27" t="n">
        <v>0</v>
      </c>
      <c r="CK38" s="27" t="n">
        <v>0</v>
      </c>
      <c r="CL38" s="27" t="n">
        <v>0</v>
      </c>
      <c r="CM38" s="27" t="n">
        <v>0</v>
      </c>
      <c r="CN38" s="27" t="n">
        <v>0</v>
      </c>
      <c r="CO38" s="27" t="n">
        <v>0</v>
      </c>
      <c r="CP38" s="27" t="n">
        <v>0</v>
      </c>
      <c r="CQ38" s="27" t="n">
        <v>0</v>
      </c>
      <c r="CR38" s="27" t="n">
        <v>0</v>
      </c>
      <c r="CS38" s="27" t="n">
        <v>0</v>
      </c>
      <c r="CT38" s="27" t="n">
        <v>0</v>
      </c>
      <c r="CU38" s="27" t="n">
        <v>0</v>
      </c>
      <c r="CV38" s="27" t="n">
        <v>0</v>
      </c>
      <c r="CW38" s="27" t="n">
        <v>0</v>
      </c>
      <c r="CX38" s="27" t="n">
        <v>0</v>
      </c>
      <c r="CY38" s="27" t="n">
        <v>0</v>
      </c>
      <c r="CZ38" s="27" t="n">
        <v>0</v>
      </c>
      <c r="DA38" s="27" t="n">
        <v>0</v>
      </c>
    </row>
    <row r="39">
      <c r="A39" t="inlineStr">
        <is>
          <t>TSP-828</t>
        </is>
      </c>
      <c r="B39" s="27" t="n">
        <v>0</v>
      </c>
      <c r="C39" s="27" t="n">
        <v>0</v>
      </c>
      <c r="D39" s="27" t="n">
        <v>0</v>
      </c>
      <c r="E39" s="27" t="n">
        <v>0</v>
      </c>
      <c r="F39" s="27" t="n">
        <v>0</v>
      </c>
      <c r="G39" s="27" t="n">
        <v>0</v>
      </c>
      <c r="H39" s="27" t="n">
        <v>0</v>
      </c>
      <c r="I39" s="27" t="n">
        <v>0</v>
      </c>
      <c r="J39" s="27" t="n">
        <v>0</v>
      </c>
      <c r="K39" s="27" t="n">
        <v>0</v>
      </c>
      <c r="L39" s="27" t="n">
        <v>0</v>
      </c>
      <c r="M39" s="27" t="n">
        <v>0</v>
      </c>
      <c r="N39" s="27" t="n">
        <v>0</v>
      </c>
      <c r="O39" s="27" t="n">
        <v>0</v>
      </c>
      <c r="P39" s="27" t="n">
        <v>0</v>
      </c>
      <c r="Q39" s="27" t="n">
        <v>0</v>
      </c>
      <c r="R39" s="27" t="n">
        <v>0</v>
      </c>
      <c r="S39" s="27" t="n">
        <v>0</v>
      </c>
      <c r="T39" s="27" t="n">
        <v>0</v>
      </c>
      <c r="U39" s="27" t="n">
        <v>0</v>
      </c>
      <c r="V39" s="27" t="n">
        <v>0</v>
      </c>
      <c r="W39" s="27" t="n">
        <v>0</v>
      </c>
      <c r="X39" s="27" t="n">
        <v>0</v>
      </c>
      <c r="Y39" s="27" t="n">
        <v>0</v>
      </c>
      <c r="Z39" s="27" t="n">
        <v>0</v>
      </c>
      <c r="AA39" s="27" t="n">
        <v>0</v>
      </c>
      <c r="AB39" s="27" t="n">
        <v>0</v>
      </c>
      <c r="AC39" s="27" t="n">
        <v>0</v>
      </c>
      <c r="AD39" s="27" t="n">
        <v>0</v>
      </c>
      <c r="AE39" s="27" t="n">
        <v>0</v>
      </c>
      <c r="AF39" s="27" t="n">
        <v>0</v>
      </c>
      <c r="AG39" s="27" t="n">
        <v>0</v>
      </c>
      <c r="AH39" s="27" t="n">
        <v>0</v>
      </c>
      <c r="AI39" s="27" t="n">
        <v>0</v>
      </c>
      <c r="AJ39" s="27" t="n">
        <v>0</v>
      </c>
      <c r="AK39" s="27" t="n">
        <v>0</v>
      </c>
      <c r="AL39" s="27" t="n">
        <v>0</v>
      </c>
      <c r="AM39" s="27" t="n">
        <v>0</v>
      </c>
      <c r="AN39" s="27" t="n">
        <v>0</v>
      </c>
      <c r="AO39" s="27" t="n">
        <v>0</v>
      </c>
      <c r="AP39" s="27" t="n">
        <v>0</v>
      </c>
      <c r="AQ39" s="27" t="n">
        <v>0</v>
      </c>
      <c r="AR39" s="27" t="n">
        <v>0</v>
      </c>
      <c r="AS39" s="27" t="n">
        <v>0</v>
      </c>
      <c r="AT39" s="27" t="n">
        <v>0</v>
      </c>
      <c r="AU39" s="27" t="n">
        <v>0</v>
      </c>
      <c r="AV39" s="27" t="n">
        <v>0</v>
      </c>
      <c r="AW39" s="27" t="n">
        <v>0</v>
      </c>
      <c r="AX39" s="27" t="n">
        <v>0</v>
      </c>
      <c r="AY39" s="27" t="n">
        <v>0</v>
      </c>
      <c r="AZ39" s="27" t="n">
        <v>0</v>
      </c>
      <c r="BA39" s="27" t="n">
        <v>0</v>
      </c>
      <c r="BB39" s="27" t="n">
        <v>0</v>
      </c>
      <c r="BC39" s="27" t="n">
        <v>0</v>
      </c>
      <c r="BD39" s="27" t="n">
        <v>0</v>
      </c>
      <c r="BE39" s="27" t="n">
        <v>0</v>
      </c>
      <c r="BF39" s="27" t="n">
        <v>0</v>
      </c>
      <c r="BG39" s="27" t="n">
        <v>0</v>
      </c>
      <c r="BH39" s="27" t="n">
        <v>0</v>
      </c>
      <c r="BI39" s="27" t="n">
        <v>0</v>
      </c>
      <c r="BJ39" s="27" t="n">
        <v>0</v>
      </c>
      <c r="BK39" s="27" t="n">
        <v>0</v>
      </c>
      <c r="BL39" s="27" t="n">
        <v>0</v>
      </c>
      <c r="BM39" s="27" t="n">
        <v>0</v>
      </c>
      <c r="BN39" s="27" t="n">
        <v>0</v>
      </c>
      <c r="BO39" s="27" t="n">
        <v>0</v>
      </c>
      <c r="BP39" s="27" t="n">
        <v>0</v>
      </c>
      <c r="BQ39" s="27" t="n">
        <v>0</v>
      </c>
      <c r="BR39" s="27" t="n">
        <v>0</v>
      </c>
      <c r="BS39" s="27" t="n">
        <v>0</v>
      </c>
      <c r="BT39" s="27" t="n">
        <v>0</v>
      </c>
      <c r="BU39" s="27" t="n">
        <v>0</v>
      </c>
      <c r="BV39" s="27" t="n">
        <v>0</v>
      </c>
      <c r="BW39" s="27" t="n">
        <v>0</v>
      </c>
      <c r="BX39" s="27" t="n">
        <v>0</v>
      </c>
      <c r="BY39" s="27" t="n">
        <v>0</v>
      </c>
      <c r="BZ39" s="27" t="n">
        <v>0</v>
      </c>
      <c r="CA39" s="27" t="n">
        <v>0</v>
      </c>
      <c r="CB39" s="27" t="n">
        <v>0</v>
      </c>
      <c r="CC39" s="27" t="n">
        <v>0</v>
      </c>
      <c r="CD39" s="27" t="n">
        <v>0</v>
      </c>
      <c r="CE39" s="27" t="n">
        <v>0</v>
      </c>
      <c r="CF39" s="27" t="n">
        <v>0</v>
      </c>
      <c r="CG39" s="27" t="n">
        <v>0</v>
      </c>
      <c r="CH39" s="27" t="n">
        <v>0</v>
      </c>
      <c r="CI39" s="27" t="n">
        <v>0</v>
      </c>
      <c r="CJ39" s="27" t="n">
        <v>0</v>
      </c>
      <c r="CK39" s="27" t="n">
        <v>0</v>
      </c>
      <c r="CL39" s="27" t="n">
        <v>0</v>
      </c>
      <c r="CM39" s="27" t="n">
        <v>0</v>
      </c>
      <c r="CN39" s="27" t="n">
        <v>0</v>
      </c>
      <c r="CO39" s="27" t="n">
        <v>0</v>
      </c>
      <c r="CP39" s="27" t="n">
        <v>0</v>
      </c>
      <c r="CQ39" s="27" t="n">
        <v>0</v>
      </c>
      <c r="CR39" s="27" t="n">
        <v>0</v>
      </c>
      <c r="CS39" s="27" t="n">
        <v>0</v>
      </c>
      <c r="CT39" s="27" t="n">
        <v>0</v>
      </c>
      <c r="CU39" s="27" t="n">
        <v>0</v>
      </c>
      <c r="CV39" s="27" t="n">
        <v>0</v>
      </c>
      <c r="CW39" s="27" t="n">
        <v>0</v>
      </c>
      <c r="CX39" s="27" t="n">
        <v>0</v>
      </c>
      <c r="CY39" s="27" t="n">
        <v>0</v>
      </c>
      <c r="CZ39" s="27" t="n">
        <v>0</v>
      </c>
      <c r="DA39" s="27" t="n">
        <v>0</v>
      </c>
    </row>
    <row r="40">
      <c r="A40" t="inlineStr">
        <is>
          <t>TSP-903</t>
        </is>
      </c>
      <c r="B40" s="27" t="n">
        <v>0</v>
      </c>
      <c r="C40" s="27" t="n">
        <v>0</v>
      </c>
      <c r="D40" s="27" t="n">
        <v>0</v>
      </c>
      <c r="E40" s="27" t="n">
        <v>0</v>
      </c>
      <c r="F40" s="27" t="n">
        <v>0</v>
      </c>
      <c r="G40" s="27" t="n">
        <v>0</v>
      </c>
      <c r="H40" s="27" t="n">
        <v>0</v>
      </c>
      <c r="I40" s="27" t="n">
        <v>0</v>
      </c>
      <c r="J40" s="27" t="n">
        <v>0</v>
      </c>
      <c r="K40" s="27" t="n">
        <v>0</v>
      </c>
      <c r="L40" s="27" t="n">
        <v>0</v>
      </c>
      <c r="M40" s="27" t="n">
        <v>0</v>
      </c>
      <c r="N40" s="27" t="n">
        <v>0</v>
      </c>
      <c r="O40" s="27" t="n">
        <v>0</v>
      </c>
      <c r="P40" s="27" t="n">
        <v>0</v>
      </c>
      <c r="Q40" s="27" t="n">
        <v>0</v>
      </c>
      <c r="R40" s="27" t="n">
        <v>0</v>
      </c>
      <c r="S40" s="27" t="n">
        <v>0</v>
      </c>
      <c r="T40" s="27" t="n">
        <v>0</v>
      </c>
      <c r="U40" s="27" t="n">
        <v>0</v>
      </c>
      <c r="V40" s="27" t="n">
        <v>0</v>
      </c>
      <c r="W40" s="27" t="n">
        <v>0</v>
      </c>
      <c r="X40" s="27" t="n">
        <v>0</v>
      </c>
      <c r="Y40" s="27" t="n">
        <v>0</v>
      </c>
      <c r="Z40" s="27" t="n">
        <v>0</v>
      </c>
      <c r="AA40" s="27" t="n">
        <v>0</v>
      </c>
      <c r="AB40" s="27" t="n">
        <v>0</v>
      </c>
      <c r="AC40" s="27" t="n">
        <v>0</v>
      </c>
      <c r="AD40" s="27" t="n">
        <v>0</v>
      </c>
      <c r="AE40" s="27" t="n">
        <v>0</v>
      </c>
      <c r="AF40" s="27" t="n">
        <v>0</v>
      </c>
      <c r="AG40" s="27" t="n">
        <v>0</v>
      </c>
      <c r="AH40" s="27" t="n">
        <v>0</v>
      </c>
      <c r="AI40" s="27" t="n">
        <v>0</v>
      </c>
      <c r="AJ40" s="27" t="n">
        <v>0</v>
      </c>
      <c r="AK40" s="27" t="n">
        <v>0</v>
      </c>
      <c r="AL40" s="27" t="n">
        <v>0</v>
      </c>
      <c r="AM40" s="27" t="n">
        <v>0</v>
      </c>
      <c r="AN40" s="27" t="n">
        <v>0</v>
      </c>
      <c r="AO40" s="27" t="n">
        <v>0</v>
      </c>
      <c r="AP40" s="27" t="n">
        <v>0</v>
      </c>
      <c r="AQ40" s="27" t="n">
        <v>0</v>
      </c>
      <c r="AR40" s="27" t="n">
        <v>0</v>
      </c>
      <c r="AS40" s="27" t="n">
        <v>0</v>
      </c>
      <c r="AT40" s="27" t="n">
        <v>0</v>
      </c>
      <c r="AU40" s="27" t="n">
        <v>0</v>
      </c>
      <c r="AV40" s="27" t="n">
        <v>0</v>
      </c>
      <c r="AW40" s="27" t="n">
        <v>0</v>
      </c>
      <c r="AX40" s="27" t="n">
        <v>0</v>
      </c>
      <c r="AY40" s="27" t="n">
        <v>0</v>
      </c>
      <c r="AZ40" s="27" t="n">
        <v>0</v>
      </c>
      <c r="BA40" s="27" t="n">
        <v>0</v>
      </c>
      <c r="BB40" s="27" t="n">
        <v>0</v>
      </c>
      <c r="BC40" s="27" t="n">
        <v>0</v>
      </c>
      <c r="BD40" s="27" t="n">
        <v>0</v>
      </c>
      <c r="BE40" s="27" t="n">
        <v>0</v>
      </c>
      <c r="BF40" s="27" t="n">
        <v>0</v>
      </c>
      <c r="BG40" s="27" t="n">
        <v>0</v>
      </c>
      <c r="BH40" s="27" t="n">
        <v>0</v>
      </c>
      <c r="BI40" s="27" t="n">
        <v>0</v>
      </c>
      <c r="BJ40" s="27" t="n">
        <v>0</v>
      </c>
      <c r="BK40" s="27" t="n">
        <v>0</v>
      </c>
      <c r="BL40" s="27" t="n">
        <v>0</v>
      </c>
      <c r="BM40" s="27" t="n">
        <v>0</v>
      </c>
      <c r="BN40" s="27" t="n">
        <v>0</v>
      </c>
      <c r="BO40" s="27" t="n">
        <v>0</v>
      </c>
      <c r="BP40" s="27" t="n">
        <v>0</v>
      </c>
      <c r="BQ40" s="27" t="n">
        <v>0</v>
      </c>
      <c r="BR40" s="27" t="n">
        <v>0</v>
      </c>
      <c r="BS40" s="27" t="n">
        <v>0</v>
      </c>
      <c r="BT40" s="27" t="n">
        <v>0</v>
      </c>
      <c r="BU40" s="27" t="n">
        <v>0</v>
      </c>
      <c r="BV40" s="27" t="n">
        <v>0</v>
      </c>
      <c r="BW40" s="27" t="n">
        <v>0</v>
      </c>
      <c r="BX40" s="27" t="n">
        <v>0</v>
      </c>
      <c r="BY40" s="27" t="n">
        <v>0</v>
      </c>
      <c r="BZ40" s="27" t="n">
        <v>0</v>
      </c>
      <c r="CA40" s="27" t="n">
        <v>0</v>
      </c>
      <c r="CB40" s="27" t="n">
        <v>0</v>
      </c>
      <c r="CC40" s="27" t="n">
        <v>0</v>
      </c>
      <c r="CD40" s="27" t="n">
        <v>0</v>
      </c>
      <c r="CE40" s="27" t="n">
        <v>0</v>
      </c>
      <c r="CF40" s="27" t="n">
        <v>0</v>
      </c>
      <c r="CG40" s="27" t="n">
        <v>0</v>
      </c>
      <c r="CH40" s="27" t="n">
        <v>0</v>
      </c>
      <c r="CI40" s="27" t="n">
        <v>0</v>
      </c>
      <c r="CJ40" s="27" t="n">
        <v>0</v>
      </c>
      <c r="CK40" s="27" t="n">
        <v>0</v>
      </c>
      <c r="CL40" s="27" t="n">
        <v>0</v>
      </c>
      <c r="CM40" s="27" t="n">
        <v>0</v>
      </c>
      <c r="CN40" s="27" t="n">
        <v>0</v>
      </c>
      <c r="CO40" s="27" t="n">
        <v>0</v>
      </c>
      <c r="CP40" s="27" t="n">
        <v>0</v>
      </c>
      <c r="CQ40" s="27" t="n">
        <v>0</v>
      </c>
      <c r="CR40" s="27" t="n">
        <v>0</v>
      </c>
      <c r="CS40" s="27" t="n">
        <v>0</v>
      </c>
      <c r="CT40" s="27" t="n">
        <v>0</v>
      </c>
      <c r="CU40" s="27" t="n">
        <v>0</v>
      </c>
      <c r="CV40" s="27" t="n">
        <v>0</v>
      </c>
      <c r="CW40" s="27" t="n">
        <v>0</v>
      </c>
      <c r="CX40" s="27" t="n">
        <v>0</v>
      </c>
      <c r="CY40" s="27" t="n">
        <v>0</v>
      </c>
      <c r="CZ40" s="27" t="n">
        <v>0</v>
      </c>
      <c r="DA40" s="27" t="n">
        <v>0</v>
      </c>
    </row>
    <row r="41">
      <c r="A41" t="inlineStr">
        <is>
          <t>TSP-924</t>
        </is>
      </c>
      <c r="B41" s="27" t="n">
        <v>0</v>
      </c>
      <c r="C41" s="27" t="n">
        <v>0.5132905723431526</v>
      </c>
      <c r="D41" s="27" t="n">
        <v>0</v>
      </c>
      <c r="E41" s="27" t="n">
        <v>0</v>
      </c>
      <c r="F41" s="27" t="n">
        <v>0.5132905723431526</v>
      </c>
      <c r="G41" s="27" t="n">
        <v>0</v>
      </c>
      <c r="H41" s="27" t="n">
        <v>0</v>
      </c>
      <c r="I41" s="27" t="n">
        <v>0.5132905723431526</v>
      </c>
      <c r="J41" s="27" t="n">
        <v>0</v>
      </c>
      <c r="K41" s="27" t="n">
        <v>0.5132905723431526</v>
      </c>
      <c r="L41" s="27" t="n">
        <v>0</v>
      </c>
      <c r="M41" s="27" t="n">
        <v>0.5132905723431526</v>
      </c>
      <c r="N41" s="27" t="n">
        <v>0</v>
      </c>
      <c r="O41" s="27" t="n">
        <v>0</v>
      </c>
      <c r="P41" s="27" t="n">
        <v>0.5132905723431526</v>
      </c>
      <c r="Q41" s="27" t="n">
        <v>0.5132905723431526</v>
      </c>
      <c r="R41" s="27" t="n">
        <v>0.5132905723431526</v>
      </c>
      <c r="S41" s="27" t="n">
        <v>0</v>
      </c>
      <c r="T41" s="27" t="n">
        <v>0</v>
      </c>
      <c r="U41" s="27" t="n">
        <v>0.5132905723431526</v>
      </c>
      <c r="V41" s="27" t="n">
        <v>0</v>
      </c>
      <c r="W41" s="27" t="n">
        <v>0.5132905723431526</v>
      </c>
      <c r="X41" s="27" t="n">
        <v>0</v>
      </c>
      <c r="Y41" s="27" t="n">
        <v>0</v>
      </c>
      <c r="Z41" s="27" t="n">
        <v>0</v>
      </c>
      <c r="AA41" s="27" t="n">
        <v>0</v>
      </c>
      <c r="AB41" s="27" t="n">
        <v>0</v>
      </c>
      <c r="AC41" s="27" t="n">
        <v>0</v>
      </c>
      <c r="AD41" s="27" t="n">
        <v>0</v>
      </c>
      <c r="AE41" s="27" t="n">
        <v>0.5132905723431526</v>
      </c>
      <c r="AF41" s="27" t="n">
        <v>0</v>
      </c>
      <c r="AG41" s="27" t="n">
        <v>0</v>
      </c>
      <c r="AH41" s="27" t="n">
        <v>0.5132905723431526</v>
      </c>
      <c r="AI41" s="27" t="n">
        <v>0</v>
      </c>
      <c r="AJ41" s="27" t="n">
        <v>0</v>
      </c>
      <c r="AK41" s="27" t="n">
        <v>0.5132905723431526</v>
      </c>
      <c r="AL41" s="27" t="n">
        <v>0</v>
      </c>
      <c r="AM41" s="27" t="n">
        <v>0.5132905723431526</v>
      </c>
      <c r="AN41" s="27" t="n">
        <v>0</v>
      </c>
      <c r="AO41" s="27" t="n">
        <v>0</v>
      </c>
      <c r="AP41" s="27" t="n">
        <v>0.5132905723431526</v>
      </c>
      <c r="AQ41" s="27" t="n">
        <v>0</v>
      </c>
      <c r="AR41" s="27" t="n">
        <v>0</v>
      </c>
      <c r="AS41" s="27" t="n">
        <v>0</v>
      </c>
      <c r="AT41" s="27" t="n">
        <v>0.5132905723431526</v>
      </c>
      <c r="AU41" s="27" t="n">
        <v>0</v>
      </c>
      <c r="AV41" s="27" t="n">
        <v>0</v>
      </c>
      <c r="AW41" s="27" t="n">
        <v>0</v>
      </c>
      <c r="AX41" s="27" t="n">
        <v>0.5132905723431526</v>
      </c>
      <c r="AY41" s="27" t="n">
        <v>0</v>
      </c>
      <c r="AZ41" s="27" t="n">
        <v>0</v>
      </c>
      <c r="BA41" s="27" t="n">
        <v>0</v>
      </c>
      <c r="BB41" s="27" t="n">
        <v>0</v>
      </c>
      <c r="BC41" s="27" t="n">
        <v>0</v>
      </c>
      <c r="BD41" s="27" t="n">
        <v>0</v>
      </c>
      <c r="BE41" s="27" t="n">
        <v>0.205316228937261</v>
      </c>
      <c r="BF41" s="27" t="n">
        <v>0</v>
      </c>
      <c r="BG41" s="27" t="n">
        <v>0</v>
      </c>
      <c r="BH41" s="27" t="n">
        <v>0</v>
      </c>
      <c r="BI41" s="27" t="n">
        <v>0</v>
      </c>
      <c r="BJ41" s="27" t="n">
        <v>0</v>
      </c>
      <c r="BK41" s="27" t="n">
        <v>0</v>
      </c>
      <c r="BL41" s="27" t="n">
        <v>0</v>
      </c>
      <c r="BM41" s="27" t="n">
        <v>0</v>
      </c>
      <c r="BN41" s="27" t="n">
        <v>0</v>
      </c>
      <c r="BO41" s="27" t="n">
        <v>0</v>
      </c>
      <c r="BP41" s="27" t="n">
        <v>0</v>
      </c>
      <c r="BQ41" s="27" t="n">
        <v>0</v>
      </c>
      <c r="BR41" s="27" t="n">
        <v>0</v>
      </c>
      <c r="BS41" s="27" t="n">
        <v>0</v>
      </c>
      <c r="BT41" s="27" t="n">
        <v>0</v>
      </c>
      <c r="BU41" s="27" t="n">
        <v>0</v>
      </c>
      <c r="BV41" s="27" t="n">
        <v>0</v>
      </c>
      <c r="BW41" s="27" t="n">
        <v>0</v>
      </c>
      <c r="BX41" s="27" t="n">
        <v>0</v>
      </c>
      <c r="BY41" s="27" t="n">
        <v>0</v>
      </c>
      <c r="BZ41" s="27" t="n">
        <v>0</v>
      </c>
      <c r="CA41" s="27" t="n">
        <v>0</v>
      </c>
      <c r="CB41" s="27" t="n">
        <v>0</v>
      </c>
      <c r="CC41" s="27" t="n">
        <v>0</v>
      </c>
      <c r="CD41" s="27" t="n">
        <v>0</v>
      </c>
      <c r="CE41" s="27" t="n">
        <v>0</v>
      </c>
      <c r="CF41" s="27" t="n">
        <v>0</v>
      </c>
      <c r="CG41" s="27" t="n">
        <v>0</v>
      </c>
      <c r="CH41" s="27" t="n">
        <v>0</v>
      </c>
      <c r="CI41" s="27" t="n">
        <v>0</v>
      </c>
      <c r="CJ41" s="27" t="n">
        <v>0</v>
      </c>
      <c r="CK41" s="27" t="n">
        <v>0</v>
      </c>
      <c r="CL41" s="27" t="n">
        <v>0</v>
      </c>
      <c r="CM41" s="27" t="n">
        <v>0</v>
      </c>
      <c r="CN41" s="27" t="n">
        <v>0</v>
      </c>
      <c r="CO41" s="27" t="n">
        <v>0</v>
      </c>
      <c r="CP41" s="27" t="n">
        <v>0</v>
      </c>
      <c r="CQ41" s="27" t="n">
        <v>0</v>
      </c>
      <c r="CR41" s="27" t="n">
        <v>0</v>
      </c>
      <c r="CS41" s="27" t="n">
        <v>0</v>
      </c>
      <c r="CT41" s="27" t="n">
        <v>0</v>
      </c>
      <c r="CU41" s="27" t="n">
        <v>0</v>
      </c>
      <c r="CV41" s="27" t="n">
        <v>0</v>
      </c>
      <c r="CW41" s="27" t="n">
        <v>0</v>
      </c>
      <c r="CX41" s="27" t="n">
        <v>0</v>
      </c>
      <c r="CY41" s="27" t="n">
        <v>0</v>
      </c>
      <c r="CZ41" s="27" t="n">
        <v>0</v>
      </c>
      <c r="DA41" s="27" t="n">
        <v>0</v>
      </c>
    </row>
    <row r="42">
      <c r="A42" t="inlineStr">
        <is>
          <t>TSP-925</t>
        </is>
      </c>
      <c r="B42" s="27" t="n">
        <v>0</v>
      </c>
      <c r="C42" s="27" t="n">
        <v>0.3892207792207791</v>
      </c>
      <c r="D42" s="27" t="n">
        <v>0</v>
      </c>
      <c r="E42" s="27" t="n">
        <v>0.3892207792207791</v>
      </c>
      <c r="F42" s="27" t="n">
        <v>0</v>
      </c>
      <c r="G42" s="27" t="n">
        <v>0.3892207792207791</v>
      </c>
      <c r="H42" s="27" t="n">
        <v>0</v>
      </c>
      <c r="I42" s="27" t="n">
        <v>0</v>
      </c>
      <c r="J42" s="27" t="n">
        <v>0</v>
      </c>
      <c r="K42" s="27" t="n">
        <v>0</v>
      </c>
      <c r="L42" s="27" t="n">
        <v>0.3892207792207791</v>
      </c>
      <c r="M42" s="27" t="n">
        <v>0.3892207792207791</v>
      </c>
      <c r="N42" s="27" t="n">
        <v>0</v>
      </c>
      <c r="O42" s="27" t="n">
        <v>0</v>
      </c>
      <c r="P42" s="27" t="n">
        <v>0</v>
      </c>
      <c r="Q42" s="27" t="n">
        <v>0</v>
      </c>
      <c r="R42" s="27" t="n">
        <v>0.3892207792207791</v>
      </c>
      <c r="S42" s="27" t="n">
        <v>0</v>
      </c>
      <c r="T42" s="27" t="n">
        <v>0</v>
      </c>
      <c r="U42" s="27" t="n">
        <v>0</v>
      </c>
      <c r="V42" s="27" t="n">
        <v>0</v>
      </c>
      <c r="W42" s="27" t="n">
        <v>0</v>
      </c>
      <c r="X42" s="27" t="n">
        <v>0.3892207792207791</v>
      </c>
      <c r="Y42" s="27" t="n">
        <v>0</v>
      </c>
      <c r="Z42" s="27" t="n">
        <v>0</v>
      </c>
      <c r="AA42" s="27" t="n">
        <v>0</v>
      </c>
      <c r="AB42" s="27" t="n">
        <v>0</v>
      </c>
      <c r="AC42" s="27" t="n">
        <v>0</v>
      </c>
      <c r="AD42" s="27" t="n">
        <v>0.3892207792207791</v>
      </c>
      <c r="AE42" s="27" t="n">
        <v>0</v>
      </c>
      <c r="AF42" s="27" t="n">
        <v>0</v>
      </c>
      <c r="AG42" s="27" t="n">
        <v>0</v>
      </c>
      <c r="AH42" s="27" t="n">
        <v>0</v>
      </c>
      <c r="AI42" s="27" t="n">
        <v>0</v>
      </c>
      <c r="AJ42" s="27" t="n">
        <v>0</v>
      </c>
      <c r="AK42" s="27" t="n">
        <v>0</v>
      </c>
      <c r="AL42" s="27" t="n">
        <v>0</v>
      </c>
      <c r="AM42" s="27" t="n">
        <v>0.3892207792207791</v>
      </c>
      <c r="AN42" s="27" t="n">
        <v>0</v>
      </c>
      <c r="AO42" s="27" t="n">
        <v>0</v>
      </c>
      <c r="AP42" s="27" t="n">
        <v>0</v>
      </c>
      <c r="AQ42" s="27" t="n">
        <v>0</v>
      </c>
      <c r="AR42" s="27" t="n">
        <v>0</v>
      </c>
      <c r="AS42" s="27" t="n">
        <v>0.3784090909090909</v>
      </c>
      <c r="AT42" s="27" t="n">
        <v>0</v>
      </c>
      <c r="AU42" s="27" t="n">
        <v>0</v>
      </c>
      <c r="AV42" s="27" t="n">
        <v>0</v>
      </c>
      <c r="AW42" s="27" t="n">
        <v>0</v>
      </c>
      <c r="AX42" s="27" t="n">
        <v>0</v>
      </c>
      <c r="AY42" s="27" t="n">
        <v>0</v>
      </c>
      <c r="AZ42" s="27" t="n">
        <v>0</v>
      </c>
      <c r="BA42" s="27" t="n">
        <v>0</v>
      </c>
      <c r="BB42" s="27" t="n">
        <v>0</v>
      </c>
      <c r="BC42" s="27" t="n">
        <v>0</v>
      </c>
      <c r="BD42" s="27" t="n">
        <v>0</v>
      </c>
      <c r="BE42" s="27" t="n">
        <v>0</v>
      </c>
      <c r="BF42" s="27" t="n">
        <v>0</v>
      </c>
      <c r="BG42" s="27" t="n">
        <v>0</v>
      </c>
      <c r="BH42" s="27" t="n">
        <v>0</v>
      </c>
      <c r="BI42" s="27" t="n">
        <v>0</v>
      </c>
      <c r="BJ42" s="27" t="n">
        <v>0</v>
      </c>
      <c r="BK42" s="27" t="n">
        <v>0</v>
      </c>
      <c r="BL42" s="27" t="n">
        <v>0</v>
      </c>
      <c r="BM42" s="27" t="n">
        <v>0</v>
      </c>
      <c r="BN42" s="27" t="n">
        <v>0</v>
      </c>
      <c r="BO42" s="27" t="n">
        <v>0</v>
      </c>
      <c r="BP42" s="27" t="n">
        <v>0</v>
      </c>
      <c r="BQ42" s="27" t="n">
        <v>0</v>
      </c>
      <c r="BR42" s="27" t="n">
        <v>0</v>
      </c>
      <c r="BS42" s="27" t="n">
        <v>0</v>
      </c>
      <c r="BT42" s="27" t="n">
        <v>0</v>
      </c>
      <c r="BU42" s="27" t="n">
        <v>0</v>
      </c>
      <c r="BV42" s="27" t="n">
        <v>0</v>
      </c>
      <c r="BW42" s="27" t="n">
        <v>0</v>
      </c>
      <c r="BX42" s="27" t="n">
        <v>0</v>
      </c>
      <c r="BY42" s="27" t="n">
        <v>0</v>
      </c>
      <c r="BZ42" s="27" t="n">
        <v>0</v>
      </c>
      <c r="CA42" s="27" t="n">
        <v>0</v>
      </c>
      <c r="CB42" s="27" t="n">
        <v>0</v>
      </c>
      <c r="CC42" s="27" t="n">
        <v>0</v>
      </c>
      <c r="CD42" s="27" t="n">
        <v>0</v>
      </c>
      <c r="CE42" s="27" t="n">
        <v>0</v>
      </c>
      <c r="CF42" s="27" t="n">
        <v>0</v>
      </c>
      <c r="CG42" s="27" t="n">
        <v>0</v>
      </c>
      <c r="CH42" s="27" t="n">
        <v>0</v>
      </c>
      <c r="CI42" s="27" t="n">
        <v>0</v>
      </c>
      <c r="CJ42" s="27" t="n">
        <v>0</v>
      </c>
      <c r="CK42" s="27" t="n">
        <v>0</v>
      </c>
      <c r="CL42" s="27" t="n">
        <v>0</v>
      </c>
      <c r="CM42" s="27" t="n">
        <v>0</v>
      </c>
      <c r="CN42" s="27" t="n">
        <v>0</v>
      </c>
      <c r="CO42" s="27" t="n">
        <v>0</v>
      </c>
      <c r="CP42" s="27" t="n">
        <v>0</v>
      </c>
      <c r="CQ42" s="27" t="n">
        <v>0</v>
      </c>
      <c r="CR42" s="27" t="n">
        <v>0</v>
      </c>
      <c r="CS42" s="27" t="n">
        <v>0</v>
      </c>
      <c r="CT42" s="27" t="n">
        <v>0</v>
      </c>
      <c r="CU42" s="27" t="n">
        <v>0</v>
      </c>
      <c r="CV42" s="27" t="n">
        <v>0</v>
      </c>
      <c r="CW42" s="27" t="n">
        <v>0</v>
      </c>
      <c r="CX42" s="27" t="n">
        <v>0</v>
      </c>
      <c r="CY42" s="27" t="n">
        <v>0</v>
      </c>
      <c r="CZ42" s="27" t="n">
        <v>0</v>
      </c>
      <c r="DA42" s="27" t="n">
        <v>0</v>
      </c>
    </row>
    <row r="43">
      <c r="A43" t="inlineStr">
        <is>
          <t>TSP-927</t>
        </is>
      </c>
      <c r="B43" s="27" t="n">
        <v>0</v>
      </c>
      <c r="C43" s="27" t="n">
        <v>0</v>
      </c>
      <c r="D43" s="27" t="n">
        <v>0</v>
      </c>
      <c r="E43" s="27" t="n">
        <v>0</v>
      </c>
      <c r="F43" s="27" t="n">
        <v>0</v>
      </c>
      <c r="G43" s="27" t="n">
        <v>0</v>
      </c>
      <c r="H43" s="27" t="n">
        <v>0</v>
      </c>
      <c r="I43" s="27" t="n">
        <v>0</v>
      </c>
      <c r="J43" s="27" t="n">
        <v>0</v>
      </c>
      <c r="K43" s="27" t="n">
        <v>0</v>
      </c>
      <c r="L43" s="27" t="n">
        <v>0</v>
      </c>
      <c r="M43" s="27" t="n">
        <v>0</v>
      </c>
      <c r="N43" s="27" t="n">
        <v>0</v>
      </c>
      <c r="O43" s="27" t="n">
        <v>0</v>
      </c>
      <c r="P43" s="27" t="n">
        <v>0</v>
      </c>
      <c r="Q43" s="27" t="n">
        <v>0</v>
      </c>
      <c r="R43" s="27" t="n">
        <v>0</v>
      </c>
      <c r="S43" s="27" t="n">
        <v>0</v>
      </c>
      <c r="T43" s="27" t="n">
        <v>0</v>
      </c>
      <c r="U43" s="27" t="n">
        <v>0</v>
      </c>
      <c r="V43" s="27" t="n">
        <v>0</v>
      </c>
      <c r="W43" s="27" t="n">
        <v>0</v>
      </c>
      <c r="X43" s="27" t="n">
        <v>0</v>
      </c>
      <c r="Y43" s="27" t="n">
        <v>0</v>
      </c>
      <c r="Z43" s="27" t="n">
        <v>0</v>
      </c>
      <c r="AA43" s="27" t="n">
        <v>0</v>
      </c>
      <c r="AB43" s="27" t="n">
        <v>0</v>
      </c>
      <c r="AC43" s="27" t="n">
        <v>0</v>
      </c>
      <c r="AD43" s="27" t="n">
        <v>0</v>
      </c>
      <c r="AE43" s="27" t="n">
        <v>0</v>
      </c>
      <c r="AF43" s="27" t="n">
        <v>0</v>
      </c>
      <c r="AG43" s="27" t="n">
        <v>0</v>
      </c>
      <c r="AH43" s="27" t="n">
        <v>0</v>
      </c>
      <c r="AI43" s="27" t="n">
        <v>0</v>
      </c>
      <c r="AJ43" s="27" t="n">
        <v>0</v>
      </c>
      <c r="AK43" s="27" t="n">
        <v>0</v>
      </c>
      <c r="AL43" s="27" t="n">
        <v>0</v>
      </c>
      <c r="AM43" s="27" t="n">
        <v>0</v>
      </c>
      <c r="AN43" s="27" t="n">
        <v>0</v>
      </c>
      <c r="AO43" s="27" t="n">
        <v>0</v>
      </c>
      <c r="AP43" s="27" t="n">
        <v>0</v>
      </c>
      <c r="AQ43" s="27" t="n">
        <v>0</v>
      </c>
      <c r="AR43" s="27" t="n">
        <v>0</v>
      </c>
      <c r="AS43" s="27" t="n">
        <v>0</v>
      </c>
      <c r="AT43" s="27" t="n">
        <v>0</v>
      </c>
      <c r="AU43" s="27" t="n">
        <v>0</v>
      </c>
      <c r="AV43" s="27" t="n">
        <v>0</v>
      </c>
      <c r="AW43" s="27" t="n">
        <v>0</v>
      </c>
      <c r="AX43" s="27" t="n">
        <v>0</v>
      </c>
      <c r="AY43" s="27" t="n">
        <v>0</v>
      </c>
      <c r="AZ43" s="27" t="n">
        <v>0</v>
      </c>
      <c r="BA43" s="27" t="n">
        <v>0</v>
      </c>
      <c r="BB43" s="27" t="n">
        <v>0</v>
      </c>
      <c r="BC43" s="27" t="n">
        <v>0</v>
      </c>
      <c r="BD43" s="27" t="n">
        <v>0</v>
      </c>
      <c r="BE43" s="27" t="n">
        <v>0</v>
      </c>
      <c r="BF43" s="27" t="n">
        <v>0</v>
      </c>
      <c r="BG43" s="27" t="n">
        <v>0</v>
      </c>
      <c r="BH43" s="27" t="n">
        <v>0</v>
      </c>
      <c r="BI43" s="27" t="n">
        <v>0</v>
      </c>
      <c r="BJ43" s="27" t="n">
        <v>0</v>
      </c>
      <c r="BK43" s="27" t="n">
        <v>0</v>
      </c>
      <c r="BL43" s="27" t="n">
        <v>0</v>
      </c>
      <c r="BM43" s="27" t="n">
        <v>0</v>
      </c>
      <c r="BN43" s="27" t="n">
        <v>0</v>
      </c>
      <c r="BO43" s="27" t="n">
        <v>0</v>
      </c>
      <c r="BP43" s="27" t="n">
        <v>0</v>
      </c>
      <c r="BQ43" s="27" t="n">
        <v>0</v>
      </c>
      <c r="BR43" s="27" t="n">
        <v>0</v>
      </c>
      <c r="BS43" s="27" t="n">
        <v>0</v>
      </c>
      <c r="BT43" s="27" t="n">
        <v>0</v>
      </c>
      <c r="BU43" s="27" t="n">
        <v>0</v>
      </c>
      <c r="BV43" s="27" t="n">
        <v>0</v>
      </c>
      <c r="BW43" s="27" t="n">
        <v>0</v>
      </c>
      <c r="BX43" s="27" t="n">
        <v>0</v>
      </c>
      <c r="BY43" s="27" t="n">
        <v>0</v>
      </c>
      <c r="BZ43" s="27" t="n">
        <v>0</v>
      </c>
      <c r="CA43" s="27" t="n">
        <v>0</v>
      </c>
      <c r="CB43" s="27" t="n">
        <v>0</v>
      </c>
      <c r="CC43" s="27" t="n">
        <v>0</v>
      </c>
      <c r="CD43" s="27" t="n">
        <v>0</v>
      </c>
      <c r="CE43" s="27" t="n">
        <v>0</v>
      </c>
      <c r="CF43" s="27" t="n">
        <v>0</v>
      </c>
      <c r="CG43" s="27" t="n">
        <v>0</v>
      </c>
      <c r="CH43" s="27" t="n">
        <v>0</v>
      </c>
      <c r="CI43" s="27" t="n">
        <v>0</v>
      </c>
      <c r="CJ43" s="27" t="n">
        <v>0</v>
      </c>
      <c r="CK43" s="27" t="n">
        <v>0</v>
      </c>
      <c r="CL43" s="27" t="n">
        <v>0</v>
      </c>
      <c r="CM43" s="27" t="n">
        <v>0</v>
      </c>
      <c r="CN43" s="27" t="n">
        <v>0</v>
      </c>
      <c r="CO43" s="27" t="n">
        <v>0</v>
      </c>
      <c r="CP43" s="27" t="n">
        <v>0</v>
      </c>
      <c r="CQ43" s="27" t="n">
        <v>0</v>
      </c>
      <c r="CR43" s="27" t="n">
        <v>0</v>
      </c>
      <c r="CS43" s="27" t="n">
        <v>0</v>
      </c>
      <c r="CT43" s="27" t="n">
        <v>0</v>
      </c>
      <c r="CU43" s="27" t="n">
        <v>0</v>
      </c>
      <c r="CV43" s="27" t="n">
        <v>0</v>
      </c>
      <c r="CW43" s="27" t="n">
        <v>0</v>
      </c>
      <c r="CX43" s="27" t="n">
        <v>0</v>
      </c>
      <c r="CY43" s="27" t="n">
        <v>0</v>
      </c>
      <c r="CZ43" s="27" t="n">
        <v>0</v>
      </c>
      <c r="DA43" s="27" t="n">
        <v>0</v>
      </c>
    </row>
    <row r="44">
      <c r="A44" t="inlineStr">
        <is>
          <t>TSP-928</t>
        </is>
      </c>
      <c r="B44" s="27" t="n">
        <v>0</v>
      </c>
      <c r="C44" s="27" t="n">
        <v>1.595842200578393</v>
      </c>
      <c r="D44" s="27" t="n">
        <v>0</v>
      </c>
      <c r="E44" s="27" t="n">
        <v>0</v>
      </c>
      <c r="F44" s="27" t="n">
        <v>1.595842200578393</v>
      </c>
      <c r="G44" s="27" t="n">
        <v>0</v>
      </c>
      <c r="H44" s="27" t="n">
        <v>0</v>
      </c>
      <c r="I44" s="27" t="n">
        <v>1.595842200578393</v>
      </c>
      <c r="J44" s="27" t="n">
        <v>0</v>
      </c>
      <c r="K44" s="27" t="n">
        <v>1.595842200578393</v>
      </c>
      <c r="L44" s="27" t="n">
        <v>0</v>
      </c>
      <c r="M44" s="27" t="n">
        <v>1.595842200578393</v>
      </c>
      <c r="N44" s="27" t="n">
        <v>0</v>
      </c>
      <c r="O44" s="27" t="n">
        <v>0</v>
      </c>
      <c r="P44" s="27" t="n">
        <v>1.595842200578393</v>
      </c>
      <c r="Q44" s="27" t="n">
        <v>1.595842200578393</v>
      </c>
      <c r="R44" s="27" t="n">
        <v>1.595842200578393</v>
      </c>
      <c r="S44" s="27" t="n">
        <v>0</v>
      </c>
      <c r="T44" s="27" t="n">
        <v>0</v>
      </c>
      <c r="U44" s="27" t="n">
        <v>1.595842200578393</v>
      </c>
      <c r="V44" s="27" t="n">
        <v>0</v>
      </c>
      <c r="W44" s="27" t="n">
        <v>1.595842200578393</v>
      </c>
      <c r="X44" s="27" t="n">
        <v>0</v>
      </c>
      <c r="Y44" s="27" t="n">
        <v>0</v>
      </c>
      <c r="Z44" s="27" t="n">
        <v>0</v>
      </c>
      <c r="AA44" s="27" t="n">
        <v>0</v>
      </c>
      <c r="AB44" s="27" t="n">
        <v>0</v>
      </c>
      <c r="AC44" s="27" t="n">
        <v>0</v>
      </c>
      <c r="AD44" s="27" t="n">
        <v>0</v>
      </c>
      <c r="AE44" s="27" t="n">
        <v>1.595842200578393</v>
      </c>
      <c r="AF44" s="27" t="n">
        <v>0</v>
      </c>
      <c r="AG44" s="27" t="n">
        <v>0</v>
      </c>
      <c r="AH44" s="27" t="n">
        <v>1.595842200578393</v>
      </c>
      <c r="AI44" s="27" t="n">
        <v>0</v>
      </c>
      <c r="AJ44" s="27" t="n">
        <v>0</v>
      </c>
      <c r="AK44" s="27" t="n">
        <v>1.595842200578393</v>
      </c>
      <c r="AL44" s="27" t="n">
        <v>0</v>
      </c>
      <c r="AM44" s="27" t="n">
        <v>1.595842200578393</v>
      </c>
      <c r="AN44" s="27" t="n">
        <v>0</v>
      </c>
      <c r="AO44" s="27" t="n">
        <v>0</v>
      </c>
      <c r="AP44" s="27" t="n">
        <v>1.595842200578393</v>
      </c>
      <c r="AQ44" s="27" t="n">
        <v>0</v>
      </c>
      <c r="AR44" s="27" t="n">
        <v>0</v>
      </c>
      <c r="AS44" s="27" t="n">
        <v>0</v>
      </c>
      <c r="AT44" s="27" t="n">
        <v>1.595842200578393</v>
      </c>
      <c r="AU44" s="27" t="n">
        <v>0</v>
      </c>
      <c r="AV44" s="27" t="n">
        <v>0</v>
      </c>
      <c r="AW44" s="27" t="n">
        <v>0</v>
      </c>
      <c r="AX44" s="27" t="n">
        <v>1.595842200578393</v>
      </c>
      <c r="AY44" s="27" t="n">
        <v>0</v>
      </c>
      <c r="AZ44" s="27" t="n">
        <v>0</v>
      </c>
      <c r="BA44" s="27" t="n">
        <v>0</v>
      </c>
      <c r="BB44" s="27" t="n">
        <v>0</v>
      </c>
      <c r="BC44" s="27" t="n">
        <v>0</v>
      </c>
      <c r="BD44" s="27" t="n">
        <v>0</v>
      </c>
      <c r="BE44" s="27" t="n">
        <v>0.6383368802313572</v>
      </c>
      <c r="BF44" s="27" t="n">
        <v>0</v>
      </c>
      <c r="BG44" s="27" t="n">
        <v>0</v>
      </c>
      <c r="BH44" s="27" t="n">
        <v>0</v>
      </c>
      <c r="BI44" s="27" t="n">
        <v>0</v>
      </c>
      <c r="BJ44" s="27" t="n">
        <v>0</v>
      </c>
      <c r="BK44" s="27" t="n">
        <v>0</v>
      </c>
      <c r="BL44" s="27" t="n">
        <v>0</v>
      </c>
      <c r="BM44" s="27" t="n">
        <v>0</v>
      </c>
      <c r="BN44" s="27" t="n">
        <v>0</v>
      </c>
      <c r="BO44" s="27" t="n">
        <v>0</v>
      </c>
      <c r="BP44" s="27" t="n">
        <v>0</v>
      </c>
      <c r="BQ44" s="27" t="n">
        <v>0</v>
      </c>
      <c r="BR44" s="27" t="n">
        <v>0</v>
      </c>
      <c r="BS44" s="27" t="n">
        <v>0</v>
      </c>
      <c r="BT44" s="27" t="n">
        <v>0</v>
      </c>
      <c r="BU44" s="27" t="n">
        <v>0</v>
      </c>
      <c r="BV44" s="27" t="n">
        <v>0</v>
      </c>
      <c r="BW44" s="27" t="n">
        <v>0</v>
      </c>
      <c r="BX44" s="27" t="n">
        <v>0</v>
      </c>
      <c r="BY44" s="27" t="n">
        <v>0</v>
      </c>
      <c r="BZ44" s="27" t="n">
        <v>0</v>
      </c>
      <c r="CA44" s="27" t="n">
        <v>0</v>
      </c>
      <c r="CB44" s="27" t="n">
        <v>0</v>
      </c>
      <c r="CC44" s="27" t="n">
        <v>0</v>
      </c>
      <c r="CD44" s="27" t="n">
        <v>0</v>
      </c>
      <c r="CE44" s="27" t="n">
        <v>0</v>
      </c>
      <c r="CF44" s="27" t="n">
        <v>0</v>
      </c>
      <c r="CG44" s="27" t="n">
        <v>0</v>
      </c>
      <c r="CH44" s="27" t="n">
        <v>0</v>
      </c>
      <c r="CI44" s="27" t="n">
        <v>0</v>
      </c>
      <c r="CJ44" s="27" t="n">
        <v>0</v>
      </c>
      <c r="CK44" s="27" t="n">
        <v>0</v>
      </c>
      <c r="CL44" s="27" t="n">
        <v>0</v>
      </c>
      <c r="CM44" s="27" t="n">
        <v>0</v>
      </c>
      <c r="CN44" s="27" t="n">
        <v>0</v>
      </c>
      <c r="CO44" s="27" t="n">
        <v>0</v>
      </c>
      <c r="CP44" s="27" t="n">
        <v>0</v>
      </c>
      <c r="CQ44" s="27" t="n">
        <v>0</v>
      </c>
      <c r="CR44" s="27" t="n">
        <v>0</v>
      </c>
      <c r="CS44" s="27" t="n">
        <v>0</v>
      </c>
      <c r="CT44" s="27" t="n">
        <v>0</v>
      </c>
      <c r="CU44" s="27" t="n">
        <v>0</v>
      </c>
      <c r="CV44" s="27" t="n">
        <v>0</v>
      </c>
      <c r="CW44" s="27" t="n">
        <v>0</v>
      </c>
      <c r="CX44" s="27" t="n">
        <v>0</v>
      </c>
      <c r="CY44" s="27" t="n">
        <v>0</v>
      </c>
      <c r="CZ44" s="27" t="n">
        <v>0</v>
      </c>
      <c r="DA44" s="27" t="n">
        <v>0</v>
      </c>
    </row>
    <row r="45">
      <c r="A45" t="inlineStr">
        <is>
          <t>TSP-929</t>
        </is>
      </c>
      <c r="B45" s="27" t="n">
        <v>0</v>
      </c>
      <c r="C45" s="27" t="n">
        <v>0</v>
      </c>
      <c r="D45" s="27" t="n">
        <v>0</v>
      </c>
      <c r="E45" s="27" t="n">
        <v>0</v>
      </c>
      <c r="F45" s="27" t="n">
        <v>0</v>
      </c>
      <c r="G45" s="27" t="n">
        <v>0</v>
      </c>
      <c r="H45" s="27" t="n">
        <v>0</v>
      </c>
      <c r="I45" s="27" t="n">
        <v>0</v>
      </c>
      <c r="J45" s="27" t="n">
        <v>0</v>
      </c>
      <c r="K45" s="27" t="n">
        <v>0</v>
      </c>
      <c r="L45" s="27" t="n">
        <v>0</v>
      </c>
      <c r="M45" s="27" t="n">
        <v>0</v>
      </c>
      <c r="N45" s="27" t="n">
        <v>0</v>
      </c>
      <c r="O45" s="27" t="n">
        <v>0</v>
      </c>
      <c r="P45" s="27" t="n">
        <v>0</v>
      </c>
      <c r="Q45" s="27" t="n">
        <v>0</v>
      </c>
      <c r="R45" s="27" t="n">
        <v>0</v>
      </c>
      <c r="S45" s="27" t="n">
        <v>0</v>
      </c>
      <c r="T45" s="27" t="n">
        <v>0</v>
      </c>
      <c r="U45" s="27" t="n">
        <v>0</v>
      </c>
      <c r="V45" s="27" t="n">
        <v>0</v>
      </c>
      <c r="W45" s="27" t="n">
        <v>0</v>
      </c>
      <c r="X45" s="27" t="n">
        <v>0</v>
      </c>
      <c r="Y45" s="27" t="n">
        <v>0</v>
      </c>
      <c r="Z45" s="27" t="n">
        <v>0</v>
      </c>
      <c r="AA45" s="27" t="n">
        <v>0</v>
      </c>
      <c r="AB45" s="27" t="n">
        <v>0</v>
      </c>
      <c r="AC45" s="27" t="n">
        <v>0</v>
      </c>
      <c r="AD45" s="27" t="n">
        <v>0</v>
      </c>
      <c r="AE45" s="27" t="n">
        <v>0</v>
      </c>
      <c r="AF45" s="27" t="n">
        <v>0</v>
      </c>
      <c r="AG45" s="27" t="n">
        <v>0</v>
      </c>
      <c r="AH45" s="27" t="n">
        <v>0</v>
      </c>
      <c r="AI45" s="27" t="n">
        <v>0</v>
      </c>
      <c r="AJ45" s="27" t="n">
        <v>0</v>
      </c>
      <c r="AK45" s="27" t="n">
        <v>0</v>
      </c>
      <c r="AL45" s="27" t="n">
        <v>0</v>
      </c>
      <c r="AM45" s="27" t="n">
        <v>0</v>
      </c>
      <c r="AN45" s="27" t="n">
        <v>0</v>
      </c>
      <c r="AO45" s="27" t="n">
        <v>0</v>
      </c>
      <c r="AP45" s="27" t="n">
        <v>0</v>
      </c>
      <c r="AQ45" s="27" t="n">
        <v>0</v>
      </c>
      <c r="AR45" s="27" t="n">
        <v>0</v>
      </c>
      <c r="AS45" s="27" t="n">
        <v>0</v>
      </c>
      <c r="AT45" s="27" t="n">
        <v>0</v>
      </c>
      <c r="AU45" s="27" t="n">
        <v>0</v>
      </c>
      <c r="AV45" s="27" t="n">
        <v>0</v>
      </c>
      <c r="AW45" s="27" t="n">
        <v>0</v>
      </c>
      <c r="AX45" s="27" t="n">
        <v>0</v>
      </c>
      <c r="AY45" s="27" t="n">
        <v>0</v>
      </c>
      <c r="AZ45" s="27" t="n">
        <v>0</v>
      </c>
      <c r="BA45" s="27" t="n">
        <v>0</v>
      </c>
      <c r="BB45" s="27" t="n">
        <v>0</v>
      </c>
      <c r="BC45" s="27" t="n">
        <v>0</v>
      </c>
      <c r="BD45" s="27" t="n">
        <v>0</v>
      </c>
      <c r="BE45" s="27" t="n">
        <v>0</v>
      </c>
      <c r="BF45" s="27" t="n">
        <v>0</v>
      </c>
      <c r="BG45" s="27" t="n">
        <v>0</v>
      </c>
      <c r="BH45" s="27" t="n">
        <v>0</v>
      </c>
      <c r="BI45" s="27" t="n">
        <v>0</v>
      </c>
      <c r="BJ45" s="27" t="n">
        <v>0</v>
      </c>
      <c r="BK45" s="27" t="n">
        <v>0</v>
      </c>
      <c r="BL45" s="27" t="n">
        <v>0</v>
      </c>
      <c r="BM45" s="27" t="n">
        <v>0</v>
      </c>
      <c r="BN45" s="27" t="n">
        <v>0</v>
      </c>
      <c r="BO45" s="27" t="n">
        <v>0</v>
      </c>
      <c r="BP45" s="27" t="n">
        <v>0</v>
      </c>
      <c r="BQ45" s="27" t="n">
        <v>0</v>
      </c>
      <c r="BR45" s="27" t="n">
        <v>0</v>
      </c>
      <c r="BS45" s="27" t="n">
        <v>0</v>
      </c>
      <c r="BT45" s="27" t="n">
        <v>0</v>
      </c>
      <c r="BU45" s="27" t="n">
        <v>0</v>
      </c>
      <c r="BV45" s="27" t="n">
        <v>0</v>
      </c>
      <c r="BW45" s="27" t="n">
        <v>0</v>
      </c>
      <c r="BX45" s="27" t="n">
        <v>0</v>
      </c>
      <c r="BY45" s="27" t="n">
        <v>0</v>
      </c>
      <c r="BZ45" s="27" t="n">
        <v>0</v>
      </c>
      <c r="CA45" s="27" t="n">
        <v>0</v>
      </c>
      <c r="CB45" s="27" t="n">
        <v>0</v>
      </c>
      <c r="CC45" s="27" t="n">
        <v>0</v>
      </c>
      <c r="CD45" s="27" t="n">
        <v>0</v>
      </c>
      <c r="CE45" s="27" t="n">
        <v>0</v>
      </c>
      <c r="CF45" s="27" t="n">
        <v>0</v>
      </c>
      <c r="CG45" s="27" t="n">
        <v>0</v>
      </c>
      <c r="CH45" s="27" t="n">
        <v>0</v>
      </c>
      <c r="CI45" s="27" t="n">
        <v>0</v>
      </c>
      <c r="CJ45" s="27" t="n">
        <v>0</v>
      </c>
      <c r="CK45" s="27" t="n">
        <v>0</v>
      </c>
      <c r="CL45" s="27" t="n">
        <v>0</v>
      </c>
      <c r="CM45" s="27" t="n">
        <v>0</v>
      </c>
      <c r="CN45" s="27" t="n">
        <v>0</v>
      </c>
      <c r="CO45" s="27" t="n">
        <v>0</v>
      </c>
      <c r="CP45" s="27" t="n">
        <v>0</v>
      </c>
      <c r="CQ45" s="27" t="n">
        <v>0</v>
      </c>
      <c r="CR45" s="27" t="n">
        <v>0</v>
      </c>
      <c r="CS45" s="27" t="n">
        <v>0</v>
      </c>
      <c r="CT45" s="27" t="n">
        <v>0</v>
      </c>
      <c r="CU45" s="27" t="n">
        <v>0</v>
      </c>
      <c r="CV45" s="27" t="n">
        <v>0</v>
      </c>
      <c r="CW45" s="27" t="n">
        <v>0</v>
      </c>
      <c r="CX45" s="27" t="n">
        <v>0</v>
      </c>
      <c r="CY45" s="27" t="n">
        <v>0</v>
      </c>
      <c r="CZ45" s="27" t="n">
        <v>0</v>
      </c>
      <c r="DA45" s="27" t="n">
        <v>0</v>
      </c>
    </row>
    <row r="46">
      <c r="A46" t="inlineStr">
        <is>
          <t>TSP-930</t>
        </is>
      </c>
      <c r="B46" s="27" t="n">
        <v>0</v>
      </c>
      <c r="C46" s="27" t="n">
        <v>1.20003066745039</v>
      </c>
      <c r="D46" s="27" t="n">
        <v>0</v>
      </c>
      <c r="E46" s="27" t="n">
        <v>1.20003066745039</v>
      </c>
      <c r="F46" s="27" t="n">
        <v>0</v>
      </c>
      <c r="G46" s="27" t="n">
        <v>1.20003066745039</v>
      </c>
      <c r="H46" s="27" t="n">
        <v>0</v>
      </c>
      <c r="I46" s="27" t="n">
        <v>0</v>
      </c>
      <c r="J46" s="27" t="n">
        <v>0</v>
      </c>
      <c r="K46" s="27" t="n">
        <v>0</v>
      </c>
      <c r="L46" s="27" t="n">
        <v>1.20003066745039</v>
      </c>
      <c r="M46" s="27" t="n">
        <v>1.20003066745039</v>
      </c>
      <c r="N46" s="27" t="n">
        <v>0</v>
      </c>
      <c r="O46" s="27" t="n">
        <v>0</v>
      </c>
      <c r="P46" s="27" t="n">
        <v>0</v>
      </c>
      <c r="Q46" s="27" t="n">
        <v>0</v>
      </c>
      <c r="R46" s="27" t="n">
        <v>1.20003066745039</v>
      </c>
      <c r="S46" s="27" t="n">
        <v>0</v>
      </c>
      <c r="T46" s="27" t="n">
        <v>0</v>
      </c>
      <c r="U46" s="27" t="n">
        <v>0</v>
      </c>
      <c r="V46" s="27" t="n">
        <v>0</v>
      </c>
      <c r="W46" s="27" t="n">
        <v>0</v>
      </c>
      <c r="X46" s="27" t="n">
        <v>1.20003066745039</v>
      </c>
      <c r="Y46" s="27" t="n">
        <v>0</v>
      </c>
      <c r="Z46" s="27" t="n">
        <v>0</v>
      </c>
      <c r="AA46" s="27" t="n">
        <v>0</v>
      </c>
      <c r="AB46" s="27" t="n">
        <v>0</v>
      </c>
      <c r="AC46" s="27" t="n">
        <v>0</v>
      </c>
      <c r="AD46" s="27" t="n">
        <v>1.20003066745039</v>
      </c>
      <c r="AE46" s="27" t="n">
        <v>0</v>
      </c>
      <c r="AF46" s="27" t="n">
        <v>0</v>
      </c>
      <c r="AG46" s="27" t="n">
        <v>0</v>
      </c>
      <c r="AH46" s="27" t="n">
        <v>0</v>
      </c>
      <c r="AI46" s="27" t="n">
        <v>0</v>
      </c>
      <c r="AJ46" s="27" t="n">
        <v>0</v>
      </c>
      <c r="AK46" s="27" t="n">
        <v>0</v>
      </c>
      <c r="AL46" s="27" t="n">
        <v>0</v>
      </c>
      <c r="AM46" s="27" t="n">
        <v>1.20003066745039</v>
      </c>
      <c r="AN46" s="27" t="n">
        <v>0</v>
      </c>
      <c r="AO46" s="27" t="n">
        <v>0</v>
      </c>
      <c r="AP46" s="27" t="n">
        <v>0</v>
      </c>
      <c r="AQ46" s="27" t="n">
        <v>0</v>
      </c>
      <c r="AR46" s="27" t="n">
        <v>0</v>
      </c>
      <c r="AS46" s="27" t="n">
        <v>1.166696482243435</v>
      </c>
      <c r="AT46" s="27" t="n">
        <v>0</v>
      </c>
      <c r="AU46" s="27" t="n">
        <v>0</v>
      </c>
      <c r="AV46" s="27" t="n">
        <v>0</v>
      </c>
      <c r="AW46" s="27" t="n">
        <v>0</v>
      </c>
      <c r="AX46" s="27" t="n">
        <v>0</v>
      </c>
      <c r="AY46" s="27" t="n">
        <v>0</v>
      </c>
      <c r="AZ46" s="27" t="n">
        <v>0</v>
      </c>
      <c r="BA46" s="27" t="n">
        <v>0</v>
      </c>
      <c r="BB46" s="27" t="n">
        <v>0</v>
      </c>
      <c r="BC46" s="27" t="n">
        <v>0</v>
      </c>
      <c r="BD46" s="27" t="n">
        <v>0</v>
      </c>
      <c r="BE46" s="27" t="n">
        <v>0</v>
      </c>
      <c r="BF46" s="27" t="n">
        <v>0</v>
      </c>
      <c r="BG46" s="27" t="n">
        <v>0</v>
      </c>
      <c r="BH46" s="27" t="n">
        <v>0</v>
      </c>
      <c r="BI46" s="27" t="n">
        <v>0</v>
      </c>
      <c r="BJ46" s="27" t="n">
        <v>0</v>
      </c>
      <c r="BK46" s="27" t="n">
        <v>0</v>
      </c>
      <c r="BL46" s="27" t="n">
        <v>0</v>
      </c>
      <c r="BM46" s="27" t="n">
        <v>0</v>
      </c>
      <c r="BN46" s="27" t="n">
        <v>0</v>
      </c>
      <c r="BO46" s="27" t="n">
        <v>0</v>
      </c>
      <c r="BP46" s="27" t="n">
        <v>0</v>
      </c>
      <c r="BQ46" s="27" t="n">
        <v>0</v>
      </c>
      <c r="BR46" s="27" t="n">
        <v>0</v>
      </c>
      <c r="BS46" s="27" t="n">
        <v>0</v>
      </c>
      <c r="BT46" s="27" t="n">
        <v>0</v>
      </c>
      <c r="BU46" s="27" t="n">
        <v>0</v>
      </c>
      <c r="BV46" s="27" t="n">
        <v>0</v>
      </c>
      <c r="BW46" s="27" t="n">
        <v>0</v>
      </c>
      <c r="BX46" s="27" t="n">
        <v>0</v>
      </c>
      <c r="BY46" s="27" t="n">
        <v>0</v>
      </c>
      <c r="BZ46" s="27" t="n">
        <v>0</v>
      </c>
      <c r="CA46" s="27" t="n">
        <v>0</v>
      </c>
      <c r="CB46" s="27" t="n">
        <v>0</v>
      </c>
      <c r="CC46" s="27" t="n">
        <v>0</v>
      </c>
      <c r="CD46" s="27" t="n">
        <v>0</v>
      </c>
      <c r="CE46" s="27" t="n">
        <v>0</v>
      </c>
      <c r="CF46" s="27" t="n">
        <v>0</v>
      </c>
      <c r="CG46" s="27" t="n">
        <v>0</v>
      </c>
      <c r="CH46" s="27" t="n">
        <v>0</v>
      </c>
      <c r="CI46" s="27" t="n">
        <v>0</v>
      </c>
      <c r="CJ46" s="27" t="n">
        <v>0</v>
      </c>
      <c r="CK46" s="27" t="n">
        <v>0</v>
      </c>
      <c r="CL46" s="27" t="n">
        <v>0</v>
      </c>
      <c r="CM46" s="27" t="n">
        <v>0</v>
      </c>
      <c r="CN46" s="27" t="n">
        <v>0</v>
      </c>
      <c r="CO46" s="27" t="n">
        <v>0</v>
      </c>
      <c r="CP46" s="27" t="n">
        <v>0</v>
      </c>
      <c r="CQ46" s="27" t="n">
        <v>0</v>
      </c>
      <c r="CR46" s="27" t="n">
        <v>0</v>
      </c>
      <c r="CS46" s="27" t="n">
        <v>0</v>
      </c>
      <c r="CT46" s="27" t="n">
        <v>0</v>
      </c>
      <c r="CU46" s="27" t="n">
        <v>0</v>
      </c>
      <c r="CV46" s="27" t="n">
        <v>0</v>
      </c>
      <c r="CW46" s="27" t="n">
        <v>0</v>
      </c>
      <c r="CX46" s="27" t="n">
        <v>0</v>
      </c>
      <c r="CY46" s="27" t="n">
        <v>0</v>
      </c>
      <c r="CZ46" s="27" t="n">
        <v>0</v>
      </c>
      <c r="DA46" s="27" t="n">
        <v>0</v>
      </c>
    </row>
    <row r="47">
      <c r="A47" t="inlineStr">
        <is>
          <t>TSP-934</t>
        </is>
      </c>
      <c r="B47" s="27" t="n">
        <v>0</v>
      </c>
      <c r="C47" s="27" t="n">
        <v>0</v>
      </c>
      <c r="D47" s="27" t="n">
        <v>0</v>
      </c>
      <c r="E47" s="27" t="n">
        <v>0</v>
      </c>
      <c r="F47" s="27" t="n">
        <v>0</v>
      </c>
      <c r="G47" s="27" t="n">
        <v>0</v>
      </c>
      <c r="H47" s="27" t="n">
        <v>0</v>
      </c>
      <c r="I47" s="27" t="n">
        <v>0</v>
      </c>
      <c r="J47" s="27" t="n">
        <v>0</v>
      </c>
      <c r="K47" s="27" t="n">
        <v>0</v>
      </c>
      <c r="L47" s="27" t="n">
        <v>0</v>
      </c>
      <c r="M47" s="27" t="n">
        <v>0</v>
      </c>
      <c r="N47" s="27" t="n">
        <v>0</v>
      </c>
      <c r="O47" s="27" t="n">
        <v>0</v>
      </c>
      <c r="P47" s="27" t="n">
        <v>0</v>
      </c>
      <c r="Q47" s="27" t="n">
        <v>0</v>
      </c>
      <c r="R47" s="27" t="n">
        <v>0</v>
      </c>
      <c r="S47" s="27" t="n">
        <v>0</v>
      </c>
      <c r="T47" s="27" t="n">
        <v>0</v>
      </c>
      <c r="U47" s="27" t="n">
        <v>0</v>
      </c>
      <c r="V47" s="27" t="n">
        <v>0</v>
      </c>
      <c r="W47" s="27" t="n">
        <v>0</v>
      </c>
      <c r="X47" s="27" t="n">
        <v>0</v>
      </c>
      <c r="Y47" s="27" t="n">
        <v>0</v>
      </c>
      <c r="Z47" s="27" t="n">
        <v>0</v>
      </c>
      <c r="AA47" s="27" t="n">
        <v>0</v>
      </c>
      <c r="AB47" s="27" t="n">
        <v>0</v>
      </c>
      <c r="AC47" s="27" t="n">
        <v>0</v>
      </c>
      <c r="AD47" s="27" t="n">
        <v>0</v>
      </c>
      <c r="AE47" s="27" t="n">
        <v>0</v>
      </c>
      <c r="AF47" s="27" t="n">
        <v>0</v>
      </c>
      <c r="AG47" s="27" t="n">
        <v>0</v>
      </c>
      <c r="AH47" s="27" t="n">
        <v>0</v>
      </c>
      <c r="AI47" s="27" t="n">
        <v>0</v>
      </c>
      <c r="AJ47" s="27" t="n">
        <v>0</v>
      </c>
      <c r="AK47" s="27" t="n">
        <v>0</v>
      </c>
      <c r="AL47" s="27" t="n">
        <v>0</v>
      </c>
      <c r="AM47" s="27" t="n">
        <v>0</v>
      </c>
      <c r="AN47" s="27" t="n">
        <v>0</v>
      </c>
      <c r="AO47" s="27" t="n">
        <v>0</v>
      </c>
      <c r="AP47" s="27" t="n">
        <v>0</v>
      </c>
      <c r="AQ47" s="27" t="n">
        <v>0</v>
      </c>
      <c r="AR47" s="27" t="n">
        <v>0</v>
      </c>
      <c r="AS47" s="27" t="n">
        <v>0</v>
      </c>
      <c r="AT47" s="27" t="n">
        <v>0</v>
      </c>
      <c r="AU47" s="27" t="n">
        <v>0</v>
      </c>
      <c r="AV47" s="27" t="n">
        <v>0</v>
      </c>
      <c r="AW47" s="27" t="n">
        <v>0</v>
      </c>
      <c r="AX47" s="27" t="n">
        <v>0</v>
      </c>
      <c r="AY47" s="27" t="n">
        <v>0</v>
      </c>
      <c r="AZ47" s="27" t="n">
        <v>0</v>
      </c>
      <c r="BA47" s="27" t="n">
        <v>0</v>
      </c>
      <c r="BB47" s="27" t="n">
        <v>0</v>
      </c>
      <c r="BC47" s="27" t="n">
        <v>0</v>
      </c>
      <c r="BD47" s="27" t="n">
        <v>0</v>
      </c>
      <c r="BE47" s="27" t="n">
        <v>0</v>
      </c>
      <c r="BF47" s="27" t="n">
        <v>0</v>
      </c>
      <c r="BG47" s="27" t="n">
        <v>0</v>
      </c>
      <c r="BH47" s="27" t="n">
        <v>0</v>
      </c>
      <c r="BI47" s="27" t="n">
        <v>0</v>
      </c>
      <c r="BJ47" s="27" t="n">
        <v>0</v>
      </c>
      <c r="BK47" s="27" t="n">
        <v>0</v>
      </c>
      <c r="BL47" s="27" t="n">
        <v>0</v>
      </c>
      <c r="BM47" s="27" t="n">
        <v>0</v>
      </c>
      <c r="BN47" s="27" t="n">
        <v>0</v>
      </c>
      <c r="BO47" s="27" t="n">
        <v>0</v>
      </c>
      <c r="BP47" s="27" t="n">
        <v>0</v>
      </c>
      <c r="BQ47" s="27" t="n">
        <v>0</v>
      </c>
      <c r="BR47" s="27" t="n">
        <v>0</v>
      </c>
      <c r="BS47" s="27" t="n">
        <v>0</v>
      </c>
      <c r="BT47" s="27" t="n">
        <v>0</v>
      </c>
      <c r="BU47" s="27" t="n">
        <v>0</v>
      </c>
      <c r="BV47" s="27" t="n">
        <v>0</v>
      </c>
      <c r="BW47" s="27" t="n">
        <v>0</v>
      </c>
      <c r="BX47" s="27" t="n">
        <v>0</v>
      </c>
      <c r="BY47" s="27" t="n">
        <v>0</v>
      </c>
      <c r="BZ47" s="27" t="n">
        <v>0</v>
      </c>
      <c r="CA47" s="27" t="n">
        <v>0</v>
      </c>
      <c r="CB47" s="27" t="n">
        <v>0</v>
      </c>
      <c r="CC47" s="27" t="n">
        <v>0</v>
      </c>
      <c r="CD47" s="27" t="n">
        <v>0</v>
      </c>
      <c r="CE47" s="27" t="n">
        <v>0</v>
      </c>
      <c r="CF47" s="27" t="n">
        <v>0</v>
      </c>
      <c r="CG47" s="27" t="n">
        <v>0</v>
      </c>
      <c r="CH47" s="27" t="n">
        <v>0</v>
      </c>
      <c r="CI47" s="27" t="n">
        <v>0</v>
      </c>
      <c r="CJ47" s="27" t="n">
        <v>0</v>
      </c>
      <c r="CK47" s="27" t="n">
        <v>0</v>
      </c>
      <c r="CL47" s="27" t="n">
        <v>0</v>
      </c>
      <c r="CM47" s="27" t="n">
        <v>0</v>
      </c>
      <c r="CN47" s="27" t="n">
        <v>0</v>
      </c>
      <c r="CO47" s="27" t="n">
        <v>0</v>
      </c>
      <c r="CP47" s="27" t="n">
        <v>0</v>
      </c>
      <c r="CQ47" s="27" t="n">
        <v>0</v>
      </c>
      <c r="CR47" s="27" t="n">
        <v>0</v>
      </c>
      <c r="CS47" s="27" t="n">
        <v>0</v>
      </c>
      <c r="CT47" s="27" t="n">
        <v>0</v>
      </c>
      <c r="CU47" s="27" t="n">
        <v>0</v>
      </c>
      <c r="CV47" s="27" t="n">
        <v>0</v>
      </c>
      <c r="CW47" s="27" t="n">
        <v>0</v>
      </c>
      <c r="CX47" s="27" t="n">
        <v>0</v>
      </c>
      <c r="CY47" s="27" t="n">
        <v>0</v>
      </c>
      <c r="CZ47" s="27" t="n">
        <v>0</v>
      </c>
      <c r="DA47" s="27" t="n">
        <v>0</v>
      </c>
    </row>
    <row r="48">
      <c r="A48" t="inlineStr">
        <is>
          <t>TSP-935</t>
        </is>
      </c>
      <c r="B48" s="27" t="n">
        <v>0</v>
      </c>
      <c r="C48" s="27" t="n">
        <v>1.647732293074346</v>
      </c>
      <c r="D48" s="27" t="n">
        <v>0</v>
      </c>
      <c r="E48" s="27" t="n">
        <v>0</v>
      </c>
      <c r="F48" s="27" t="n">
        <v>1.647732293074346</v>
      </c>
      <c r="G48" s="27" t="n">
        <v>0</v>
      </c>
      <c r="H48" s="27" t="n">
        <v>0</v>
      </c>
      <c r="I48" s="27" t="n">
        <v>1.647732293074346</v>
      </c>
      <c r="J48" s="27" t="n">
        <v>0</v>
      </c>
      <c r="K48" s="27" t="n">
        <v>1.647732293074346</v>
      </c>
      <c r="L48" s="27" t="n">
        <v>0</v>
      </c>
      <c r="M48" s="27" t="n">
        <v>1.647732293074346</v>
      </c>
      <c r="N48" s="27" t="n">
        <v>0</v>
      </c>
      <c r="O48" s="27" t="n">
        <v>0</v>
      </c>
      <c r="P48" s="27" t="n">
        <v>1.647732293074346</v>
      </c>
      <c r="Q48" s="27" t="n">
        <v>1.647732293074346</v>
      </c>
      <c r="R48" s="27" t="n">
        <v>1.647732293074346</v>
      </c>
      <c r="S48" s="27" t="n">
        <v>0</v>
      </c>
      <c r="T48" s="27" t="n">
        <v>0</v>
      </c>
      <c r="U48" s="27" t="n">
        <v>1.647732293074346</v>
      </c>
      <c r="V48" s="27" t="n">
        <v>0</v>
      </c>
      <c r="W48" s="27" t="n">
        <v>1.647732293074346</v>
      </c>
      <c r="X48" s="27" t="n">
        <v>0</v>
      </c>
      <c r="Y48" s="27" t="n">
        <v>0</v>
      </c>
      <c r="Z48" s="27" t="n">
        <v>0</v>
      </c>
      <c r="AA48" s="27" t="n">
        <v>0</v>
      </c>
      <c r="AB48" s="27" t="n">
        <v>0</v>
      </c>
      <c r="AC48" s="27" t="n">
        <v>0</v>
      </c>
      <c r="AD48" s="27" t="n">
        <v>0</v>
      </c>
      <c r="AE48" s="27" t="n">
        <v>1.647732293074346</v>
      </c>
      <c r="AF48" s="27" t="n">
        <v>0</v>
      </c>
      <c r="AG48" s="27" t="n">
        <v>0</v>
      </c>
      <c r="AH48" s="27" t="n">
        <v>1.647732293074346</v>
      </c>
      <c r="AI48" s="27" t="n">
        <v>0</v>
      </c>
      <c r="AJ48" s="27" t="n">
        <v>0</v>
      </c>
      <c r="AK48" s="27" t="n">
        <v>1.647732293074346</v>
      </c>
      <c r="AL48" s="27" t="n">
        <v>0</v>
      </c>
      <c r="AM48" s="27" t="n">
        <v>1.647732293074346</v>
      </c>
      <c r="AN48" s="27" t="n">
        <v>0</v>
      </c>
      <c r="AO48" s="27" t="n">
        <v>0</v>
      </c>
      <c r="AP48" s="27" t="n">
        <v>1.647732293074346</v>
      </c>
      <c r="AQ48" s="27" t="n">
        <v>0</v>
      </c>
      <c r="AR48" s="27" t="n">
        <v>0</v>
      </c>
      <c r="AS48" s="27" t="n">
        <v>0</v>
      </c>
      <c r="AT48" s="27" t="n">
        <v>1.647732293074346</v>
      </c>
      <c r="AU48" s="27" t="n">
        <v>0</v>
      </c>
      <c r="AV48" s="27" t="n">
        <v>0</v>
      </c>
      <c r="AW48" s="27" t="n">
        <v>0</v>
      </c>
      <c r="AX48" s="27" t="n">
        <v>1.647732293074346</v>
      </c>
      <c r="AY48" s="27" t="n">
        <v>0</v>
      </c>
      <c r="AZ48" s="27" t="n">
        <v>0</v>
      </c>
      <c r="BA48" s="27" t="n">
        <v>0</v>
      </c>
      <c r="BB48" s="27" t="n">
        <v>0</v>
      </c>
      <c r="BC48" s="27" t="n">
        <v>0</v>
      </c>
      <c r="BD48" s="27" t="n">
        <v>0</v>
      </c>
      <c r="BE48" s="27" t="n">
        <v>0.6590929172297383</v>
      </c>
      <c r="BF48" s="27" t="n">
        <v>0</v>
      </c>
      <c r="BG48" s="27" t="n">
        <v>0</v>
      </c>
      <c r="BH48" s="27" t="n">
        <v>0</v>
      </c>
      <c r="BI48" s="27" t="n">
        <v>0</v>
      </c>
      <c r="BJ48" s="27" t="n">
        <v>0</v>
      </c>
      <c r="BK48" s="27" t="n">
        <v>0</v>
      </c>
      <c r="BL48" s="27" t="n">
        <v>0</v>
      </c>
      <c r="BM48" s="27" t="n">
        <v>0</v>
      </c>
      <c r="BN48" s="27" t="n">
        <v>0</v>
      </c>
      <c r="BO48" s="27" t="n">
        <v>0</v>
      </c>
      <c r="BP48" s="27" t="n">
        <v>0</v>
      </c>
      <c r="BQ48" s="27" t="n">
        <v>0</v>
      </c>
      <c r="BR48" s="27" t="n">
        <v>0</v>
      </c>
      <c r="BS48" s="27" t="n">
        <v>0</v>
      </c>
      <c r="BT48" s="27" t="n">
        <v>0</v>
      </c>
      <c r="BU48" s="27" t="n">
        <v>0</v>
      </c>
      <c r="BV48" s="27" t="n">
        <v>0</v>
      </c>
      <c r="BW48" s="27" t="n">
        <v>0</v>
      </c>
      <c r="BX48" s="27" t="n">
        <v>0</v>
      </c>
      <c r="BY48" s="27" t="n">
        <v>0</v>
      </c>
      <c r="BZ48" s="27" t="n">
        <v>0</v>
      </c>
      <c r="CA48" s="27" t="n">
        <v>0</v>
      </c>
      <c r="CB48" s="27" t="n">
        <v>0</v>
      </c>
      <c r="CC48" s="27" t="n">
        <v>0</v>
      </c>
      <c r="CD48" s="27" t="n">
        <v>0</v>
      </c>
      <c r="CE48" s="27" t="n">
        <v>0</v>
      </c>
      <c r="CF48" s="27" t="n">
        <v>0</v>
      </c>
      <c r="CG48" s="27" t="n">
        <v>0</v>
      </c>
      <c r="CH48" s="27" t="n">
        <v>0</v>
      </c>
      <c r="CI48" s="27" t="n">
        <v>0</v>
      </c>
      <c r="CJ48" s="27" t="n">
        <v>0</v>
      </c>
      <c r="CK48" s="27" t="n">
        <v>0</v>
      </c>
      <c r="CL48" s="27" t="n">
        <v>0</v>
      </c>
      <c r="CM48" s="27" t="n">
        <v>0</v>
      </c>
      <c r="CN48" s="27" t="n">
        <v>0</v>
      </c>
      <c r="CO48" s="27" t="n">
        <v>0</v>
      </c>
      <c r="CP48" s="27" t="n">
        <v>0</v>
      </c>
      <c r="CQ48" s="27" t="n">
        <v>0</v>
      </c>
      <c r="CR48" s="27" t="n">
        <v>0</v>
      </c>
      <c r="CS48" s="27" t="n">
        <v>0</v>
      </c>
      <c r="CT48" s="27" t="n">
        <v>0</v>
      </c>
      <c r="CU48" s="27" t="n">
        <v>0</v>
      </c>
      <c r="CV48" s="27" t="n">
        <v>0</v>
      </c>
      <c r="CW48" s="27" t="n">
        <v>0</v>
      </c>
      <c r="CX48" s="27" t="n">
        <v>0</v>
      </c>
      <c r="CY48" s="27" t="n">
        <v>0</v>
      </c>
      <c r="CZ48" s="27" t="n">
        <v>0</v>
      </c>
      <c r="DA48" s="27" t="n">
        <v>0</v>
      </c>
    </row>
    <row r="49">
      <c r="A49" t="inlineStr">
        <is>
          <t>TSP-936</t>
        </is>
      </c>
      <c r="B49" s="27" t="n">
        <v>0</v>
      </c>
      <c r="C49" s="27" t="n">
        <v>0</v>
      </c>
      <c r="D49" s="27" t="n">
        <v>0</v>
      </c>
      <c r="E49" s="27" t="n">
        <v>0</v>
      </c>
      <c r="F49" s="27" t="n">
        <v>0</v>
      </c>
      <c r="G49" s="27" t="n">
        <v>0</v>
      </c>
      <c r="H49" s="27" t="n">
        <v>0</v>
      </c>
      <c r="I49" s="27" t="n">
        <v>0</v>
      </c>
      <c r="J49" s="27" t="n">
        <v>0</v>
      </c>
      <c r="K49" s="27" t="n">
        <v>0</v>
      </c>
      <c r="L49" s="27" t="n">
        <v>0</v>
      </c>
      <c r="M49" s="27" t="n">
        <v>0</v>
      </c>
      <c r="N49" s="27" t="n">
        <v>0</v>
      </c>
      <c r="O49" s="27" t="n">
        <v>0</v>
      </c>
      <c r="P49" s="27" t="n">
        <v>0</v>
      </c>
      <c r="Q49" s="27" t="n">
        <v>0</v>
      </c>
      <c r="R49" s="27" t="n">
        <v>0</v>
      </c>
      <c r="S49" s="27" t="n">
        <v>0</v>
      </c>
      <c r="T49" s="27" t="n">
        <v>0</v>
      </c>
      <c r="U49" s="27" t="n">
        <v>0</v>
      </c>
      <c r="V49" s="27" t="n">
        <v>0</v>
      </c>
      <c r="W49" s="27" t="n">
        <v>0</v>
      </c>
      <c r="X49" s="27" t="n">
        <v>0</v>
      </c>
      <c r="Y49" s="27" t="n">
        <v>0</v>
      </c>
      <c r="Z49" s="27" t="n">
        <v>0</v>
      </c>
      <c r="AA49" s="27" t="n">
        <v>0</v>
      </c>
      <c r="AB49" s="27" t="n">
        <v>0</v>
      </c>
      <c r="AC49" s="27" t="n">
        <v>0</v>
      </c>
      <c r="AD49" s="27" t="n">
        <v>0</v>
      </c>
      <c r="AE49" s="27" t="n">
        <v>0</v>
      </c>
      <c r="AF49" s="27" t="n">
        <v>0</v>
      </c>
      <c r="AG49" s="27" t="n">
        <v>0</v>
      </c>
      <c r="AH49" s="27" t="n">
        <v>0</v>
      </c>
      <c r="AI49" s="27" t="n">
        <v>0</v>
      </c>
      <c r="AJ49" s="27" t="n">
        <v>0</v>
      </c>
      <c r="AK49" s="27" t="n">
        <v>0</v>
      </c>
      <c r="AL49" s="27" t="n">
        <v>0</v>
      </c>
      <c r="AM49" s="27" t="n">
        <v>0</v>
      </c>
      <c r="AN49" s="27" t="n">
        <v>0</v>
      </c>
      <c r="AO49" s="27" t="n">
        <v>0</v>
      </c>
      <c r="AP49" s="27" t="n">
        <v>0</v>
      </c>
      <c r="AQ49" s="27" t="n">
        <v>0</v>
      </c>
      <c r="AR49" s="27" t="n">
        <v>0</v>
      </c>
      <c r="AS49" s="27" t="n">
        <v>0</v>
      </c>
      <c r="AT49" s="27" t="n">
        <v>0</v>
      </c>
      <c r="AU49" s="27" t="n">
        <v>0</v>
      </c>
      <c r="AV49" s="27" t="n">
        <v>0</v>
      </c>
      <c r="AW49" s="27" t="n">
        <v>0</v>
      </c>
      <c r="AX49" s="27" t="n">
        <v>0</v>
      </c>
      <c r="AY49" s="27" t="n">
        <v>0</v>
      </c>
      <c r="AZ49" s="27" t="n">
        <v>0</v>
      </c>
      <c r="BA49" s="27" t="n">
        <v>0</v>
      </c>
      <c r="BB49" s="27" t="n">
        <v>0</v>
      </c>
      <c r="BC49" s="27" t="n">
        <v>0</v>
      </c>
      <c r="BD49" s="27" t="n">
        <v>0</v>
      </c>
      <c r="BE49" s="27" t="n">
        <v>0</v>
      </c>
      <c r="BF49" s="27" t="n">
        <v>0</v>
      </c>
      <c r="BG49" s="27" t="n">
        <v>0</v>
      </c>
      <c r="BH49" s="27" t="n">
        <v>0</v>
      </c>
      <c r="BI49" s="27" t="n">
        <v>0</v>
      </c>
      <c r="BJ49" s="27" t="n">
        <v>0</v>
      </c>
      <c r="BK49" s="27" t="n">
        <v>0</v>
      </c>
      <c r="BL49" s="27" t="n">
        <v>0</v>
      </c>
      <c r="BM49" s="27" t="n">
        <v>0</v>
      </c>
      <c r="BN49" s="27" t="n">
        <v>0</v>
      </c>
      <c r="BO49" s="27" t="n">
        <v>0</v>
      </c>
      <c r="BP49" s="27" t="n">
        <v>0</v>
      </c>
      <c r="BQ49" s="27" t="n">
        <v>0</v>
      </c>
      <c r="BR49" s="27" t="n">
        <v>0</v>
      </c>
      <c r="BS49" s="27" t="n">
        <v>0</v>
      </c>
      <c r="BT49" s="27" t="n">
        <v>0</v>
      </c>
      <c r="BU49" s="27" t="n">
        <v>0</v>
      </c>
      <c r="BV49" s="27" t="n">
        <v>0</v>
      </c>
      <c r="BW49" s="27" t="n">
        <v>0</v>
      </c>
      <c r="BX49" s="27" t="n">
        <v>0</v>
      </c>
      <c r="BY49" s="27" t="n">
        <v>0</v>
      </c>
      <c r="BZ49" s="27" t="n">
        <v>0</v>
      </c>
      <c r="CA49" s="27" t="n">
        <v>0</v>
      </c>
      <c r="CB49" s="27" t="n">
        <v>0</v>
      </c>
      <c r="CC49" s="27" t="n">
        <v>0</v>
      </c>
      <c r="CD49" s="27" t="n">
        <v>0</v>
      </c>
      <c r="CE49" s="27" t="n">
        <v>0</v>
      </c>
      <c r="CF49" s="27" t="n">
        <v>0</v>
      </c>
      <c r="CG49" s="27" t="n">
        <v>0</v>
      </c>
      <c r="CH49" s="27" t="n">
        <v>0</v>
      </c>
      <c r="CI49" s="27" t="n">
        <v>0</v>
      </c>
      <c r="CJ49" s="27" t="n">
        <v>0</v>
      </c>
      <c r="CK49" s="27" t="n">
        <v>0</v>
      </c>
      <c r="CL49" s="27" t="n">
        <v>0</v>
      </c>
      <c r="CM49" s="27" t="n">
        <v>0</v>
      </c>
      <c r="CN49" s="27" t="n">
        <v>0</v>
      </c>
      <c r="CO49" s="27" t="n">
        <v>0</v>
      </c>
      <c r="CP49" s="27" t="n">
        <v>0</v>
      </c>
      <c r="CQ49" s="27" t="n">
        <v>0</v>
      </c>
      <c r="CR49" s="27" t="n">
        <v>0</v>
      </c>
      <c r="CS49" s="27" t="n">
        <v>0</v>
      </c>
      <c r="CT49" s="27" t="n">
        <v>0</v>
      </c>
      <c r="CU49" s="27" t="n">
        <v>0</v>
      </c>
      <c r="CV49" s="27" t="n">
        <v>0</v>
      </c>
      <c r="CW49" s="27" t="n">
        <v>0</v>
      </c>
      <c r="CX49" s="27" t="n">
        <v>0</v>
      </c>
      <c r="CY49" s="27" t="n">
        <v>0</v>
      </c>
      <c r="CZ49" s="27" t="n">
        <v>0</v>
      </c>
      <c r="DA49" s="27" t="n">
        <v>0</v>
      </c>
    </row>
    <row r="50">
      <c r="A50" t="inlineStr">
        <is>
          <t>TSP-937</t>
        </is>
      </c>
      <c r="B50" s="27" t="n">
        <v>0</v>
      </c>
      <c r="C50" s="27" t="n">
        <v>1.239039250313827</v>
      </c>
      <c r="D50" s="27" t="n">
        <v>0</v>
      </c>
      <c r="E50" s="27" t="n">
        <v>1.239039250313827</v>
      </c>
      <c r="F50" s="27" t="n">
        <v>0</v>
      </c>
      <c r="G50" s="27" t="n">
        <v>1.239039250313827</v>
      </c>
      <c r="H50" s="27" t="n">
        <v>0</v>
      </c>
      <c r="I50" s="27" t="n">
        <v>0</v>
      </c>
      <c r="J50" s="27" t="n">
        <v>0</v>
      </c>
      <c r="K50" s="27" t="n">
        <v>0</v>
      </c>
      <c r="L50" s="27" t="n">
        <v>1.239039250313827</v>
      </c>
      <c r="M50" s="27" t="n">
        <v>1.239039250313827</v>
      </c>
      <c r="N50" s="27" t="n">
        <v>0</v>
      </c>
      <c r="O50" s="27" t="n">
        <v>0</v>
      </c>
      <c r="P50" s="27" t="n">
        <v>0</v>
      </c>
      <c r="Q50" s="27" t="n">
        <v>0</v>
      </c>
      <c r="R50" s="27" t="n">
        <v>1.239039250313827</v>
      </c>
      <c r="S50" s="27" t="n">
        <v>0</v>
      </c>
      <c r="T50" s="27" t="n">
        <v>0</v>
      </c>
      <c r="U50" s="27" t="n">
        <v>0</v>
      </c>
      <c r="V50" s="27" t="n">
        <v>0</v>
      </c>
      <c r="W50" s="27" t="n">
        <v>0</v>
      </c>
      <c r="X50" s="27" t="n">
        <v>1.239039250313827</v>
      </c>
      <c r="Y50" s="27" t="n">
        <v>0</v>
      </c>
      <c r="Z50" s="27" t="n">
        <v>0</v>
      </c>
      <c r="AA50" s="27" t="n">
        <v>0</v>
      </c>
      <c r="AB50" s="27" t="n">
        <v>0</v>
      </c>
      <c r="AC50" s="27" t="n">
        <v>0</v>
      </c>
      <c r="AD50" s="27" t="n">
        <v>1.239039250313827</v>
      </c>
      <c r="AE50" s="27" t="n">
        <v>0</v>
      </c>
      <c r="AF50" s="27" t="n">
        <v>0</v>
      </c>
      <c r="AG50" s="27" t="n">
        <v>0</v>
      </c>
      <c r="AH50" s="27" t="n">
        <v>0</v>
      </c>
      <c r="AI50" s="27" t="n">
        <v>0</v>
      </c>
      <c r="AJ50" s="27" t="n">
        <v>0</v>
      </c>
      <c r="AK50" s="27" t="n">
        <v>0</v>
      </c>
      <c r="AL50" s="27" t="n">
        <v>0</v>
      </c>
      <c r="AM50" s="27" t="n">
        <v>1.239039250313827</v>
      </c>
      <c r="AN50" s="27" t="n">
        <v>0</v>
      </c>
      <c r="AO50" s="27" t="n">
        <v>0</v>
      </c>
      <c r="AP50" s="27" t="n">
        <v>0</v>
      </c>
      <c r="AQ50" s="27" t="n">
        <v>0</v>
      </c>
      <c r="AR50" s="27" t="n">
        <v>0</v>
      </c>
      <c r="AS50" s="27" t="n">
        <v>1.204621493360665</v>
      </c>
      <c r="AT50" s="27" t="n">
        <v>0</v>
      </c>
      <c r="AU50" s="27" t="n">
        <v>0</v>
      </c>
      <c r="AV50" s="27" t="n">
        <v>0</v>
      </c>
      <c r="AW50" s="27" t="n">
        <v>0</v>
      </c>
      <c r="AX50" s="27" t="n">
        <v>0</v>
      </c>
      <c r="AY50" s="27" t="n">
        <v>0</v>
      </c>
      <c r="AZ50" s="27" t="n">
        <v>0</v>
      </c>
      <c r="BA50" s="27" t="n">
        <v>0</v>
      </c>
      <c r="BB50" s="27" t="n">
        <v>0</v>
      </c>
      <c r="BC50" s="27" t="n">
        <v>0</v>
      </c>
      <c r="BD50" s="27" t="n">
        <v>0</v>
      </c>
      <c r="BE50" s="27" t="n">
        <v>0</v>
      </c>
      <c r="BF50" s="27" t="n">
        <v>0</v>
      </c>
      <c r="BG50" s="27" t="n">
        <v>0</v>
      </c>
      <c r="BH50" s="27" t="n">
        <v>0</v>
      </c>
      <c r="BI50" s="27" t="n">
        <v>0</v>
      </c>
      <c r="BJ50" s="27" t="n">
        <v>0</v>
      </c>
      <c r="BK50" s="27" t="n">
        <v>0</v>
      </c>
      <c r="BL50" s="27" t="n">
        <v>0</v>
      </c>
      <c r="BM50" s="27" t="n">
        <v>0</v>
      </c>
      <c r="BN50" s="27" t="n">
        <v>0</v>
      </c>
      <c r="BO50" s="27" t="n">
        <v>0</v>
      </c>
      <c r="BP50" s="27" t="n">
        <v>0</v>
      </c>
      <c r="BQ50" s="27" t="n">
        <v>0</v>
      </c>
      <c r="BR50" s="27" t="n">
        <v>0</v>
      </c>
      <c r="BS50" s="27" t="n">
        <v>0</v>
      </c>
      <c r="BT50" s="27" t="n">
        <v>0</v>
      </c>
      <c r="BU50" s="27" t="n">
        <v>0</v>
      </c>
      <c r="BV50" s="27" t="n">
        <v>0</v>
      </c>
      <c r="BW50" s="27" t="n">
        <v>0</v>
      </c>
      <c r="BX50" s="27" t="n">
        <v>0</v>
      </c>
      <c r="BY50" s="27" t="n">
        <v>0</v>
      </c>
      <c r="BZ50" s="27" t="n">
        <v>0</v>
      </c>
      <c r="CA50" s="27" t="n">
        <v>0</v>
      </c>
      <c r="CB50" s="27" t="n">
        <v>0</v>
      </c>
      <c r="CC50" s="27" t="n">
        <v>0</v>
      </c>
      <c r="CD50" s="27" t="n">
        <v>0</v>
      </c>
      <c r="CE50" s="27" t="n">
        <v>0</v>
      </c>
      <c r="CF50" s="27" t="n">
        <v>0</v>
      </c>
      <c r="CG50" s="27" t="n">
        <v>0</v>
      </c>
      <c r="CH50" s="27" t="n">
        <v>0</v>
      </c>
      <c r="CI50" s="27" t="n">
        <v>0</v>
      </c>
      <c r="CJ50" s="27" t="n">
        <v>0</v>
      </c>
      <c r="CK50" s="27" t="n">
        <v>0</v>
      </c>
      <c r="CL50" s="27" t="n">
        <v>0</v>
      </c>
      <c r="CM50" s="27" t="n">
        <v>0</v>
      </c>
      <c r="CN50" s="27" t="n">
        <v>0</v>
      </c>
      <c r="CO50" s="27" t="n">
        <v>0</v>
      </c>
      <c r="CP50" s="27" t="n">
        <v>0</v>
      </c>
      <c r="CQ50" s="27" t="n">
        <v>0</v>
      </c>
      <c r="CR50" s="27" t="n">
        <v>0</v>
      </c>
      <c r="CS50" s="27" t="n">
        <v>0</v>
      </c>
      <c r="CT50" s="27" t="n">
        <v>0</v>
      </c>
      <c r="CU50" s="27" t="n">
        <v>0</v>
      </c>
      <c r="CV50" s="27" t="n">
        <v>0</v>
      </c>
      <c r="CW50" s="27" t="n">
        <v>0</v>
      </c>
      <c r="CX50" s="27" t="n">
        <v>0</v>
      </c>
      <c r="CY50" s="27" t="n">
        <v>0</v>
      </c>
      <c r="CZ50" s="27" t="n">
        <v>0</v>
      </c>
      <c r="DA50" s="27" t="n">
        <v>0</v>
      </c>
    </row>
    <row r="51">
      <c r="A51" t="inlineStr">
        <is>
          <t>TSP-959</t>
        </is>
      </c>
      <c r="B51" s="27" t="n">
        <v>0</v>
      </c>
      <c r="C51" s="27" t="n">
        <v>0</v>
      </c>
      <c r="D51" s="27" t="n">
        <v>1.170635224396568</v>
      </c>
      <c r="E51" s="27" t="n">
        <v>1.170635224396568</v>
      </c>
      <c r="F51" s="27" t="n">
        <v>6.555557256620778</v>
      </c>
      <c r="G51" s="27" t="n">
        <v>6.087303166862152</v>
      </c>
      <c r="H51" s="27" t="n">
        <v>4.682540897586271</v>
      </c>
      <c r="I51" s="27" t="n">
        <v>4.682540897586271</v>
      </c>
      <c r="J51" s="27" t="n">
        <v>4.682540897586271</v>
      </c>
      <c r="K51" s="27" t="n">
        <v>6.087303166862152</v>
      </c>
      <c r="L51" s="27" t="n">
        <v>7.023811346379405</v>
      </c>
      <c r="M51" s="27" t="n">
        <v>7.023811346379405</v>
      </c>
      <c r="N51" s="27" t="n">
        <v>7.023811346379405</v>
      </c>
      <c r="O51" s="27" t="n">
        <v>7.023811346379405</v>
      </c>
      <c r="P51" s="27" t="n">
        <v>4.682540897586271</v>
      </c>
      <c r="Q51" s="27" t="n">
        <v>4.682540897586271</v>
      </c>
      <c r="R51" s="27" t="n">
        <v>5.150794987344898</v>
      </c>
      <c r="S51" s="27" t="n">
        <v>0</v>
      </c>
      <c r="T51" s="27" t="n">
        <v>0</v>
      </c>
      <c r="U51" s="27" t="n">
        <v>7.726192481017346</v>
      </c>
      <c r="V51" s="27" t="n">
        <v>8.194446570775973</v>
      </c>
      <c r="W51" s="27" t="n">
        <v>3.511905673189703</v>
      </c>
      <c r="X51" s="27" t="n">
        <v>4.682540897586271</v>
      </c>
      <c r="Y51" s="27" t="n">
        <v>4.682540897586271</v>
      </c>
      <c r="Z51" s="27" t="n">
        <v>0</v>
      </c>
      <c r="AA51" s="27" t="n">
        <v>5.619049077103525</v>
      </c>
      <c r="AB51" s="27" t="n">
        <v>3.746032718069016</v>
      </c>
      <c r="AC51" s="27" t="n">
        <v>7.023811346379405</v>
      </c>
      <c r="AD51" s="27" t="n">
        <v>4.682540897586271</v>
      </c>
      <c r="AE51" s="27" t="n">
        <v>0</v>
      </c>
      <c r="AF51" s="27" t="n">
        <v>2.341270448793135</v>
      </c>
      <c r="AG51" s="27" t="n">
        <v>4.682540897586271</v>
      </c>
      <c r="AH51" s="27" t="n">
        <v>4.682540897586271</v>
      </c>
      <c r="AI51" s="27" t="n">
        <v>4.682540897586271</v>
      </c>
      <c r="AJ51" s="27" t="n">
        <v>4.682540897586271</v>
      </c>
      <c r="AK51" s="27" t="n">
        <v>4.682540897586271</v>
      </c>
      <c r="AL51" s="27" t="n">
        <v>4.682540897586271</v>
      </c>
      <c r="AM51" s="27" t="n">
        <v>4.682540897586271</v>
      </c>
      <c r="AN51" s="27" t="n">
        <v>4.682540897586271</v>
      </c>
      <c r="AO51" s="27" t="n">
        <v>4.682540897586271</v>
      </c>
      <c r="AP51" s="27" t="n">
        <v>4.682540897586271</v>
      </c>
      <c r="AQ51" s="27" t="n">
        <v>4.682540897586271</v>
      </c>
      <c r="AR51" s="27" t="n">
        <v>4.682540897586271</v>
      </c>
      <c r="AS51" s="27" t="n">
        <v>4.682540897586271</v>
      </c>
      <c r="AT51" s="27" t="n">
        <v>7.023811346379405</v>
      </c>
      <c r="AU51" s="27" t="n">
        <v>7.023811346379405</v>
      </c>
      <c r="AV51" s="27" t="n">
        <v>7.023811346379405</v>
      </c>
      <c r="AW51" s="27" t="n">
        <v>7.023811346379405</v>
      </c>
      <c r="AX51" s="27" t="n">
        <v>4.682540897586271</v>
      </c>
      <c r="AY51" s="27" t="n">
        <v>4.682540897586271</v>
      </c>
      <c r="AZ51" s="27" t="n">
        <v>2.341270448793135</v>
      </c>
      <c r="BA51" s="27" t="n">
        <v>0</v>
      </c>
      <c r="BB51" s="27" t="n">
        <v>0</v>
      </c>
      <c r="BC51" s="27" t="n">
        <v>4.682540897586271</v>
      </c>
      <c r="BD51" s="27" t="n">
        <v>4.682540897586271</v>
      </c>
      <c r="BE51" s="27" t="n">
        <v>4.682540897586271</v>
      </c>
      <c r="BF51" s="27" t="n">
        <v>4.682540897586271</v>
      </c>
      <c r="BG51" s="27" t="n">
        <v>4.682540897586271</v>
      </c>
      <c r="BH51" s="27" t="n">
        <v>4.682540897586271</v>
      </c>
      <c r="BI51" s="27" t="n">
        <v>4.682540897586271</v>
      </c>
      <c r="BJ51" s="27" t="n">
        <v>4.682540897586271</v>
      </c>
      <c r="BK51" s="27" t="n">
        <v>4.682540897586271</v>
      </c>
      <c r="BL51" s="27" t="n">
        <v>0</v>
      </c>
      <c r="BM51" s="27" t="n">
        <v>4.682540897586271</v>
      </c>
      <c r="BN51" s="27" t="n">
        <v>0</v>
      </c>
      <c r="BO51" s="27" t="n">
        <v>2.341270448793135</v>
      </c>
      <c r="BP51" s="27" t="n">
        <v>2.341270448793135</v>
      </c>
      <c r="BQ51" s="27" t="n">
        <v>2.341270448793135</v>
      </c>
      <c r="BR51" s="27" t="n">
        <v>2.341270448793135</v>
      </c>
      <c r="BS51" s="27" t="n">
        <v>0</v>
      </c>
      <c r="BT51" s="27" t="n">
        <v>2.341270448793135</v>
      </c>
      <c r="BU51" s="27" t="n">
        <v>2.341270448793135</v>
      </c>
      <c r="BV51" s="27" t="n">
        <v>2.341270448793135</v>
      </c>
      <c r="BW51" s="27" t="n">
        <v>2.341270448793135</v>
      </c>
      <c r="BX51" s="27" t="n">
        <v>1.404762269275881</v>
      </c>
      <c r="BY51" s="27" t="n">
        <v>0</v>
      </c>
      <c r="BZ51" s="27" t="n">
        <v>0</v>
      </c>
      <c r="CA51" s="27" t="n">
        <v>0</v>
      </c>
      <c r="CB51" s="27" t="n">
        <v>0</v>
      </c>
      <c r="CC51" s="27" t="n">
        <v>0</v>
      </c>
      <c r="CD51" s="27" t="n">
        <v>0</v>
      </c>
      <c r="CE51" s="27" t="n">
        <v>0</v>
      </c>
      <c r="CF51" s="27" t="n">
        <v>0</v>
      </c>
      <c r="CG51" s="27" t="n">
        <v>0</v>
      </c>
      <c r="CH51" s="27" t="n">
        <v>0</v>
      </c>
      <c r="CI51" s="27" t="n">
        <v>0</v>
      </c>
      <c r="CJ51" s="27" t="n">
        <v>0</v>
      </c>
      <c r="CK51" s="27" t="n">
        <v>0</v>
      </c>
      <c r="CL51" s="27" t="n">
        <v>0</v>
      </c>
      <c r="CM51" s="27" t="n">
        <v>0</v>
      </c>
      <c r="CN51" s="27" t="n">
        <v>0</v>
      </c>
      <c r="CO51" s="27" t="n">
        <v>0</v>
      </c>
      <c r="CP51" s="27" t="n">
        <v>0</v>
      </c>
      <c r="CQ51" s="27" t="n">
        <v>0</v>
      </c>
      <c r="CR51" s="27" t="n">
        <v>0</v>
      </c>
      <c r="CS51" s="27" t="n">
        <v>0</v>
      </c>
      <c r="CT51" s="27" t="n">
        <v>0</v>
      </c>
      <c r="CU51" s="27" t="n">
        <v>0</v>
      </c>
      <c r="CV51" s="27" t="n">
        <v>0</v>
      </c>
      <c r="CW51" s="27" t="n">
        <v>0</v>
      </c>
      <c r="CX51" s="27" t="n">
        <v>0</v>
      </c>
      <c r="CY51" s="27" t="n">
        <v>0</v>
      </c>
      <c r="CZ51" s="27" t="n">
        <v>0</v>
      </c>
      <c r="DA51" s="27" t="n">
        <v>0</v>
      </c>
    </row>
    <row r="52">
      <c r="A52" t="inlineStr">
        <is>
          <t>TSP-966</t>
        </is>
      </c>
      <c r="B52" s="27" t="n">
        <v>0</v>
      </c>
      <c r="C52" s="27" t="n">
        <v>0</v>
      </c>
      <c r="D52" s="27" t="n">
        <v>0.9966135129281095</v>
      </c>
      <c r="E52" s="27" t="n">
        <v>0.9966135129281095</v>
      </c>
      <c r="F52" s="27" t="n">
        <v>5.581035672397413</v>
      </c>
      <c r="G52" s="27" t="n">
        <v>5.18239026722617</v>
      </c>
      <c r="H52" s="27" t="n">
        <v>3.986454051712438</v>
      </c>
      <c r="I52" s="27" t="n">
        <v>3.986454051712438</v>
      </c>
      <c r="J52" s="27" t="n">
        <v>3.986454051712438</v>
      </c>
      <c r="K52" s="27" t="n">
        <v>5.18239026722617</v>
      </c>
      <c r="L52" s="27" t="n">
        <v>5.979681077568658</v>
      </c>
      <c r="M52" s="27" t="n">
        <v>5.979681077568658</v>
      </c>
      <c r="N52" s="27" t="n">
        <v>5.979681077568658</v>
      </c>
      <c r="O52" s="27" t="n">
        <v>5.979681077568658</v>
      </c>
      <c r="P52" s="27" t="n">
        <v>3.986454051712438</v>
      </c>
      <c r="Q52" s="27" t="n">
        <v>3.986454051712438</v>
      </c>
      <c r="R52" s="27" t="n">
        <v>4.385099456883682</v>
      </c>
      <c r="S52" s="27" t="n">
        <v>0</v>
      </c>
      <c r="T52" s="27" t="n">
        <v>0</v>
      </c>
      <c r="U52" s="27" t="n">
        <v>6.577649185325523</v>
      </c>
      <c r="V52" s="27" t="n">
        <v>6.976294590496767</v>
      </c>
      <c r="W52" s="27" t="n">
        <v>2.989840538784329</v>
      </c>
      <c r="X52" s="27" t="n">
        <v>3.986454051712438</v>
      </c>
      <c r="Y52" s="27" t="n">
        <v>3.986454051712438</v>
      </c>
      <c r="Z52" s="27" t="n">
        <v>0</v>
      </c>
      <c r="AA52" s="27" t="n">
        <v>4.783744862054926</v>
      </c>
      <c r="AB52" s="27" t="n">
        <v>3.18916324136995</v>
      </c>
      <c r="AC52" s="27" t="n">
        <v>5.979681077568658</v>
      </c>
      <c r="AD52" s="27" t="n">
        <v>3.986454051712438</v>
      </c>
      <c r="AE52" s="27" t="n">
        <v>0</v>
      </c>
      <c r="AF52" s="27" t="n">
        <v>1.993227025856219</v>
      </c>
      <c r="AG52" s="27" t="n">
        <v>3.986454051712438</v>
      </c>
      <c r="AH52" s="27" t="n">
        <v>3.986454051712438</v>
      </c>
      <c r="AI52" s="27" t="n">
        <v>3.986454051712438</v>
      </c>
      <c r="AJ52" s="27" t="n">
        <v>3.986454051712438</v>
      </c>
      <c r="AK52" s="27" t="n">
        <v>3.986454051712438</v>
      </c>
      <c r="AL52" s="27" t="n">
        <v>3.986454051712438</v>
      </c>
      <c r="AM52" s="27" t="n">
        <v>3.986454051712438</v>
      </c>
      <c r="AN52" s="27" t="n">
        <v>3.986454051712438</v>
      </c>
      <c r="AO52" s="27" t="n">
        <v>3.986454051712438</v>
      </c>
      <c r="AP52" s="27" t="n">
        <v>3.986454051712438</v>
      </c>
      <c r="AQ52" s="27" t="n">
        <v>3.986454051712438</v>
      </c>
      <c r="AR52" s="27" t="n">
        <v>3.986454051712438</v>
      </c>
      <c r="AS52" s="27" t="n">
        <v>3.986454051712438</v>
      </c>
      <c r="AT52" s="27" t="n">
        <v>5.979681077568658</v>
      </c>
      <c r="AU52" s="27" t="n">
        <v>5.979681077568658</v>
      </c>
      <c r="AV52" s="27" t="n">
        <v>5.979681077568658</v>
      </c>
      <c r="AW52" s="27" t="n">
        <v>5.979681077568658</v>
      </c>
      <c r="AX52" s="27" t="n">
        <v>3.986454051712438</v>
      </c>
      <c r="AY52" s="27" t="n">
        <v>3.986454051712438</v>
      </c>
      <c r="AZ52" s="27" t="n">
        <v>1.993227025856219</v>
      </c>
      <c r="BA52" s="27" t="n">
        <v>0</v>
      </c>
      <c r="BB52" s="27" t="n">
        <v>0</v>
      </c>
      <c r="BC52" s="27" t="n">
        <v>3.986454051712438</v>
      </c>
      <c r="BD52" s="27" t="n">
        <v>3.986454051712438</v>
      </c>
      <c r="BE52" s="27" t="n">
        <v>3.986454051712438</v>
      </c>
      <c r="BF52" s="27" t="n">
        <v>3.986454051712438</v>
      </c>
      <c r="BG52" s="27" t="n">
        <v>3.986454051712438</v>
      </c>
      <c r="BH52" s="27" t="n">
        <v>3.986454051712438</v>
      </c>
      <c r="BI52" s="27" t="n">
        <v>3.986454051712438</v>
      </c>
      <c r="BJ52" s="27" t="n">
        <v>3.986454051712438</v>
      </c>
      <c r="BK52" s="27" t="n">
        <v>3.986454051712438</v>
      </c>
      <c r="BL52" s="27" t="n">
        <v>0</v>
      </c>
      <c r="BM52" s="27" t="n">
        <v>3.986454051712438</v>
      </c>
      <c r="BN52" s="27" t="n">
        <v>0</v>
      </c>
      <c r="BO52" s="27" t="n">
        <v>1.993227025856219</v>
      </c>
      <c r="BP52" s="27" t="n">
        <v>1.993227025856219</v>
      </c>
      <c r="BQ52" s="27" t="n">
        <v>1.993227025856219</v>
      </c>
      <c r="BR52" s="27" t="n">
        <v>1.993227025856219</v>
      </c>
      <c r="BS52" s="27" t="n">
        <v>0</v>
      </c>
      <c r="BT52" s="27" t="n">
        <v>1.993227025856219</v>
      </c>
      <c r="BU52" s="27" t="n">
        <v>1.993227025856219</v>
      </c>
      <c r="BV52" s="27" t="n">
        <v>1.993227025856219</v>
      </c>
      <c r="BW52" s="27" t="n">
        <v>1.993227025856219</v>
      </c>
      <c r="BX52" s="27" t="n">
        <v>1.195936215513731</v>
      </c>
      <c r="BY52" s="27" t="n">
        <v>0</v>
      </c>
      <c r="BZ52" s="27" t="n">
        <v>0</v>
      </c>
      <c r="CA52" s="27" t="n">
        <v>0</v>
      </c>
      <c r="CB52" s="27" t="n">
        <v>0</v>
      </c>
      <c r="CC52" s="27" t="n">
        <v>0</v>
      </c>
      <c r="CD52" s="27" t="n">
        <v>0</v>
      </c>
      <c r="CE52" s="27" t="n">
        <v>0</v>
      </c>
      <c r="CF52" s="27" t="n">
        <v>0</v>
      </c>
      <c r="CG52" s="27" t="n">
        <v>0</v>
      </c>
      <c r="CH52" s="27" t="n">
        <v>0</v>
      </c>
      <c r="CI52" s="27" t="n">
        <v>0</v>
      </c>
      <c r="CJ52" s="27" t="n">
        <v>0</v>
      </c>
      <c r="CK52" s="27" t="n">
        <v>0</v>
      </c>
      <c r="CL52" s="27" t="n">
        <v>0</v>
      </c>
      <c r="CM52" s="27" t="n">
        <v>0</v>
      </c>
      <c r="CN52" s="27" t="n">
        <v>0</v>
      </c>
      <c r="CO52" s="27" t="n">
        <v>0</v>
      </c>
      <c r="CP52" s="27" t="n">
        <v>0</v>
      </c>
      <c r="CQ52" s="27" t="n">
        <v>0</v>
      </c>
      <c r="CR52" s="27" t="n">
        <v>0</v>
      </c>
      <c r="CS52" s="27" t="n">
        <v>0</v>
      </c>
      <c r="CT52" s="27" t="n">
        <v>0</v>
      </c>
      <c r="CU52" s="27" t="n">
        <v>0</v>
      </c>
      <c r="CV52" s="27" t="n">
        <v>0</v>
      </c>
      <c r="CW52" s="27" t="n">
        <v>0</v>
      </c>
      <c r="CX52" s="27" t="n">
        <v>0</v>
      </c>
      <c r="CY52" s="27" t="n">
        <v>0</v>
      </c>
      <c r="CZ52" s="27" t="n">
        <v>0</v>
      </c>
      <c r="DA52" s="27" t="n">
        <v>0</v>
      </c>
    </row>
    <row r="53">
      <c r="A53" t="inlineStr">
        <is>
          <t>TSZ-616</t>
        </is>
      </c>
      <c r="B53">
        <f>SUMPRODUCT((M_BOM[Part Name]=$A53)*M_BOM[RM_Qty_Per_Batch]*IFERROR(INDEX(PP_Grid[#Data],M_BOM[PPGridRow],2),0))/40.0</f>
        <v/>
      </c>
      <c r="C53">
        <f>SUMPRODUCT((M_BOM[Part Name]=$A53)*M_BOM[RM_Qty_Per_Batch]*IFERROR(INDEX(PP_Grid[#Data],M_BOM[PPGridRow],3),0))/40.0</f>
        <v/>
      </c>
      <c r="D53">
        <f>SUMPRODUCT((M_BOM[Part Name]=$A53)*M_BOM[RM_Qty_Per_Batch]*IFERROR(INDEX(PP_Grid[#Data],M_BOM[PPGridRow],4),0))/40.0</f>
        <v/>
      </c>
      <c r="E53">
        <f>SUMPRODUCT((M_BOM[Part Name]=$A53)*M_BOM[RM_Qty_Per_Batch]*IFERROR(INDEX(PP_Grid[#Data],M_BOM[PPGridRow],5),0))/40.0</f>
        <v/>
      </c>
      <c r="F53">
        <f>SUMPRODUCT((M_BOM[Part Name]=$A53)*M_BOM[RM_Qty_Per_Batch]*IFERROR(INDEX(PP_Grid[#Data],M_BOM[PPGridRow],6),0))/40.0</f>
        <v/>
      </c>
      <c r="G53">
        <f>SUMPRODUCT((M_BOM[Part Name]=$A53)*M_BOM[RM_Qty_Per_Batch]*IFERROR(INDEX(PP_Grid[#Data],M_BOM[PPGridRow],7),0))/40.0</f>
        <v/>
      </c>
      <c r="H53">
        <f>SUMPRODUCT((M_BOM[Part Name]=$A53)*M_BOM[RM_Qty_Per_Batch]*IFERROR(INDEX(PP_Grid[#Data],M_BOM[PPGridRow],8),0))/40.0</f>
        <v/>
      </c>
      <c r="I53">
        <f>SUMPRODUCT((M_BOM[Part Name]=$A53)*M_BOM[RM_Qty_Per_Batch]*IFERROR(INDEX(PP_Grid[#Data],M_BOM[PPGridRow],9),0))/40.0</f>
        <v/>
      </c>
      <c r="J53">
        <f>SUMPRODUCT((M_BOM[Part Name]=$A53)*M_BOM[RM_Qty_Per_Batch]*IFERROR(INDEX(PP_Grid[#Data],M_BOM[PPGridRow],10),0))/40.0</f>
        <v/>
      </c>
      <c r="K53">
        <f>SUMPRODUCT((M_BOM[Part Name]=$A53)*M_BOM[RM_Qty_Per_Batch]*IFERROR(INDEX(PP_Grid[#Data],M_BOM[PPGridRow],11),0))/40.0</f>
        <v/>
      </c>
      <c r="L53">
        <f>SUMPRODUCT((M_BOM[Part Name]=$A53)*M_BOM[RM_Qty_Per_Batch]*IFERROR(INDEX(PP_Grid[#Data],M_BOM[PPGridRow],12),0))/40.0</f>
        <v/>
      </c>
      <c r="M53">
        <f>SUMPRODUCT((M_BOM[Part Name]=$A53)*M_BOM[RM_Qty_Per_Batch]*IFERROR(INDEX(PP_Grid[#Data],M_BOM[PPGridRow],13),0))/40.0</f>
        <v/>
      </c>
      <c r="N53">
        <f>SUMPRODUCT((M_BOM[Part Name]=$A53)*M_BOM[RM_Qty_Per_Batch]*IFERROR(INDEX(PP_Grid[#Data],M_BOM[PPGridRow],14),0))/40.0</f>
        <v/>
      </c>
      <c r="O53">
        <f>SUMPRODUCT((M_BOM[Part Name]=$A53)*M_BOM[RM_Qty_Per_Batch]*IFERROR(INDEX(PP_Grid[#Data],M_BOM[PPGridRow],15),0))/40.0</f>
        <v/>
      </c>
      <c r="P53">
        <f>SUMPRODUCT((M_BOM[Part Name]=$A53)*M_BOM[RM_Qty_Per_Batch]*IFERROR(INDEX(PP_Grid[#Data],M_BOM[PPGridRow],16),0))/40.0</f>
        <v/>
      </c>
      <c r="Q53">
        <f>SUMPRODUCT((M_BOM[Part Name]=$A53)*M_BOM[RM_Qty_Per_Batch]*IFERROR(INDEX(PP_Grid[#Data],M_BOM[PPGridRow],17),0))/40.0</f>
        <v/>
      </c>
      <c r="R53">
        <f>SUMPRODUCT((M_BOM[Part Name]=$A53)*M_BOM[RM_Qty_Per_Batch]*IFERROR(INDEX(PP_Grid[#Data],M_BOM[PPGridRow],18),0))/40.0</f>
        <v/>
      </c>
      <c r="S53">
        <f>SUMPRODUCT((M_BOM[Part Name]=$A53)*M_BOM[RM_Qty_Per_Batch]*IFERROR(INDEX(PP_Grid[#Data],M_BOM[PPGridRow],19),0))/40.0</f>
        <v/>
      </c>
      <c r="T53">
        <f>SUMPRODUCT((M_BOM[Part Name]=$A53)*M_BOM[RM_Qty_Per_Batch]*IFERROR(INDEX(PP_Grid[#Data],M_BOM[PPGridRow],20),0))/40.0</f>
        <v/>
      </c>
      <c r="U53">
        <f>SUMPRODUCT((M_BOM[Part Name]=$A53)*M_BOM[RM_Qty_Per_Batch]*IFERROR(INDEX(PP_Grid[#Data],M_BOM[PPGridRow],21),0))/40.0</f>
        <v/>
      </c>
      <c r="V53">
        <f>SUMPRODUCT((M_BOM[Part Name]=$A53)*M_BOM[RM_Qty_Per_Batch]*IFERROR(INDEX(PP_Grid[#Data],M_BOM[PPGridRow],22),0))/40.0</f>
        <v/>
      </c>
      <c r="W53">
        <f>SUMPRODUCT((M_BOM[Part Name]=$A53)*M_BOM[RM_Qty_Per_Batch]*IFERROR(INDEX(PP_Grid[#Data],M_BOM[PPGridRow],23),0))/40.0</f>
        <v/>
      </c>
      <c r="X53">
        <f>SUMPRODUCT((M_BOM[Part Name]=$A53)*M_BOM[RM_Qty_Per_Batch]*IFERROR(INDEX(PP_Grid[#Data],M_BOM[PPGridRow],24),0))/40.0</f>
        <v/>
      </c>
      <c r="Y53">
        <f>SUMPRODUCT((M_BOM[Part Name]=$A53)*M_BOM[RM_Qty_Per_Batch]*IFERROR(INDEX(PP_Grid[#Data],M_BOM[PPGridRow],25),0))/40.0</f>
        <v/>
      </c>
      <c r="Z53">
        <f>SUMPRODUCT((M_BOM[Part Name]=$A53)*M_BOM[RM_Qty_Per_Batch]*IFERROR(INDEX(PP_Grid[#Data],M_BOM[PPGridRow],26),0))/40.0</f>
        <v/>
      </c>
      <c r="AA53">
        <f>SUMPRODUCT((M_BOM[Part Name]=$A53)*M_BOM[RM_Qty_Per_Batch]*IFERROR(INDEX(PP_Grid[#Data],M_BOM[PPGridRow],27),0))/40.0</f>
        <v/>
      </c>
      <c r="AB53">
        <f>SUMPRODUCT((M_BOM[Part Name]=$A53)*M_BOM[RM_Qty_Per_Batch]*IFERROR(INDEX(PP_Grid[#Data],M_BOM[PPGridRow],28),0))/40.0</f>
        <v/>
      </c>
      <c r="AC53">
        <f>SUMPRODUCT((M_BOM[Part Name]=$A53)*M_BOM[RM_Qty_Per_Batch]*IFERROR(INDEX(PP_Grid[#Data],M_BOM[PPGridRow],29),0))/40.0</f>
        <v/>
      </c>
      <c r="AD53">
        <f>SUMPRODUCT((M_BOM[Part Name]=$A53)*M_BOM[RM_Qty_Per_Batch]*IFERROR(INDEX(PP_Grid[#Data],M_BOM[PPGridRow],30),0))/40.0</f>
        <v/>
      </c>
      <c r="AE53">
        <f>SUMPRODUCT((M_BOM[Part Name]=$A53)*M_BOM[RM_Qty_Per_Batch]*IFERROR(INDEX(PP_Grid[#Data],M_BOM[PPGridRow],31),0))/40.0</f>
        <v/>
      </c>
      <c r="AF53">
        <f>SUMPRODUCT((M_BOM[Part Name]=$A53)*M_BOM[RM_Qty_Per_Batch]*IFERROR(INDEX(PP_Grid[#Data],M_BOM[PPGridRow],32),0))/40.0</f>
        <v/>
      </c>
      <c r="AG53">
        <f>SUMPRODUCT((M_BOM[Part Name]=$A53)*M_BOM[RM_Qty_Per_Batch]*IFERROR(INDEX(PP_Grid[#Data],M_BOM[PPGridRow],33),0))/40.0</f>
        <v/>
      </c>
      <c r="AH53">
        <f>SUMPRODUCT((M_BOM[Part Name]=$A53)*M_BOM[RM_Qty_Per_Batch]*IFERROR(INDEX(PP_Grid[#Data],M_BOM[PPGridRow],34),0))/40.0</f>
        <v/>
      </c>
      <c r="AI53">
        <f>SUMPRODUCT((M_BOM[Part Name]=$A53)*M_BOM[RM_Qty_Per_Batch]*IFERROR(INDEX(PP_Grid[#Data],M_BOM[PPGridRow],35),0))/40.0</f>
        <v/>
      </c>
      <c r="AJ53">
        <f>SUMPRODUCT((M_BOM[Part Name]=$A53)*M_BOM[RM_Qty_Per_Batch]*IFERROR(INDEX(PP_Grid[#Data],M_BOM[PPGridRow],36),0))/40.0</f>
        <v/>
      </c>
      <c r="AK53">
        <f>SUMPRODUCT((M_BOM[Part Name]=$A53)*M_BOM[RM_Qty_Per_Batch]*IFERROR(INDEX(PP_Grid[#Data],M_BOM[PPGridRow],37),0))/40.0</f>
        <v/>
      </c>
      <c r="AL53">
        <f>SUMPRODUCT((M_BOM[Part Name]=$A53)*M_BOM[RM_Qty_Per_Batch]*IFERROR(INDEX(PP_Grid[#Data],M_BOM[PPGridRow],38),0))/40.0</f>
        <v/>
      </c>
      <c r="AM53">
        <f>SUMPRODUCT((M_BOM[Part Name]=$A53)*M_BOM[RM_Qty_Per_Batch]*IFERROR(INDEX(PP_Grid[#Data],M_BOM[PPGridRow],39),0))/40.0</f>
        <v/>
      </c>
      <c r="AN53">
        <f>SUMPRODUCT((M_BOM[Part Name]=$A53)*M_BOM[RM_Qty_Per_Batch]*IFERROR(INDEX(PP_Grid[#Data],M_BOM[PPGridRow],40),0))/40.0</f>
        <v/>
      </c>
      <c r="AO53">
        <f>SUMPRODUCT((M_BOM[Part Name]=$A53)*M_BOM[RM_Qty_Per_Batch]*IFERROR(INDEX(PP_Grid[#Data],M_BOM[PPGridRow],41),0))/40.0</f>
        <v/>
      </c>
      <c r="AP53">
        <f>SUMPRODUCT((M_BOM[Part Name]=$A53)*M_BOM[RM_Qty_Per_Batch]*IFERROR(INDEX(PP_Grid[#Data],M_BOM[PPGridRow],42),0))/40.0</f>
        <v/>
      </c>
      <c r="AQ53">
        <f>SUMPRODUCT((M_BOM[Part Name]=$A53)*M_BOM[RM_Qty_Per_Batch]*IFERROR(INDEX(PP_Grid[#Data],M_BOM[PPGridRow],43),0))/40.0</f>
        <v/>
      </c>
      <c r="AR53">
        <f>SUMPRODUCT((M_BOM[Part Name]=$A53)*M_BOM[RM_Qty_Per_Batch]*IFERROR(INDEX(PP_Grid[#Data],M_BOM[PPGridRow],44),0))/40.0</f>
        <v/>
      </c>
      <c r="AS53">
        <f>SUMPRODUCT((M_BOM[Part Name]=$A53)*M_BOM[RM_Qty_Per_Batch]*IFERROR(INDEX(PP_Grid[#Data],M_BOM[PPGridRow],45),0))/40.0</f>
        <v/>
      </c>
      <c r="AT53">
        <f>SUMPRODUCT((M_BOM[Part Name]=$A53)*M_BOM[RM_Qty_Per_Batch]*IFERROR(INDEX(PP_Grid[#Data],M_BOM[PPGridRow],46),0))/40.0</f>
        <v/>
      </c>
      <c r="AU53">
        <f>SUMPRODUCT((M_BOM[Part Name]=$A53)*M_BOM[RM_Qty_Per_Batch]*IFERROR(INDEX(PP_Grid[#Data],M_BOM[PPGridRow],47),0))/40.0</f>
        <v/>
      </c>
      <c r="AV53">
        <f>SUMPRODUCT((M_BOM[Part Name]=$A53)*M_BOM[RM_Qty_Per_Batch]*IFERROR(INDEX(PP_Grid[#Data],M_BOM[PPGridRow],48),0))/40.0</f>
        <v/>
      </c>
      <c r="AW53">
        <f>SUMPRODUCT((M_BOM[Part Name]=$A53)*M_BOM[RM_Qty_Per_Batch]*IFERROR(INDEX(PP_Grid[#Data],M_BOM[PPGridRow],49),0))/40.0</f>
        <v/>
      </c>
      <c r="AX53">
        <f>SUMPRODUCT((M_BOM[Part Name]=$A53)*M_BOM[RM_Qty_Per_Batch]*IFERROR(INDEX(PP_Grid[#Data],M_BOM[PPGridRow],50),0))/40.0</f>
        <v/>
      </c>
      <c r="AY53">
        <f>SUMPRODUCT((M_BOM[Part Name]=$A53)*M_BOM[RM_Qty_Per_Batch]*IFERROR(INDEX(PP_Grid[#Data],M_BOM[PPGridRow],51),0))/40.0</f>
        <v/>
      </c>
      <c r="AZ53">
        <f>SUMPRODUCT((M_BOM[Part Name]=$A53)*M_BOM[RM_Qty_Per_Batch]*IFERROR(INDEX(PP_Grid[#Data],M_BOM[PPGridRow],52),0))/40.0</f>
        <v/>
      </c>
      <c r="BA53">
        <f>SUMPRODUCT((M_BOM[Part Name]=$A53)*M_BOM[RM_Qty_Per_Batch]*IFERROR(INDEX(PP_Grid[#Data],M_BOM[PPGridRow],53),0))/40.0</f>
        <v/>
      </c>
      <c r="BB53">
        <f>SUMPRODUCT((M_BOM[Part Name]=$A53)*M_BOM[RM_Qty_Per_Batch]*IFERROR(INDEX(PP_Grid[#Data],M_BOM[PPGridRow],54),0))/40.0</f>
        <v/>
      </c>
      <c r="BC53">
        <f>SUMPRODUCT((M_BOM[Part Name]=$A53)*M_BOM[RM_Qty_Per_Batch]*IFERROR(INDEX(PP_Grid[#Data],M_BOM[PPGridRow],55),0))/40.0</f>
        <v/>
      </c>
      <c r="BD53">
        <f>SUMPRODUCT((M_BOM[Part Name]=$A53)*M_BOM[RM_Qty_Per_Batch]*IFERROR(INDEX(PP_Grid[#Data],M_BOM[PPGridRow],56),0))/40.0</f>
        <v/>
      </c>
      <c r="BE53">
        <f>SUMPRODUCT((M_BOM[Part Name]=$A53)*M_BOM[RM_Qty_Per_Batch]*IFERROR(INDEX(PP_Grid[#Data],M_BOM[PPGridRow],57),0))/40.0</f>
        <v/>
      </c>
      <c r="BF53">
        <f>SUMPRODUCT((M_BOM[Part Name]=$A53)*M_BOM[RM_Qty_Per_Batch]*IFERROR(INDEX(PP_Grid[#Data],M_BOM[PPGridRow],58),0))/40.0</f>
        <v/>
      </c>
      <c r="BG53">
        <f>SUMPRODUCT((M_BOM[Part Name]=$A53)*M_BOM[RM_Qty_Per_Batch]*IFERROR(INDEX(PP_Grid[#Data],M_BOM[PPGridRow],59),0))/40.0</f>
        <v/>
      </c>
      <c r="BH53">
        <f>SUMPRODUCT((M_BOM[Part Name]=$A53)*M_BOM[RM_Qty_Per_Batch]*IFERROR(INDEX(PP_Grid[#Data],M_BOM[PPGridRow],60),0))/40.0</f>
        <v/>
      </c>
      <c r="BI53">
        <f>SUMPRODUCT((M_BOM[Part Name]=$A53)*M_BOM[RM_Qty_Per_Batch]*IFERROR(INDEX(PP_Grid[#Data],M_BOM[PPGridRow],61),0))/40.0</f>
        <v/>
      </c>
      <c r="BJ53">
        <f>SUMPRODUCT((M_BOM[Part Name]=$A53)*M_BOM[RM_Qty_Per_Batch]*IFERROR(INDEX(PP_Grid[#Data],M_BOM[PPGridRow],62),0))/40.0</f>
        <v/>
      </c>
      <c r="BK53">
        <f>SUMPRODUCT((M_BOM[Part Name]=$A53)*M_BOM[RM_Qty_Per_Batch]*IFERROR(INDEX(PP_Grid[#Data],M_BOM[PPGridRow],63),0))/40.0</f>
        <v/>
      </c>
      <c r="BL53">
        <f>SUMPRODUCT((M_BOM[Part Name]=$A53)*M_BOM[RM_Qty_Per_Batch]*IFERROR(INDEX(PP_Grid[#Data],M_BOM[PPGridRow],64),0))/40.0</f>
        <v/>
      </c>
      <c r="BM53">
        <f>SUMPRODUCT((M_BOM[Part Name]=$A53)*M_BOM[RM_Qty_Per_Batch]*IFERROR(INDEX(PP_Grid[#Data],M_BOM[PPGridRow],65),0))/40.0</f>
        <v/>
      </c>
      <c r="BN53">
        <f>SUMPRODUCT((M_BOM[Part Name]=$A53)*M_BOM[RM_Qty_Per_Batch]*IFERROR(INDEX(PP_Grid[#Data],M_BOM[PPGridRow],66),0))/40.0</f>
        <v/>
      </c>
      <c r="BO53">
        <f>SUMPRODUCT((M_BOM[Part Name]=$A53)*M_BOM[RM_Qty_Per_Batch]*IFERROR(INDEX(PP_Grid[#Data],M_BOM[PPGridRow],67),0))/40.0</f>
        <v/>
      </c>
      <c r="BP53">
        <f>SUMPRODUCT((M_BOM[Part Name]=$A53)*M_BOM[RM_Qty_Per_Batch]*IFERROR(INDEX(PP_Grid[#Data],M_BOM[PPGridRow],68),0))/40.0</f>
        <v/>
      </c>
      <c r="BQ53">
        <f>SUMPRODUCT((M_BOM[Part Name]=$A53)*M_BOM[RM_Qty_Per_Batch]*IFERROR(INDEX(PP_Grid[#Data],M_BOM[PPGridRow],69),0))/40.0</f>
        <v/>
      </c>
      <c r="BR53">
        <f>SUMPRODUCT((M_BOM[Part Name]=$A53)*M_BOM[RM_Qty_Per_Batch]*IFERROR(INDEX(PP_Grid[#Data],M_BOM[PPGridRow],70),0))/40.0</f>
        <v/>
      </c>
      <c r="BS53">
        <f>SUMPRODUCT((M_BOM[Part Name]=$A53)*M_BOM[RM_Qty_Per_Batch]*IFERROR(INDEX(PP_Grid[#Data],M_BOM[PPGridRow],71),0))/40.0</f>
        <v/>
      </c>
      <c r="BT53">
        <f>SUMPRODUCT((M_BOM[Part Name]=$A53)*M_BOM[RM_Qty_Per_Batch]*IFERROR(INDEX(PP_Grid[#Data],M_BOM[PPGridRow],72),0))/40.0</f>
        <v/>
      </c>
      <c r="BU53">
        <f>SUMPRODUCT((M_BOM[Part Name]=$A53)*M_BOM[RM_Qty_Per_Batch]*IFERROR(INDEX(PP_Grid[#Data],M_BOM[PPGridRow],73),0))/40.0</f>
        <v/>
      </c>
      <c r="BV53">
        <f>SUMPRODUCT((M_BOM[Part Name]=$A53)*M_BOM[RM_Qty_Per_Batch]*IFERROR(INDEX(PP_Grid[#Data],M_BOM[PPGridRow],74),0))/40.0</f>
        <v/>
      </c>
      <c r="BW53">
        <f>SUMPRODUCT((M_BOM[Part Name]=$A53)*M_BOM[RM_Qty_Per_Batch]*IFERROR(INDEX(PP_Grid[#Data],M_BOM[PPGridRow],75),0))/40.0</f>
        <v/>
      </c>
      <c r="BX53">
        <f>SUMPRODUCT((M_BOM[Part Name]=$A53)*M_BOM[RM_Qty_Per_Batch]*IFERROR(INDEX(PP_Grid[#Data],M_BOM[PPGridRow],76),0))/40.0</f>
        <v/>
      </c>
      <c r="BY53">
        <f>SUMPRODUCT((M_BOM[Part Name]=$A53)*M_BOM[RM_Qty_Per_Batch]*IFERROR(INDEX(PP_Grid[#Data],M_BOM[PPGridRow],77),0))/40.0</f>
        <v/>
      </c>
      <c r="BZ53">
        <f>SUMPRODUCT((M_BOM[Part Name]=$A53)*M_BOM[RM_Qty_Per_Batch]*IFERROR(INDEX(PP_Grid[#Data],M_BOM[PPGridRow],78),0))/40.0</f>
        <v/>
      </c>
      <c r="CA53">
        <f>SUMPRODUCT((M_BOM[Part Name]=$A53)*M_BOM[RM_Qty_Per_Batch]*IFERROR(INDEX(PP_Grid[#Data],M_BOM[PPGridRow],79),0))/40.0</f>
        <v/>
      </c>
      <c r="CB53">
        <f>SUMPRODUCT((M_BOM[Part Name]=$A53)*M_BOM[RM_Qty_Per_Batch]*IFERROR(INDEX(PP_Grid[#Data],M_BOM[PPGridRow],80),0))/40.0</f>
        <v/>
      </c>
      <c r="CC53">
        <f>SUMPRODUCT((M_BOM[Part Name]=$A53)*M_BOM[RM_Qty_Per_Batch]*IFERROR(INDEX(PP_Grid[#Data],M_BOM[PPGridRow],81),0))/40.0</f>
        <v/>
      </c>
      <c r="CD53">
        <f>SUMPRODUCT((M_BOM[Part Name]=$A53)*M_BOM[RM_Qty_Per_Batch]*IFERROR(INDEX(PP_Grid[#Data],M_BOM[PPGridRow],82),0))/40.0</f>
        <v/>
      </c>
      <c r="CE53">
        <f>SUMPRODUCT((M_BOM[Part Name]=$A53)*M_BOM[RM_Qty_Per_Batch]*IFERROR(INDEX(PP_Grid[#Data],M_BOM[PPGridRow],83),0))/40.0</f>
        <v/>
      </c>
      <c r="CF53">
        <f>SUMPRODUCT((M_BOM[Part Name]=$A53)*M_BOM[RM_Qty_Per_Batch]*IFERROR(INDEX(PP_Grid[#Data],M_BOM[PPGridRow],84),0))/40.0</f>
        <v/>
      </c>
      <c r="CG53">
        <f>SUMPRODUCT((M_BOM[Part Name]=$A53)*M_BOM[RM_Qty_Per_Batch]*IFERROR(INDEX(PP_Grid[#Data],M_BOM[PPGridRow],85),0))/40.0</f>
        <v/>
      </c>
      <c r="CH53">
        <f>SUMPRODUCT((M_BOM[Part Name]=$A53)*M_BOM[RM_Qty_Per_Batch]*IFERROR(INDEX(PP_Grid[#Data],M_BOM[PPGridRow],86),0))/40.0</f>
        <v/>
      </c>
      <c r="CI53">
        <f>SUMPRODUCT((M_BOM[Part Name]=$A53)*M_BOM[RM_Qty_Per_Batch]*IFERROR(INDEX(PP_Grid[#Data],M_BOM[PPGridRow],87),0))/40.0</f>
        <v/>
      </c>
      <c r="CJ53">
        <f>SUMPRODUCT((M_BOM[Part Name]=$A53)*M_BOM[RM_Qty_Per_Batch]*IFERROR(INDEX(PP_Grid[#Data],M_BOM[PPGridRow],88),0))/40.0</f>
        <v/>
      </c>
      <c r="CK53">
        <f>SUMPRODUCT((M_BOM[Part Name]=$A53)*M_BOM[RM_Qty_Per_Batch]*IFERROR(INDEX(PP_Grid[#Data],M_BOM[PPGridRow],89),0))/40.0</f>
        <v/>
      </c>
      <c r="CL53">
        <f>SUMPRODUCT((M_BOM[Part Name]=$A53)*M_BOM[RM_Qty_Per_Batch]*IFERROR(INDEX(PP_Grid[#Data],M_BOM[PPGridRow],90),0))/40.0</f>
        <v/>
      </c>
      <c r="CM53">
        <f>SUMPRODUCT((M_BOM[Part Name]=$A53)*M_BOM[RM_Qty_Per_Batch]*IFERROR(INDEX(PP_Grid[#Data],M_BOM[PPGridRow],91),0))/40.0</f>
        <v/>
      </c>
      <c r="CN53">
        <f>SUMPRODUCT((M_BOM[Part Name]=$A53)*M_BOM[RM_Qty_Per_Batch]*IFERROR(INDEX(PP_Grid[#Data],M_BOM[PPGridRow],92),0))/40.0</f>
        <v/>
      </c>
      <c r="CO53">
        <f>SUMPRODUCT((M_BOM[Part Name]=$A53)*M_BOM[RM_Qty_Per_Batch]*IFERROR(INDEX(PP_Grid[#Data],M_BOM[PPGridRow],93),0))/40.0</f>
        <v/>
      </c>
      <c r="CP53">
        <f>SUMPRODUCT((M_BOM[Part Name]=$A53)*M_BOM[RM_Qty_Per_Batch]*IFERROR(INDEX(PP_Grid[#Data],M_BOM[PPGridRow],94),0))/40.0</f>
        <v/>
      </c>
      <c r="CQ53">
        <f>SUMPRODUCT((M_BOM[Part Name]=$A53)*M_BOM[RM_Qty_Per_Batch]*IFERROR(INDEX(PP_Grid[#Data],M_BOM[PPGridRow],95),0))/40.0</f>
        <v/>
      </c>
      <c r="CR53">
        <f>SUMPRODUCT((M_BOM[Part Name]=$A53)*M_BOM[RM_Qty_Per_Batch]*IFERROR(INDEX(PP_Grid[#Data],M_BOM[PPGridRow],96),0))/40.0</f>
        <v/>
      </c>
      <c r="CS53">
        <f>SUMPRODUCT((M_BOM[Part Name]=$A53)*M_BOM[RM_Qty_Per_Batch]*IFERROR(INDEX(PP_Grid[#Data],M_BOM[PPGridRow],97),0))/40.0</f>
        <v/>
      </c>
      <c r="CT53">
        <f>SUMPRODUCT((M_BOM[Part Name]=$A53)*M_BOM[RM_Qty_Per_Batch]*IFERROR(INDEX(PP_Grid[#Data],M_BOM[PPGridRow],98),0))/40.0</f>
        <v/>
      </c>
      <c r="CU53">
        <f>SUMPRODUCT((M_BOM[Part Name]=$A53)*M_BOM[RM_Qty_Per_Batch]*IFERROR(INDEX(PP_Grid[#Data],M_BOM[PPGridRow],99),0))/40.0</f>
        <v/>
      </c>
      <c r="CV53">
        <f>SUMPRODUCT((M_BOM[Part Name]=$A53)*M_BOM[RM_Qty_Per_Batch]*IFERROR(INDEX(PP_Grid[#Data],M_BOM[PPGridRow],100),0))/40.0</f>
        <v/>
      </c>
      <c r="CW53">
        <f>SUMPRODUCT((M_BOM[Part Name]=$A53)*M_BOM[RM_Qty_Per_Batch]*IFERROR(INDEX(PP_Grid[#Data],M_BOM[PPGridRow],101),0))/40.0</f>
        <v/>
      </c>
      <c r="CX53">
        <f>SUMPRODUCT((M_BOM[Part Name]=$A53)*M_BOM[RM_Qty_Per_Batch]*IFERROR(INDEX(PP_Grid[#Data],M_BOM[PPGridRow],102),0))/40.0</f>
        <v/>
      </c>
      <c r="CY53">
        <f>SUMPRODUCT((M_BOM[Part Name]=$A53)*M_BOM[RM_Qty_Per_Batch]*IFERROR(INDEX(PP_Grid[#Data],M_BOM[PPGridRow],103),0))/40.0</f>
        <v/>
      </c>
      <c r="CZ53">
        <f>SUMPRODUCT((M_BOM[Part Name]=$A53)*M_BOM[RM_Qty_Per_Batch]*IFERROR(INDEX(PP_Grid[#Data],M_BOM[PPGridRow],104),0))/40.0</f>
        <v/>
      </c>
      <c r="DA53">
        <f>SUMPRODUCT((M_BOM[Part Name]=$A53)*M_BOM[RM_Qty_Per_Batch]*IFERROR(INDEX(PP_Grid[#Data],M_BOM[PPGridRow],105),0))/40.0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Name]=$A54)*M_BOM[RM_Qty_Per_Batch]*IFERROR(INDEX(PP_Grid[#Data],M_BOM[PPGridRow],2),0))/65.0</f>
        <v/>
      </c>
      <c r="C54">
        <f>SUMPRODUCT((M_BOM[Part Name]=$A54)*M_BOM[RM_Qty_Per_Batch]*IFERROR(INDEX(PP_Grid[#Data],M_BOM[PPGridRow],3),0))/65.0</f>
        <v/>
      </c>
      <c r="D54">
        <f>SUMPRODUCT((M_BOM[Part Name]=$A54)*M_BOM[RM_Qty_Per_Batch]*IFERROR(INDEX(PP_Grid[#Data],M_BOM[PPGridRow],4),0))/65.0</f>
        <v/>
      </c>
      <c r="E54">
        <f>SUMPRODUCT((M_BOM[Part Name]=$A54)*M_BOM[RM_Qty_Per_Batch]*IFERROR(INDEX(PP_Grid[#Data],M_BOM[PPGridRow],5),0))/65.0</f>
        <v/>
      </c>
      <c r="F54">
        <f>SUMPRODUCT((M_BOM[Part Name]=$A54)*M_BOM[RM_Qty_Per_Batch]*IFERROR(INDEX(PP_Grid[#Data],M_BOM[PPGridRow],6),0))/65.0</f>
        <v/>
      </c>
      <c r="G54">
        <f>SUMPRODUCT((M_BOM[Part Name]=$A54)*M_BOM[RM_Qty_Per_Batch]*IFERROR(INDEX(PP_Grid[#Data],M_BOM[PPGridRow],7),0))/65.0</f>
        <v/>
      </c>
      <c r="H54">
        <f>SUMPRODUCT((M_BOM[Part Name]=$A54)*M_BOM[RM_Qty_Per_Batch]*IFERROR(INDEX(PP_Grid[#Data],M_BOM[PPGridRow],8),0))/65.0</f>
        <v/>
      </c>
      <c r="I54">
        <f>SUMPRODUCT((M_BOM[Part Name]=$A54)*M_BOM[RM_Qty_Per_Batch]*IFERROR(INDEX(PP_Grid[#Data],M_BOM[PPGridRow],9),0))/65.0</f>
        <v/>
      </c>
      <c r="J54">
        <f>SUMPRODUCT((M_BOM[Part Name]=$A54)*M_BOM[RM_Qty_Per_Batch]*IFERROR(INDEX(PP_Grid[#Data],M_BOM[PPGridRow],10),0))/65.0</f>
        <v/>
      </c>
      <c r="K54">
        <f>SUMPRODUCT((M_BOM[Part Name]=$A54)*M_BOM[RM_Qty_Per_Batch]*IFERROR(INDEX(PP_Grid[#Data],M_BOM[PPGridRow],11),0))/65.0</f>
        <v/>
      </c>
      <c r="L54">
        <f>SUMPRODUCT((M_BOM[Part Name]=$A54)*M_BOM[RM_Qty_Per_Batch]*IFERROR(INDEX(PP_Grid[#Data],M_BOM[PPGridRow],12),0))/65.0</f>
        <v/>
      </c>
      <c r="M54">
        <f>SUMPRODUCT((M_BOM[Part Name]=$A54)*M_BOM[RM_Qty_Per_Batch]*IFERROR(INDEX(PP_Grid[#Data],M_BOM[PPGridRow],13),0))/65.0</f>
        <v/>
      </c>
      <c r="N54">
        <f>SUMPRODUCT((M_BOM[Part Name]=$A54)*M_BOM[RM_Qty_Per_Batch]*IFERROR(INDEX(PP_Grid[#Data],M_BOM[PPGridRow],14),0))/65.0</f>
        <v/>
      </c>
      <c r="O54">
        <f>SUMPRODUCT((M_BOM[Part Name]=$A54)*M_BOM[RM_Qty_Per_Batch]*IFERROR(INDEX(PP_Grid[#Data],M_BOM[PPGridRow],15),0))/65.0</f>
        <v/>
      </c>
      <c r="P54">
        <f>SUMPRODUCT((M_BOM[Part Name]=$A54)*M_BOM[RM_Qty_Per_Batch]*IFERROR(INDEX(PP_Grid[#Data],M_BOM[PPGridRow],16),0))/65.0</f>
        <v/>
      </c>
      <c r="Q54">
        <f>SUMPRODUCT((M_BOM[Part Name]=$A54)*M_BOM[RM_Qty_Per_Batch]*IFERROR(INDEX(PP_Grid[#Data],M_BOM[PPGridRow],17),0))/65.0</f>
        <v/>
      </c>
      <c r="R54">
        <f>SUMPRODUCT((M_BOM[Part Name]=$A54)*M_BOM[RM_Qty_Per_Batch]*IFERROR(INDEX(PP_Grid[#Data],M_BOM[PPGridRow],18),0))/65.0</f>
        <v/>
      </c>
      <c r="S54">
        <f>SUMPRODUCT((M_BOM[Part Name]=$A54)*M_BOM[RM_Qty_Per_Batch]*IFERROR(INDEX(PP_Grid[#Data],M_BOM[PPGridRow],19),0))/65.0</f>
        <v/>
      </c>
      <c r="T54">
        <f>SUMPRODUCT((M_BOM[Part Name]=$A54)*M_BOM[RM_Qty_Per_Batch]*IFERROR(INDEX(PP_Grid[#Data],M_BOM[PPGridRow],20),0))/65.0</f>
        <v/>
      </c>
      <c r="U54">
        <f>SUMPRODUCT((M_BOM[Part Name]=$A54)*M_BOM[RM_Qty_Per_Batch]*IFERROR(INDEX(PP_Grid[#Data],M_BOM[PPGridRow],21),0))/65.0</f>
        <v/>
      </c>
      <c r="V54">
        <f>SUMPRODUCT((M_BOM[Part Name]=$A54)*M_BOM[RM_Qty_Per_Batch]*IFERROR(INDEX(PP_Grid[#Data],M_BOM[PPGridRow],22),0))/65.0</f>
        <v/>
      </c>
      <c r="W54">
        <f>SUMPRODUCT((M_BOM[Part Name]=$A54)*M_BOM[RM_Qty_Per_Batch]*IFERROR(INDEX(PP_Grid[#Data],M_BOM[PPGridRow],23),0))/65.0</f>
        <v/>
      </c>
      <c r="X54">
        <f>SUMPRODUCT((M_BOM[Part Name]=$A54)*M_BOM[RM_Qty_Per_Batch]*IFERROR(INDEX(PP_Grid[#Data],M_BOM[PPGridRow],24),0))/65.0</f>
        <v/>
      </c>
      <c r="Y54">
        <f>SUMPRODUCT((M_BOM[Part Name]=$A54)*M_BOM[RM_Qty_Per_Batch]*IFERROR(INDEX(PP_Grid[#Data],M_BOM[PPGridRow],25),0))/65.0</f>
        <v/>
      </c>
      <c r="Z54">
        <f>SUMPRODUCT((M_BOM[Part Name]=$A54)*M_BOM[RM_Qty_Per_Batch]*IFERROR(INDEX(PP_Grid[#Data],M_BOM[PPGridRow],26),0))/65.0</f>
        <v/>
      </c>
      <c r="AA54">
        <f>SUMPRODUCT((M_BOM[Part Name]=$A54)*M_BOM[RM_Qty_Per_Batch]*IFERROR(INDEX(PP_Grid[#Data],M_BOM[PPGridRow],27),0))/65.0</f>
        <v/>
      </c>
      <c r="AB54">
        <f>SUMPRODUCT((M_BOM[Part Name]=$A54)*M_BOM[RM_Qty_Per_Batch]*IFERROR(INDEX(PP_Grid[#Data],M_BOM[PPGridRow],28),0))/65.0</f>
        <v/>
      </c>
      <c r="AC54">
        <f>SUMPRODUCT((M_BOM[Part Name]=$A54)*M_BOM[RM_Qty_Per_Batch]*IFERROR(INDEX(PP_Grid[#Data],M_BOM[PPGridRow],29),0))/65.0</f>
        <v/>
      </c>
      <c r="AD54">
        <f>SUMPRODUCT((M_BOM[Part Name]=$A54)*M_BOM[RM_Qty_Per_Batch]*IFERROR(INDEX(PP_Grid[#Data],M_BOM[PPGridRow],30),0))/65.0</f>
        <v/>
      </c>
      <c r="AE54">
        <f>SUMPRODUCT((M_BOM[Part Name]=$A54)*M_BOM[RM_Qty_Per_Batch]*IFERROR(INDEX(PP_Grid[#Data],M_BOM[PPGridRow],31),0))/65.0</f>
        <v/>
      </c>
      <c r="AF54">
        <f>SUMPRODUCT((M_BOM[Part Name]=$A54)*M_BOM[RM_Qty_Per_Batch]*IFERROR(INDEX(PP_Grid[#Data],M_BOM[PPGridRow],32),0))/65.0</f>
        <v/>
      </c>
      <c r="AG54">
        <f>SUMPRODUCT((M_BOM[Part Name]=$A54)*M_BOM[RM_Qty_Per_Batch]*IFERROR(INDEX(PP_Grid[#Data],M_BOM[PPGridRow],33),0))/65.0</f>
        <v/>
      </c>
      <c r="AH54">
        <f>SUMPRODUCT((M_BOM[Part Name]=$A54)*M_BOM[RM_Qty_Per_Batch]*IFERROR(INDEX(PP_Grid[#Data],M_BOM[PPGridRow],34),0))/65.0</f>
        <v/>
      </c>
      <c r="AI54">
        <f>SUMPRODUCT((M_BOM[Part Name]=$A54)*M_BOM[RM_Qty_Per_Batch]*IFERROR(INDEX(PP_Grid[#Data],M_BOM[PPGridRow],35),0))/65.0</f>
        <v/>
      </c>
      <c r="AJ54">
        <f>SUMPRODUCT((M_BOM[Part Name]=$A54)*M_BOM[RM_Qty_Per_Batch]*IFERROR(INDEX(PP_Grid[#Data],M_BOM[PPGridRow],36),0))/65.0</f>
        <v/>
      </c>
      <c r="AK54">
        <f>SUMPRODUCT((M_BOM[Part Name]=$A54)*M_BOM[RM_Qty_Per_Batch]*IFERROR(INDEX(PP_Grid[#Data],M_BOM[PPGridRow],37),0))/65.0</f>
        <v/>
      </c>
      <c r="AL54">
        <f>SUMPRODUCT((M_BOM[Part Name]=$A54)*M_BOM[RM_Qty_Per_Batch]*IFERROR(INDEX(PP_Grid[#Data],M_BOM[PPGridRow],38),0))/65.0</f>
        <v/>
      </c>
      <c r="AM54">
        <f>SUMPRODUCT((M_BOM[Part Name]=$A54)*M_BOM[RM_Qty_Per_Batch]*IFERROR(INDEX(PP_Grid[#Data],M_BOM[PPGridRow],39),0))/65.0</f>
        <v/>
      </c>
      <c r="AN54">
        <f>SUMPRODUCT((M_BOM[Part Name]=$A54)*M_BOM[RM_Qty_Per_Batch]*IFERROR(INDEX(PP_Grid[#Data],M_BOM[PPGridRow],40),0))/65.0</f>
        <v/>
      </c>
      <c r="AO54">
        <f>SUMPRODUCT((M_BOM[Part Name]=$A54)*M_BOM[RM_Qty_Per_Batch]*IFERROR(INDEX(PP_Grid[#Data],M_BOM[PPGridRow],41),0))/65.0</f>
        <v/>
      </c>
      <c r="AP54">
        <f>SUMPRODUCT((M_BOM[Part Name]=$A54)*M_BOM[RM_Qty_Per_Batch]*IFERROR(INDEX(PP_Grid[#Data],M_BOM[PPGridRow],42),0))/65.0</f>
        <v/>
      </c>
      <c r="AQ54">
        <f>SUMPRODUCT((M_BOM[Part Name]=$A54)*M_BOM[RM_Qty_Per_Batch]*IFERROR(INDEX(PP_Grid[#Data],M_BOM[PPGridRow],43),0))/65.0</f>
        <v/>
      </c>
      <c r="AR54">
        <f>SUMPRODUCT((M_BOM[Part Name]=$A54)*M_BOM[RM_Qty_Per_Batch]*IFERROR(INDEX(PP_Grid[#Data],M_BOM[PPGridRow],44),0))/65.0</f>
        <v/>
      </c>
      <c r="AS54">
        <f>SUMPRODUCT((M_BOM[Part Name]=$A54)*M_BOM[RM_Qty_Per_Batch]*IFERROR(INDEX(PP_Grid[#Data],M_BOM[PPGridRow],45),0))/65.0</f>
        <v/>
      </c>
      <c r="AT54">
        <f>SUMPRODUCT((M_BOM[Part Name]=$A54)*M_BOM[RM_Qty_Per_Batch]*IFERROR(INDEX(PP_Grid[#Data],M_BOM[PPGridRow],46),0))/65.0</f>
        <v/>
      </c>
      <c r="AU54">
        <f>SUMPRODUCT((M_BOM[Part Name]=$A54)*M_BOM[RM_Qty_Per_Batch]*IFERROR(INDEX(PP_Grid[#Data],M_BOM[PPGridRow],47),0))/65.0</f>
        <v/>
      </c>
      <c r="AV54">
        <f>SUMPRODUCT((M_BOM[Part Name]=$A54)*M_BOM[RM_Qty_Per_Batch]*IFERROR(INDEX(PP_Grid[#Data],M_BOM[PPGridRow],48),0))/65.0</f>
        <v/>
      </c>
      <c r="AW54">
        <f>SUMPRODUCT((M_BOM[Part Name]=$A54)*M_BOM[RM_Qty_Per_Batch]*IFERROR(INDEX(PP_Grid[#Data],M_BOM[PPGridRow],49),0))/65.0</f>
        <v/>
      </c>
      <c r="AX54">
        <f>SUMPRODUCT((M_BOM[Part Name]=$A54)*M_BOM[RM_Qty_Per_Batch]*IFERROR(INDEX(PP_Grid[#Data],M_BOM[PPGridRow],50),0))/65.0</f>
        <v/>
      </c>
      <c r="AY54">
        <f>SUMPRODUCT((M_BOM[Part Name]=$A54)*M_BOM[RM_Qty_Per_Batch]*IFERROR(INDEX(PP_Grid[#Data],M_BOM[PPGridRow],51),0))/65.0</f>
        <v/>
      </c>
      <c r="AZ54">
        <f>SUMPRODUCT((M_BOM[Part Name]=$A54)*M_BOM[RM_Qty_Per_Batch]*IFERROR(INDEX(PP_Grid[#Data],M_BOM[PPGridRow],52),0))/65.0</f>
        <v/>
      </c>
      <c r="BA54">
        <f>SUMPRODUCT((M_BOM[Part Name]=$A54)*M_BOM[RM_Qty_Per_Batch]*IFERROR(INDEX(PP_Grid[#Data],M_BOM[PPGridRow],53),0))/65.0</f>
        <v/>
      </c>
      <c r="BB54">
        <f>SUMPRODUCT((M_BOM[Part Name]=$A54)*M_BOM[RM_Qty_Per_Batch]*IFERROR(INDEX(PP_Grid[#Data],M_BOM[PPGridRow],54),0))/65.0</f>
        <v/>
      </c>
      <c r="BC54">
        <f>SUMPRODUCT((M_BOM[Part Name]=$A54)*M_BOM[RM_Qty_Per_Batch]*IFERROR(INDEX(PP_Grid[#Data],M_BOM[PPGridRow],55),0))/65.0</f>
        <v/>
      </c>
      <c r="BD54">
        <f>SUMPRODUCT((M_BOM[Part Name]=$A54)*M_BOM[RM_Qty_Per_Batch]*IFERROR(INDEX(PP_Grid[#Data],M_BOM[PPGridRow],56),0))/65.0</f>
        <v/>
      </c>
      <c r="BE54">
        <f>SUMPRODUCT((M_BOM[Part Name]=$A54)*M_BOM[RM_Qty_Per_Batch]*IFERROR(INDEX(PP_Grid[#Data],M_BOM[PPGridRow],57),0))/65.0</f>
        <v/>
      </c>
      <c r="BF54">
        <f>SUMPRODUCT((M_BOM[Part Name]=$A54)*M_BOM[RM_Qty_Per_Batch]*IFERROR(INDEX(PP_Grid[#Data],M_BOM[PPGridRow],58),0))/65.0</f>
        <v/>
      </c>
      <c r="BG54">
        <f>SUMPRODUCT((M_BOM[Part Name]=$A54)*M_BOM[RM_Qty_Per_Batch]*IFERROR(INDEX(PP_Grid[#Data],M_BOM[PPGridRow],59),0))/65.0</f>
        <v/>
      </c>
      <c r="BH54">
        <f>SUMPRODUCT((M_BOM[Part Name]=$A54)*M_BOM[RM_Qty_Per_Batch]*IFERROR(INDEX(PP_Grid[#Data],M_BOM[PPGridRow],60),0))/65.0</f>
        <v/>
      </c>
      <c r="BI54">
        <f>SUMPRODUCT((M_BOM[Part Name]=$A54)*M_BOM[RM_Qty_Per_Batch]*IFERROR(INDEX(PP_Grid[#Data],M_BOM[PPGridRow],61),0))/65.0</f>
        <v/>
      </c>
      <c r="BJ54">
        <f>SUMPRODUCT((M_BOM[Part Name]=$A54)*M_BOM[RM_Qty_Per_Batch]*IFERROR(INDEX(PP_Grid[#Data],M_BOM[PPGridRow],62),0))/65.0</f>
        <v/>
      </c>
      <c r="BK54">
        <f>SUMPRODUCT((M_BOM[Part Name]=$A54)*M_BOM[RM_Qty_Per_Batch]*IFERROR(INDEX(PP_Grid[#Data],M_BOM[PPGridRow],63),0))/65.0</f>
        <v/>
      </c>
      <c r="BL54">
        <f>SUMPRODUCT((M_BOM[Part Name]=$A54)*M_BOM[RM_Qty_Per_Batch]*IFERROR(INDEX(PP_Grid[#Data],M_BOM[PPGridRow],64),0))/65.0</f>
        <v/>
      </c>
      <c r="BM54">
        <f>SUMPRODUCT((M_BOM[Part Name]=$A54)*M_BOM[RM_Qty_Per_Batch]*IFERROR(INDEX(PP_Grid[#Data],M_BOM[PPGridRow],65),0))/65.0</f>
        <v/>
      </c>
      <c r="BN54">
        <f>SUMPRODUCT((M_BOM[Part Name]=$A54)*M_BOM[RM_Qty_Per_Batch]*IFERROR(INDEX(PP_Grid[#Data],M_BOM[PPGridRow],66),0))/65.0</f>
        <v/>
      </c>
      <c r="BO54">
        <f>SUMPRODUCT((M_BOM[Part Name]=$A54)*M_BOM[RM_Qty_Per_Batch]*IFERROR(INDEX(PP_Grid[#Data],M_BOM[PPGridRow],67),0))/65.0</f>
        <v/>
      </c>
      <c r="BP54">
        <f>SUMPRODUCT((M_BOM[Part Name]=$A54)*M_BOM[RM_Qty_Per_Batch]*IFERROR(INDEX(PP_Grid[#Data],M_BOM[PPGridRow],68),0))/65.0</f>
        <v/>
      </c>
      <c r="BQ54">
        <f>SUMPRODUCT((M_BOM[Part Name]=$A54)*M_BOM[RM_Qty_Per_Batch]*IFERROR(INDEX(PP_Grid[#Data],M_BOM[PPGridRow],69),0))/65.0</f>
        <v/>
      </c>
      <c r="BR54">
        <f>SUMPRODUCT((M_BOM[Part Name]=$A54)*M_BOM[RM_Qty_Per_Batch]*IFERROR(INDEX(PP_Grid[#Data],M_BOM[PPGridRow],70),0))/65.0</f>
        <v/>
      </c>
      <c r="BS54">
        <f>SUMPRODUCT((M_BOM[Part Name]=$A54)*M_BOM[RM_Qty_Per_Batch]*IFERROR(INDEX(PP_Grid[#Data],M_BOM[PPGridRow],71),0))/65.0</f>
        <v/>
      </c>
      <c r="BT54">
        <f>SUMPRODUCT((M_BOM[Part Name]=$A54)*M_BOM[RM_Qty_Per_Batch]*IFERROR(INDEX(PP_Grid[#Data],M_BOM[PPGridRow],72),0))/65.0</f>
        <v/>
      </c>
      <c r="BU54">
        <f>SUMPRODUCT((M_BOM[Part Name]=$A54)*M_BOM[RM_Qty_Per_Batch]*IFERROR(INDEX(PP_Grid[#Data],M_BOM[PPGridRow],73),0))/65.0</f>
        <v/>
      </c>
      <c r="BV54">
        <f>SUMPRODUCT((M_BOM[Part Name]=$A54)*M_BOM[RM_Qty_Per_Batch]*IFERROR(INDEX(PP_Grid[#Data],M_BOM[PPGridRow],74),0))/65.0</f>
        <v/>
      </c>
      <c r="BW54">
        <f>SUMPRODUCT((M_BOM[Part Name]=$A54)*M_BOM[RM_Qty_Per_Batch]*IFERROR(INDEX(PP_Grid[#Data],M_BOM[PPGridRow],75),0))/65.0</f>
        <v/>
      </c>
      <c r="BX54">
        <f>SUMPRODUCT((M_BOM[Part Name]=$A54)*M_BOM[RM_Qty_Per_Batch]*IFERROR(INDEX(PP_Grid[#Data],M_BOM[PPGridRow],76),0))/65.0</f>
        <v/>
      </c>
      <c r="BY54">
        <f>SUMPRODUCT((M_BOM[Part Name]=$A54)*M_BOM[RM_Qty_Per_Batch]*IFERROR(INDEX(PP_Grid[#Data],M_BOM[PPGridRow],77),0))/65.0</f>
        <v/>
      </c>
      <c r="BZ54">
        <f>SUMPRODUCT((M_BOM[Part Name]=$A54)*M_BOM[RM_Qty_Per_Batch]*IFERROR(INDEX(PP_Grid[#Data],M_BOM[PPGridRow],78),0))/65.0</f>
        <v/>
      </c>
      <c r="CA54">
        <f>SUMPRODUCT((M_BOM[Part Name]=$A54)*M_BOM[RM_Qty_Per_Batch]*IFERROR(INDEX(PP_Grid[#Data],M_BOM[PPGridRow],79),0))/65.0</f>
        <v/>
      </c>
      <c r="CB54">
        <f>SUMPRODUCT((M_BOM[Part Name]=$A54)*M_BOM[RM_Qty_Per_Batch]*IFERROR(INDEX(PP_Grid[#Data],M_BOM[PPGridRow],80),0))/65.0</f>
        <v/>
      </c>
      <c r="CC54">
        <f>SUMPRODUCT((M_BOM[Part Name]=$A54)*M_BOM[RM_Qty_Per_Batch]*IFERROR(INDEX(PP_Grid[#Data],M_BOM[PPGridRow],81),0))/65.0</f>
        <v/>
      </c>
      <c r="CD54">
        <f>SUMPRODUCT((M_BOM[Part Name]=$A54)*M_BOM[RM_Qty_Per_Batch]*IFERROR(INDEX(PP_Grid[#Data],M_BOM[PPGridRow],82),0))/65.0</f>
        <v/>
      </c>
      <c r="CE54">
        <f>SUMPRODUCT((M_BOM[Part Name]=$A54)*M_BOM[RM_Qty_Per_Batch]*IFERROR(INDEX(PP_Grid[#Data],M_BOM[PPGridRow],83),0))/65.0</f>
        <v/>
      </c>
      <c r="CF54">
        <f>SUMPRODUCT((M_BOM[Part Name]=$A54)*M_BOM[RM_Qty_Per_Batch]*IFERROR(INDEX(PP_Grid[#Data],M_BOM[PPGridRow],84),0))/65.0</f>
        <v/>
      </c>
      <c r="CG54">
        <f>SUMPRODUCT((M_BOM[Part Name]=$A54)*M_BOM[RM_Qty_Per_Batch]*IFERROR(INDEX(PP_Grid[#Data],M_BOM[PPGridRow],85),0))/65.0</f>
        <v/>
      </c>
      <c r="CH54">
        <f>SUMPRODUCT((M_BOM[Part Name]=$A54)*M_BOM[RM_Qty_Per_Batch]*IFERROR(INDEX(PP_Grid[#Data],M_BOM[PPGridRow],86),0))/65.0</f>
        <v/>
      </c>
      <c r="CI54">
        <f>SUMPRODUCT((M_BOM[Part Name]=$A54)*M_BOM[RM_Qty_Per_Batch]*IFERROR(INDEX(PP_Grid[#Data],M_BOM[PPGridRow],87),0))/65.0</f>
        <v/>
      </c>
      <c r="CJ54">
        <f>SUMPRODUCT((M_BOM[Part Name]=$A54)*M_BOM[RM_Qty_Per_Batch]*IFERROR(INDEX(PP_Grid[#Data],M_BOM[PPGridRow],88),0))/65.0</f>
        <v/>
      </c>
      <c r="CK54">
        <f>SUMPRODUCT((M_BOM[Part Name]=$A54)*M_BOM[RM_Qty_Per_Batch]*IFERROR(INDEX(PP_Grid[#Data],M_BOM[PPGridRow],89),0))/65.0</f>
        <v/>
      </c>
      <c r="CL54">
        <f>SUMPRODUCT((M_BOM[Part Name]=$A54)*M_BOM[RM_Qty_Per_Batch]*IFERROR(INDEX(PP_Grid[#Data],M_BOM[PPGridRow],90),0))/65.0</f>
        <v/>
      </c>
      <c r="CM54">
        <f>SUMPRODUCT((M_BOM[Part Name]=$A54)*M_BOM[RM_Qty_Per_Batch]*IFERROR(INDEX(PP_Grid[#Data],M_BOM[PPGridRow],91),0))/65.0</f>
        <v/>
      </c>
      <c r="CN54">
        <f>SUMPRODUCT((M_BOM[Part Name]=$A54)*M_BOM[RM_Qty_Per_Batch]*IFERROR(INDEX(PP_Grid[#Data],M_BOM[PPGridRow],92),0))/65.0</f>
        <v/>
      </c>
      <c r="CO54">
        <f>SUMPRODUCT((M_BOM[Part Name]=$A54)*M_BOM[RM_Qty_Per_Batch]*IFERROR(INDEX(PP_Grid[#Data],M_BOM[PPGridRow],93),0))/65.0</f>
        <v/>
      </c>
      <c r="CP54">
        <f>SUMPRODUCT((M_BOM[Part Name]=$A54)*M_BOM[RM_Qty_Per_Batch]*IFERROR(INDEX(PP_Grid[#Data],M_BOM[PPGridRow],94),0))/65.0</f>
        <v/>
      </c>
      <c r="CQ54">
        <f>SUMPRODUCT((M_BOM[Part Name]=$A54)*M_BOM[RM_Qty_Per_Batch]*IFERROR(INDEX(PP_Grid[#Data],M_BOM[PPGridRow],95),0))/65.0</f>
        <v/>
      </c>
      <c r="CR54">
        <f>SUMPRODUCT((M_BOM[Part Name]=$A54)*M_BOM[RM_Qty_Per_Batch]*IFERROR(INDEX(PP_Grid[#Data],M_BOM[PPGridRow],96),0))/65.0</f>
        <v/>
      </c>
      <c r="CS54">
        <f>SUMPRODUCT((M_BOM[Part Name]=$A54)*M_BOM[RM_Qty_Per_Batch]*IFERROR(INDEX(PP_Grid[#Data],M_BOM[PPGridRow],97),0))/65.0</f>
        <v/>
      </c>
      <c r="CT54">
        <f>SUMPRODUCT((M_BOM[Part Name]=$A54)*M_BOM[RM_Qty_Per_Batch]*IFERROR(INDEX(PP_Grid[#Data],M_BOM[PPGridRow],98),0))/65.0</f>
        <v/>
      </c>
      <c r="CU54">
        <f>SUMPRODUCT((M_BOM[Part Name]=$A54)*M_BOM[RM_Qty_Per_Batch]*IFERROR(INDEX(PP_Grid[#Data],M_BOM[PPGridRow],99),0))/65.0</f>
        <v/>
      </c>
      <c r="CV54">
        <f>SUMPRODUCT((M_BOM[Part Name]=$A54)*M_BOM[RM_Qty_Per_Batch]*IFERROR(INDEX(PP_Grid[#Data],M_BOM[PPGridRow],100),0))/65.0</f>
        <v/>
      </c>
      <c r="CW54">
        <f>SUMPRODUCT((M_BOM[Part Name]=$A54)*M_BOM[RM_Qty_Per_Batch]*IFERROR(INDEX(PP_Grid[#Data],M_BOM[PPGridRow],101),0))/65.0</f>
        <v/>
      </c>
      <c r="CX54">
        <f>SUMPRODUCT((M_BOM[Part Name]=$A54)*M_BOM[RM_Qty_Per_Batch]*IFERROR(INDEX(PP_Grid[#Data],M_BOM[PPGridRow],102),0))/65.0</f>
        <v/>
      </c>
      <c r="CY54">
        <f>SUMPRODUCT((M_BOM[Part Name]=$A54)*M_BOM[RM_Qty_Per_Batch]*IFERROR(INDEX(PP_Grid[#Data],M_BOM[PPGridRow],103),0))/65.0</f>
        <v/>
      </c>
      <c r="CZ54">
        <f>SUMPRODUCT((M_BOM[Part Name]=$A54)*M_BOM[RM_Qty_Per_Batch]*IFERROR(INDEX(PP_Grid[#Data],M_BOM[PPGridRow],104),0))/65.0</f>
        <v/>
      </c>
      <c r="DA54">
        <f>SUMPRODUCT((M_BOM[Part Name]=$A54)*M_BOM[RM_Qty_Per_Batch]*IFERROR(INDEX(PP_Grid[#Data],M_BOM[PPGridRow],105),0))/65.0</f>
        <v/>
      </c>
    </row>
    <row r="55">
      <c r="A55" t="inlineStr">
        <is>
          <t>TVS-267</t>
        </is>
      </c>
      <c r="B55" s="27" t="n">
        <v>0</v>
      </c>
      <c r="C55" s="27" t="n">
        <v>1.039041627515491</v>
      </c>
      <c r="D55" s="27" t="n">
        <v>0</v>
      </c>
      <c r="E55" s="27" t="n">
        <v>1.039041627515491</v>
      </c>
      <c r="F55" s="27" t="n">
        <v>0</v>
      </c>
      <c r="G55" s="27" t="n">
        <v>1.039041627515491</v>
      </c>
      <c r="H55" s="27" t="n">
        <v>0</v>
      </c>
      <c r="I55" s="27" t="n">
        <v>0</v>
      </c>
      <c r="J55" s="27" t="n">
        <v>0</v>
      </c>
      <c r="K55" s="27" t="n">
        <v>0</v>
      </c>
      <c r="L55" s="27" t="n">
        <v>1.039041627515491</v>
      </c>
      <c r="M55" s="27" t="n">
        <v>1.039041627515491</v>
      </c>
      <c r="N55" s="27" t="n">
        <v>0</v>
      </c>
      <c r="O55" s="27" t="n">
        <v>0</v>
      </c>
      <c r="P55" s="27" t="n">
        <v>0</v>
      </c>
      <c r="Q55" s="27" t="n">
        <v>0</v>
      </c>
      <c r="R55" s="27" t="n">
        <v>1.039041627515491</v>
      </c>
      <c r="S55" s="27" t="n">
        <v>0</v>
      </c>
      <c r="T55" s="27" t="n">
        <v>0</v>
      </c>
      <c r="U55" s="27" t="n">
        <v>0</v>
      </c>
      <c r="V55" s="27" t="n">
        <v>0</v>
      </c>
      <c r="W55" s="27" t="n">
        <v>0</v>
      </c>
      <c r="X55" s="27" t="n">
        <v>1.039041627515491</v>
      </c>
      <c r="Y55" s="27" t="n">
        <v>0</v>
      </c>
      <c r="Z55" s="27" t="n">
        <v>0</v>
      </c>
      <c r="AA55" s="27" t="n">
        <v>0</v>
      </c>
      <c r="AB55" s="27" t="n">
        <v>0</v>
      </c>
      <c r="AC55" s="27" t="n">
        <v>0</v>
      </c>
      <c r="AD55" s="27" t="n">
        <v>1.039041627515491</v>
      </c>
      <c r="AE55" s="27" t="n">
        <v>0</v>
      </c>
      <c r="AF55" s="27" t="n">
        <v>0</v>
      </c>
      <c r="AG55" s="27" t="n">
        <v>0</v>
      </c>
      <c r="AH55" s="27" t="n">
        <v>0</v>
      </c>
      <c r="AI55" s="27" t="n">
        <v>0</v>
      </c>
      <c r="AJ55" s="27" t="n">
        <v>0</v>
      </c>
      <c r="AK55" s="27" t="n">
        <v>0</v>
      </c>
      <c r="AL55" s="27" t="n">
        <v>0</v>
      </c>
      <c r="AM55" s="27" t="n">
        <v>1.039041627515491</v>
      </c>
      <c r="AN55" s="27" t="n">
        <v>0</v>
      </c>
      <c r="AO55" s="27" t="n">
        <v>0</v>
      </c>
      <c r="AP55" s="27" t="n">
        <v>0</v>
      </c>
      <c r="AQ55" s="27" t="n">
        <v>0</v>
      </c>
      <c r="AR55" s="27" t="n">
        <v>0</v>
      </c>
      <c r="AS55" s="27" t="n">
        <v>1.010179360084505</v>
      </c>
      <c r="AT55" s="27" t="n">
        <v>0</v>
      </c>
      <c r="AU55" s="27" t="n">
        <v>0</v>
      </c>
      <c r="AV55" s="27" t="n">
        <v>0</v>
      </c>
      <c r="AW55" s="27" t="n">
        <v>0</v>
      </c>
      <c r="AX55" s="27" t="n">
        <v>0</v>
      </c>
      <c r="AY55" s="27" t="n">
        <v>0</v>
      </c>
      <c r="AZ55" s="27" t="n">
        <v>0</v>
      </c>
      <c r="BA55" s="27" t="n">
        <v>0</v>
      </c>
      <c r="BB55" s="27" t="n">
        <v>0</v>
      </c>
      <c r="BC55" s="27" t="n">
        <v>0</v>
      </c>
      <c r="BD55" s="27" t="n">
        <v>0</v>
      </c>
      <c r="BE55" s="27" t="n">
        <v>0</v>
      </c>
      <c r="BF55" s="27" t="n">
        <v>0</v>
      </c>
      <c r="BG55" s="27" t="n">
        <v>0</v>
      </c>
      <c r="BH55" s="27" t="n">
        <v>0</v>
      </c>
      <c r="BI55" s="27" t="n">
        <v>0</v>
      </c>
      <c r="BJ55" s="27" t="n">
        <v>0</v>
      </c>
      <c r="BK55" s="27" t="n">
        <v>0</v>
      </c>
      <c r="BL55" s="27" t="n">
        <v>0</v>
      </c>
      <c r="BM55" s="27" t="n">
        <v>0</v>
      </c>
      <c r="BN55" s="27" t="n">
        <v>0</v>
      </c>
      <c r="BO55" s="27" t="n">
        <v>0</v>
      </c>
      <c r="BP55" s="27" t="n">
        <v>0</v>
      </c>
      <c r="BQ55" s="27" t="n">
        <v>0</v>
      </c>
      <c r="BR55" s="27" t="n">
        <v>0</v>
      </c>
      <c r="BS55" s="27" t="n">
        <v>0</v>
      </c>
      <c r="BT55" s="27" t="n">
        <v>0</v>
      </c>
      <c r="BU55" s="27" t="n">
        <v>0</v>
      </c>
      <c r="BV55" s="27" t="n">
        <v>0</v>
      </c>
      <c r="BW55" s="27" t="n">
        <v>0</v>
      </c>
      <c r="BX55" s="27" t="n">
        <v>0</v>
      </c>
      <c r="BY55" s="27" t="n">
        <v>0</v>
      </c>
      <c r="BZ55" s="27" t="n">
        <v>0</v>
      </c>
      <c r="CA55" s="27" t="n">
        <v>0</v>
      </c>
      <c r="CB55" s="27" t="n">
        <v>0</v>
      </c>
      <c r="CC55" s="27" t="n">
        <v>0</v>
      </c>
      <c r="CD55" s="27" t="n">
        <v>0</v>
      </c>
      <c r="CE55" s="27" t="n">
        <v>0</v>
      </c>
      <c r="CF55" s="27" t="n">
        <v>0</v>
      </c>
      <c r="CG55" s="27" t="n">
        <v>0</v>
      </c>
      <c r="CH55" s="27" t="n">
        <v>0</v>
      </c>
      <c r="CI55" s="27" t="n">
        <v>0</v>
      </c>
      <c r="CJ55" s="27" t="n">
        <v>0</v>
      </c>
      <c r="CK55" s="27" t="n">
        <v>0</v>
      </c>
      <c r="CL55" s="27" t="n">
        <v>0</v>
      </c>
      <c r="CM55" s="27" t="n">
        <v>0</v>
      </c>
      <c r="CN55" s="27" t="n">
        <v>0</v>
      </c>
      <c r="CO55" s="27" t="n">
        <v>0</v>
      </c>
      <c r="CP55" s="27" t="n">
        <v>0</v>
      </c>
      <c r="CQ55" s="27" t="n">
        <v>0</v>
      </c>
      <c r="CR55" s="27" t="n">
        <v>0</v>
      </c>
      <c r="CS55" s="27" t="n">
        <v>0</v>
      </c>
      <c r="CT55" s="27" t="n">
        <v>0</v>
      </c>
      <c r="CU55" s="27" t="n">
        <v>0</v>
      </c>
      <c r="CV55" s="27" t="n">
        <v>0</v>
      </c>
      <c r="CW55" s="27" t="n">
        <v>0</v>
      </c>
      <c r="CX55" s="27" t="n">
        <v>0</v>
      </c>
      <c r="CY55" s="27" t="n">
        <v>0</v>
      </c>
      <c r="CZ55" s="27" t="n">
        <v>0</v>
      </c>
      <c r="DA55" s="27" t="n">
        <v>0</v>
      </c>
    </row>
    <row r="56">
      <c r="A56" t="inlineStr">
        <is>
          <t>TVS-500</t>
        </is>
      </c>
      <c r="B56" s="27" t="n">
        <v>0</v>
      </c>
      <c r="C56" s="27" t="n">
        <v>0</v>
      </c>
      <c r="D56" s="27" t="n">
        <v>0</v>
      </c>
      <c r="E56" s="27" t="n">
        <v>0</v>
      </c>
      <c r="F56" s="27" t="n">
        <v>0</v>
      </c>
      <c r="G56" s="27" t="n">
        <v>0</v>
      </c>
      <c r="H56" s="27" t="n">
        <v>0</v>
      </c>
      <c r="I56" s="27" t="n">
        <v>0</v>
      </c>
      <c r="J56" s="27" t="n">
        <v>0</v>
      </c>
      <c r="K56" s="27" t="n">
        <v>0</v>
      </c>
      <c r="L56" s="27" t="n">
        <v>0</v>
      </c>
      <c r="M56" s="27" t="n">
        <v>0</v>
      </c>
      <c r="N56" s="27" t="n">
        <v>0</v>
      </c>
      <c r="O56" s="27" t="n">
        <v>0</v>
      </c>
      <c r="P56" s="27" t="n">
        <v>0</v>
      </c>
      <c r="Q56" s="27" t="n">
        <v>0</v>
      </c>
      <c r="R56" s="27" t="n">
        <v>0</v>
      </c>
      <c r="S56" s="27" t="n">
        <v>0</v>
      </c>
      <c r="T56" s="27" t="n">
        <v>0</v>
      </c>
      <c r="U56" s="27" t="n">
        <v>0</v>
      </c>
      <c r="V56" s="27" t="n">
        <v>0</v>
      </c>
      <c r="W56" s="27" t="n">
        <v>0</v>
      </c>
      <c r="X56" s="27" t="n">
        <v>0</v>
      </c>
      <c r="Y56" s="27" t="n">
        <v>0</v>
      </c>
      <c r="Z56" s="27" t="n">
        <v>0</v>
      </c>
      <c r="AA56" s="27" t="n">
        <v>0</v>
      </c>
      <c r="AB56" s="27" t="n">
        <v>0</v>
      </c>
      <c r="AC56" s="27" t="n">
        <v>0</v>
      </c>
      <c r="AD56" s="27" t="n">
        <v>0</v>
      </c>
      <c r="AE56" s="27" t="n">
        <v>0</v>
      </c>
      <c r="AF56" s="27" t="n">
        <v>0</v>
      </c>
      <c r="AG56" s="27" t="n">
        <v>0</v>
      </c>
      <c r="AH56" s="27" t="n">
        <v>0</v>
      </c>
      <c r="AI56" s="27" t="n">
        <v>0</v>
      </c>
      <c r="AJ56" s="27" t="n">
        <v>0</v>
      </c>
      <c r="AK56" s="27" t="n">
        <v>0</v>
      </c>
      <c r="AL56" s="27" t="n">
        <v>0</v>
      </c>
      <c r="AM56" s="27" t="n">
        <v>0</v>
      </c>
      <c r="AN56" s="27" t="n">
        <v>0</v>
      </c>
      <c r="AO56" s="27" t="n">
        <v>0</v>
      </c>
      <c r="AP56" s="27" t="n">
        <v>0</v>
      </c>
      <c r="AQ56" s="27" t="n">
        <v>0</v>
      </c>
      <c r="AR56" s="27" t="n">
        <v>0</v>
      </c>
      <c r="AS56" s="27" t="n">
        <v>0</v>
      </c>
      <c r="AT56" s="27" t="n">
        <v>0</v>
      </c>
      <c r="AU56" s="27" t="n">
        <v>0</v>
      </c>
      <c r="AV56" s="27" t="n">
        <v>0</v>
      </c>
      <c r="AW56" s="27" t="n">
        <v>0</v>
      </c>
      <c r="AX56" s="27" t="n">
        <v>0</v>
      </c>
      <c r="AY56" s="27" t="n">
        <v>0</v>
      </c>
      <c r="AZ56" s="27" t="n">
        <v>0</v>
      </c>
      <c r="BA56" s="27" t="n">
        <v>0</v>
      </c>
      <c r="BB56" s="27" t="n">
        <v>0</v>
      </c>
      <c r="BC56" s="27" t="n">
        <v>0</v>
      </c>
      <c r="BD56" s="27" t="n">
        <v>0</v>
      </c>
      <c r="BE56" s="27" t="n">
        <v>0</v>
      </c>
      <c r="BF56" s="27" t="n">
        <v>0</v>
      </c>
      <c r="BG56" s="27" t="n">
        <v>0</v>
      </c>
      <c r="BH56" s="27" t="n">
        <v>0</v>
      </c>
      <c r="BI56" s="27" t="n">
        <v>0</v>
      </c>
      <c r="BJ56" s="27" t="n">
        <v>0</v>
      </c>
      <c r="BK56" s="27" t="n">
        <v>0</v>
      </c>
      <c r="BL56" s="27" t="n">
        <v>0</v>
      </c>
      <c r="BM56" s="27" t="n">
        <v>0</v>
      </c>
      <c r="BN56" s="27" t="n">
        <v>0</v>
      </c>
      <c r="BO56" s="27" t="n">
        <v>0</v>
      </c>
      <c r="BP56" s="27" t="n">
        <v>0</v>
      </c>
      <c r="BQ56" s="27" t="n">
        <v>0</v>
      </c>
      <c r="BR56" s="27" t="n">
        <v>0</v>
      </c>
      <c r="BS56" s="27" t="n">
        <v>0</v>
      </c>
      <c r="BT56" s="27" t="n">
        <v>0</v>
      </c>
      <c r="BU56" s="27" t="n">
        <v>0</v>
      </c>
      <c r="BV56" s="27" t="n">
        <v>0</v>
      </c>
      <c r="BW56" s="27" t="n">
        <v>0</v>
      </c>
      <c r="BX56" s="27" t="n">
        <v>0</v>
      </c>
      <c r="BY56" s="27" t="n">
        <v>0</v>
      </c>
      <c r="BZ56" s="27" t="n">
        <v>0</v>
      </c>
      <c r="CA56" s="27" t="n">
        <v>0</v>
      </c>
      <c r="CB56" s="27" t="n">
        <v>0</v>
      </c>
      <c r="CC56" s="27" t="n">
        <v>0</v>
      </c>
      <c r="CD56" s="27" t="n">
        <v>0</v>
      </c>
      <c r="CE56" s="27" t="n">
        <v>0</v>
      </c>
      <c r="CF56" s="27" t="n">
        <v>0</v>
      </c>
      <c r="CG56" s="27" t="n">
        <v>0</v>
      </c>
      <c r="CH56" s="27" t="n">
        <v>0</v>
      </c>
      <c r="CI56" s="27" t="n">
        <v>0</v>
      </c>
      <c r="CJ56" s="27" t="n">
        <v>0</v>
      </c>
      <c r="CK56" s="27" t="n">
        <v>0</v>
      </c>
      <c r="CL56" s="27" t="n">
        <v>0</v>
      </c>
      <c r="CM56" s="27" t="n">
        <v>0</v>
      </c>
      <c r="CN56" s="27" t="n">
        <v>0</v>
      </c>
      <c r="CO56" s="27" t="n">
        <v>0</v>
      </c>
      <c r="CP56" s="27" t="n">
        <v>0</v>
      </c>
      <c r="CQ56" s="27" t="n">
        <v>0</v>
      </c>
      <c r="CR56" s="27" t="n">
        <v>0</v>
      </c>
      <c r="CS56" s="27" t="n">
        <v>0</v>
      </c>
      <c r="CT56" s="27" t="n">
        <v>0</v>
      </c>
      <c r="CU56" s="27" t="n">
        <v>0</v>
      </c>
      <c r="CV56" s="27" t="n">
        <v>0</v>
      </c>
      <c r="CW56" s="27" t="n">
        <v>0</v>
      </c>
      <c r="CX56" s="27" t="n">
        <v>0</v>
      </c>
      <c r="CY56" s="27" t="n">
        <v>0</v>
      </c>
      <c r="CZ56" s="27" t="n">
        <v>0</v>
      </c>
      <c r="DA56" s="27" t="n">
        <v>0</v>
      </c>
    </row>
    <row r="57">
      <c r="A57" t="inlineStr">
        <is>
          <t>TVS-664</t>
        </is>
      </c>
      <c r="B57" s="27" t="n">
        <v>0</v>
      </c>
      <c r="C57" s="27" t="n">
        <v>0</v>
      </c>
      <c r="D57" s="27" t="n">
        <v>0</v>
      </c>
      <c r="E57" s="27" t="n">
        <v>0</v>
      </c>
      <c r="F57" s="27" t="n">
        <v>0</v>
      </c>
      <c r="G57" s="27" t="n">
        <v>0</v>
      </c>
      <c r="H57" s="27" t="n">
        <v>0</v>
      </c>
      <c r="I57" s="27" t="n">
        <v>0</v>
      </c>
      <c r="J57" s="27" t="n">
        <v>0</v>
      </c>
      <c r="K57" s="27" t="n">
        <v>0</v>
      </c>
      <c r="L57" s="27" t="n">
        <v>0</v>
      </c>
      <c r="M57" s="27" t="n">
        <v>0</v>
      </c>
      <c r="N57" s="27" t="n">
        <v>0</v>
      </c>
      <c r="O57" s="27" t="n">
        <v>0</v>
      </c>
      <c r="P57" s="27" t="n">
        <v>0</v>
      </c>
      <c r="Q57" s="27" t="n">
        <v>0</v>
      </c>
      <c r="R57" s="27" t="n">
        <v>0</v>
      </c>
      <c r="S57" s="27" t="n">
        <v>0</v>
      </c>
      <c r="T57" s="27" t="n">
        <v>0</v>
      </c>
      <c r="U57" s="27" t="n">
        <v>0</v>
      </c>
      <c r="V57" s="27" t="n">
        <v>0</v>
      </c>
      <c r="W57" s="27" t="n">
        <v>0</v>
      </c>
      <c r="X57" s="27" t="n">
        <v>0</v>
      </c>
      <c r="Y57" s="27" t="n">
        <v>0</v>
      </c>
      <c r="Z57" s="27" t="n">
        <v>0</v>
      </c>
      <c r="AA57" s="27" t="n">
        <v>0</v>
      </c>
      <c r="AB57" s="27" t="n">
        <v>0</v>
      </c>
      <c r="AC57" s="27" t="n">
        <v>0</v>
      </c>
      <c r="AD57" s="27" t="n">
        <v>0</v>
      </c>
      <c r="AE57" s="27" t="n">
        <v>0</v>
      </c>
      <c r="AF57" s="27" t="n">
        <v>0</v>
      </c>
      <c r="AG57" s="27" t="n">
        <v>0</v>
      </c>
      <c r="AH57" s="27" t="n">
        <v>0</v>
      </c>
      <c r="AI57" s="27" t="n">
        <v>0</v>
      </c>
      <c r="AJ57" s="27" t="n">
        <v>0</v>
      </c>
      <c r="AK57" s="27" t="n">
        <v>0</v>
      </c>
      <c r="AL57" s="27" t="n">
        <v>0</v>
      </c>
      <c r="AM57" s="27" t="n">
        <v>0</v>
      </c>
      <c r="AN57" s="27" t="n">
        <v>0</v>
      </c>
      <c r="AO57" s="27" t="n">
        <v>0</v>
      </c>
      <c r="AP57" s="27" t="n">
        <v>0</v>
      </c>
      <c r="AQ57" s="27" t="n">
        <v>0</v>
      </c>
      <c r="AR57" s="27" t="n">
        <v>0</v>
      </c>
      <c r="AS57" s="27" t="n">
        <v>0</v>
      </c>
      <c r="AT57" s="27" t="n">
        <v>0</v>
      </c>
      <c r="AU57" s="27" t="n">
        <v>0</v>
      </c>
      <c r="AV57" s="27" t="n">
        <v>0</v>
      </c>
      <c r="AW57" s="27" t="n">
        <v>0</v>
      </c>
      <c r="AX57" s="27" t="n">
        <v>0</v>
      </c>
      <c r="AY57" s="27" t="n">
        <v>0</v>
      </c>
      <c r="AZ57" s="27" t="n">
        <v>0</v>
      </c>
      <c r="BA57" s="27" t="n">
        <v>0</v>
      </c>
      <c r="BB57" s="27" t="n">
        <v>0</v>
      </c>
      <c r="BC57" s="27" t="n">
        <v>0</v>
      </c>
      <c r="BD57" s="27" t="n">
        <v>0</v>
      </c>
      <c r="BE57" s="27" t="n">
        <v>0</v>
      </c>
      <c r="BF57" s="27" t="n">
        <v>0</v>
      </c>
      <c r="BG57" s="27" t="n">
        <v>0</v>
      </c>
      <c r="BH57" s="27" t="n">
        <v>0</v>
      </c>
      <c r="BI57" s="27" t="n">
        <v>0</v>
      </c>
      <c r="BJ57" s="27" t="n">
        <v>0</v>
      </c>
      <c r="BK57" s="27" t="n">
        <v>0</v>
      </c>
      <c r="BL57" s="27" t="n">
        <v>0</v>
      </c>
      <c r="BM57" s="27" t="n">
        <v>0</v>
      </c>
      <c r="BN57" s="27" t="n">
        <v>0</v>
      </c>
      <c r="BO57" s="27" t="n">
        <v>0</v>
      </c>
      <c r="BP57" s="27" t="n">
        <v>0</v>
      </c>
      <c r="BQ57" s="27" t="n">
        <v>0</v>
      </c>
      <c r="BR57" s="27" t="n">
        <v>0</v>
      </c>
      <c r="BS57" s="27" t="n">
        <v>0</v>
      </c>
      <c r="BT57" s="27" t="n">
        <v>0</v>
      </c>
      <c r="BU57" s="27" t="n">
        <v>0</v>
      </c>
      <c r="BV57" s="27" t="n">
        <v>0</v>
      </c>
      <c r="BW57" s="27" t="n">
        <v>0</v>
      </c>
      <c r="BX57" s="27" t="n">
        <v>0</v>
      </c>
      <c r="BY57" s="27" t="n">
        <v>0</v>
      </c>
      <c r="BZ57" s="27" t="n">
        <v>0</v>
      </c>
      <c r="CA57" s="27" t="n">
        <v>0</v>
      </c>
      <c r="CB57" s="27" t="n">
        <v>0</v>
      </c>
      <c r="CC57" s="27" t="n">
        <v>0</v>
      </c>
      <c r="CD57" s="27" t="n">
        <v>0</v>
      </c>
      <c r="CE57" s="27" t="n">
        <v>0</v>
      </c>
      <c r="CF57" s="27" t="n">
        <v>0</v>
      </c>
      <c r="CG57" s="27" t="n">
        <v>0</v>
      </c>
      <c r="CH57" s="27" t="n">
        <v>0</v>
      </c>
      <c r="CI57" s="27" t="n">
        <v>0</v>
      </c>
      <c r="CJ57" s="27" t="n">
        <v>0</v>
      </c>
      <c r="CK57" s="27" t="n">
        <v>0</v>
      </c>
      <c r="CL57" s="27" t="n">
        <v>0</v>
      </c>
      <c r="CM57" s="27" t="n">
        <v>0</v>
      </c>
      <c r="CN57" s="27" t="n">
        <v>0</v>
      </c>
      <c r="CO57" s="27" t="n">
        <v>0</v>
      </c>
      <c r="CP57" s="27" t="n">
        <v>0</v>
      </c>
      <c r="CQ57" s="27" t="n">
        <v>0</v>
      </c>
      <c r="CR57" s="27" t="n">
        <v>0</v>
      </c>
      <c r="CS57" s="27" t="n">
        <v>0</v>
      </c>
      <c r="CT57" s="27" t="n">
        <v>0</v>
      </c>
      <c r="CU57" s="27" t="n">
        <v>0</v>
      </c>
      <c r="CV57" s="27" t="n">
        <v>0</v>
      </c>
      <c r="CW57" s="27" t="n">
        <v>0</v>
      </c>
      <c r="CX57" s="27" t="n">
        <v>0</v>
      </c>
      <c r="CY57" s="27" t="n">
        <v>0</v>
      </c>
      <c r="CZ57" s="27" t="n">
        <v>0</v>
      </c>
      <c r="DA57" s="27" t="n">
        <v>0</v>
      </c>
    </row>
    <row r="58">
      <c r="A58" t="inlineStr">
        <is>
          <t>TVS-833</t>
        </is>
      </c>
      <c r="B58" s="27" t="n">
        <v>0</v>
      </c>
      <c r="C58" s="27" t="n">
        <v>12.78298311377936</v>
      </c>
      <c r="D58" s="27" t="n">
        <v>13.66098314386007</v>
      </c>
      <c r="E58" s="27" t="n">
        <v>13.66098314386007</v>
      </c>
      <c r="F58" s="27" t="n">
        <v>14.6619955883344</v>
      </c>
      <c r="G58" s="27" t="n">
        <v>10.84246443202751</v>
      </c>
      <c r="H58" s="27" t="n">
        <v>8.02394572019495</v>
      </c>
      <c r="I58" s="27" t="n">
        <v>11.2171393849835</v>
      </c>
      <c r="J58" s="27" t="n">
        <v>12.82586648850227</v>
      </c>
      <c r="K58" s="27" t="n">
        <v>9.024958164669282</v>
      </c>
      <c r="L58" s="27" t="n">
        <v>13.66098314386007</v>
      </c>
      <c r="M58" s="27" t="n">
        <v>7.831504016404367</v>
      </c>
      <c r="N58" s="27" t="n">
        <v>12.78120266023805</v>
      </c>
      <c r="O58" s="27" t="n">
        <v>10.84246443202751</v>
      </c>
      <c r="P58" s="27" t="n">
        <v>11.84347687650184</v>
      </c>
      <c r="Q58" s="27" t="n">
        <v>11.84347687650184</v>
      </c>
      <c r="R58" s="27" t="n">
        <v>11.84347687650184</v>
      </c>
      <c r="S58" s="27" t="n">
        <v>0</v>
      </c>
      <c r="T58" s="27" t="n">
        <v>10.84246443202751</v>
      </c>
      <c r="U58" s="27" t="n">
        <v>10.96369639287982</v>
      </c>
      <c r="V58" s="27" t="n">
        <v>11.81183354613278</v>
      </c>
      <c r="W58" s="27" t="n">
        <v>11.84347687650184</v>
      </c>
      <c r="X58" s="27" t="n">
        <v>13.66098314386007</v>
      </c>
      <c r="Y58" s="27" t="n">
        <v>2.818518711832559</v>
      </c>
      <c r="Z58" s="27" t="n">
        <v>0</v>
      </c>
      <c r="AA58" s="27" t="n">
        <v>5.890985334652514</v>
      </c>
      <c r="AB58" s="27" t="n">
        <v>8.769229800140572</v>
      </c>
      <c r="AC58" s="27" t="n">
        <v>2.818518711832559</v>
      </c>
      <c r="AD58" s="27" t="n">
        <v>8.02394572019495</v>
      </c>
      <c r="AE58" s="27" t="n">
        <v>10.96369639287982</v>
      </c>
      <c r="AF58" s="27" t="n">
        <v>9.902958194749989</v>
      </c>
      <c r="AG58" s="27" t="n">
        <v>6.830491571930034</v>
      </c>
      <c r="AH58" s="27" t="n">
        <v>11.84347687650184</v>
      </c>
      <c r="AI58" s="27" t="n">
        <v>12.78120266023805</v>
      </c>
      <c r="AJ58" s="27" t="n">
        <v>10.84246443202751</v>
      </c>
      <c r="AK58" s="27" t="n">
        <v>11.84347687650184</v>
      </c>
      <c r="AL58" s="27" t="n">
        <v>10.84246443202751</v>
      </c>
      <c r="AM58" s="27" t="n">
        <v>9.024958164669282</v>
      </c>
      <c r="AN58" s="27" t="n">
        <v>8.769229800140572</v>
      </c>
      <c r="AO58" s="27" t="n">
        <v>6.830491571930034</v>
      </c>
      <c r="AP58" s="27" t="n">
        <v>11.84347687650184</v>
      </c>
      <c r="AQ58" s="27" t="n">
        <v>10.84246443202751</v>
      </c>
      <c r="AR58" s="27" t="n">
        <v>6.830491571930034</v>
      </c>
      <c r="AS58" s="27" t="n">
        <v>11.84169642296053</v>
      </c>
      <c r="AT58" s="27" t="n">
        <v>13.78221510471238</v>
      </c>
      <c r="AU58" s="27" t="n">
        <v>14.85443729212498</v>
      </c>
      <c r="AV58" s="27" t="n">
        <v>14.85443729212498</v>
      </c>
      <c r="AW58" s="27" t="n">
        <v>12.78120266023805</v>
      </c>
      <c r="AX58" s="27" t="n">
        <v>11.84347687650184</v>
      </c>
      <c r="AY58" s="27" t="n">
        <v>12.78120266023805</v>
      </c>
      <c r="AZ58" s="27" t="n">
        <v>4.011972860097475</v>
      </c>
      <c r="BA58" s="27" t="n">
        <v>0</v>
      </c>
      <c r="BB58" s="27" t="n">
        <v>0</v>
      </c>
      <c r="BC58" s="27" t="n">
        <v>4.011972860097475</v>
      </c>
      <c r="BD58" s="27" t="n">
        <v>12.78120266023805</v>
      </c>
      <c r="BE58" s="27" t="n">
        <v>11.24286940981724</v>
      </c>
      <c r="BF58" s="27" t="n">
        <v>10.84246443202751</v>
      </c>
      <c r="BG58" s="27" t="n">
        <v>6.830491571930034</v>
      </c>
      <c r="BH58" s="27" t="n">
        <v>10.84246443202751</v>
      </c>
      <c r="BI58" s="27" t="n">
        <v>4.011972860097475</v>
      </c>
      <c r="BJ58" s="27" t="n">
        <v>8.769229800140572</v>
      </c>
      <c r="BK58" s="27" t="n">
        <v>4.011972860097475</v>
      </c>
      <c r="BL58" s="27" t="n">
        <v>10.84246443202751</v>
      </c>
      <c r="BM58" s="27" t="n">
        <v>4.981341974202745</v>
      </c>
      <c r="BN58" s="27" t="n">
        <v>6.830491571930034</v>
      </c>
      <c r="BO58" s="27" t="n">
        <v>4.011972860097475</v>
      </c>
      <c r="BP58" s="27" t="n">
        <v>0</v>
      </c>
      <c r="BQ58" s="27" t="n">
        <v>4.658218936167655</v>
      </c>
      <c r="BR58" s="27" t="n">
        <v>4.011972860097475</v>
      </c>
      <c r="BS58" s="27" t="n">
        <v>4.011972860097475</v>
      </c>
      <c r="BT58" s="27" t="n">
        <v>0</v>
      </c>
      <c r="BU58" s="27" t="n">
        <v>4.011972860097475</v>
      </c>
      <c r="BV58" s="27" t="n">
        <v>3.008979645073107</v>
      </c>
      <c r="BW58" s="27" t="n">
        <v>0</v>
      </c>
      <c r="BX58" s="27" t="n">
        <v>0</v>
      </c>
      <c r="BY58" s="27" t="n">
        <v>3.677641788422686</v>
      </c>
      <c r="BZ58" s="27" t="n">
        <v>0</v>
      </c>
      <c r="CA58" s="27" t="n">
        <v>0</v>
      </c>
      <c r="CB58" s="27" t="n">
        <v>0</v>
      </c>
      <c r="CC58" s="27" t="n">
        <v>0</v>
      </c>
      <c r="CD58" s="27" t="n">
        <v>0</v>
      </c>
      <c r="CE58" s="27" t="n">
        <v>0</v>
      </c>
      <c r="CF58" s="27" t="n">
        <v>0</v>
      </c>
      <c r="CG58" s="27" t="n">
        <v>0</v>
      </c>
      <c r="CH58" s="27" t="n">
        <v>0</v>
      </c>
      <c r="CI58" s="27" t="n">
        <v>0</v>
      </c>
      <c r="CJ58" s="27" t="n">
        <v>0</v>
      </c>
      <c r="CK58" s="27" t="n">
        <v>0</v>
      </c>
      <c r="CL58" s="27" t="n">
        <v>0</v>
      </c>
      <c r="CM58" s="27" t="n">
        <v>0</v>
      </c>
      <c r="CN58" s="27" t="n">
        <v>0</v>
      </c>
      <c r="CO58" s="27" t="n">
        <v>0</v>
      </c>
      <c r="CP58" s="27" t="n">
        <v>0</v>
      </c>
      <c r="CQ58" s="27" t="n">
        <v>0</v>
      </c>
      <c r="CR58" s="27" t="n">
        <v>0</v>
      </c>
      <c r="CS58" s="27" t="n">
        <v>0</v>
      </c>
      <c r="CT58" s="27" t="n">
        <v>0</v>
      </c>
      <c r="CU58" s="27" t="n">
        <v>0</v>
      </c>
      <c r="CV58" s="27" t="n">
        <v>0</v>
      </c>
      <c r="CW58" s="27" t="n">
        <v>0</v>
      </c>
      <c r="CX58" s="27" t="n">
        <v>0</v>
      </c>
      <c r="CY58" s="27" t="n">
        <v>0</v>
      </c>
      <c r="CZ58" s="27" t="n">
        <v>0</v>
      </c>
      <c r="DA58" s="27" t="n">
        <v>0</v>
      </c>
    </row>
    <row r="59">
      <c r="A59" t="inlineStr">
        <is>
          <t>VSP-600</t>
        </is>
      </c>
      <c r="B59" s="27" t="n">
        <v>0</v>
      </c>
      <c r="C59" s="27" t="n">
        <v>0</v>
      </c>
      <c r="D59" s="27" t="n">
        <v>0</v>
      </c>
      <c r="E59" s="27" t="n">
        <v>0</v>
      </c>
      <c r="F59" s="27" t="n">
        <v>0</v>
      </c>
      <c r="G59" s="27" t="n">
        <v>0</v>
      </c>
      <c r="H59" s="27" t="n">
        <v>0</v>
      </c>
      <c r="I59" s="27" t="n">
        <v>0</v>
      </c>
      <c r="J59" s="27" t="n">
        <v>0</v>
      </c>
      <c r="K59" s="27" t="n">
        <v>3.840891207323119</v>
      </c>
      <c r="L59" s="27" t="n">
        <v>0</v>
      </c>
      <c r="M59" s="27" t="n">
        <v>3.840891207323119</v>
      </c>
      <c r="N59" s="27" t="n">
        <v>0</v>
      </c>
      <c r="O59" s="27" t="n">
        <v>0</v>
      </c>
      <c r="P59" s="27" t="n">
        <v>0</v>
      </c>
      <c r="Q59" s="27" t="n">
        <v>3.840891207323119</v>
      </c>
      <c r="R59" s="27" t="n">
        <v>0</v>
      </c>
      <c r="S59" s="27" t="n">
        <v>0</v>
      </c>
      <c r="T59" s="27" t="n">
        <v>0</v>
      </c>
      <c r="U59" s="27" t="n">
        <v>3.840891207323119</v>
      </c>
      <c r="V59" s="27" t="n">
        <v>0</v>
      </c>
      <c r="W59" s="27" t="n">
        <v>0</v>
      </c>
      <c r="X59" s="27" t="n">
        <v>0</v>
      </c>
      <c r="Y59" s="27" t="n">
        <v>3.840891207323119</v>
      </c>
      <c r="Z59" s="27" t="n">
        <v>0</v>
      </c>
      <c r="AA59" s="27" t="n">
        <v>0</v>
      </c>
      <c r="AB59" s="27" t="n">
        <v>0</v>
      </c>
      <c r="AC59" s="27" t="n">
        <v>3.840891207323119</v>
      </c>
      <c r="AD59" s="27" t="n">
        <v>0</v>
      </c>
      <c r="AE59" s="27" t="n">
        <v>0</v>
      </c>
      <c r="AF59" s="27" t="n">
        <v>0</v>
      </c>
      <c r="AG59" s="27" t="n">
        <v>0</v>
      </c>
      <c r="AH59" s="27" t="n">
        <v>0</v>
      </c>
      <c r="AI59" s="27" t="n">
        <v>3.840891207323119</v>
      </c>
      <c r="AJ59" s="27" t="n">
        <v>3.840891207323119</v>
      </c>
      <c r="AK59" s="27" t="n">
        <v>0</v>
      </c>
      <c r="AL59" s="27" t="n">
        <v>3.840891207323119</v>
      </c>
      <c r="AM59" s="27" t="n">
        <v>0</v>
      </c>
      <c r="AN59" s="27" t="n">
        <v>0</v>
      </c>
      <c r="AO59" s="27" t="n">
        <v>0</v>
      </c>
      <c r="AP59" s="27" t="n">
        <v>0</v>
      </c>
      <c r="AQ59" s="27" t="n">
        <v>3.840891207323119</v>
      </c>
      <c r="AR59" s="27" t="n">
        <v>0</v>
      </c>
      <c r="AS59" s="27" t="n">
        <v>0</v>
      </c>
      <c r="AT59" s="27" t="n">
        <v>0</v>
      </c>
      <c r="AU59" s="27" t="n">
        <v>0</v>
      </c>
      <c r="AV59" s="27" t="n">
        <v>0</v>
      </c>
      <c r="AW59" s="27" t="n">
        <v>3.840891207323119</v>
      </c>
      <c r="AX59" s="27" t="n">
        <v>0</v>
      </c>
      <c r="AY59" s="27" t="n">
        <v>0</v>
      </c>
      <c r="AZ59" s="27" t="n">
        <v>0</v>
      </c>
      <c r="BA59" s="27" t="n">
        <v>0</v>
      </c>
      <c r="BB59" s="27" t="n">
        <v>0</v>
      </c>
      <c r="BC59" s="27" t="n">
        <v>0</v>
      </c>
      <c r="BD59" s="27" t="n">
        <v>0</v>
      </c>
      <c r="BE59" s="27" t="n">
        <v>3.840891207323119</v>
      </c>
      <c r="BF59" s="27" t="n">
        <v>0</v>
      </c>
      <c r="BG59" s="27" t="n">
        <v>0</v>
      </c>
      <c r="BH59" s="27" t="n">
        <v>0</v>
      </c>
      <c r="BI59" s="27" t="n">
        <v>3.840891207323119</v>
      </c>
      <c r="BJ59" s="27" t="n">
        <v>0</v>
      </c>
      <c r="BK59" s="27" t="n">
        <v>0</v>
      </c>
      <c r="BL59" s="27" t="n">
        <v>0</v>
      </c>
      <c r="BM59" s="27" t="n">
        <v>0</v>
      </c>
      <c r="BN59" s="27" t="n">
        <v>0</v>
      </c>
      <c r="BO59" s="27" t="n">
        <v>0</v>
      </c>
      <c r="BP59" s="27" t="n">
        <v>0</v>
      </c>
      <c r="BQ59" s="27" t="n">
        <v>0</v>
      </c>
      <c r="BR59" s="27" t="n">
        <v>0</v>
      </c>
      <c r="BS59" s="27" t="n">
        <v>0</v>
      </c>
      <c r="BT59" s="27" t="n">
        <v>0</v>
      </c>
      <c r="BU59" s="27" t="n">
        <v>0</v>
      </c>
      <c r="BV59" s="27" t="n">
        <v>0</v>
      </c>
      <c r="BW59" s="27" t="n">
        <v>0</v>
      </c>
      <c r="BX59" s="27" t="n">
        <v>0</v>
      </c>
      <c r="BY59" s="27" t="n">
        <v>0</v>
      </c>
      <c r="BZ59" s="27" t="n">
        <v>0</v>
      </c>
      <c r="CA59" s="27" t="n">
        <v>0</v>
      </c>
      <c r="CB59" s="27" t="n">
        <v>0</v>
      </c>
      <c r="CC59" s="27" t="n">
        <v>0</v>
      </c>
      <c r="CD59" s="27" t="n">
        <v>0</v>
      </c>
      <c r="CE59" s="27" t="n">
        <v>0</v>
      </c>
      <c r="CF59" s="27" t="n">
        <v>0</v>
      </c>
      <c r="CG59" s="27" t="n">
        <v>0</v>
      </c>
      <c r="CH59" s="27" t="n">
        <v>0</v>
      </c>
      <c r="CI59" s="27" t="n">
        <v>0</v>
      </c>
      <c r="CJ59" s="27" t="n">
        <v>0</v>
      </c>
      <c r="CK59" s="27" t="n">
        <v>0</v>
      </c>
      <c r="CL59" s="27" t="n">
        <v>0</v>
      </c>
      <c r="CM59" s="27" t="n">
        <v>0</v>
      </c>
      <c r="CN59" s="27" t="n">
        <v>0</v>
      </c>
      <c r="CO59" s="27" t="n">
        <v>0</v>
      </c>
      <c r="CP59" s="27" t="n">
        <v>0</v>
      </c>
      <c r="CQ59" s="27" t="n">
        <v>0</v>
      </c>
      <c r="CR59" s="27" t="n">
        <v>0</v>
      </c>
      <c r="CS59" s="27" t="n">
        <v>0</v>
      </c>
      <c r="CT59" s="27" t="n">
        <v>0</v>
      </c>
      <c r="CU59" s="27" t="n">
        <v>0</v>
      </c>
      <c r="CV59" s="27" t="n">
        <v>0</v>
      </c>
      <c r="CW59" s="27" t="n">
        <v>0</v>
      </c>
      <c r="CX59" s="27" t="n">
        <v>0</v>
      </c>
      <c r="CY59" s="27" t="n">
        <v>0</v>
      </c>
      <c r="CZ59" s="27" t="n">
        <v>0</v>
      </c>
      <c r="DA59" s="27" t="n">
        <v>0</v>
      </c>
    </row>
    <row r="60">
      <c r="A60" t="inlineStr">
        <is>
          <t>VSP-601</t>
        </is>
      </c>
      <c r="B60" s="27" t="n">
        <v>0</v>
      </c>
      <c r="C60" s="27" t="n">
        <v>0</v>
      </c>
      <c r="D60" s="27" t="n">
        <v>0</v>
      </c>
      <c r="E60" s="27" t="n">
        <v>0</v>
      </c>
      <c r="F60" s="27" t="n">
        <v>0</v>
      </c>
      <c r="G60" s="27" t="n">
        <v>0</v>
      </c>
      <c r="H60" s="27" t="n">
        <v>0</v>
      </c>
      <c r="I60" s="27" t="n">
        <v>0</v>
      </c>
      <c r="J60" s="27" t="n">
        <v>0</v>
      </c>
      <c r="K60" s="27" t="n">
        <v>3.844512359077455</v>
      </c>
      <c r="L60" s="27" t="n">
        <v>0</v>
      </c>
      <c r="M60" s="27" t="n">
        <v>3.844512359077455</v>
      </c>
      <c r="N60" s="27" t="n">
        <v>0</v>
      </c>
      <c r="O60" s="27" t="n">
        <v>0</v>
      </c>
      <c r="P60" s="27" t="n">
        <v>0</v>
      </c>
      <c r="Q60" s="27" t="n">
        <v>3.844512359077455</v>
      </c>
      <c r="R60" s="27" t="n">
        <v>0</v>
      </c>
      <c r="S60" s="27" t="n">
        <v>0</v>
      </c>
      <c r="T60" s="27" t="n">
        <v>0</v>
      </c>
      <c r="U60" s="27" t="n">
        <v>3.844512359077455</v>
      </c>
      <c r="V60" s="27" t="n">
        <v>0</v>
      </c>
      <c r="W60" s="27" t="n">
        <v>0</v>
      </c>
      <c r="X60" s="27" t="n">
        <v>0</v>
      </c>
      <c r="Y60" s="27" t="n">
        <v>3.844512359077455</v>
      </c>
      <c r="Z60" s="27" t="n">
        <v>0</v>
      </c>
      <c r="AA60" s="27" t="n">
        <v>0</v>
      </c>
      <c r="AB60" s="27" t="n">
        <v>0</v>
      </c>
      <c r="AC60" s="27" t="n">
        <v>3.844512359077455</v>
      </c>
      <c r="AD60" s="27" t="n">
        <v>0</v>
      </c>
      <c r="AE60" s="27" t="n">
        <v>0</v>
      </c>
      <c r="AF60" s="27" t="n">
        <v>0</v>
      </c>
      <c r="AG60" s="27" t="n">
        <v>0</v>
      </c>
      <c r="AH60" s="27" t="n">
        <v>0</v>
      </c>
      <c r="AI60" s="27" t="n">
        <v>3.844512359077455</v>
      </c>
      <c r="AJ60" s="27" t="n">
        <v>3.844512359077455</v>
      </c>
      <c r="AK60" s="27" t="n">
        <v>0</v>
      </c>
      <c r="AL60" s="27" t="n">
        <v>3.844512359077455</v>
      </c>
      <c r="AM60" s="27" t="n">
        <v>0</v>
      </c>
      <c r="AN60" s="27" t="n">
        <v>0</v>
      </c>
      <c r="AO60" s="27" t="n">
        <v>0</v>
      </c>
      <c r="AP60" s="27" t="n">
        <v>0</v>
      </c>
      <c r="AQ60" s="27" t="n">
        <v>3.844512359077455</v>
      </c>
      <c r="AR60" s="27" t="n">
        <v>0</v>
      </c>
      <c r="AS60" s="27" t="n">
        <v>0</v>
      </c>
      <c r="AT60" s="27" t="n">
        <v>0</v>
      </c>
      <c r="AU60" s="27" t="n">
        <v>0</v>
      </c>
      <c r="AV60" s="27" t="n">
        <v>0</v>
      </c>
      <c r="AW60" s="27" t="n">
        <v>3.844512359077455</v>
      </c>
      <c r="AX60" s="27" t="n">
        <v>0</v>
      </c>
      <c r="AY60" s="27" t="n">
        <v>0</v>
      </c>
      <c r="AZ60" s="27" t="n">
        <v>0</v>
      </c>
      <c r="BA60" s="27" t="n">
        <v>0</v>
      </c>
      <c r="BB60" s="27" t="n">
        <v>0</v>
      </c>
      <c r="BC60" s="27" t="n">
        <v>0</v>
      </c>
      <c r="BD60" s="27" t="n">
        <v>0</v>
      </c>
      <c r="BE60" s="27" t="n">
        <v>3.844512359077455</v>
      </c>
      <c r="BF60" s="27" t="n">
        <v>0</v>
      </c>
      <c r="BG60" s="27" t="n">
        <v>0</v>
      </c>
      <c r="BH60" s="27" t="n">
        <v>0</v>
      </c>
      <c r="BI60" s="27" t="n">
        <v>3.844512359077455</v>
      </c>
      <c r="BJ60" s="27" t="n">
        <v>0</v>
      </c>
      <c r="BK60" s="27" t="n">
        <v>0</v>
      </c>
      <c r="BL60" s="27" t="n">
        <v>0</v>
      </c>
      <c r="BM60" s="27" t="n">
        <v>0</v>
      </c>
      <c r="BN60" s="27" t="n">
        <v>0</v>
      </c>
      <c r="BO60" s="27" t="n">
        <v>0</v>
      </c>
      <c r="BP60" s="27" t="n">
        <v>0</v>
      </c>
      <c r="BQ60" s="27" t="n">
        <v>0</v>
      </c>
      <c r="BR60" s="27" t="n">
        <v>0</v>
      </c>
      <c r="BS60" s="27" t="n">
        <v>0</v>
      </c>
      <c r="BT60" s="27" t="n">
        <v>0</v>
      </c>
      <c r="BU60" s="27" t="n">
        <v>0</v>
      </c>
      <c r="BV60" s="27" t="n">
        <v>0</v>
      </c>
      <c r="BW60" s="27" t="n">
        <v>0</v>
      </c>
      <c r="BX60" s="27" t="n">
        <v>0</v>
      </c>
      <c r="BY60" s="27" t="n">
        <v>0</v>
      </c>
      <c r="BZ60" s="27" t="n">
        <v>0</v>
      </c>
      <c r="CA60" s="27" t="n">
        <v>0</v>
      </c>
      <c r="CB60" s="27" t="n">
        <v>0</v>
      </c>
      <c r="CC60" s="27" t="n">
        <v>0</v>
      </c>
      <c r="CD60" s="27" t="n">
        <v>0</v>
      </c>
      <c r="CE60" s="27" t="n">
        <v>0</v>
      </c>
      <c r="CF60" s="27" t="n">
        <v>0</v>
      </c>
      <c r="CG60" s="27" t="n">
        <v>0</v>
      </c>
      <c r="CH60" s="27" t="n">
        <v>0</v>
      </c>
      <c r="CI60" s="27" t="n">
        <v>0</v>
      </c>
      <c r="CJ60" s="27" t="n">
        <v>0</v>
      </c>
      <c r="CK60" s="27" t="n">
        <v>0</v>
      </c>
      <c r="CL60" s="27" t="n">
        <v>0</v>
      </c>
      <c r="CM60" s="27" t="n">
        <v>0</v>
      </c>
      <c r="CN60" s="27" t="n">
        <v>0</v>
      </c>
      <c r="CO60" s="27" t="n">
        <v>0</v>
      </c>
      <c r="CP60" s="27" t="n">
        <v>0</v>
      </c>
      <c r="CQ60" s="27" t="n">
        <v>0</v>
      </c>
      <c r="CR60" s="27" t="n">
        <v>0</v>
      </c>
      <c r="CS60" s="27" t="n">
        <v>0</v>
      </c>
      <c r="CT60" s="27" t="n">
        <v>0</v>
      </c>
      <c r="CU60" s="27" t="n">
        <v>0</v>
      </c>
      <c r="CV60" s="27" t="n">
        <v>0</v>
      </c>
      <c r="CW60" s="27" t="n">
        <v>0</v>
      </c>
      <c r="CX60" s="27" t="n">
        <v>0</v>
      </c>
      <c r="CY60" s="27" t="n">
        <v>0</v>
      </c>
      <c r="CZ60" s="27" t="n">
        <v>0</v>
      </c>
      <c r="DA60" s="27" t="n">
        <v>0</v>
      </c>
    </row>
    <row r="61">
      <c r="A61" t="inlineStr">
        <is>
          <t>VSP-602</t>
        </is>
      </c>
      <c r="B61" s="27" t="n">
        <v>0</v>
      </c>
      <c r="C61" s="27" t="n">
        <v>0</v>
      </c>
      <c r="D61" s="27" t="n">
        <v>0</v>
      </c>
      <c r="E61" s="27" t="n">
        <v>0</v>
      </c>
      <c r="F61" s="27" t="n">
        <v>0</v>
      </c>
      <c r="G61" s="27" t="n">
        <v>0</v>
      </c>
      <c r="H61" s="27" t="n">
        <v>0</v>
      </c>
      <c r="I61" s="27" t="n">
        <v>0</v>
      </c>
      <c r="J61" s="27" t="n">
        <v>0</v>
      </c>
      <c r="K61" s="27" t="n">
        <v>3.845278475612647</v>
      </c>
      <c r="L61" s="27" t="n">
        <v>0</v>
      </c>
      <c r="M61" s="27" t="n">
        <v>3.845278475612647</v>
      </c>
      <c r="N61" s="27" t="n">
        <v>0</v>
      </c>
      <c r="O61" s="27" t="n">
        <v>0</v>
      </c>
      <c r="P61" s="27" t="n">
        <v>0</v>
      </c>
      <c r="Q61" s="27" t="n">
        <v>3.845278475612647</v>
      </c>
      <c r="R61" s="27" t="n">
        <v>0</v>
      </c>
      <c r="S61" s="27" t="n">
        <v>0</v>
      </c>
      <c r="T61" s="27" t="n">
        <v>0</v>
      </c>
      <c r="U61" s="27" t="n">
        <v>3.845278475612647</v>
      </c>
      <c r="V61" s="27" t="n">
        <v>0</v>
      </c>
      <c r="W61" s="27" t="n">
        <v>0</v>
      </c>
      <c r="X61" s="27" t="n">
        <v>0</v>
      </c>
      <c r="Y61" s="27" t="n">
        <v>3.845278475612647</v>
      </c>
      <c r="Z61" s="27" t="n">
        <v>0</v>
      </c>
      <c r="AA61" s="27" t="n">
        <v>0</v>
      </c>
      <c r="AB61" s="27" t="n">
        <v>0</v>
      </c>
      <c r="AC61" s="27" t="n">
        <v>3.845278475612647</v>
      </c>
      <c r="AD61" s="27" t="n">
        <v>0</v>
      </c>
      <c r="AE61" s="27" t="n">
        <v>0</v>
      </c>
      <c r="AF61" s="27" t="n">
        <v>0</v>
      </c>
      <c r="AG61" s="27" t="n">
        <v>0</v>
      </c>
      <c r="AH61" s="27" t="n">
        <v>0</v>
      </c>
      <c r="AI61" s="27" t="n">
        <v>3.845278475612647</v>
      </c>
      <c r="AJ61" s="27" t="n">
        <v>3.845278475612647</v>
      </c>
      <c r="AK61" s="27" t="n">
        <v>0</v>
      </c>
      <c r="AL61" s="27" t="n">
        <v>3.845278475612647</v>
      </c>
      <c r="AM61" s="27" t="n">
        <v>0</v>
      </c>
      <c r="AN61" s="27" t="n">
        <v>0</v>
      </c>
      <c r="AO61" s="27" t="n">
        <v>0</v>
      </c>
      <c r="AP61" s="27" t="n">
        <v>0</v>
      </c>
      <c r="AQ61" s="27" t="n">
        <v>3.845278475612647</v>
      </c>
      <c r="AR61" s="27" t="n">
        <v>0</v>
      </c>
      <c r="AS61" s="27" t="n">
        <v>0</v>
      </c>
      <c r="AT61" s="27" t="n">
        <v>0</v>
      </c>
      <c r="AU61" s="27" t="n">
        <v>0</v>
      </c>
      <c r="AV61" s="27" t="n">
        <v>0</v>
      </c>
      <c r="AW61" s="27" t="n">
        <v>3.845278475612647</v>
      </c>
      <c r="AX61" s="27" t="n">
        <v>0</v>
      </c>
      <c r="AY61" s="27" t="n">
        <v>0</v>
      </c>
      <c r="AZ61" s="27" t="n">
        <v>0</v>
      </c>
      <c r="BA61" s="27" t="n">
        <v>0</v>
      </c>
      <c r="BB61" s="27" t="n">
        <v>0</v>
      </c>
      <c r="BC61" s="27" t="n">
        <v>0</v>
      </c>
      <c r="BD61" s="27" t="n">
        <v>0</v>
      </c>
      <c r="BE61" s="27" t="n">
        <v>3.845278475612647</v>
      </c>
      <c r="BF61" s="27" t="n">
        <v>0</v>
      </c>
      <c r="BG61" s="27" t="n">
        <v>0</v>
      </c>
      <c r="BH61" s="27" t="n">
        <v>0</v>
      </c>
      <c r="BI61" s="27" t="n">
        <v>3.845278475612647</v>
      </c>
      <c r="BJ61" s="27" t="n">
        <v>0</v>
      </c>
      <c r="BK61" s="27" t="n">
        <v>0</v>
      </c>
      <c r="BL61" s="27" t="n">
        <v>0</v>
      </c>
      <c r="BM61" s="27" t="n">
        <v>0</v>
      </c>
      <c r="BN61" s="27" t="n">
        <v>0</v>
      </c>
      <c r="BO61" s="27" t="n">
        <v>0</v>
      </c>
      <c r="BP61" s="27" t="n">
        <v>0</v>
      </c>
      <c r="BQ61" s="27" t="n">
        <v>0</v>
      </c>
      <c r="BR61" s="27" t="n">
        <v>0</v>
      </c>
      <c r="BS61" s="27" t="n">
        <v>0</v>
      </c>
      <c r="BT61" s="27" t="n">
        <v>0</v>
      </c>
      <c r="BU61" s="27" t="n">
        <v>0</v>
      </c>
      <c r="BV61" s="27" t="n">
        <v>0</v>
      </c>
      <c r="BW61" s="27" t="n">
        <v>0</v>
      </c>
      <c r="BX61" s="27" t="n">
        <v>0</v>
      </c>
      <c r="BY61" s="27" t="n">
        <v>0</v>
      </c>
      <c r="BZ61" s="27" t="n">
        <v>0</v>
      </c>
      <c r="CA61" s="27" t="n">
        <v>0</v>
      </c>
      <c r="CB61" s="27" t="n">
        <v>0</v>
      </c>
      <c r="CC61" s="27" t="n">
        <v>0</v>
      </c>
      <c r="CD61" s="27" t="n">
        <v>0</v>
      </c>
      <c r="CE61" s="27" t="n">
        <v>0</v>
      </c>
      <c r="CF61" s="27" t="n">
        <v>0</v>
      </c>
      <c r="CG61" s="27" t="n">
        <v>0</v>
      </c>
      <c r="CH61" s="27" t="n">
        <v>0</v>
      </c>
      <c r="CI61" s="27" t="n">
        <v>0</v>
      </c>
      <c r="CJ61" s="27" t="n">
        <v>0</v>
      </c>
      <c r="CK61" s="27" t="n">
        <v>0</v>
      </c>
      <c r="CL61" s="27" t="n">
        <v>0</v>
      </c>
      <c r="CM61" s="27" t="n">
        <v>0</v>
      </c>
      <c r="CN61" s="27" t="n">
        <v>0</v>
      </c>
      <c r="CO61" s="27" t="n">
        <v>0</v>
      </c>
      <c r="CP61" s="27" t="n">
        <v>0</v>
      </c>
      <c r="CQ61" s="27" t="n">
        <v>0</v>
      </c>
      <c r="CR61" s="27" t="n">
        <v>0</v>
      </c>
      <c r="CS61" s="27" t="n">
        <v>0</v>
      </c>
      <c r="CT61" s="27" t="n">
        <v>0</v>
      </c>
      <c r="CU61" s="27" t="n">
        <v>0</v>
      </c>
      <c r="CV61" s="27" t="n">
        <v>0</v>
      </c>
      <c r="CW61" s="27" t="n">
        <v>0</v>
      </c>
      <c r="CX61" s="27" t="n">
        <v>0</v>
      </c>
      <c r="CY61" s="27" t="n">
        <v>0</v>
      </c>
      <c r="CZ61" s="27" t="n">
        <v>0</v>
      </c>
      <c r="DA61" s="27" t="n">
        <v>0</v>
      </c>
    </row>
    <row r="62">
      <c r="A62" t="inlineStr">
        <is>
          <t>VSP-820</t>
        </is>
      </c>
      <c r="B62" s="27" t="n">
        <v>0</v>
      </c>
      <c r="C62" s="27" t="n">
        <v>0</v>
      </c>
      <c r="D62" s="27" t="n">
        <v>0</v>
      </c>
      <c r="E62" s="27" t="n">
        <v>0</v>
      </c>
      <c r="F62" s="27" t="n">
        <v>0</v>
      </c>
      <c r="G62" s="27" t="n">
        <v>0</v>
      </c>
      <c r="H62" s="27" t="n">
        <v>0</v>
      </c>
      <c r="I62" s="27" t="n">
        <v>0</v>
      </c>
      <c r="J62" s="27" t="n">
        <v>0</v>
      </c>
      <c r="K62" s="27" t="n">
        <v>0</v>
      </c>
      <c r="L62" s="27" t="n">
        <v>0</v>
      </c>
      <c r="M62" s="27" t="n">
        <v>0</v>
      </c>
      <c r="N62" s="27" t="n">
        <v>0</v>
      </c>
      <c r="O62" s="27" t="n">
        <v>0</v>
      </c>
      <c r="P62" s="27" t="n">
        <v>0</v>
      </c>
      <c r="Q62" s="27" t="n">
        <v>0</v>
      </c>
      <c r="R62" s="27" t="n">
        <v>0</v>
      </c>
      <c r="S62" s="27" t="n">
        <v>0</v>
      </c>
      <c r="T62" s="27" t="n">
        <v>0</v>
      </c>
      <c r="U62" s="27" t="n">
        <v>0</v>
      </c>
      <c r="V62" s="27" t="n">
        <v>0</v>
      </c>
      <c r="W62" s="27" t="n">
        <v>0</v>
      </c>
      <c r="X62" s="27" t="n">
        <v>0</v>
      </c>
      <c r="Y62" s="27" t="n">
        <v>0</v>
      </c>
      <c r="Z62" s="27" t="n">
        <v>0</v>
      </c>
      <c r="AA62" s="27" t="n">
        <v>0</v>
      </c>
      <c r="AB62" s="27" t="n">
        <v>0</v>
      </c>
      <c r="AC62" s="27" t="n">
        <v>0</v>
      </c>
      <c r="AD62" s="27" t="n">
        <v>0</v>
      </c>
      <c r="AE62" s="27" t="n">
        <v>0</v>
      </c>
      <c r="AF62" s="27" t="n">
        <v>0</v>
      </c>
      <c r="AG62" s="27" t="n">
        <v>0</v>
      </c>
      <c r="AH62" s="27" t="n">
        <v>0</v>
      </c>
      <c r="AI62" s="27" t="n">
        <v>0</v>
      </c>
      <c r="AJ62" s="27" t="n">
        <v>0</v>
      </c>
      <c r="AK62" s="27" t="n">
        <v>0</v>
      </c>
      <c r="AL62" s="27" t="n">
        <v>0</v>
      </c>
      <c r="AM62" s="27" t="n">
        <v>0</v>
      </c>
      <c r="AN62" s="27" t="n">
        <v>0</v>
      </c>
      <c r="AO62" s="27" t="n">
        <v>0</v>
      </c>
      <c r="AP62" s="27" t="n">
        <v>0</v>
      </c>
      <c r="AQ62" s="27" t="n">
        <v>0</v>
      </c>
      <c r="AR62" s="27" t="n">
        <v>0</v>
      </c>
      <c r="AS62" s="27" t="n">
        <v>0</v>
      </c>
      <c r="AT62" s="27" t="n">
        <v>0</v>
      </c>
      <c r="AU62" s="27" t="n">
        <v>0</v>
      </c>
      <c r="AV62" s="27" t="n">
        <v>0</v>
      </c>
      <c r="AW62" s="27" t="n">
        <v>0</v>
      </c>
      <c r="AX62" s="27" t="n">
        <v>0</v>
      </c>
      <c r="AY62" s="27" t="n">
        <v>0</v>
      </c>
      <c r="AZ62" s="27" t="n">
        <v>0</v>
      </c>
      <c r="BA62" s="27" t="n">
        <v>0</v>
      </c>
      <c r="BB62" s="27" t="n">
        <v>0</v>
      </c>
      <c r="BC62" s="27" t="n">
        <v>0</v>
      </c>
      <c r="BD62" s="27" t="n">
        <v>0</v>
      </c>
      <c r="BE62" s="27" t="n">
        <v>0</v>
      </c>
      <c r="BF62" s="27" t="n">
        <v>0</v>
      </c>
      <c r="BG62" s="27" t="n">
        <v>0</v>
      </c>
      <c r="BH62" s="27" t="n">
        <v>0</v>
      </c>
      <c r="BI62" s="27" t="n">
        <v>0</v>
      </c>
      <c r="BJ62" s="27" t="n">
        <v>0</v>
      </c>
      <c r="BK62" s="27" t="n">
        <v>0</v>
      </c>
      <c r="BL62" s="27" t="n">
        <v>0</v>
      </c>
      <c r="BM62" s="27" t="n">
        <v>0</v>
      </c>
      <c r="BN62" s="27" t="n">
        <v>0</v>
      </c>
      <c r="BO62" s="27" t="n">
        <v>0</v>
      </c>
      <c r="BP62" s="27" t="n">
        <v>0</v>
      </c>
      <c r="BQ62" s="27" t="n">
        <v>0</v>
      </c>
      <c r="BR62" s="27" t="n">
        <v>0</v>
      </c>
      <c r="BS62" s="27" t="n">
        <v>0</v>
      </c>
      <c r="BT62" s="27" t="n">
        <v>0</v>
      </c>
      <c r="BU62" s="27" t="n">
        <v>0</v>
      </c>
      <c r="BV62" s="27" t="n">
        <v>0</v>
      </c>
      <c r="BW62" s="27" t="n">
        <v>0</v>
      </c>
      <c r="BX62" s="27" t="n">
        <v>0</v>
      </c>
      <c r="BY62" s="27" t="n">
        <v>0</v>
      </c>
      <c r="BZ62" s="27" t="n">
        <v>0</v>
      </c>
      <c r="CA62" s="27" t="n">
        <v>0</v>
      </c>
      <c r="CB62" s="27" t="n">
        <v>0</v>
      </c>
      <c r="CC62" s="27" t="n">
        <v>0</v>
      </c>
      <c r="CD62" s="27" t="n">
        <v>0</v>
      </c>
      <c r="CE62" s="27" t="n">
        <v>0</v>
      </c>
      <c r="CF62" s="27" t="n">
        <v>0</v>
      </c>
      <c r="CG62" s="27" t="n">
        <v>0</v>
      </c>
      <c r="CH62" s="27" t="n">
        <v>0</v>
      </c>
      <c r="CI62" s="27" t="n">
        <v>0</v>
      </c>
      <c r="CJ62" s="27" t="n">
        <v>0</v>
      </c>
      <c r="CK62" s="27" t="n">
        <v>0</v>
      </c>
      <c r="CL62" s="27" t="n">
        <v>0</v>
      </c>
      <c r="CM62" s="27" t="n">
        <v>0</v>
      </c>
      <c r="CN62" s="27" t="n">
        <v>0</v>
      </c>
      <c r="CO62" s="27" t="n">
        <v>0</v>
      </c>
      <c r="CP62" s="27" t="n">
        <v>0</v>
      </c>
      <c r="CQ62" s="27" t="n">
        <v>0</v>
      </c>
      <c r="CR62" s="27" t="n">
        <v>0</v>
      </c>
      <c r="CS62" s="27" t="n">
        <v>0</v>
      </c>
      <c r="CT62" s="27" t="n">
        <v>0</v>
      </c>
      <c r="CU62" s="27" t="n">
        <v>0</v>
      </c>
      <c r="CV62" s="27" t="n">
        <v>0</v>
      </c>
      <c r="CW62" s="27" t="n">
        <v>0</v>
      </c>
      <c r="CX62" s="27" t="n">
        <v>0</v>
      </c>
      <c r="CY62" s="27" t="n">
        <v>0</v>
      </c>
      <c r="CZ62" s="27" t="n">
        <v>0</v>
      </c>
      <c r="DA62" s="27" t="n">
        <v>0</v>
      </c>
    </row>
    <row r="63">
      <c r="A63" t="inlineStr">
        <is>
          <t>VSP-822</t>
        </is>
      </c>
      <c r="B63" s="27" t="n">
        <v>0</v>
      </c>
      <c r="C63" s="27" t="n">
        <v>0</v>
      </c>
      <c r="D63" s="27" t="n">
        <v>0</v>
      </c>
      <c r="E63" s="27" t="n">
        <v>0</v>
      </c>
      <c r="F63" s="27" t="n">
        <v>0</v>
      </c>
      <c r="G63" s="27" t="n">
        <v>0</v>
      </c>
      <c r="H63" s="27" t="n">
        <v>0</v>
      </c>
      <c r="I63" s="27" t="n">
        <v>0</v>
      </c>
      <c r="J63" s="27" t="n">
        <v>0</v>
      </c>
      <c r="K63" s="27" t="n">
        <v>0</v>
      </c>
      <c r="L63" s="27" t="n">
        <v>0</v>
      </c>
      <c r="M63" s="27" t="n">
        <v>0</v>
      </c>
      <c r="N63" s="27" t="n">
        <v>0</v>
      </c>
      <c r="O63" s="27" t="n">
        <v>0</v>
      </c>
      <c r="P63" s="27" t="n">
        <v>0</v>
      </c>
      <c r="Q63" s="27" t="n">
        <v>0</v>
      </c>
      <c r="R63" s="27" t="n">
        <v>0</v>
      </c>
      <c r="S63" s="27" t="n">
        <v>0</v>
      </c>
      <c r="T63" s="27" t="n">
        <v>0</v>
      </c>
      <c r="U63" s="27" t="n">
        <v>0</v>
      </c>
      <c r="V63" s="27" t="n">
        <v>0</v>
      </c>
      <c r="W63" s="27" t="n">
        <v>0</v>
      </c>
      <c r="X63" s="27" t="n">
        <v>0</v>
      </c>
      <c r="Y63" s="27" t="n">
        <v>0</v>
      </c>
      <c r="Z63" s="27" t="n">
        <v>0</v>
      </c>
      <c r="AA63" s="27" t="n">
        <v>0</v>
      </c>
      <c r="AB63" s="27" t="n">
        <v>0</v>
      </c>
      <c r="AC63" s="27" t="n">
        <v>0</v>
      </c>
      <c r="AD63" s="27" t="n">
        <v>0</v>
      </c>
      <c r="AE63" s="27" t="n">
        <v>0</v>
      </c>
      <c r="AF63" s="27" t="n">
        <v>0</v>
      </c>
      <c r="AG63" s="27" t="n">
        <v>0</v>
      </c>
      <c r="AH63" s="27" t="n">
        <v>0</v>
      </c>
      <c r="AI63" s="27" t="n">
        <v>0</v>
      </c>
      <c r="AJ63" s="27" t="n">
        <v>0</v>
      </c>
      <c r="AK63" s="27" t="n">
        <v>0</v>
      </c>
      <c r="AL63" s="27" t="n">
        <v>0</v>
      </c>
      <c r="AM63" s="27" t="n">
        <v>0</v>
      </c>
      <c r="AN63" s="27" t="n">
        <v>0</v>
      </c>
      <c r="AO63" s="27" t="n">
        <v>0</v>
      </c>
      <c r="AP63" s="27" t="n">
        <v>0</v>
      </c>
      <c r="AQ63" s="27" t="n">
        <v>0</v>
      </c>
      <c r="AR63" s="27" t="n">
        <v>0</v>
      </c>
      <c r="AS63" s="27" t="n">
        <v>0</v>
      </c>
      <c r="AT63" s="27" t="n">
        <v>0</v>
      </c>
      <c r="AU63" s="27" t="n">
        <v>0</v>
      </c>
      <c r="AV63" s="27" t="n">
        <v>0</v>
      </c>
      <c r="AW63" s="27" t="n">
        <v>0</v>
      </c>
      <c r="AX63" s="27" t="n">
        <v>0</v>
      </c>
      <c r="AY63" s="27" t="n">
        <v>0</v>
      </c>
      <c r="AZ63" s="27" t="n">
        <v>0</v>
      </c>
      <c r="BA63" s="27" t="n">
        <v>0</v>
      </c>
      <c r="BB63" s="27" t="n">
        <v>0</v>
      </c>
      <c r="BC63" s="27" t="n">
        <v>0</v>
      </c>
      <c r="BD63" s="27" t="n">
        <v>0</v>
      </c>
      <c r="BE63" s="27" t="n">
        <v>0</v>
      </c>
      <c r="BF63" s="27" t="n">
        <v>0</v>
      </c>
      <c r="BG63" s="27" t="n">
        <v>0</v>
      </c>
      <c r="BH63" s="27" t="n">
        <v>0</v>
      </c>
      <c r="BI63" s="27" t="n">
        <v>0</v>
      </c>
      <c r="BJ63" s="27" t="n">
        <v>0</v>
      </c>
      <c r="BK63" s="27" t="n">
        <v>0</v>
      </c>
      <c r="BL63" s="27" t="n">
        <v>0</v>
      </c>
      <c r="BM63" s="27" t="n">
        <v>0</v>
      </c>
      <c r="BN63" s="27" t="n">
        <v>0</v>
      </c>
      <c r="BO63" s="27" t="n">
        <v>0</v>
      </c>
      <c r="BP63" s="27" t="n">
        <v>0</v>
      </c>
      <c r="BQ63" s="27" t="n">
        <v>0</v>
      </c>
      <c r="BR63" s="27" t="n">
        <v>0</v>
      </c>
      <c r="BS63" s="27" t="n">
        <v>0</v>
      </c>
      <c r="BT63" s="27" t="n">
        <v>0</v>
      </c>
      <c r="BU63" s="27" t="n">
        <v>0</v>
      </c>
      <c r="BV63" s="27" t="n">
        <v>0</v>
      </c>
      <c r="BW63" s="27" t="n">
        <v>0</v>
      </c>
      <c r="BX63" s="27" t="n">
        <v>0</v>
      </c>
      <c r="BY63" s="27" t="n">
        <v>0</v>
      </c>
      <c r="BZ63" s="27" t="n">
        <v>0</v>
      </c>
      <c r="CA63" s="27" t="n">
        <v>0</v>
      </c>
      <c r="CB63" s="27" t="n">
        <v>0</v>
      </c>
      <c r="CC63" s="27" t="n">
        <v>0</v>
      </c>
      <c r="CD63" s="27" t="n">
        <v>0</v>
      </c>
      <c r="CE63" s="27" t="n">
        <v>0</v>
      </c>
      <c r="CF63" s="27" t="n">
        <v>0</v>
      </c>
      <c r="CG63" s="27" t="n">
        <v>0</v>
      </c>
      <c r="CH63" s="27" t="n">
        <v>0</v>
      </c>
      <c r="CI63" s="27" t="n">
        <v>0</v>
      </c>
      <c r="CJ63" s="27" t="n">
        <v>0</v>
      </c>
      <c r="CK63" s="27" t="n">
        <v>0</v>
      </c>
      <c r="CL63" s="27" t="n">
        <v>0</v>
      </c>
      <c r="CM63" s="27" t="n">
        <v>0</v>
      </c>
      <c r="CN63" s="27" t="n">
        <v>0</v>
      </c>
      <c r="CO63" s="27" t="n">
        <v>0</v>
      </c>
      <c r="CP63" s="27" t="n">
        <v>0</v>
      </c>
      <c r="CQ63" s="27" t="n">
        <v>0</v>
      </c>
      <c r="CR63" s="27" t="n">
        <v>0</v>
      </c>
      <c r="CS63" s="27" t="n">
        <v>0</v>
      </c>
      <c r="CT63" s="27" t="n">
        <v>0</v>
      </c>
      <c r="CU63" s="27" t="n">
        <v>0</v>
      </c>
      <c r="CV63" s="27" t="n">
        <v>0</v>
      </c>
      <c r="CW63" s="27" t="n">
        <v>0</v>
      </c>
      <c r="CX63" s="27" t="n">
        <v>0</v>
      </c>
      <c r="CY63" s="27" t="n">
        <v>0</v>
      </c>
      <c r="CZ63" s="27" t="n">
        <v>0</v>
      </c>
      <c r="DA63" s="27" t="n">
        <v>0</v>
      </c>
    </row>
    <row r="64">
      <c r="A64" t="inlineStr">
        <is>
          <t>VSP-910</t>
        </is>
      </c>
      <c r="B64" s="27" t="n">
        <v>0</v>
      </c>
      <c r="C64" s="27" t="n">
        <v>0</v>
      </c>
      <c r="D64" s="27" t="n">
        <v>0</v>
      </c>
      <c r="E64" s="27" t="n">
        <v>0</v>
      </c>
      <c r="F64" s="27" t="n">
        <v>0</v>
      </c>
      <c r="G64" s="27" t="n">
        <v>0</v>
      </c>
      <c r="H64" s="27" t="n">
        <v>0</v>
      </c>
      <c r="I64" s="27" t="n">
        <v>0</v>
      </c>
      <c r="J64" s="27" t="n">
        <v>0</v>
      </c>
      <c r="K64" s="27" t="n">
        <v>0</v>
      </c>
      <c r="L64" s="27" t="n">
        <v>0</v>
      </c>
      <c r="M64" s="27" t="n">
        <v>0</v>
      </c>
      <c r="N64" s="27" t="n">
        <v>0</v>
      </c>
      <c r="O64" s="27" t="n">
        <v>0</v>
      </c>
      <c r="P64" s="27" t="n">
        <v>0</v>
      </c>
      <c r="Q64" s="27" t="n">
        <v>0</v>
      </c>
      <c r="R64" s="27" t="n">
        <v>0</v>
      </c>
      <c r="S64" s="27" t="n">
        <v>0</v>
      </c>
      <c r="T64" s="27" t="n">
        <v>0</v>
      </c>
      <c r="U64" s="27" t="n">
        <v>0</v>
      </c>
      <c r="V64" s="27" t="n">
        <v>0</v>
      </c>
      <c r="W64" s="27" t="n">
        <v>0</v>
      </c>
      <c r="X64" s="27" t="n">
        <v>0</v>
      </c>
      <c r="Y64" s="27" t="n">
        <v>0</v>
      </c>
      <c r="Z64" s="27" t="n">
        <v>0</v>
      </c>
      <c r="AA64" s="27" t="n">
        <v>0</v>
      </c>
      <c r="AB64" s="27" t="n">
        <v>0</v>
      </c>
      <c r="AC64" s="27" t="n">
        <v>0</v>
      </c>
      <c r="AD64" s="27" t="n">
        <v>0</v>
      </c>
      <c r="AE64" s="27" t="n">
        <v>0</v>
      </c>
      <c r="AF64" s="27" t="n">
        <v>0</v>
      </c>
      <c r="AG64" s="27" t="n">
        <v>0</v>
      </c>
      <c r="AH64" s="27" t="n">
        <v>0</v>
      </c>
      <c r="AI64" s="27" t="n">
        <v>0</v>
      </c>
      <c r="AJ64" s="27" t="n">
        <v>0</v>
      </c>
      <c r="AK64" s="27" t="n">
        <v>0</v>
      </c>
      <c r="AL64" s="27" t="n">
        <v>0</v>
      </c>
      <c r="AM64" s="27" t="n">
        <v>0</v>
      </c>
      <c r="AN64" s="27" t="n">
        <v>0</v>
      </c>
      <c r="AO64" s="27" t="n">
        <v>0</v>
      </c>
      <c r="AP64" s="27" t="n">
        <v>0</v>
      </c>
      <c r="AQ64" s="27" t="n">
        <v>0</v>
      </c>
      <c r="AR64" s="27" t="n">
        <v>0</v>
      </c>
      <c r="AS64" s="27" t="n">
        <v>0</v>
      </c>
      <c r="AT64" s="27" t="n">
        <v>0</v>
      </c>
      <c r="AU64" s="27" t="n">
        <v>0</v>
      </c>
      <c r="AV64" s="27" t="n">
        <v>0</v>
      </c>
      <c r="AW64" s="27" t="n">
        <v>0</v>
      </c>
      <c r="AX64" s="27" t="n">
        <v>0</v>
      </c>
      <c r="AY64" s="27" t="n">
        <v>0</v>
      </c>
      <c r="AZ64" s="27" t="n">
        <v>0</v>
      </c>
      <c r="BA64" s="27" t="n">
        <v>0</v>
      </c>
      <c r="BB64" s="27" t="n">
        <v>0</v>
      </c>
      <c r="BC64" s="27" t="n">
        <v>0</v>
      </c>
      <c r="BD64" s="27" t="n">
        <v>0</v>
      </c>
      <c r="BE64" s="27" t="n">
        <v>0</v>
      </c>
      <c r="BF64" s="27" t="n">
        <v>0</v>
      </c>
      <c r="BG64" s="27" t="n">
        <v>0</v>
      </c>
      <c r="BH64" s="27" t="n">
        <v>0</v>
      </c>
      <c r="BI64" s="27" t="n">
        <v>0</v>
      </c>
      <c r="BJ64" s="27" t="n">
        <v>0</v>
      </c>
      <c r="BK64" s="27" t="n">
        <v>0</v>
      </c>
      <c r="BL64" s="27" t="n">
        <v>0</v>
      </c>
      <c r="BM64" s="27" t="n">
        <v>0</v>
      </c>
      <c r="BN64" s="27" t="n">
        <v>0</v>
      </c>
      <c r="BO64" s="27" t="n">
        <v>0</v>
      </c>
      <c r="BP64" s="27" t="n">
        <v>0</v>
      </c>
      <c r="BQ64" s="27" t="n">
        <v>0</v>
      </c>
      <c r="BR64" s="27" t="n">
        <v>0</v>
      </c>
      <c r="BS64" s="27" t="n">
        <v>0</v>
      </c>
      <c r="BT64" s="27" t="n">
        <v>0</v>
      </c>
      <c r="BU64" s="27" t="n">
        <v>0</v>
      </c>
      <c r="BV64" s="27" t="n">
        <v>0</v>
      </c>
      <c r="BW64" s="27" t="n">
        <v>0</v>
      </c>
      <c r="BX64" s="27" t="n">
        <v>0</v>
      </c>
      <c r="BY64" s="27" t="n">
        <v>0</v>
      </c>
      <c r="BZ64" s="27" t="n">
        <v>0</v>
      </c>
      <c r="CA64" s="27" t="n">
        <v>0</v>
      </c>
      <c r="CB64" s="27" t="n">
        <v>0</v>
      </c>
      <c r="CC64" s="27" t="n">
        <v>0</v>
      </c>
      <c r="CD64" s="27" t="n">
        <v>0</v>
      </c>
      <c r="CE64" s="27" t="n">
        <v>0</v>
      </c>
      <c r="CF64" s="27" t="n">
        <v>0</v>
      </c>
      <c r="CG64" s="27" t="n">
        <v>0</v>
      </c>
      <c r="CH64" s="27" t="n">
        <v>0</v>
      </c>
      <c r="CI64" s="27" t="n">
        <v>0</v>
      </c>
      <c r="CJ64" s="27" t="n">
        <v>0</v>
      </c>
      <c r="CK64" s="27" t="n">
        <v>0</v>
      </c>
      <c r="CL64" s="27" t="n">
        <v>0</v>
      </c>
      <c r="CM64" s="27" t="n">
        <v>0</v>
      </c>
      <c r="CN64" s="27" t="n">
        <v>0</v>
      </c>
      <c r="CO64" s="27" t="n">
        <v>0</v>
      </c>
      <c r="CP64" s="27" t="n">
        <v>0</v>
      </c>
      <c r="CQ64" s="27" t="n">
        <v>0</v>
      </c>
      <c r="CR64" s="27" t="n">
        <v>0</v>
      </c>
      <c r="CS64" s="27" t="n">
        <v>0</v>
      </c>
      <c r="CT64" s="27" t="n">
        <v>0</v>
      </c>
      <c r="CU64" s="27" t="n">
        <v>0</v>
      </c>
      <c r="CV64" s="27" t="n">
        <v>0</v>
      </c>
      <c r="CW64" s="27" t="n">
        <v>0</v>
      </c>
      <c r="CX64" s="27" t="n">
        <v>0</v>
      </c>
      <c r="CY64" s="27" t="n">
        <v>0</v>
      </c>
      <c r="CZ64" s="27" t="n">
        <v>0</v>
      </c>
      <c r="DA64" s="27" t="n">
        <v>0</v>
      </c>
    </row>
    <row r="65">
      <c r="A65" t="inlineStr">
        <is>
          <t>VSP-989</t>
        </is>
      </c>
      <c r="B65" s="27" t="n">
        <v>0</v>
      </c>
      <c r="C65" s="27" t="n">
        <v>0</v>
      </c>
      <c r="D65" s="27" t="n">
        <v>0</v>
      </c>
      <c r="E65" s="27" t="n">
        <v>0</v>
      </c>
      <c r="F65" s="27" t="n">
        <v>0</v>
      </c>
      <c r="G65" s="27" t="n">
        <v>0</v>
      </c>
      <c r="H65" s="27" t="n">
        <v>0</v>
      </c>
      <c r="I65" s="27" t="n">
        <v>0</v>
      </c>
      <c r="J65" s="27" t="n">
        <v>0</v>
      </c>
      <c r="K65" s="27" t="n">
        <v>0</v>
      </c>
      <c r="L65" s="27" t="n">
        <v>0</v>
      </c>
      <c r="M65" s="27" t="n">
        <v>0</v>
      </c>
      <c r="N65" s="27" t="n">
        <v>0</v>
      </c>
      <c r="O65" s="27" t="n">
        <v>0</v>
      </c>
      <c r="P65" s="27" t="n">
        <v>0</v>
      </c>
      <c r="Q65" s="27" t="n">
        <v>0</v>
      </c>
      <c r="R65" s="27" t="n">
        <v>0</v>
      </c>
      <c r="S65" s="27" t="n">
        <v>0</v>
      </c>
      <c r="T65" s="27" t="n">
        <v>0</v>
      </c>
      <c r="U65" s="27" t="n">
        <v>0</v>
      </c>
      <c r="V65" s="27" t="n">
        <v>0</v>
      </c>
      <c r="W65" s="27" t="n">
        <v>0</v>
      </c>
      <c r="X65" s="27" t="n">
        <v>0</v>
      </c>
      <c r="Y65" s="27" t="n">
        <v>0</v>
      </c>
      <c r="Z65" s="27" t="n">
        <v>0</v>
      </c>
      <c r="AA65" s="27" t="n">
        <v>0</v>
      </c>
      <c r="AB65" s="27" t="n">
        <v>0</v>
      </c>
      <c r="AC65" s="27" t="n">
        <v>0</v>
      </c>
      <c r="AD65" s="27" t="n">
        <v>0</v>
      </c>
      <c r="AE65" s="27" t="n">
        <v>0</v>
      </c>
      <c r="AF65" s="27" t="n">
        <v>0</v>
      </c>
      <c r="AG65" s="27" t="n">
        <v>0</v>
      </c>
      <c r="AH65" s="27" t="n">
        <v>0</v>
      </c>
      <c r="AI65" s="27" t="n">
        <v>0</v>
      </c>
      <c r="AJ65" s="27" t="n">
        <v>0</v>
      </c>
      <c r="AK65" s="27" t="n">
        <v>0</v>
      </c>
      <c r="AL65" s="27" t="n">
        <v>0</v>
      </c>
      <c r="AM65" s="27" t="n">
        <v>0</v>
      </c>
      <c r="AN65" s="27" t="n">
        <v>0</v>
      </c>
      <c r="AO65" s="27" t="n">
        <v>0</v>
      </c>
      <c r="AP65" s="27" t="n">
        <v>0</v>
      </c>
      <c r="AQ65" s="27" t="n">
        <v>0</v>
      </c>
      <c r="AR65" s="27" t="n">
        <v>0</v>
      </c>
      <c r="AS65" s="27" t="n">
        <v>0</v>
      </c>
      <c r="AT65" s="27" t="n">
        <v>0</v>
      </c>
      <c r="AU65" s="27" t="n">
        <v>0</v>
      </c>
      <c r="AV65" s="27" t="n">
        <v>0</v>
      </c>
      <c r="AW65" s="27" t="n">
        <v>0</v>
      </c>
      <c r="AX65" s="27" t="n">
        <v>0</v>
      </c>
      <c r="AY65" s="27" t="n">
        <v>0</v>
      </c>
      <c r="AZ65" s="27" t="n">
        <v>0</v>
      </c>
      <c r="BA65" s="27" t="n">
        <v>0</v>
      </c>
      <c r="BB65" s="27" t="n">
        <v>0</v>
      </c>
      <c r="BC65" s="27" t="n">
        <v>0</v>
      </c>
      <c r="BD65" s="27" t="n">
        <v>0</v>
      </c>
      <c r="BE65" s="27" t="n">
        <v>0</v>
      </c>
      <c r="BF65" s="27" t="n">
        <v>0</v>
      </c>
      <c r="BG65" s="27" t="n">
        <v>0</v>
      </c>
      <c r="BH65" s="27" t="n">
        <v>0</v>
      </c>
      <c r="BI65" s="27" t="n">
        <v>0</v>
      </c>
      <c r="BJ65" s="27" t="n">
        <v>0</v>
      </c>
      <c r="BK65" s="27" t="n">
        <v>0</v>
      </c>
      <c r="BL65" s="27" t="n">
        <v>0</v>
      </c>
      <c r="BM65" s="27" t="n">
        <v>0</v>
      </c>
      <c r="BN65" s="27" t="n">
        <v>0</v>
      </c>
      <c r="BO65" s="27" t="n">
        <v>0</v>
      </c>
      <c r="BP65" s="27" t="n">
        <v>0</v>
      </c>
      <c r="BQ65" s="27" t="n">
        <v>0</v>
      </c>
      <c r="BR65" s="27" t="n">
        <v>0</v>
      </c>
      <c r="BS65" s="27" t="n">
        <v>0</v>
      </c>
      <c r="BT65" s="27" t="n">
        <v>0</v>
      </c>
      <c r="BU65" s="27" t="n">
        <v>0</v>
      </c>
      <c r="BV65" s="27" t="n">
        <v>0</v>
      </c>
      <c r="BW65" s="27" t="n">
        <v>0</v>
      </c>
      <c r="BX65" s="27" t="n">
        <v>0</v>
      </c>
      <c r="BY65" s="27" t="n">
        <v>0</v>
      </c>
      <c r="BZ65" s="27" t="n">
        <v>0</v>
      </c>
      <c r="CA65" s="27" t="n">
        <v>0</v>
      </c>
      <c r="CB65" s="27" t="n">
        <v>0</v>
      </c>
      <c r="CC65" s="27" t="n">
        <v>0</v>
      </c>
      <c r="CD65" s="27" t="n">
        <v>0</v>
      </c>
      <c r="CE65" s="27" t="n">
        <v>0</v>
      </c>
      <c r="CF65" s="27" t="n">
        <v>0</v>
      </c>
      <c r="CG65" s="27" t="n">
        <v>0</v>
      </c>
      <c r="CH65" s="27" t="n">
        <v>0</v>
      </c>
      <c r="CI65" s="27" t="n">
        <v>0</v>
      </c>
      <c r="CJ65" s="27" t="n">
        <v>0</v>
      </c>
      <c r="CK65" s="27" t="n">
        <v>0</v>
      </c>
      <c r="CL65" s="27" t="n">
        <v>0</v>
      </c>
      <c r="CM65" s="27" t="n">
        <v>0</v>
      </c>
      <c r="CN65" s="27" t="n">
        <v>0</v>
      </c>
      <c r="CO65" s="27" t="n">
        <v>0</v>
      </c>
      <c r="CP65" s="27" t="n">
        <v>0</v>
      </c>
      <c r="CQ65" s="27" t="n">
        <v>0</v>
      </c>
      <c r="CR65" s="27" t="n">
        <v>0</v>
      </c>
      <c r="CS65" s="27" t="n">
        <v>0</v>
      </c>
      <c r="CT65" s="27" t="n">
        <v>0</v>
      </c>
      <c r="CU65" s="27" t="n">
        <v>0</v>
      </c>
      <c r="CV65" s="27" t="n">
        <v>0</v>
      </c>
      <c r="CW65" s="27" t="n">
        <v>0</v>
      </c>
      <c r="CX65" s="27" t="n">
        <v>0</v>
      </c>
      <c r="CY65" s="27" t="n">
        <v>0</v>
      </c>
      <c r="CZ65" s="27" t="n">
        <v>0</v>
      </c>
      <c r="DA65" s="27" t="n">
        <v>0</v>
      </c>
    </row>
    <row r="66">
      <c r="A66" t="inlineStr">
        <is>
          <t>VSP-990</t>
        </is>
      </c>
      <c r="B66" s="27" t="n">
        <v>0</v>
      </c>
      <c r="C66" s="27" t="n">
        <v>0</v>
      </c>
      <c r="D66" s="27" t="n">
        <v>0</v>
      </c>
      <c r="E66" s="27" t="n">
        <v>0</v>
      </c>
      <c r="F66" s="27" t="n">
        <v>0</v>
      </c>
      <c r="G66" s="27" t="n">
        <v>0</v>
      </c>
      <c r="H66" s="27" t="n">
        <v>0</v>
      </c>
      <c r="I66" s="27" t="n">
        <v>0</v>
      </c>
      <c r="J66" s="27" t="n">
        <v>0</v>
      </c>
      <c r="K66" s="27" t="n">
        <v>0</v>
      </c>
      <c r="L66" s="27" t="n">
        <v>0</v>
      </c>
      <c r="M66" s="27" t="n">
        <v>0</v>
      </c>
      <c r="N66" s="27" t="n">
        <v>0</v>
      </c>
      <c r="O66" s="27" t="n">
        <v>0</v>
      </c>
      <c r="P66" s="27" t="n">
        <v>0</v>
      </c>
      <c r="Q66" s="27" t="n">
        <v>0</v>
      </c>
      <c r="R66" s="27" t="n">
        <v>0</v>
      </c>
      <c r="S66" s="27" t="n">
        <v>0</v>
      </c>
      <c r="T66" s="27" t="n">
        <v>0</v>
      </c>
      <c r="U66" s="27" t="n">
        <v>0</v>
      </c>
      <c r="V66" s="27" t="n">
        <v>0</v>
      </c>
      <c r="W66" s="27" t="n">
        <v>0</v>
      </c>
      <c r="X66" s="27" t="n">
        <v>0</v>
      </c>
      <c r="Y66" s="27" t="n">
        <v>0</v>
      </c>
      <c r="Z66" s="27" t="n">
        <v>0</v>
      </c>
      <c r="AA66" s="27" t="n">
        <v>0</v>
      </c>
      <c r="AB66" s="27" t="n">
        <v>0</v>
      </c>
      <c r="AC66" s="27" t="n">
        <v>0</v>
      </c>
      <c r="AD66" s="27" t="n">
        <v>0</v>
      </c>
      <c r="AE66" s="27" t="n">
        <v>0</v>
      </c>
      <c r="AF66" s="27" t="n">
        <v>0</v>
      </c>
      <c r="AG66" s="27" t="n">
        <v>0</v>
      </c>
      <c r="AH66" s="27" t="n">
        <v>0</v>
      </c>
      <c r="AI66" s="27" t="n">
        <v>0</v>
      </c>
      <c r="AJ66" s="27" t="n">
        <v>0</v>
      </c>
      <c r="AK66" s="27" t="n">
        <v>0</v>
      </c>
      <c r="AL66" s="27" t="n">
        <v>0</v>
      </c>
      <c r="AM66" s="27" t="n">
        <v>0</v>
      </c>
      <c r="AN66" s="27" t="n">
        <v>0</v>
      </c>
      <c r="AO66" s="27" t="n">
        <v>0</v>
      </c>
      <c r="AP66" s="27" t="n">
        <v>0</v>
      </c>
      <c r="AQ66" s="27" t="n">
        <v>0</v>
      </c>
      <c r="AR66" s="27" t="n">
        <v>0</v>
      </c>
      <c r="AS66" s="27" t="n">
        <v>0</v>
      </c>
      <c r="AT66" s="27" t="n">
        <v>0</v>
      </c>
      <c r="AU66" s="27" t="n">
        <v>0</v>
      </c>
      <c r="AV66" s="27" t="n">
        <v>0</v>
      </c>
      <c r="AW66" s="27" t="n">
        <v>0</v>
      </c>
      <c r="AX66" s="27" t="n">
        <v>0</v>
      </c>
      <c r="AY66" s="27" t="n">
        <v>0</v>
      </c>
      <c r="AZ66" s="27" t="n">
        <v>0</v>
      </c>
      <c r="BA66" s="27" t="n">
        <v>0</v>
      </c>
      <c r="BB66" s="27" t="n">
        <v>0</v>
      </c>
      <c r="BC66" s="27" t="n">
        <v>0</v>
      </c>
      <c r="BD66" s="27" t="n">
        <v>0</v>
      </c>
      <c r="BE66" s="27" t="n">
        <v>0</v>
      </c>
      <c r="BF66" s="27" t="n">
        <v>0</v>
      </c>
      <c r="BG66" s="27" t="n">
        <v>0</v>
      </c>
      <c r="BH66" s="27" t="n">
        <v>0</v>
      </c>
      <c r="BI66" s="27" t="n">
        <v>0</v>
      </c>
      <c r="BJ66" s="27" t="n">
        <v>0</v>
      </c>
      <c r="BK66" s="27" t="n">
        <v>0</v>
      </c>
      <c r="BL66" s="27" t="n">
        <v>0</v>
      </c>
      <c r="BM66" s="27" t="n">
        <v>0</v>
      </c>
      <c r="BN66" s="27" t="n">
        <v>0</v>
      </c>
      <c r="BO66" s="27" t="n">
        <v>0</v>
      </c>
      <c r="BP66" s="27" t="n">
        <v>0</v>
      </c>
      <c r="BQ66" s="27" t="n">
        <v>0</v>
      </c>
      <c r="BR66" s="27" t="n">
        <v>0</v>
      </c>
      <c r="BS66" s="27" t="n">
        <v>0</v>
      </c>
      <c r="BT66" s="27" t="n">
        <v>0</v>
      </c>
      <c r="BU66" s="27" t="n">
        <v>0</v>
      </c>
      <c r="BV66" s="27" t="n">
        <v>0</v>
      </c>
      <c r="BW66" s="27" t="n">
        <v>0</v>
      </c>
      <c r="BX66" s="27" t="n">
        <v>0</v>
      </c>
      <c r="BY66" s="27" t="n">
        <v>0</v>
      </c>
      <c r="BZ66" s="27" t="n">
        <v>0</v>
      </c>
      <c r="CA66" s="27" t="n">
        <v>0</v>
      </c>
      <c r="CB66" s="27" t="n">
        <v>0</v>
      </c>
      <c r="CC66" s="27" t="n">
        <v>0</v>
      </c>
      <c r="CD66" s="27" t="n">
        <v>0</v>
      </c>
      <c r="CE66" s="27" t="n">
        <v>0</v>
      </c>
      <c r="CF66" s="27" t="n">
        <v>0</v>
      </c>
      <c r="CG66" s="27" t="n">
        <v>0</v>
      </c>
      <c r="CH66" s="27" t="n">
        <v>0</v>
      </c>
      <c r="CI66" s="27" t="n">
        <v>0</v>
      </c>
      <c r="CJ66" s="27" t="n">
        <v>0</v>
      </c>
      <c r="CK66" s="27" t="n">
        <v>0</v>
      </c>
      <c r="CL66" s="27" t="n">
        <v>0</v>
      </c>
      <c r="CM66" s="27" t="n">
        <v>0</v>
      </c>
      <c r="CN66" s="27" t="n">
        <v>0</v>
      </c>
      <c r="CO66" s="27" t="n">
        <v>0</v>
      </c>
      <c r="CP66" s="27" t="n">
        <v>0</v>
      </c>
      <c r="CQ66" s="27" t="n">
        <v>0</v>
      </c>
      <c r="CR66" s="27" t="n">
        <v>0</v>
      </c>
      <c r="CS66" s="27" t="n">
        <v>0</v>
      </c>
      <c r="CT66" s="27" t="n">
        <v>0</v>
      </c>
      <c r="CU66" s="27" t="n">
        <v>0</v>
      </c>
      <c r="CV66" s="27" t="n">
        <v>0</v>
      </c>
      <c r="CW66" s="27" t="n">
        <v>0</v>
      </c>
      <c r="CX66" s="27" t="n">
        <v>0</v>
      </c>
      <c r="CY66" s="27" t="n">
        <v>0</v>
      </c>
      <c r="CZ66" s="27" t="n">
        <v>0</v>
      </c>
      <c r="DA66" s="27" t="n">
        <v>0</v>
      </c>
    </row>
    <row r="67">
      <c r="A67" t="inlineStr">
        <is>
          <t>TPP-103</t>
        </is>
      </c>
      <c r="B67" s="27" t="n">
        <v>0</v>
      </c>
      <c r="C67" s="27" t="n">
        <v>0</v>
      </c>
      <c r="D67" s="27" t="n">
        <v>0</v>
      </c>
      <c r="E67" s="27" t="n">
        <v>0</v>
      </c>
      <c r="F67" s="27" t="n">
        <v>0</v>
      </c>
      <c r="G67" s="27" t="n">
        <v>0</v>
      </c>
      <c r="H67" s="27" t="n">
        <v>0</v>
      </c>
      <c r="I67" s="27" t="n">
        <v>0</v>
      </c>
      <c r="J67" s="27" t="n">
        <v>0</v>
      </c>
      <c r="K67" s="27" t="n">
        <v>0</v>
      </c>
      <c r="L67" s="27" t="n">
        <v>0</v>
      </c>
      <c r="M67" s="27" t="n">
        <v>0</v>
      </c>
      <c r="N67" s="27" t="n">
        <v>0</v>
      </c>
      <c r="O67" s="27" t="n">
        <v>0</v>
      </c>
      <c r="P67" s="27" t="n">
        <v>0</v>
      </c>
      <c r="Q67" s="27" t="n">
        <v>0</v>
      </c>
      <c r="R67" s="27" t="n">
        <v>0</v>
      </c>
      <c r="S67" s="27" t="n">
        <v>0</v>
      </c>
      <c r="T67" s="27" t="n">
        <v>0</v>
      </c>
      <c r="U67" s="27" t="n">
        <v>0</v>
      </c>
      <c r="V67" s="27" t="n">
        <v>0</v>
      </c>
      <c r="W67" s="27" t="n">
        <v>0</v>
      </c>
      <c r="X67" s="27" t="n">
        <v>0</v>
      </c>
      <c r="Y67" s="27" t="n">
        <v>0</v>
      </c>
      <c r="Z67" s="27" t="n">
        <v>0</v>
      </c>
      <c r="AA67" s="27" t="n">
        <v>0</v>
      </c>
      <c r="AB67" s="27" t="n">
        <v>0</v>
      </c>
      <c r="AC67" s="27" t="n">
        <v>0</v>
      </c>
      <c r="AD67" s="27" t="n">
        <v>0</v>
      </c>
      <c r="AE67" s="27" t="n">
        <v>0</v>
      </c>
      <c r="AF67" s="27" t="n">
        <v>0</v>
      </c>
      <c r="AG67" s="27" t="n">
        <v>0</v>
      </c>
      <c r="AH67" s="27" t="n">
        <v>0</v>
      </c>
      <c r="AI67" s="27" t="n">
        <v>0</v>
      </c>
      <c r="AJ67" s="27" t="n">
        <v>0</v>
      </c>
      <c r="AK67" s="27" t="n">
        <v>0</v>
      </c>
      <c r="AL67" s="27" t="n">
        <v>0</v>
      </c>
      <c r="AM67" s="27" t="n">
        <v>0</v>
      </c>
      <c r="AN67" s="27" t="n">
        <v>0</v>
      </c>
      <c r="AO67" s="27" t="n">
        <v>0</v>
      </c>
      <c r="AP67" s="27" t="n">
        <v>0</v>
      </c>
      <c r="AQ67" s="27" t="n">
        <v>0</v>
      </c>
      <c r="AR67" s="27" t="n">
        <v>0</v>
      </c>
      <c r="AS67" s="27" t="n">
        <v>0</v>
      </c>
      <c r="AT67" s="27" t="n">
        <v>0</v>
      </c>
      <c r="AU67" s="27" t="n">
        <v>0</v>
      </c>
      <c r="AV67" s="27" t="n">
        <v>0</v>
      </c>
      <c r="AW67" s="27" t="n">
        <v>0</v>
      </c>
      <c r="AX67" s="27" t="n">
        <v>0</v>
      </c>
      <c r="AY67" s="27" t="n">
        <v>0</v>
      </c>
      <c r="AZ67" s="27" t="n">
        <v>0</v>
      </c>
      <c r="BA67" s="27" t="n">
        <v>0</v>
      </c>
      <c r="BB67" s="27" t="n">
        <v>0</v>
      </c>
      <c r="BC67" s="27" t="n">
        <v>0</v>
      </c>
      <c r="BD67" s="27" t="n">
        <v>0</v>
      </c>
      <c r="BE67" s="27" t="n">
        <v>0</v>
      </c>
      <c r="BF67" s="27" t="n">
        <v>0</v>
      </c>
      <c r="BG67" s="27" t="n">
        <v>0</v>
      </c>
      <c r="BH67" s="27" t="n">
        <v>0</v>
      </c>
      <c r="BI67" s="27" t="n">
        <v>0</v>
      </c>
      <c r="BJ67" s="27" t="n">
        <v>0</v>
      </c>
      <c r="BK67" s="27" t="n">
        <v>0</v>
      </c>
      <c r="BL67" s="27" t="n">
        <v>0</v>
      </c>
      <c r="BM67" s="27" t="n">
        <v>0</v>
      </c>
      <c r="BN67" s="27" t="n">
        <v>0</v>
      </c>
      <c r="BO67" s="27" t="n">
        <v>0</v>
      </c>
      <c r="BP67" s="27" t="n">
        <v>0</v>
      </c>
      <c r="BQ67" s="27" t="n">
        <v>0</v>
      </c>
      <c r="BR67" s="27" t="n">
        <v>0</v>
      </c>
      <c r="BS67" s="27" t="n">
        <v>0</v>
      </c>
      <c r="BT67" s="27" t="n">
        <v>0</v>
      </c>
      <c r="BU67" s="27" t="n">
        <v>0</v>
      </c>
      <c r="BV67" s="27" t="n">
        <v>0</v>
      </c>
      <c r="BW67" s="27" t="n">
        <v>0</v>
      </c>
      <c r="BX67" s="27" t="n">
        <v>0</v>
      </c>
      <c r="BY67" s="27" t="n">
        <v>0</v>
      </c>
      <c r="BZ67" s="27" t="n">
        <v>0</v>
      </c>
      <c r="CA67" s="27" t="n">
        <v>0</v>
      </c>
      <c r="CB67" s="27" t="n">
        <v>0</v>
      </c>
      <c r="CC67" s="27" t="n">
        <v>0</v>
      </c>
      <c r="CD67" s="27" t="n">
        <v>0</v>
      </c>
      <c r="CE67" s="27" t="n">
        <v>0</v>
      </c>
      <c r="CF67" s="27" t="n">
        <v>0</v>
      </c>
      <c r="CG67" s="27" t="n">
        <v>0</v>
      </c>
      <c r="CH67" s="27" t="n">
        <v>0</v>
      </c>
      <c r="CI67" s="27" t="n">
        <v>0</v>
      </c>
      <c r="CJ67" s="27" t="n">
        <v>0</v>
      </c>
      <c r="CK67" s="27" t="n">
        <v>0</v>
      </c>
      <c r="CL67" s="27" t="n">
        <v>0</v>
      </c>
      <c r="CM67" s="27" t="n">
        <v>0</v>
      </c>
      <c r="CN67" s="27" t="n">
        <v>0</v>
      </c>
      <c r="CO67" s="27" t="n">
        <v>0</v>
      </c>
      <c r="CP67" s="27" t="n">
        <v>0</v>
      </c>
      <c r="CQ67" s="27" t="n">
        <v>0</v>
      </c>
      <c r="CR67" s="27" t="n">
        <v>0</v>
      </c>
      <c r="CS67" s="27" t="n">
        <v>0</v>
      </c>
      <c r="CT67" s="27" t="n">
        <v>0</v>
      </c>
      <c r="CU67" s="27" t="n">
        <v>0</v>
      </c>
      <c r="CV67" s="27" t="n">
        <v>0</v>
      </c>
      <c r="CW67" s="27" t="n">
        <v>0</v>
      </c>
      <c r="CX67" s="27" t="n">
        <v>0</v>
      </c>
      <c r="CY67" s="27" t="n">
        <v>0</v>
      </c>
      <c r="CZ67" s="27" t="n">
        <v>0</v>
      </c>
      <c r="DA67" s="27" t="n">
        <v>0</v>
      </c>
    </row>
    <row r="68">
      <c r="A68" t="inlineStr">
        <is>
          <t>TPP-1367</t>
        </is>
      </c>
      <c r="B68" s="27" t="n">
        <v>0</v>
      </c>
      <c r="C68" s="27" t="n">
        <v>8</v>
      </c>
      <c r="D68" s="27" t="n">
        <v>8</v>
      </c>
      <c r="E68" s="27" t="n">
        <v>4</v>
      </c>
      <c r="F68" s="27" t="n">
        <v>6</v>
      </c>
      <c r="G68" s="27" t="n">
        <v>8</v>
      </c>
      <c r="H68" s="27" t="n">
        <v>6</v>
      </c>
      <c r="I68" s="27" t="n">
        <v>8</v>
      </c>
      <c r="J68" s="27" t="n">
        <v>14</v>
      </c>
      <c r="K68" s="27" t="n">
        <v>0</v>
      </c>
      <c r="L68" s="27" t="n">
        <v>8</v>
      </c>
      <c r="M68" s="27" t="n">
        <v>10</v>
      </c>
      <c r="N68" s="27" t="n">
        <v>9</v>
      </c>
      <c r="O68" s="27" t="n">
        <v>7</v>
      </c>
      <c r="P68" s="27" t="n">
        <v>8</v>
      </c>
      <c r="Q68" s="27" t="n">
        <v>9</v>
      </c>
      <c r="R68" s="27" t="n">
        <v>6</v>
      </c>
      <c r="S68" s="27" t="n">
        <v>0</v>
      </c>
      <c r="T68" s="27" t="n">
        <v>6</v>
      </c>
      <c r="U68" s="27" t="n">
        <v>9</v>
      </c>
      <c r="V68" s="27" t="n">
        <v>6</v>
      </c>
      <c r="W68" s="27" t="n">
        <v>6</v>
      </c>
      <c r="X68" s="27" t="n">
        <v>9</v>
      </c>
      <c r="Y68" s="27" t="n">
        <v>3</v>
      </c>
      <c r="Z68" s="27" t="n">
        <v>0</v>
      </c>
      <c r="AA68" s="27" t="n">
        <v>3</v>
      </c>
      <c r="AB68" s="27" t="n">
        <v>3</v>
      </c>
      <c r="AC68" s="27" t="n">
        <v>6</v>
      </c>
      <c r="AD68" s="27" t="n">
        <v>9</v>
      </c>
      <c r="AE68" s="27" t="n">
        <v>6</v>
      </c>
      <c r="AF68" s="27" t="n">
        <v>6</v>
      </c>
      <c r="AG68" s="27" t="n">
        <v>6</v>
      </c>
      <c r="AH68" s="27" t="n">
        <v>9</v>
      </c>
      <c r="AI68" s="27" t="n">
        <v>9</v>
      </c>
      <c r="AJ68" s="27" t="n">
        <v>9</v>
      </c>
      <c r="AK68" s="27" t="n">
        <v>6</v>
      </c>
      <c r="AL68" s="27" t="n">
        <v>6</v>
      </c>
      <c r="AM68" s="27" t="n">
        <v>6</v>
      </c>
      <c r="AN68" s="27" t="n">
        <v>6</v>
      </c>
      <c r="AO68" s="27" t="n">
        <v>9</v>
      </c>
      <c r="AP68" s="27" t="n">
        <v>9</v>
      </c>
      <c r="AQ68" s="27" t="n">
        <v>9</v>
      </c>
      <c r="AR68" s="27" t="n">
        <v>9</v>
      </c>
      <c r="AS68" s="27" t="n">
        <v>9</v>
      </c>
      <c r="AT68" s="27" t="n">
        <v>9</v>
      </c>
      <c r="AU68" s="27" t="n">
        <v>9</v>
      </c>
      <c r="AV68" s="27" t="n">
        <v>9</v>
      </c>
      <c r="AW68" s="27" t="n">
        <v>9</v>
      </c>
      <c r="AX68" s="27" t="n">
        <v>9</v>
      </c>
      <c r="AY68" s="27" t="n">
        <v>6</v>
      </c>
      <c r="AZ68" s="27" t="n">
        <v>5</v>
      </c>
      <c r="BA68" s="27" t="n">
        <v>0</v>
      </c>
      <c r="BB68" s="27" t="n">
        <v>0</v>
      </c>
      <c r="BC68" s="27" t="n">
        <v>9</v>
      </c>
      <c r="BD68" s="27" t="n">
        <v>6</v>
      </c>
      <c r="BE68" s="27" t="n">
        <v>9</v>
      </c>
      <c r="BF68" s="27" t="n">
        <v>6</v>
      </c>
      <c r="BG68" s="27" t="n">
        <v>6</v>
      </c>
      <c r="BH68" s="27" t="n">
        <v>4</v>
      </c>
      <c r="BI68" s="27" t="n">
        <v>6</v>
      </c>
      <c r="BJ68" s="27" t="n">
        <v>6</v>
      </c>
      <c r="BK68" s="27" t="n">
        <v>6</v>
      </c>
      <c r="BL68" s="27" t="n">
        <v>6</v>
      </c>
      <c r="BM68" s="27" t="n">
        <v>3</v>
      </c>
      <c r="BN68" s="27" t="n">
        <v>6</v>
      </c>
      <c r="BO68" s="27" t="n">
        <v>0</v>
      </c>
      <c r="BP68" s="27" t="n">
        <v>3</v>
      </c>
      <c r="BQ68" s="27" t="n">
        <v>5</v>
      </c>
      <c r="BR68" s="27" t="n">
        <v>3</v>
      </c>
      <c r="BS68" s="27" t="n">
        <v>0</v>
      </c>
      <c r="BT68" s="27" t="n">
        <v>5</v>
      </c>
      <c r="BU68" s="27" t="n">
        <v>3</v>
      </c>
      <c r="BV68" s="27" t="n">
        <v>0</v>
      </c>
      <c r="BW68" s="27" t="n">
        <v>0</v>
      </c>
      <c r="BX68" s="27" t="n">
        <v>3</v>
      </c>
      <c r="BY68" s="27" t="n">
        <v>0</v>
      </c>
      <c r="BZ68" s="27" t="n">
        <v>0</v>
      </c>
      <c r="CA68" s="27" t="n">
        <v>0</v>
      </c>
      <c r="CB68" s="27" t="n">
        <v>0</v>
      </c>
      <c r="CC68" s="27" t="n">
        <v>0</v>
      </c>
      <c r="CD68" s="27" t="n">
        <v>0</v>
      </c>
      <c r="CE68" s="27" t="n">
        <v>0</v>
      </c>
      <c r="CF68" s="27" t="n">
        <v>0</v>
      </c>
      <c r="CG68" s="27" t="n">
        <v>0</v>
      </c>
      <c r="CH68" s="27" t="n">
        <v>0</v>
      </c>
      <c r="CI68" s="27" t="n">
        <v>0</v>
      </c>
      <c r="CJ68" s="27" t="n">
        <v>0</v>
      </c>
      <c r="CK68" s="27" t="n">
        <v>0</v>
      </c>
      <c r="CL68" s="27" t="n">
        <v>0</v>
      </c>
      <c r="CM68" s="27" t="n">
        <v>0</v>
      </c>
      <c r="CN68" s="27" t="n">
        <v>0</v>
      </c>
      <c r="CO68" s="27" t="n">
        <v>0</v>
      </c>
      <c r="CP68" s="27" t="n">
        <v>0</v>
      </c>
      <c r="CQ68" s="27" t="n">
        <v>0</v>
      </c>
      <c r="CR68" s="27" t="n">
        <v>0</v>
      </c>
      <c r="CS68" s="27" t="n">
        <v>0</v>
      </c>
      <c r="CT68" s="27" t="n">
        <v>0</v>
      </c>
      <c r="CU68" s="27" t="n">
        <v>0</v>
      </c>
      <c r="CV68" s="27" t="n">
        <v>0</v>
      </c>
      <c r="CW68" s="27" t="n">
        <v>0</v>
      </c>
      <c r="CX68" s="27" t="n">
        <v>0</v>
      </c>
      <c r="CY68" s="27" t="n">
        <v>0</v>
      </c>
      <c r="CZ68" s="27" t="n">
        <v>0</v>
      </c>
      <c r="DA68" s="27" t="n">
        <v>0</v>
      </c>
    </row>
    <row r="69">
      <c r="A69" t="inlineStr">
        <is>
          <t>TPP-1368</t>
        </is>
      </c>
      <c r="B69" s="27" t="n">
        <v>0</v>
      </c>
      <c r="C69" s="27" t="n">
        <v>6</v>
      </c>
      <c r="D69" s="27" t="n">
        <v>6</v>
      </c>
      <c r="E69" s="27" t="n">
        <v>6</v>
      </c>
      <c r="F69" s="27" t="n">
        <v>3</v>
      </c>
      <c r="G69" s="27" t="n">
        <v>3</v>
      </c>
      <c r="H69" s="27" t="n">
        <v>6</v>
      </c>
      <c r="I69" s="27" t="n">
        <v>3</v>
      </c>
      <c r="J69" s="27" t="n">
        <v>3</v>
      </c>
      <c r="K69" s="27" t="n">
        <v>3</v>
      </c>
      <c r="L69" s="27" t="n">
        <v>3</v>
      </c>
      <c r="M69" s="27" t="n">
        <v>3</v>
      </c>
      <c r="N69" s="27" t="n">
        <v>3</v>
      </c>
      <c r="O69" s="27" t="n">
        <v>3</v>
      </c>
      <c r="P69" s="27" t="n">
        <v>4</v>
      </c>
      <c r="Q69" s="27" t="n">
        <v>3</v>
      </c>
      <c r="R69" s="27" t="n">
        <v>3</v>
      </c>
      <c r="S69" s="27" t="n">
        <v>0</v>
      </c>
      <c r="T69" s="27" t="n">
        <v>3</v>
      </c>
      <c r="U69" s="27" t="n">
        <v>3</v>
      </c>
      <c r="V69" s="27" t="n">
        <v>6</v>
      </c>
      <c r="W69" s="27" t="n">
        <v>3</v>
      </c>
      <c r="X69" s="27" t="n">
        <v>6</v>
      </c>
      <c r="Y69" s="27" t="n">
        <v>6</v>
      </c>
      <c r="Z69" s="27" t="n">
        <v>0</v>
      </c>
      <c r="AA69" s="27" t="n">
        <v>0</v>
      </c>
      <c r="AB69" s="27" t="n">
        <v>6</v>
      </c>
      <c r="AC69" s="27" t="n">
        <v>0</v>
      </c>
      <c r="AD69" s="27" t="n">
        <v>0</v>
      </c>
      <c r="AE69" s="27" t="n">
        <v>0</v>
      </c>
      <c r="AF69" s="27" t="n">
        <v>6</v>
      </c>
      <c r="AG69" s="27" t="n">
        <v>3</v>
      </c>
      <c r="AH69" s="27" t="n">
        <v>3</v>
      </c>
      <c r="AI69" s="27" t="n">
        <v>6</v>
      </c>
      <c r="AJ69" s="27" t="n">
        <v>3</v>
      </c>
      <c r="AK69" s="27" t="n">
        <v>3</v>
      </c>
      <c r="AL69" s="27" t="n">
        <v>3</v>
      </c>
      <c r="AM69" s="27" t="n">
        <v>3</v>
      </c>
      <c r="AN69" s="27" t="n">
        <v>3</v>
      </c>
      <c r="AO69" s="27" t="n">
        <v>3</v>
      </c>
      <c r="AP69" s="27" t="n">
        <v>6</v>
      </c>
      <c r="AQ69" s="27" t="n">
        <v>3</v>
      </c>
      <c r="AR69" s="27" t="n">
        <v>3</v>
      </c>
      <c r="AS69" s="27" t="n">
        <v>6</v>
      </c>
      <c r="AT69" s="27" t="n">
        <v>3</v>
      </c>
      <c r="AU69" s="27" t="n">
        <v>3</v>
      </c>
      <c r="AV69" s="27" t="n">
        <v>6</v>
      </c>
      <c r="AW69" s="27" t="n">
        <v>3</v>
      </c>
      <c r="AX69" s="27" t="n">
        <v>3</v>
      </c>
      <c r="AY69" s="27" t="n">
        <v>3</v>
      </c>
      <c r="AZ69" s="27" t="n">
        <v>0</v>
      </c>
      <c r="BA69" s="27" t="n">
        <v>0</v>
      </c>
      <c r="BB69" s="27" t="n">
        <v>0</v>
      </c>
      <c r="BC69" s="27" t="n">
        <v>0</v>
      </c>
      <c r="BD69" s="27" t="n">
        <v>6</v>
      </c>
      <c r="BE69" s="27" t="n">
        <v>3</v>
      </c>
      <c r="BF69" s="27" t="n">
        <v>6</v>
      </c>
      <c r="BG69" s="27" t="n">
        <v>3</v>
      </c>
      <c r="BH69" s="27" t="n">
        <v>3</v>
      </c>
      <c r="BI69" s="27" t="n">
        <v>0</v>
      </c>
      <c r="BJ69" s="27" t="n">
        <v>3</v>
      </c>
      <c r="BK69" s="27" t="n">
        <v>3</v>
      </c>
      <c r="BL69" s="27" t="n">
        <v>3</v>
      </c>
      <c r="BM69" s="27" t="n">
        <v>3</v>
      </c>
      <c r="BN69" s="27" t="n">
        <v>0</v>
      </c>
      <c r="BO69" s="27" t="n">
        <v>0</v>
      </c>
      <c r="BP69" s="27" t="n">
        <v>0</v>
      </c>
      <c r="BQ69" s="27" t="n">
        <v>0</v>
      </c>
      <c r="BR69" s="27" t="n">
        <v>3</v>
      </c>
      <c r="BS69" s="27" t="n">
        <v>0</v>
      </c>
      <c r="BT69" s="27" t="n">
        <v>0</v>
      </c>
      <c r="BU69" s="27" t="n">
        <v>0</v>
      </c>
      <c r="BV69" s="27" t="n">
        <v>0</v>
      </c>
      <c r="BW69" s="27" t="n">
        <v>0</v>
      </c>
      <c r="BX69" s="27" t="n">
        <v>0</v>
      </c>
      <c r="BY69" s="27" t="n">
        <v>0</v>
      </c>
      <c r="BZ69" s="27" t="n">
        <v>0</v>
      </c>
      <c r="CA69" s="27" t="n">
        <v>0</v>
      </c>
      <c r="CB69" s="27" t="n">
        <v>0</v>
      </c>
      <c r="CC69" s="27" t="n">
        <v>0</v>
      </c>
      <c r="CD69" s="27" t="n">
        <v>0</v>
      </c>
      <c r="CE69" s="27" t="n">
        <v>0</v>
      </c>
      <c r="CF69" s="27" t="n">
        <v>0</v>
      </c>
      <c r="CG69" s="27" t="n">
        <v>0</v>
      </c>
      <c r="CH69" s="27" t="n">
        <v>0</v>
      </c>
      <c r="CI69" s="27" t="n">
        <v>0</v>
      </c>
      <c r="CJ69" s="27" t="n">
        <v>0</v>
      </c>
      <c r="CK69" s="27" t="n">
        <v>0</v>
      </c>
      <c r="CL69" s="27" t="n">
        <v>0</v>
      </c>
      <c r="CM69" s="27" t="n">
        <v>0</v>
      </c>
      <c r="CN69" s="27" t="n">
        <v>0</v>
      </c>
      <c r="CO69" s="27" t="n">
        <v>0</v>
      </c>
      <c r="CP69" s="27" t="n">
        <v>0</v>
      </c>
      <c r="CQ69" s="27" t="n">
        <v>0</v>
      </c>
      <c r="CR69" s="27" t="n">
        <v>0</v>
      </c>
      <c r="CS69" s="27" t="n">
        <v>0</v>
      </c>
      <c r="CT69" s="27" t="n">
        <v>0</v>
      </c>
      <c r="CU69" s="27" t="n">
        <v>0</v>
      </c>
      <c r="CV69" s="27" t="n">
        <v>0</v>
      </c>
      <c r="CW69" s="27" t="n">
        <v>0</v>
      </c>
      <c r="CX69" s="27" t="n">
        <v>0</v>
      </c>
      <c r="CY69" s="27" t="n">
        <v>0</v>
      </c>
      <c r="CZ69" s="27" t="n">
        <v>0</v>
      </c>
      <c r="DA69" s="27" t="n">
        <v>0</v>
      </c>
    </row>
    <row r="70">
      <c r="A70" t="inlineStr">
        <is>
          <t>TPP-1369</t>
        </is>
      </c>
      <c r="B70" s="27" t="n">
        <v>0</v>
      </c>
      <c r="C70" s="27" t="n">
        <v>0</v>
      </c>
      <c r="D70" s="27" t="n">
        <v>0</v>
      </c>
      <c r="E70" s="27" t="n">
        <v>0</v>
      </c>
      <c r="F70" s="27" t="n">
        <v>0</v>
      </c>
      <c r="G70" s="27" t="n">
        <v>0</v>
      </c>
      <c r="H70" s="27" t="n">
        <v>0</v>
      </c>
      <c r="I70" s="27" t="n">
        <v>0</v>
      </c>
      <c r="J70" s="27" t="n">
        <v>0</v>
      </c>
      <c r="K70" s="27" t="n">
        <v>0</v>
      </c>
      <c r="L70" s="27" t="n">
        <v>0</v>
      </c>
      <c r="M70" s="27" t="n">
        <v>0</v>
      </c>
      <c r="N70" s="27" t="n">
        <v>0</v>
      </c>
      <c r="O70" s="27" t="n">
        <v>0</v>
      </c>
      <c r="P70" s="27" t="n">
        <v>0</v>
      </c>
      <c r="Q70" s="27" t="n">
        <v>0</v>
      </c>
      <c r="R70" s="27" t="n">
        <v>0</v>
      </c>
      <c r="S70" s="27" t="n">
        <v>0</v>
      </c>
      <c r="T70" s="27" t="n">
        <v>0</v>
      </c>
      <c r="U70" s="27" t="n">
        <v>0</v>
      </c>
      <c r="V70" s="27" t="n">
        <v>0</v>
      </c>
      <c r="W70" s="27" t="n">
        <v>0</v>
      </c>
      <c r="X70" s="27" t="n">
        <v>0</v>
      </c>
      <c r="Y70" s="27" t="n">
        <v>0</v>
      </c>
      <c r="Z70" s="27" t="n">
        <v>0</v>
      </c>
      <c r="AA70" s="27" t="n">
        <v>0</v>
      </c>
      <c r="AB70" s="27" t="n">
        <v>0</v>
      </c>
      <c r="AC70" s="27" t="n">
        <v>0</v>
      </c>
      <c r="AD70" s="27" t="n">
        <v>0</v>
      </c>
      <c r="AE70" s="27" t="n">
        <v>0</v>
      </c>
      <c r="AF70" s="27" t="n">
        <v>0</v>
      </c>
      <c r="AG70" s="27" t="n">
        <v>0</v>
      </c>
      <c r="AH70" s="27" t="n">
        <v>0</v>
      </c>
      <c r="AI70" s="27" t="n">
        <v>0</v>
      </c>
      <c r="AJ70" s="27" t="n">
        <v>0</v>
      </c>
      <c r="AK70" s="27" t="n">
        <v>0</v>
      </c>
      <c r="AL70" s="27" t="n">
        <v>0</v>
      </c>
      <c r="AM70" s="27" t="n">
        <v>0</v>
      </c>
      <c r="AN70" s="27" t="n">
        <v>0</v>
      </c>
      <c r="AO70" s="27" t="n">
        <v>0</v>
      </c>
      <c r="AP70" s="27" t="n">
        <v>0</v>
      </c>
      <c r="AQ70" s="27" t="n">
        <v>0</v>
      </c>
      <c r="AR70" s="27" t="n">
        <v>0</v>
      </c>
      <c r="AS70" s="27" t="n">
        <v>0</v>
      </c>
      <c r="AT70" s="27" t="n">
        <v>0</v>
      </c>
      <c r="AU70" s="27" t="n">
        <v>0</v>
      </c>
      <c r="AV70" s="27" t="n">
        <v>0</v>
      </c>
      <c r="AW70" s="27" t="n">
        <v>0</v>
      </c>
      <c r="AX70" s="27" t="n">
        <v>0</v>
      </c>
      <c r="AY70" s="27" t="n">
        <v>0</v>
      </c>
      <c r="AZ70" s="27" t="n">
        <v>0</v>
      </c>
      <c r="BA70" s="27" t="n">
        <v>0</v>
      </c>
      <c r="BB70" s="27" t="n">
        <v>0</v>
      </c>
      <c r="BC70" s="27" t="n">
        <v>0</v>
      </c>
      <c r="BD70" s="27" t="n">
        <v>0</v>
      </c>
      <c r="BE70" s="27" t="n">
        <v>0</v>
      </c>
      <c r="BF70" s="27" t="n">
        <v>0</v>
      </c>
      <c r="BG70" s="27" t="n">
        <v>0</v>
      </c>
      <c r="BH70" s="27" t="n">
        <v>0</v>
      </c>
      <c r="BI70" s="27" t="n">
        <v>0</v>
      </c>
      <c r="BJ70" s="27" t="n">
        <v>0</v>
      </c>
      <c r="BK70" s="27" t="n">
        <v>0</v>
      </c>
      <c r="BL70" s="27" t="n">
        <v>0</v>
      </c>
      <c r="BM70" s="27" t="n">
        <v>0</v>
      </c>
      <c r="BN70" s="27" t="n">
        <v>0</v>
      </c>
      <c r="BO70" s="27" t="n">
        <v>0</v>
      </c>
      <c r="BP70" s="27" t="n">
        <v>0</v>
      </c>
      <c r="BQ70" s="27" t="n">
        <v>0</v>
      </c>
      <c r="BR70" s="27" t="n">
        <v>0</v>
      </c>
      <c r="BS70" s="27" t="n">
        <v>0</v>
      </c>
      <c r="BT70" s="27" t="n">
        <v>0</v>
      </c>
      <c r="BU70" s="27" t="n">
        <v>0</v>
      </c>
      <c r="BV70" s="27" t="n">
        <v>0</v>
      </c>
      <c r="BW70" s="27" t="n">
        <v>0</v>
      </c>
      <c r="BX70" s="27" t="n">
        <v>0</v>
      </c>
      <c r="BY70" s="27" t="n">
        <v>0</v>
      </c>
      <c r="BZ70" s="27" t="n">
        <v>0</v>
      </c>
      <c r="CA70" s="27" t="n">
        <v>0</v>
      </c>
      <c r="CB70" s="27" t="n">
        <v>0</v>
      </c>
      <c r="CC70" s="27" t="n">
        <v>0</v>
      </c>
      <c r="CD70" s="27" t="n">
        <v>0</v>
      </c>
      <c r="CE70" s="27" t="n">
        <v>0</v>
      </c>
      <c r="CF70" s="27" t="n">
        <v>0</v>
      </c>
      <c r="CG70" s="27" t="n">
        <v>0</v>
      </c>
      <c r="CH70" s="27" t="n">
        <v>0</v>
      </c>
      <c r="CI70" s="27" t="n">
        <v>0</v>
      </c>
      <c r="CJ70" s="27" t="n">
        <v>0</v>
      </c>
      <c r="CK70" s="27" t="n">
        <v>0</v>
      </c>
      <c r="CL70" s="27" t="n">
        <v>0</v>
      </c>
      <c r="CM70" s="27" t="n">
        <v>0</v>
      </c>
      <c r="CN70" s="27" t="n">
        <v>0</v>
      </c>
      <c r="CO70" s="27" t="n">
        <v>0</v>
      </c>
      <c r="CP70" s="27" t="n">
        <v>0</v>
      </c>
      <c r="CQ70" s="27" t="n">
        <v>0</v>
      </c>
      <c r="CR70" s="27" t="n">
        <v>0</v>
      </c>
      <c r="CS70" s="27" t="n">
        <v>0</v>
      </c>
      <c r="CT70" s="27" t="n">
        <v>0</v>
      </c>
      <c r="CU70" s="27" t="n">
        <v>0</v>
      </c>
      <c r="CV70" s="27" t="n">
        <v>0</v>
      </c>
      <c r="CW70" s="27" t="n">
        <v>0</v>
      </c>
      <c r="CX70" s="27" t="n">
        <v>0</v>
      </c>
      <c r="CY70" s="27" t="n">
        <v>0</v>
      </c>
      <c r="CZ70" s="27" t="n">
        <v>0</v>
      </c>
      <c r="DA70" s="27" t="n">
        <v>0</v>
      </c>
    </row>
    <row r="71">
      <c r="A71" t="inlineStr">
        <is>
          <t>TPP-1378</t>
        </is>
      </c>
      <c r="B71" s="27" t="n">
        <v>0</v>
      </c>
      <c r="C71" s="27" t="n">
        <v>5</v>
      </c>
      <c r="D71" s="27" t="n">
        <v>0</v>
      </c>
      <c r="E71" s="27" t="n">
        <v>5</v>
      </c>
      <c r="F71" s="27" t="n">
        <v>5</v>
      </c>
      <c r="G71" s="27" t="n">
        <v>5</v>
      </c>
      <c r="H71" s="27" t="n">
        <v>3</v>
      </c>
      <c r="I71" s="27" t="n">
        <v>5</v>
      </c>
      <c r="J71" s="27" t="n">
        <v>5</v>
      </c>
      <c r="K71" s="27" t="n">
        <v>6</v>
      </c>
      <c r="L71" s="27" t="n">
        <v>4</v>
      </c>
      <c r="M71" s="27" t="n">
        <v>6</v>
      </c>
      <c r="N71" s="27" t="n">
        <v>4</v>
      </c>
      <c r="O71" s="27" t="n">
        <v>6</v>
      </c>
      <c r="P71" s="27" t="n">
        <v>5</v>
      </c>
      <c r="Q71" s="27" t="n">
        <v>5</v>
      </c>
      <c r="R71" s="27" t="n">
        <v>5</v>
      </c>
      <c r="S71" s="27" t="n">
        <v>0</v>
      </c>
      <c r="T71" s="27" t="n">
        <v>6</v>
      </c>
      <c r="U71" s="27" t="n">
        <v>6</v>
      </c>
      <c r="V71" s="27" t="n">
        <v>6</v>
      </c>
      <c r="W71" s="27" t="n">
        <v>3</v>
      </c>
      <c r="X71" s="27" t="n">
        <v>3</v>
      </c>
      <c r="Y71" s="27" t="n">
        <v>6</v>
      </c>
      <c r="Z71" s="27" t="n">
        <v>0</v>
      </c>
      <c r="AA71" s="27" t="n">
        <v>4</v>
      </c>
      <c r="AB71" s="27" t="n">
        <v>0</v>
      </c>
      <c r="AC71" s="27" t="n">
        <v>0</v>
      </c>
      <c r="AD71" s="27" t="n">
        <v>8</v>
      </c>
      <c r="AE71" s="27" t="n">
        <v>4</v>
      </c>
      <c r="AF71" s="27" t="n">
        <v>4</v>
      </c>
      <c r="AG71" s="27" t="n">
        <v>4</v>
      </c>
      <c r="AH71" s="27" t="n">
        <v>4</v>
      </c>
      <c r="AI71" s="27" t="n">
        <v>4</v>
      </c>
      <c r="AJ71" s="27" t="n">
        <v>4</v>
      </c>
      <c r="AK71" s="27" t="n">
        <v>4</v>
      </c>
      <c r="AL71" s="27" t="n">
        <v>4</v>
      </c>
      <c r="AM71" s="27" t="n">
        <v>8</v>
      </c>
      <c r="AN71" s="27" t="n">
        <v>4</v>
      </c>
      <c r="AO71" s="27" t="n">
        <v>4</v>
      </c>
      <c r="AP71" s="27" t="n">
        <v>4</v>
      </c>
      <c r="AQ71" s="27" t="n">
        <v>4</v>
      </c>
      <c r="AR71" s="27" t="n">
        <v>4</v>
      </c>
      <c r="AS71" s="27" t="n">
        <v>8</v>
      </c>
      <c r="AT71" s="27" t="n">
        <v>8</v>
      </c>
      <c r="AU71" s="27" t="n">
        <v>8</v>
      </c>
      <c r="AV71" s="27" t="n">
        <v>4</v>
      </c>
      <c r="AW71" s="27" t="n">
        <v>4</v>
      </c>
      <c r="AX71" s="27" t="n">
        <v>8</v>
      </c>
      <c r="AY71" s="27" t="n">
        <v>8</v>
      </c>
      <c r="AZ71" s="27" t="n">
        <v>0</v>
      </c>
      <c r="BA71" s="27" t="n">
        <v>0</v>
      </c>
      <c r="BB71" s="27" t="n">
        <v>0</v>
      </c>
      <c r="BC71" s="27" t="n">
        <v>4</v>
      </c>
      <c r="BD71" s="27" t="n">
        <v>8</v>
      </c>
      <c r="BE71" s="27" t="n">
        <v>4</v>
      </c>
      <c r="BF71" s="27" t="n">
        <v>4</v>
      </c>
      <c r="BG71" s="27" t="n">
        <v>4</v>
      </c>
      <c r="BH71" s="27" t="n">
        <v>4</v>
      </c>
      <c r="BI71" s="27" t="n">
        <v>4</v>
      </c>
      <c r="BJ71" s="27" t="n">
        <v>4</v>
      </c>
      <c r="BK71" s="27" t="n">
        <v>4</v>
      </c>
      <c r="BL71" s="27" t="n">
        <v>4</v>
      </c>
      <c r="BM71" s="27" t="n">
        <v>4</v>
      </c>
      <c r="BN71" s="27" t="n">
        <v>4</v>
      </c>
      <c r="BO71" s="27" t="n">
        <v>0</v>
      </c>
      <c r="BP71" s="27" t="n">
        <v>0</v>
      </c>
      <c r="BQ71" s="27" t="n">
        <v>4</v>
      </c>
      <c r="BR71" s="27" t="n">
        <v>0</v>
      </c>
      <c r="BS71" s="27" t="n">
        <v>4</v>
      </c>
      <c r="BT71" s="27" t="n">
        <v>0</v>
      </c>
      <c r="BU71" s="27" t="n">
        <v>4</v>
      </c>
      <c r="BV71" s="27" t="n">
        <v>0</v>
      </c>
      <c r="BW71" s="27" t="n">
        <v>0</v>
      </c>
      <c r="BX71" s="27" t="n">
        <v>0</v>
      </c>
      <c r="BY71" s="27" t="n">
        <v>0</v>
      </c>
      <c r="BZ71" s="27" t="n">
        <v>0</v>
      </c>
      <c r="CA71" s="27" t="n">
        <v>0</v>
      </c>
      <c r="CB71" s="27" t="n">
        <v>0</v>
      </c>
      <c r="CC71" s="27" t="n">
        <v>0</v>
      </c>
      <c r="CD71" s="27" t="n">
        <v>0</v>
      </c>
      <c r="CE71" s="27" t="n">
        <v>0</v>
      </c>
      <c r="CF71" s="27" t="n">
        <v>0</v>
      </c>
      <c r="CG71" s="27" t="n">
        <v>0</v>
      </c>
      <c r="CH71" s="27" t="n">
        <v>0</v>
      </c>
      <c r="CI71" s="27" t="n">
        <v>0</v>
      </c>
      <c r="CJ71" s="27" t="n">
        <v>0</v>
      </c>
      <c r="CK71" s="27" t="n">
        <v>0</v>
      </c>
      <c r="CL71" s="27" t="n">
        <v>0</v>
      </c>
      <c r="CM71" s="27" t="n">
        <v>0</v>
      </c>
      <c r="CN71" s="27" t="n">
        <v>0</v>
      </c>
      <c r="CO71" s="27" t="n">
        <v>0</v>
      </c>
      <c r="CP71" s="27" t="n">
        <v>0</v>
      </c>
      <c r="CQ71" s="27" t="n">
        <v>0</v>
      </c>
      <c r="CR71" s="27" t="n">
        <v>0</v>
      </c>
      <c r="CS71" s="27" t="n">
        <v>0</v>
      </c>
      <c r="CT71" s="27" t="n">
        <v>0</v>
      </c>
      <c r="CU71" s="27" t="n">
        <v>0</v>
      </c>
      <c r="CV71" s="27" t="n">
        <v>0</v>
      </c>
      <c r="CW71" s="27" t="n">
        <v>0</v>
      </c>
      <c r="CX71" s="27" t="n">
        <v>0</v>
      </c>
      <c r="CY71" s="27" t="n">
        <v>0</v>
      </c>
      <c r="CZ71" s="27" t="n">
        <v>0</v>
      </c>
      <c r="DA71" s="27" t="n">
        <v>0</v>
      </c>
    </row>
    <row r="72">
      <c r="A72" t="inlineStr">
        <is>
          <t>TPP-1379</t>
        </is>
      </c>
      <c r="B72" s="27" t="n">
        <v>0</v>
      </c>
      <c r="C72" s="27" t="n">
        <v>0</v>
      </c>
      <c r="D72" s="27" t="n">
        <v>0</v>
      </c>
      <c r="E72" s="27" t="n">
        <v>3</v>
      </c>
      <c r="F72" s="27" t="n">
        <v>5</v>
      </c>
      <c r="G72" s="27" t="n">
        <v>3</v>
      </c>
      <c r="H72" s="27" t="n">
        <v>3</v>
      </c>
      <c r="I72" s="27" t="n">
        <v>3</v>
      </c>
      <c r="J72" s="27" t="n">
        <v>0</v>
      </c>
      <c r="K72" s="27" t="n">
        <v>0</v>
      </c>
      <c r="L72" s="27" t="n">
        <v>3</v>
      </c>
      <c r="M72" s="27" t="n">
        <v>3</v>
      </c>
      <c r="N72" s="27" t="n">
        <v>3</v>
      </c>
      <c r="O72" s="27" t="n">
        <v>3</v>
      </c>
      <c r="P72" s="27" t="n">
        <v>2</v>
      </c>
      <c r="Q72" s="27" t="n">
        <v>0</v>
      </c>
      <c r="R72" s="27" t="n">
        <v>3</v>
      </c>
      <c r="S72" s="27" t="n">
        <v>0</v>
      </c>
      <c r="T72" s="27" t="n">
        <v>3</v>
      </c>
      <c r="U72" s="27" t="n">
        <v>3</v>
      </c>
      <c r="V72" s="27" t="n">
        <v>3</v>
      </c>
      <c r="W72" s="27" t="n">
        <v>0</v>
      </c>
      <c r="X72" s="27" t="n">
        <v>3</v>
      </c>
      <c r="Y72" s="27" t="n">
        <v>3</v>
      </c>
      <c r="Z72" s="27" t="n">
        <v>0</v>
      </c>
      <c r="AA72" s="27" t="n">
        <v>0</v>
      </c>
      <c r="AB72" s="27" t="n">
        <v>3</v>
      </c>
      <c r="AC72" s="27" t="n">
        <v>0</v>
      </c>
      <c r="AD72" s="27" t="n">
        <v>0</v>
      </c>
      <c r="AE72" s="27" t="n">
        <v>3</v>
      </c>
      <c r="AF72" s="27" t="n">
        <v>3</v>
      </c>
      <c r="AG72" s="27" t="n">
        <v>3</v>
      </c>
      <c r="AH72" s="27" t="n">
        <v>3</v>
      </c>
      <c r="AI72" s="27" t="n">
        <v>3</v>
      </c>
      <c r="AJ72" s="27" t="n">
        <v>3</v>
      </c>
      <c r="AK72" s="27" t="n">
        <v>3</v>
      </c>
      <c r="AL72" s="27" t="n">
        <v>0</v>
      </c>
      <c r="AM72" s="27" t="n">
        <v>3</v>
      </c>
      <c r="AN72" s="27" t="n">
        <v>3</v>
      </c>
      <c r="AO72" s="27" t="n">
        <v>3</v>
      </c>
      <c r="AP72" s="27" t="n">
        <v>3</v>
      </c>
      <c r="AQ72" s="27" t="n">
        <v>3</v>
      </c>
      <c r="AR72" s="27" t="n">
        <v>3</v>
      </c>
      <c r="AS72" s="27" t="n">
        <v>3</v>
      </c>
      <c r="AT72" s="27" t="n">
        <v>3</v>
      </c>
      <c r="AU72" s="27" t="n">
        <v>3</v>
      </c>
      <c r="AV72" s="27" t="n">
        <v>3</v>
      </c>
      <c r="AW72" s="27" t="n">
        <v>3</v>
      </c>
      <c r="AX72" s="27" t="n">
        <v>3</v>
      </c>
      <c r="AY72" s="27" t="n">
        <v>3</v>
      </c>
      <c r="AZ72" s="27" t="n">
        <v>0</v>
      </c>
      <c r="BA72" s="27" t="n">
        <v>0</v>
      </c>
      <c r="BB72" s="27" t="n">
        <v>0</v>
      </c>
      <c r="BC72" s="27" t="n">
        <v>0</v>
      </c>
      <c r="BD72" s="27" t="n">
        <v>3</v>
      </c>
      <c r="BE72" s="27" t="n">
        <v>3</v>
      </c>
      <c r="BF72" s="27" t="n">
        <v>3</v>
      </c>
      <c r="BG72" s="27" t="n">
        <v>3</v>
      </c>
      <c r="BH72" s="27" t="n">
        <v>0</v>
      </c>
      <c r="BI72" s="27" t="n">
        <v>3</v>
      </c>
      <c r="BJ72" s="27" t="n">
        <v>0</v>
      </c>
      <c r="BK72" s="27" t="n">
        <v>3</v>
      </c>
      <c r="BL72" s="27" t="n">
        <v>0</v>
      </c>
      <c r="BM72" s="27" t="n">
        <v>3</v>
      </c>
      <c r="BN72" s="27" t="n">
        <v>0</v>
      </c>
      <c r="BO72" s="27" t="n">
        <v>0</v>
      </c>
      <c r="BP72" s="27" t="n">
        <v>0</v>
      </c>
      <c r="BQ72" s="27" t="n">
        <v>0</v>
      </c>
      <c r="BR72" s="27" t="n">
        <v>1</v>
      </c>
      <c r="BS72" s="27" t="n">
        <v>0</v>
      </c>
      <c r="BT72" s="27" t="n">
        <v>0</v>
      </c>
      <c r="BU72" s="27" t="n">
        <v>0</v>
      </c>
      <c r="BV72" s="27" t="n">
        <v>0</v>
      </c>
      <c r="BW72" s="27" t="n">
        <v>0</v>
      </c>
      <c r="BX72" s="27" t="n">
        <v>0</v>
      </c>
      <c r="BY72" s="27" t="n">
        <v>0</v>
      </c>
      <c r="BZ72" s="27" t="n">
        <v>0</v>
      </c>
      <c r="CA72" s="27" t="n">
        <v>0</v>
      </c>
      <c r="CB72" s="27" t="n">
        <v>0</v>
      </c>
      <c r="CC72" s="27" t="n">
        <v>0</v>
      </c>
      <c r="CD72" s="27" t="n">
        <v>0</v>
      </c>
      <c r="CE72" s="27" t="n">
        <v>0</v>
      </c>
      <c r="CF72" s="27" t="n">
        <v>0</v>
      </c>
      <c r="CG72" s="27" t="n">
        <v>0</v>
      </c>
      <c r="CH72" s="27" t="n">
        <v>0</v>
      </c>
      <c r="CI72" s="27" t="n">
        <v>0</v>
      </c>
      <c r="CJ72" s="27" t="n">
        <v>0</v>
      </c>
      <c r="CK72" s="27" t="n">
        <v>0</v>
      </c>
      <c r="CL72" s="27" t="n">
        <v>0</v>
      </c>
      <c r="CM72" s="27" t="n">
        <v>0</v>
      </c>
      <c r="CN72" s="27" t="n">
        <v>0</v>
      </c>
      <c r="CO72" s="27" t="n">
        <v>0</v>
      </c>
      <c r="CP72" s="27" t="n">
        <v>0</v>
      </c>
      <c r="CQ72" s="27" t="n">
        <v>0</v>
      </c>
      <c r="CR72" s="27" t="n">
        <v>0</v>
      </c>
      <c r="CS72" s="27" t="n">
        <v>0</v>
      </c>
      <c r="CT72" s="27" t="n">
        <v>0</v>
      </c>
      <c r="CU72" s="27" t="n">
        <v>0</v>
      </c>
      <c r="CV72" s="27" t="n">
        <v>0</v>
      </c>
      <c r="CW72" s="27" t="n">
        <v>0</v>
      </c>
      <c r="CX72" s="27" t="n">
        <v>0</v>
      </c>
      <c r="CY72" s="27" t="n">
        <v>0</v>
      </c>
      <c r="CZ72" s="27" t="n">
        <v>0</v>
      </c>
      <c r="DA72" s="27" t="n">
        <v>0</v>
      </c>
    </row>
    <row r="73">
      <c r="A73" t="inlineStr">
        <is>
          <t>TPP-358</t>
        </is>
      </c>
      <c r="B73" s="27" t="n">
        <v>0</v>
      </c>
      <c r="C73" s="27" t="n">
        <v>0</v>
      </c>
      <c r="D73" s="27" t="n">
        <v>0</v>
      </c>
      <c r="E73" s="27" t="n">
        <v>0</v>
      </c>
      <c r="F73" s="27" t="n">
        <v>0</v>
      </c>
      <c r="G73" s="27" t="n">
        <v>0</v>
      </c>
      <c r="H73" s="27" t="n">
        <v>0</v>
      </c>
      <c r="I73" s="27" t="n">
        <v>0</v>
      </c>
      <c r="J73" s="27" t="n">
        <v>0</v>
      </c>
      <c r="K73" s="27" t="n">
        <v>0</v>
      </c>
      <c r="L73" s="27" t="n">
        <v>0</v>
      </c>
      <c r="M73" s="27" t="n">
        <v>0</v>
      </c>
      <c r="N73" s="27" t="n">
        <v>0</v>
      </c>
      <c r="O73" s="27" t="n">
        <v>0</v>
      </c>
      <c r="P73" s="27" t="n">
        <v>0</v>
      </c>
      <c r="Q73" s="27" t="n">
        <v>0</v>
      </c>
      <c r="R73" s="27" t="n">
        <v>0</v>
      </c>
      <c r="S73" s="27" t="n">
        <v>0</v>
      </c>
      <c r="T73" s="27" t="n">
        <v>0</v>
      </c>
      <c r="U73" s="27" t="n">
        <v>0</v>
      </c>
      <c r="V73" s="27" t="n">
        <v>0</v>
      </c>
      <c r="W73" s="27" t="n">
        <v>0</v>
      </c>
      <c r="X73" s="27" t="n">
        <v>0</v>
      </c>
      <c r="Y73" s="27" t="n">
        <v>0</v>
      </c>
      <c r="Z73" s="27" t="n">
        <v>0</v>
      </c>
      <c r="AA73" s="27" t="n">
        <v>0</v>
      </c>
      <c r="AB73" s="27" t="n">
        <v>0</v>
      </c>
      <c r="AC73" s="27" t="n">
        <v>0</v>
      </c>
      <c r="AD73" s="27" t="n">
        <v>0</v>
      </c>
      <c r="AE73" s="27" t="n">
        <v>0</v>
      </c>
      <c r="AF73" s="27" t="n">
        <v>0</v>
      </c>
      <c r="AG73" s="27" t="n">
        <v>0</v>
      </c>
      <c r="AH73" s="27" t="n">
        <v>0</v>
      </c>
      <c r="AI73" s="27" t="n">
        <v>0</v>
      </c>
      <c r="AJ73" s="27" t="n">
        <v>0</v>
      </c>
      <c r="AK73" s="27" t="n">
        <v>0</v>
      </c>
      <c r="AL73" s="27" t="n">
        <v>0</v>
      </c>
      <c r="AM73" s="27" t="n">
        <v>0</v>
      </c>
      <c r="AN73" s="27" t="n">
        <v>0</v>
      </c>
      <c r="AO73" s="27" t="n">
        <v>0</v>
      </c>
      <c r="AP73" s="27" t="n">
        <v>0</v>
      </c>
      <c r="AQ73" s="27" t="n">
        <v>0</v>
      </c>
      <c r="AR73" s="27" t="n">
        <v>0</v>
      </c>
      <c r="AS73" s="27" t="n">
        <v>0</v>
      </c>
      <c r="AT73" s="27" t="n">
        <v>0</v>
      </c>
      <c r="AU73" s="27" t="n">
        <v>0</v>
      </c>
      <c r="AV73" s="27" t="n">
        <v>0</v>
      </c>
      <c r="AW73" s="27" t="n">
        <v>0</v>
      </c>
      <c r="AX73" s="27" t="n">
        <v>0</v>
      </c>
      <c r="AY73" s="27" t="n">
        <v>0</v>
      </c>
      <c r="AZ73" s="27" t="n">
        <v>0</v>
      </c>
      <c r="BA73" s="27" t="n">
        <v>0</v>
      </c>
      <c r="BB73" s="27" t="n">
        <v>0</v>
      </c>
      <c r="BC73" s="27" t="n">
        <v>0</v>
      </c>
      <c r="BD73" s="27" t="n">
        <v>0</v>
      </c>
      <c r="BE73" s="27" t="n">
        <v>0</v>
      </c>
      <c r="BF73" s="27" t="n">
        <v>0</v>
      </c>
      <c r="BG73" s="27" t="n">
        <v>0</v>
      </c>
      <c r="BH73" s="27" t="n">
        <v>0</v>
      </c>
      <c r="BI73" s="27" t="n">
        <v>0</v>
      </c>
      <c r="BJ73" s="27" t="n">
        <v>0</v>
      </c>
      <c r="BK73" s="27" t="n">
        <v>0</v>
      </c>
      <c r="BL73" s="27" t="n">
        <v>0</v>
      </c>
      <c r="BM73" s="27" t="n">
        <v>0</v>
      </c>
      <c r="BN73" s="27" t="n">
        <v>0</v>
      </c>
      <c r="BO73" s="27" t="n">
        <v>0</v>
      </c>
      <c r="BP73" s="27" t="n">
        <v>0</v>
      </c>
      <c r="BQ73" s="27" t="n">
        <v>0</v>
      </c>
      <c r="BR73" s="27" t="n">
        <v>0</v>
      </c>
      <c r="BS73" s="27" t="n">
        <v>0</v>
      </c>
      <c r="BT73" s="27" t="n">
        <v>0</v>
      </c>
      <c r="BU73" s="27" t="n">
        <v>0</v>
      </c>
      <c r="BV73" s="27" t="n">
        <v>0</v>
      </c>
      <c r="BW73" s="27" t="n">
        <v>0</v>
      </c>
      <c r="BX73" s="27" t="n">
        <v>0</v>
      </c>
      <c r="BY73" s="27" t="n">
        <v>0</v>
      </c>
      <c r="BZ73" s="27" t="n">
        <v>0</v>
      </c>
      <c r="CA73" s="27" t="n">
        <v>0</v>
      </c>
      <c r="CB73" s="27" t="n">
        <v>0</v>
      </c>
      <c r="CC73" s="27" t="n">
        <v>0</v>
      </c>
      <c r="CD73" s="27" t="n">
        <v>0</v>
      </c>
      <c r="CE73" s="27" t="n">
        <v>0</v>
      </c>
      <c r="CF73" s="27" t="n">
        <v>0</v>
      </c>
      <c r="CG73" s="27" t="n">
        <v>0</v>
      </c>
      <c r="CH73" s="27" t="n">
        <v>0</v>
      </c>
      <c r="CI73" s="27" t="n">
        <v>0</v>
      </c>
      <c r="CJ73" s="27" t="n">
        <v>0</v>
      </c>
      <c r="CK73" s="27" t="n">
        <v>0</v>
      </c>
      <c r="CL73" s="27" t="n">
        <v>0</v>
      </c>
      <c r="CM73" s="27" t="n">
        <v>0</v>
      </c>
      <c r="CN73" s="27" t="n">
        <v>0</v>
      </c>
      <c r="CO73" s="27" t="n">
        <v>0</v>
      </c>
      <c r="CP73" s="27" t="n">
        <v>0</v>
      </c>
      <c r="CQ73" s="27" t="n">
        <v>0</v>
      </c>
      <c r="CR73" s="27" t="n">
        <v>0</v>
      </c>
      <c r="CS73" s="27" t="n">
        <v>0</v>
      </c>
      <c r="CT73" s="27" t="n">
        <v>0</v>
      </c>
      <c r="CU73" s="27" t="n">
        <v>0</v>
      </c>
      <c r="CV73" s="27" t="n">
        <v>0</v>
      </c>
      <c r="CW73" s="27" t="n">
        <v>0</v>
      </c>
      <c r="CX73" s="27" t="n">
        <v>0</v>
      </c>
      <c r="CY73" s="27" t="n">
        <v>0</v>
      </c>
      <c r="CZ73" s="27" t="n">
        <v>0</v>
      </c>
      <c r="DA73" s="27" t="n">
        <v>0</v>
      </c>
    </row>
    <row r="74">
      <c r="A74" t="inlineStr">
        <is>
          <t>TPP-533</t>
        </is>
      </c>
      <c r="B74" s="27" t="n">
        <v>0</v>
      </c>
      <c r="C74" s="27" t="n">
        <v>0</v>
      </c>
      <c r="D74" s="27" t="n">
        <v>0</v>
      </c>
      <c r="E74" s="27" t="n">
        <v>0</v>
      </c>
      <c r="F74" s="27" t="n">
        <v>0</v>
      </c>
      <c r="G74" s="27" t="n">
        <v>0</v>
      </c>
      <c r="H74" s="27" t="n">
        <v>0</v>
      </c>
      <c r="I74" s="27" t="n">
        <v>0</v>
      </c>
      <c r="J74" s="27" t="n">
        <v>0</v>
      </c>
      <c r="K74" s="27" t="n">
        <v>0</v>
      </c>
      <c r="L74" s="27" t="n">
        <v>0</v>
      </c>
      <c r="M74" s="27" t="n">
        <v>0</v>
      </c>
      <c r="N74" s="27" t="n">
        <v>0</v>
      </c>
      <c r="O74" s="27" t="n">
        <v>0</v>
      </c>
      <c r="P74" s="27" t="n">
        <v>0</v>
      </c>
      <c r="Q74" s="27" t="n">
        <v>0</v>
      </c>
      <c r="R74" s="27" t="n">
        <v>0</v>
      </c>
      <c r="S74" s="27" t="n">
        <v>0</v>
      </c>
      <c r="T74" s="27" t="n">
        <v>0</v>
      </c>
      <c r="U74" s="27" t="n">
        <v>0</v>
      </c>
      <c r="V74" s="27" t="n">
        <v>0</v>
      </c>
      <c r="W74" s="27" t="n">
        <v>0</v>
      </c>
      <c r="X74" s="27" t="n">
        <v>0</v>
      </c>
      <c r="Y74" s="27" t="n">
        <v>0</v>
      </c>
      <c r="Z74" s="27" t="n">
        <v>0</v>
      </c>
      <c r="AA74" s="27" t="n">
        <v>0</v>
      </c>
      <c r="AB74" s="27" t="n">
        <v>0</v>
      </c>
      <c r="AC74" s="27" t="n">
        <v>0</v>
      </c>
      <c r="AD74" s="27" t="n">
        <v>0</v>
      </c>
      <c r="AE74" s="27" t="n">
        <v>0</v>
      </c>
      <c r="AF74" s="27" t="n">
        <v>0</v>
      </c>
      <c r="AG74" s="27" t="n">
        <v>0</v>
      </c>
      <c r="AH74" s="27" t="n">
        <v>0</v>
      </c>
      <c r="AI74" s="27" t="n">
        <v>0</v>
      </c>
      <c r="AJ74" s="27" t="n">
        <v>0</v>
      </c>
      <c r="AK74" s="27" t="n">
        <v>0</v>
      </c>
      <c r="AL74" s="27" t="n">
        <v>0</v>
      </c>
      <c r="AM74" s="27" t="n">
        <v>0</v>
      </c>
      <c r="AN74" s="27" t="n">
        <v>0</v>
      </c>
      <c r="AO74" s="27" t="n">
        <v>0</v>
      </c>
      <c r="AP74" s="27" t="n">
        <v>0</v>
      </c>
      <c r="AQ74" s="27" t="n">
        <v>0</v>
      </c>
      <c r="AR74" s="27" t="n">
        <v>0</v>
      </c>
      <c r="AS74" s="27" t="n">
        <v>0</v>
      </c>
      <c r="AT74" s="27" t="n">
        <v>0</v>
      </c>
      <c r="AU74" s="27" t="n">
        <v>0</v>
      </c>
      <c r="AV74" s="27" t="n">
        <v>0</v>
      </c>
      <c r="AW74" s="27" t="n">
        <v>0</v>
      </c>
      <c r="AX74" s="27" t="n">
        <v>0</v>
      </c>
      <c r="AY74" s="27" t="n">
        <v>0</v>
      </c>
      <c r="AZ74" s="27" t="n">
        <v>0</v>
      </c>
      <c r="BA74" s="27" t="n">
        <v>0</v>
      </c>
      <c r="BB74" s="27" t="n">
        <v>0</v>
      </c>
      <c r="BC74" s="27" t="n">
        <v>0</v>
      </c>
      <c r="BD74" s="27" t="n">
        <v>0</v>
      </c>
      <c r="BE74" s="27" t="n">
        <v>0</v>
      </c>
      <c r="BF74" s="27" t="n">
        <v>0</v>
      </c>
      <c r="BG74" s="27" t="n">
        <v>0</v>
      </c>
      <c r="BH74" s="27" t="n">
        <v>0</v>
      </c>
      <c r="BI74" s="27" t="n">
        <v>0</v>
      </c>
      <c r="BJ74" s="27" t="n">
        <v>0</v>
      </c>
      <c r="BK74" s="27" t="n">
        <v>0</v>
      </c>
      <c r="BL74" s="27" t="n">
        <v>0</v>
      </c>
      <c r="BM74" s="27" t="n">
        <v>0</v>
      </c>
      <c r="BN74" s="27" t="n">
        <v>0</v>
      </c>
      <c r="BO74" s="27" t="n">
        <v>0</v>
      </c>
      <c r="BP74" s="27" t="n">
        <v>0</v>
      </c>
      <c r="BQ74" s="27" t="n">
        <v>0</v>
      </c>
      <c r="BR74" s="27" t="n">
        <v>0</v>
      </c>
      <c r="BS74" s="27" t="n">
        <v>0</v>
      </c>
      <c r="BT74" s="27" t="n">
        <v>0</v>
      </c>
      <c r="BU74" s="27" t="n">
        <v>0</v>
      </c>
      <c r="BV74" s="27" t="n">
        <v>0</v>
      </c>
      <c r="BW74" s="27" t="n">
        <v>0</v>
      </c>
      <c r="BX74" s="27" t="n">
        <v>0</v>
      </c>
      <c r="BY74" s="27" t="n">
        <v>0</v>
      </c>
      <c r="BZ74" s="27" t="n">
        <v>0</v>
      </c>
      <c r="CA74" s="27" t="n">
        <v>0</v>
      </c>
      <c r="CB74" s="27" t="n">
        <v>0</v>
      </c>
      <c r="CC74" s="27" t="n">
        <v>0</v>
      </c>
      <c r="CD74" s="27" t="n">
        <v>0</v>
      </c>
      <c r="CE74" s="27" t="n">
        <v>0</v>
      </c>
      <c r="CF74" s="27" t="n">
        <v>0</v>
      </c>
      <c r="CG74" s="27" t="n">
        <v>0</v>
      </c>
      <c r="CH74" s="27" t="n">
        <v>0</v>
      </c>
      <c r="CI74" s="27" t="n">
        <v>0</v>
      </c>
      <c r="CJ74" s="27" t="n">
        <v>0</v>
      </c>
      <c r="CK74" s="27" t="n">
        <v>0</v>
      </c>
      <c r="CL74" s="27" t="n">
        <v>0</v>
      </c>
      <c r="CM74" s="27" t="n">
        <v>0</v>
      </c>
      <c r="CN74" s="27" t="n">
        <v>0</v>
      </c>
      <c r="CO74" s="27" t="n">
        <v>0</v>
      </c>
      <c r="CP74" s="27" t="n">
        <v>0</v>
      </c>
      <c r="CQ74" s="27" t="n">
        <v>0</v>
      </c>
      <c r="CR74" s="27" t="n">
        <v>0</v>
      </c>
      <c r="CS74" s="27" t="n">
        <v>0</v>
      </c>
      <c r="CT74" s="27" t="n">
        <v>0</v>
      </c>
      <c r="CU74" s="27" t="n">
        <v>0</v>
      </c>
      <c r="CV74" s="27" t="n">
        <v>0</v>
      </c>
      <c r="CW74" s="27" t="n">
        <v>0</v>
      </c>
      <c r="CX74" s="27" t="n">
        <v>0</v>
      </c>
      <c r="CY74" s="27" t="n">
        <v>0</v>
      </c>
      <c r="CZ74" s="27" t="n">
        <v>0</v>
      </c>
      <c r="DA74" s="27" t="n">
        <v>0</v>
      </c>
    </row>
    <row r="75">
      <c r="A75" t="inlineStr">
        <is>
          <t>TPP-611</t>
        </is>
      </c>
      <c r="B75">
        <f>SUMPRODUCT((M_BOM[Part Name]=$A75)*M_BOM[RM_Qty_Per_Batch]*IFERROR(INDEX(PP_Grid[#Data],M_BOM[PPGridRow],2),0))/17.88</f>
        <v/>
      </c>
      <c r="C75">
        <f>SUMPRODUCT((M_BOM[Part Name]=$A75)*M_BOM[RM_Qty_Per_Batch]*IFERROR(INDEX(PP_Grid[#Data],M_BOM[PPGridRow],3),0))/17.88</f>
        <v/>
      </c>
      <c r="D75">
        <f>SUMPRODUCT((M_BOM[Part Name]=$A75)*M_BOM[RM_Qty_Per_Batch]*IFERROR(INDEX(PP_Grid[#Data],M_BOM[PPGridRow],4),0))/17.88</f>
        <v/>
      </c>
      <c r="E75">
        <f>SUMPRODUCT((M_BOM[Part Name]=$A75)*M_BOM[RM_Qty_Per_Batch]*IFERROR(INDEX(PP_Grid[#Data],M_BOM[PPGridRow],5),0))/17.88</f>
        <v/>
      </c>
      <c r="F75">
        <f>SUMPRODUCT((M_BOM[Part Name]=$A75)*M_BOM[RM_Qty_Per_Batch]*IFERROR(INDEX(PP_Grid[#Data],M_BOM[PPGridRow],6),0))/17.88</f>
        <v/>
      </c>
      <c r="G75">
        <f>SUMPRODUCT((M_BOM[Part Name]=$A75)*M_BOM[RM_Qty_Per_Batch]*IFERROR(INDEX(PP_Grid[#Data],M_BOM[PPGridRow],7),0))/17.88</f>
        <v/>
      </c>
      <c r="H75">
        <f>SUMPRODUCT((M_BOM[Part Name]=$A75)*M_BOM[RM_Qty_Per_Batch]*IFERROR(INDEX(PP_Grid[#Data],M_BOM[PPGridRow],8),0))/17.88</f>
        <v/>
      </c>
      <c r="I75">
        <f>SUMPRODUCT((M_BOM[Part Name]=$A75)*M_BOM[RM_Qty_Per_Batch]*IFERROR(INDEX(PP_Grid[#Data],M_BOM[PPGridRow],9),0))/17.88</f>
        <v/>
      </c>
      <c r="J75">
        <f>SUMPRODUCT((M_BOM[Part Name]=$A75)*M_BOM[RM_Qty_Per_Batch]*IFERROR(INDEX(PP_Grid[#Data],M_BOM[PPGridRow],10),0))/17.88</f>
        <v/>
      </c>
      <c r="K75">
        <f>SUMPRODUCT((M_BOM[Part Name]=$A75)*M_BOM[RM_Qty_Per_Batch]*IFERROR(INDEX(PP_Grid[#Data],M_BOM[PPGridRow],11),0))/17.88</f>
        <v/>
      </c>
      <c r="L75">
        <f>SUMPRODUCT((M_BOM[Part Name]=$A75)*M_BOM[RM_Qty_Per_Batch]*IFERROR(INDEX(PP_Grid[#Data],M_BOM[PPGridRow],12),0))/17.88</f>
        <v/>
      </c>
      <c r="M75">
        <f>SUMPRODUCT((M_BOM[Part Name]=$A75)*M_BOM[RM_Qty_Per_Batch]*IFERROR(INDEX(PP_Grid[#Data],M_BOM[PPGridRow],13),0))/17.88</f>
        <v/>
      </c>
      <c r="N75">
        <f>SUMPRODUCT((M_BOM[Part Name]=$A75)*M_BOM[RM_Qty_Per_Batch]*IFERROR(INDEX(PP_Grid[#Data],M_BOM[PPGridRow],14),0))/17.88</f>
        <v/>
      </c>
      <c r="O75">
        <f>SUMPRODUCT((M_BOM[Part Name]=$A75)*M_BOM[RM_Qty_Per_Batch]*IFERROR(INDEX(PP_Grid[#Data],M_BOM[PPGridRow],15),0))/17.88</f>
        <v/>
      </c>
      <c r="P75">
        <f>SUMPRODUCT((M_BOM[Part Name]=$A75)*M_BOM[RM_Qty_Per_Batch]*IFERROR(INDEX(PP_Grid[#Data],M_BOM[PPGridRow],16),0))/17.88</f>
        <v/>
      </c>
      <c r="Q75">
        <f>SUMPRODUCT((M_BOM[Part Name]=$A75)*M_BOM[RM_Qty_Per_Batch]*IFERROR(INDEX(PP_Grid[#Data],M_BOM[PPGridRow],17),0))/17.88</f>
        <v/>
      </c>
      <c r="R75">
        <f>SUMPRODUCT((M_BOM[Part Name]=$A75)*M_BOM[RM_Qty_Per_Batch]*IFERROR(INDEX(PP_Grid[#Data],M_BOM[PPGridRow],18),0))/17.88</f>
        <v/>
      </c>
      <c r="S75">
        <f>SUMPRODUCT((M_BOM[Part Name]=$A75)*M_BOM[RM_Qty_Per_Batch]*IFERROR(INDEX(PP_Grid[#Data],M_BOM[PPGridRow],19),0))/17.88</f>
        <v/>
      </c>
      <c r="T75">
        <f>SUMPRODUCT((M_BOM[Part Name]=$A75)*M_BOM[RM_Qty_Per_Batch]*IFERROR(INDEX(PP_Grid[#Data],M_BOM[PPGridRow],20),0))/17.88</f>
        <v/>
      </c>
      <c r="U75">
        <f>SUMPRODUCT((M_BOM[Part Name]=$A75)*M_BOM[RM_Qty_Per_Batch]*IFERROR(INDEX(PP_Grid[#Data],M_BOM[PPGridRow],21),0))/17.88</f>
        <v/>
      </c>
      <c r="V75">
        <f>SUMPRODUCT((M_BOM[Part Name]=$A75)*M_BOM[RM_Qty_Per_Batch]*IFERROR(INDEX(PP_Grid[#Data],M_BOM[PPGridRow],22),0))/17.88</f>
        <v/>
      </c>
      <c r="W75">
        <f>SUMPRODUCT((M_BOM[Part Name]=$A75)*M_BOM[RM_Qty_Per_Batch]*IFERROR(INDEX(PP_Grid[#Data],M_BOM[PPGridRow],23),0))/17.88</f>
        <v/>
      </c>
      <c r="X75">
        <f>SUMPRODUCT((M_BOM[Part Name]=$A75)*M_BOM[RM_Qty_Per_Batch]*IFERROR(INDEX(PP_Grid[#Data],M_BOM[PPGridRow],24),0))/17.88</f>
        <v/>
      </c>
      <c r="Y75">
        <f>SUMPRODUCT((M_BOM[Part Name]=$A75)*M_BOM[RM_Qty_Per_Batch]*IFERROR(INDEX(PP_Grid[#Data],M_BOM[PPGridRow],25),0))/17.88</f>
        <v/>
      </c>
      <c r="Z75">
        <f>SUMPRODUCT((M_BOM[Part Name]=$A75)*M_BOM[RM_Qty_Per_Batch]*IFERROR(INDEX(PP_Grid[#Data],M_BOM[PPGridRow],26),0))/17.88</f>
        <v/>
      </c>
      <c r="AA75">
        <f>SUMPRODUCT((M_BOM[Part Name]=$A75)*M_BOM[RM_Qty_Per_Batch]*IFERROR(INDEX(PP_Grid[#Data],M_BOM[PPGridRow],27),0))/17.88</f>
        <v/>
      </c>
      <c r="AB75">
        <f>SUMPRODUCT((M_BOM[Part Name]=$A75)*M_BOM[RM_Qty_Per_Batch]*IFERROR(INDEX(PP_Grid[#Data],M_BOM[PPGridRow],28),0))/17.88</f>
        <v/>
      </c>
      <c r="AC75">
        <f>SUMPRODUCT((M_BOM[Part Name]=$A75)*M_BOM[RM_Qty_Per_Batch]*IFERROR(INDEX(PP_Grid[#Data],M_BOM[PPGridRow],29),0))/17.88</f>
        <v/>
      </c>
      <c r="AD75">
        <f>SUMPRODUCT((M_BOM[Part Name]=$A75)*M_BOM[RM_Qty_Per_Batch]*IFERROR(INDEX(PP_Grid[#Data],M_BOM[PPGridRow],30),0))/17.88</f>
        <v/>
      </c>
      <c r="AE75">
        <f>SUMPRODUCT((M_BOM[Part Name]=$A75)*M_BOM[RM_Qty_Per_Batch]*IFERROR(INDEX(PP_Grid[#Data],M_BOM[PPGridRow],31),0))/17.88</f>
        <v/>
      </c>
      <c r="AF75">
        <f>SUMPRODUCT((M_BOM[Part Name]=$A75)*M_BOM[RM_Qty_Per_Batch]*IFERROR(INDEX(PP_Grid[#Data],M_BOM[PPGridRow],32),0))/17.88</f>
        <v/>
      </c>
      <c r="AG75">
        <f>SUMPRODUCT((M_BOM[Part Name]=$A75)*M_BOM[RM_Qty_Per_Batch]*IFERROR(INDEX(PP_Grid[#Data],M_BOM[PPGridRow],33),0))/17.88</f>
        <v/>
      </c>
      <c r="AH75">
        <f>SUMPRODUCT((M_BOM[Part Name]=$A75)*M_BOM[RM_Qty_Per_Batch]*IFERROR(INDEX(PP_Grid[#Data],M_BOM[PPGridRow],34),0))/17.88</f>
        <v/>
      </c>
      <c r="AI75">
        <f>SUMPRODUCT((M_BOM[Part Name]=$A75)*M_BOM[RM_Qty_Per_Batch]*IFERROR(INDEX(PP_Grid[#Data],M_BOM[PPGridRow],35),0))/17.88</f>
        <v/>
      </c>
      <c r="AJ75">
        <f>SUMPRODUCT((M_BOM[Part Name]=$A75)*M_BOM[RM_Qty_Per_Batch]*IFERROR(INDEX(PP_Grid[#Data],M_BOM[PPGridRow],36),0))/17.88</f>
        <v/>
      </c>
      <c r="AK75">
        <f>SUMPRODUCT((M_BOM[Part Name]=$A75)*M_BOM[RM_Qty_Per_Batch]*IFERROR(INDEX(PP_Grid[#Data],M_BOM[PPGridRow],37),0))/17.88</f>
        <v/>
      </c>
      <c r="AL75">
        <f>SUMPRODUCT((M_BOM[Part Name]=$A75)*M_BOM[RM_Qty_Per_Batch]*IFERROR(INDEX(PP_Grid[#Data],M_BOM[PPGridRow],38),0))/17.88</f>
        <v/>
      </c>
      <c r="AM75">
        <f>SUMPRODUCT((M_BOM[Part Name]=$A75)*M_BOM[RM_Qty_Per_Batch]*IFERROR(INDEX(PP_Grid[#Data],M_BOM[PPGridRow],39),0))/17.88</f>
        <v/>
      </c>
      <c r="AN75">
        <f>SUMPRODUCT((M_BOM[Part Name]=$A75)*M_BOM[RM_Qty_Per_Batch]*IFERROR(INDEX(PP_Grid[#Data],M_BOM[PPGridRow],40),0))/17.88</f>
        <v/>
      </c>
      <c r="AO75">
        <f>SUMPRODUCT((M_BOM[Part Name]=$A75)*M_BOM[RM_Qty_Per_Batch]*IFERROR(INDEX(PP_Grid[#Data],M_BOM[PPGridRow],41),0))/17.88</f>
        <v/>
      </c>
      <c r="AP75">
        <f>SUMPRODUCT((M_BOM[Part Name]=$A75)*M_BOM[RM_Qty_Per_Batch]*IFERROR(INDEX(PP_Grid[#Data],M_BOM[PPGridRow],42),0))/17.88</f>
        <v/>
      </c>
      <c r="AQ75">
        <f>SUMPRODUCT((M_BOM[Part Name]=$A75)*M_BOM[RM_Qty_Per_Batch]*IFERROR(INDEX(PP_Grid[#Data],M_BOM[PPGridRow],43),0))/17.88</f>
        <v/>
      </c>
      <c r="AR75">
        <f>SUMPRODUCT((M_BOM[Part Name]=$A75)*M_BOM[RM_Qty_Per_Batch]*IFERROR(INDEX(PP_Grid[#Data],M_BOM[PPGridRow],44),0))/17.88</f>
        <v/>
      </c>
      <c r="AS75">
        <f>SUMPRODUCT((M_BOM[Part Name]=$A75)*M_BOM[RM_Qty_Per_Batch]*IFERROR(INDEX(PP_Grid[#Data],M_BOM[PPGridRow],45),0))/17.88</f>
        <v/>
      </c>
      <c r="AT75">
        <f>SUMPRODUCT((M_BOM[Part Name]=$A75)*M_BOM[RM_Qty_Per_Batch]*IFERROR(INDEX(PP_Grid[#Data],M_BOM[PPGridRow],46),0))/17.88</f>
        <v/>
      </c>
      <c r="AU75">
        <f>SUMPRODUCT((M_BOM[Part Name]=$A75)*M_BOM[RM_Qty_Per_Batch]*IFERROR(INDEX(PP_Grid[#Data],M_BOM[PPGridRow],47),0))/17.88</f>
        <v/>
      </c>
      <c r="AV75">
        <f>SUMPRODUCT((M_BOM[Part Name]=$A75)*M_BOM[RM_Qty_Per_Batch]*IFERROR(INDEX(PP_Grid[#Data],M_BOM[PPGridRow],48),0))/17.88</f>
        <v/>
      </c>
      <c r="AW75">
        <f>SUMPRODUCT((M_BOM[Part Name]=$A75)*M_BOM[RM_Qty_Per_Batch]*IFERROR(INDEX(PP_Grid[#Data],M_BOM[PPGridRow],49),0))/17.88</f>
        <v/>
      </c>
      <c r="AX75">
        <f>SUMPRODUCT((M_BOM[Part Name]=$A75)*M_BOM[RM_Qty_Per_Batch]*IFERROR(INDEX(PP_Grid[#Data],M_BOM[PPGridRow],50),0))/17.88</f>
        <v/>
      </c>
      <c r="AY75">
        <f>SUMPRODUCT((M_BOM[Part Name]=$A75)*M_BOM[RM_Qty_Per_Batch]*IFERROR(INDEX(PP_Grid[#Data],M_BOM[PPGridRow],51),0))/17.88</f>
        <v/>
      </c>
      <c r="AZ75">
        <f>SUMPRODUCT((M_BOM[Part Name]=$A75)*M_BOM[RM_Qty_Per_Batch]*IFERROR(INDEX(PP_Grid[#Data],M_BOM[PPGridRow],52),0))/17.88</f>
        <v/>
      </c>
      <c r="BA75">
        <f>SUMPRODUCT((M_BOM[Part Name]=$A75)*M_BOM[RM_Qty_Per_Batch]*IFERROR(INDEX(PP_Grid[#Data],M_BOM[PPGridRow],53),0))/17.88</f>
        <v/>
      </c>
      <c r="BB75">
        <f>SUMPRODUCT((M_BOM[Part Name]=$A75)*M_BOM[RM_Qty_Per_Batch]*IFERROR(INDEX(PP_Grid[#Data],M_BOM[PPGridRow],54),0))/17.88</f>
        <v/>
      </c>
      <c r="BC75">
        <f>SUMPRODUCT((M_BOM[Part Name]=$A75)*M_BOM[RM_Qty_Per_Batch]*IFERROR(INDEX(PP_Grid[#Data],M_BOM[PPGridRow],55),0))/17.88</f>
        <v/>
      </c>
      <c r="BD75">
        <f>SUMPRODUCT((M_BOM[Part Name]=$A75)*M_BOM[RM_Qty_Per_Batch]*IFERROR(INDEX(PP_Grid[#Data],M_BOM[PPGridRow],56),0))/17.88</f>
        <v/>
      </c>
      <c r="BE75">
        <f>SUMPRODUCT((M_BOM[Part Name]=$A75)*M_BOM[RM_Qty_Per_Batch]*IFERROR(INDEX(PP_Grid[#Data],M_BOM[PPGridRow],57),0))/17.88</f>
        <v/>
      </c>
      <c r="BF75">
        <f>SUMPRODUCT((M_BOM[Part Name]=$A75)*M_BOM[RM_Qty_Per_Batch]*IFERROR(INDEX(PP_Grid[#Data],M_BOM[PPGridRow],58),0))/17.88</f>
        <v/>
      </c>
      <c r="BG75">
        <f>SUMPRODUCT((M_BOM[Part Name]=$A75)*M_BOM[RM_Qty_Per_Batch]*IFERROR(INDEX(PP_Grid[#Data],M_BOM[PPGridRow],59),0))/17.88</f>
        <v/>
      </c>
      <c r="BH75">
        <f>SUMPRODUCT((M_BOM[Part Name]=$A75)*M_BOM[RM_Qty_Per_Batch]*IFERROR(INDEX(PP_Grid[#Data],M_BOM[PPGridRow],60),0))/17.88</f>
        <v/>
      </c>
      <c r="BI75">
        <f>SUMPRODUCT((M_BOM[Part Name]=$A75)*M_BOM[RM_Qty_Per_Batch]*IFERROR(INDEX(PP_Grid[#Data],M_BOM[PPGridRow],61),0))/17.88</f>
        <v/>
      </c>
      <c r="BJ75">
        <f>SUMPRODUCT((M_BOM[Part Name]=$A75)*M_BOM[RM_Qty_Per_Batch]*IFERROR(INDEX(PP_Grid[#Data],M_BOM[PPGridRow],62),0))/17.88</f>
        <v/>
      </c>
      <c r="BK75">
        <f>SUMPRODUCT((M_BOM[Part Name]=$A75)*M_BOM[RM_Qty_Per_Batch]*IFERROR(INDEX(PP_Grid[#Data],M_BOM[PPGridRow],63),0))/17.88</f>
        <v/>
      </c>
      <c r="BL75">
        <f>SUMPRODUCT((M_BOM[Part Name]=$A75)*M_BOM[RM_Qty_Per_Batch]*IFERROR(INDEX(PP_Grid[#Data],M_BOM[PPGridRow],64),0))/17.88</f>
        <v/>
      </c>
      <c r="BM75">
        <f>SUMPRODUCT((M_BOM[Part Name]=$A75)*M_BOM[RM_Qty_Per_Batch]*IFERROR(INDEX(PP_Grid[#Data],M_BOM[PPGridRow],65),0))/17.88</f>
        <v/>
      </c>
      <c r="BN75">
        <f>SUMPRODUCT((M_BOM[Part Name]=$A75)*M_BOM[RM_Qty_Per_Batch]*IFERROR(INDEX(PP_Grid[#Data],M_BOM[PPGridRow],66),0))/17.88</f>
        <v/>
      </c>
      <c r="BO75">
        <f>SUMPRODUCT((M_BOM[Part Name]=$A75)*M_BOM[RM_Qty_Per_Batch]*IFERROR(INDEX(PP_Grid[#Data],M_BOM[PPGridRow],67),0))/17.88</f>
        <v/>
      </c>
      <c r="BP75">
        <f>SUMPRODUCT((M_BOM[Part Name]=$A75)*M_BOM[RM_Qty_Per_Batch]*IFERROR(INDEX(PP_Grid[#Data],M_BOM[PPGridRow],68),0))/17.88</f>
        <v/>
      </c>
      <c r="BQ75">
        <f>SUMPRODUCT((M_BOM[Part Name]=$A75)*M_BOM[RM_Qty_Per_Batch]*IFERROR(INDEX(PP_Grid[#Data],M_BOM[PPGridRow],69),0))/17.88</f>
        <v/>
      </c>
      <c r="BR75">
        <f>SUMPRODUCT((M_BOM[Part Name]=$A75)*M_BOM[RM_Qty_Per_Batch]*IFERROR(INDEX(PP_Grid[#Data],M_BOM[PPGridRow],70),0))/17.88</f>
        <v/>
      </c>
      <c r="BS75">
        <f>SUMPRODUCT((M_BOM[Part Name]=$A75)*M_BOM[RM_Qty_Per_Batch]*IFERROR(INDEX(PP_Grid[#Data],M_BOM[PPGridRow],71),0))/17.88</f>
        <v/>
      </c>
      <c r="BT75">
        <f>SUMPRODUCT((M_BOM[Part Name]=$A75)*M_BOM[RM_Qty_Per_Batch]*IFERROR(INDEX(PP_Grid[#Data],M_BOM[PPGridRow],72),0))/17.88</f>
        <v/>
      </c>
      <c r="BU75">
        <f>SUMPRODUCT((M_BOM[Part Name]=$A75)*M_BOM[RM_Qty_Per_Batch]*IFERROR(INDEX(PP_Grid[#Data],M_BOM[PPGridRow],73),0))/17.88</f>
        <v/>
      </c>
      <c r="BV75">
        <f>SUMPRODUCT((M_BOM[Part Name]=$A75)*M_BOM[RM_Qty_Per_Batch]*IFERROR(INDEX(PP_Grid[#Data],M_BOM[PPGridRow],74),0))/17.88</f>
        <v/>
      </c>
      <c r="BW75">
        <f>SUMPRODUCT((M_BOM[Part Name]=$A75)*M_BOM[RM_Qty_Per_Batch]*IFERROR(INDEX(PP_Grid[#Data],M_BOM[PPGridRow],75),0))/17.88</f>
        <v/>
      </c>
      <c r="BX75">
        <f>SUMPRODUCT((M_BOM[Part Name]=$A75)*M_BOM[RM_Qty_Per_Batch]*IFERROR(INDEX(PP_Grid[#Data],M_BOM[PPGridRow],76),0))/17.88</f>
        <v/>
      </c>
      <c r="BY75">
        <f>SUMPRODUCT((M_BOM[Part Name]=$A75)*M_BOM[RM_Qty_Per_Batch]*IFERROR(INDEX(PP_Grid[#Data],M_BOM[PPGridRow],77),0))/17.88</f>
        <v/>
      </c>
      <c r="BZ75">
        <f>SUMPRODUCT((M_BOM[Part Name]=$A75)*M_BOM[RM_Qty_Per_Batch]*IFERROR(INDEX(PP_Grid[#Data],M_BOM[PPGridRow],78),0))/17.88</f>
        <v/>
      </c>
      <c r="CA75">
        <f>SUMPRODUCT((M_BOM[Part Name]=$A75)*M_BOM[RM_Qty_Per_Batch]*IFERROR(INDEX(PP_Grid[#Data],M_BOM[PPGridRow],79),0))/17.88</f>
        <v/>
      </c>
      <c r="CB75">
        <f>SUMPRODUCT((M_BOM[Part Name]=$A75)*M_BOM[RM_Qty_Per_Batch]*IFERROR(INDEX(PP_Grid[#Data],M_BOM[PPGridRow],80),0))/17.88</f>
        <v/>
      </c>
      <c r="CC75">
        <f>SUMPRODUCT((M_BOM[Part Name]=$A75)*M_BOM[RM_Qty_Per_Batch]*IFERROR(INDEX(PP_Grid[#Data],M_BOM[PPGridRow],81),0))/17.88</f>
        <v/>
      </c>
      <c r="CD75">
        <f>SUMPRODUCT((M_BOM[Part Name]=$A75)*M_BOM[RM_Qty_Per_Batch]*IFERROR(INDEX(PP_Grid[#Data],M_BOM[PPGridRow],82),0))/17.88</f>
        <v/>
      </c>
      <c r="CE75">
        <f>SUMPRODUCT((M_BOM[Part Name]=$A75)*M_BOM[RM_Qty_Per_Batch]*IFERROR(INDEX(PP_Grid[#Data],M_BOM[PPGridRow],83),0))/17.88</f>
        <v/>
      </c>
      <c r="CF75">
        <f>SUMPRODUCT((M_BOM[Part Name]=$A75)*M_BOM[RM_Qty_Per_Batch]*IFERROR(INDEX(PP_Grid[#Data],M_BOM[PPGridRow],84),0))/17.88</f>
        <v/>
      </c>
      <c r="CG75">
        <f>SUMPRODUCT((M_BOM[Part Name]=$A75)*M_BOM[RM_Qty_Per_Batch]*IFERROR(INDEX(PP_Grid[#Data],M_BOM[PPGridRow],85),0))/17.88</f>
        <v/>
      </c>
      <c r="CH75">
        <f>SUMPRODUCT((M_BOM[Part Name]=$A75)*M_BOM[RM_Qty_Per_Batch]*IFERROR(INDEX(PP_Grid[#Data],M_BOM[PPGridRow],86),0))/17.88</f>
        <v/>
      </c>
      <c r="CI75">
        <f>SUMPRODUCT((M_BOM[Part Name]=$A75)*M_BOM[RM_Qty_Per_Batch]*IFERROR(INDEX(PP_Grid[#Data],M_BOM[PPGridRow],87),0))/17.88</f>
        <v/>
      </c>
      <c r="CJ75">
        <f>SUMPRODUCT((M_BOM[Part Name]=$A75)*M_BOM[RM_Qty_Per_Batch]*IFERROR(INDEX(PP_Grid[#Data],M_BOM[PPGridRow],88),0))/17.88</f>
        <v/>
      </c>
      <c r="CK75">
        <f>SUMPRODUCT((M_BOM[Part Name]=$A75)*M_BOM[RM_Qty_Per_Batch]*IFERROR(INDEX(PP_Grid[#Data],M_BOM[PPGridRow],89),0))/17.88</f>
        <v/>
      </c>
      <c r="CL75">
        <f>SUMPRODUCT((M_BOM[Part Name]=$A75)*M_BOM[RM_Qty_Per_Batch]*IFERROR(INDEX(PP_Grid[#Data],M_BOM[PPGridRow],90),0))/17.88</f>
        <v/>
      </c>
      <c r="CM75">
        <f>SUMPRODUCT((M_BOM[Part Name]=$A75)*M_BOM[RM_Qty_Per_Batch]*IFERROR(INDEX(PP_Grid[#Data],M_BOM[PPGridRow],91),0))/17.88</f>
        <v/>
      </c>
      <c r="CN75">
        <f>SUMPRODUCT((M_BOM[Part Name]=$A75)*M_BOM[RM_Qty_Per_Batch]*IFERROR(INDEX(PP_Grid[#Data],M_BOM[PPGridRow],92),0))/17.88</f>
        <v/>
      </c>
      <c r="CO75">
        <f>SUMPRODUCT((M_BOM[Part Name]=$A75)*M_BOM[RM_Qty_Per_Batch]*IFERROR(INDEX(PP_Grid[#Data],M_BOM[PPGridRow],93),0))/17.88</f>
        <v/>
      </c>
      <c r="CP75">
        <f>SUMPRODUCT((M_BOM[Part Name]=$A75)*M_BOM[RM_Qty_Per_Batch]*IFERROR(INDEX(PP_Grid[#Data],M_BOM[PPGridRow],94),0))/17.88</f>
        <v/>
      </c>
      <c r="CQ75">
        <f>SUMPRODUCT((M_BOM[Part Name]=$A75)*M_BOM[RM_Qty_Per_Batch]*IFERROR(INDEX(PP_Grid[#Data],M_BOM[PPGridRow],95),0))/17.88</f>
        <v/>
      </c>
      <c r="CR75">
        <f>SUMPRODUCT((M_BOM[Part Name]=$A75)*M_BOM[RM_Qty_Per_Batch]*IFERROR(INDEX(PP_Grid[#Data],M_BOM[PPGridRow],96),0))/17.88</f>
        <v/>
      </c>
      <c r="CS75">
        <f>SUMPRODUCT((M_BOM[Part Name]=$A75)*M_BOM[RM_Qty_Per_Batch]*IFERROR(INDEX(PP_Grid[#Data],M_BOM[PPGridRow],97),0))/17.88</f>
        <v/>
      </c>
      <c r="CT75">
        <f>SUMPRODUCT((M_BOM[Part Name]=$A75)*M_BOM[RM_Qty_Per_Batch]*IFERROR(INDEX(PP_Grid[#Data],M_BOM[PPGridRow],98),0))/17.88</f>
        <v/>
      </c>
      <c r="CU75">
        <f>SUMPRODUCT((M_BOM[Part Name]=$A75)*M_BOM[RM_Qty_Per_Batch]*IFERROR(INDEX(PP_Grid[#Data],M_BOM[PPGridRow],99),0))/17.88</f>
        <v/>
      </c>
      <c r="CV75">
        <f>SUMPRODUCT((M_BOM[Part Name]=$A75)*M_BOM[RM_Qty_Per_Batch]*IFERROR(INDEX(PP_Grid[#Data],M_BOM[PPGridRow],100),0))/17.88</f>
        <v/>
      </c>
      <c r="CW75">
        <f>SUMPRODUCT((M_BOM[Part Name]=$A75)*M_BOM[RM_Qty_Per_Batch]*IFERROR(INDEX(PP_Grid[#Data],M_BOM[PPGridRow],101),0))/17.88</f>
        <v/>
      </c>
      <c r="CX75">
        <f>SUMPRODUCT((M_BOM[Part Name]=$A75)*M_BOM[RM_Qty_Per_Batch]*IFERROR(INDEX(PP_Grid[#Data],M_BOM[PPGridRow],102),0))/17.88</f>
        <v/>
      </c>
      <c r="CY75">
        <f>SUMPRODUCT((M_BOM[Part Name]=$A75)*M_BOM[RM_Qty_Per_Batch]*IFERROR(INDEX(PP_Grid[#Data],M_BOM[PPGridRow],103),0))/17.88</f>
        <v/>
      </c>
      <c r="CZ75">
        <f>SUMPRODUCT((M_BOM[Part Name]=$A75)*M_BOM[RM_Qty_Per_Batch]*IFERROR(INDEX(PP_Grid[#Data],M_BOM[PPGridRow],104),0))/17.88</f>
        <v/>
      </c>
      <c r="DA75">
        <f>SUMPRODUCT((M_BOM[Part Name]=$A75)*M_BOM[RM_Qty_Per_Batch]*IFERROR(INDEX(PP_Grid[#Data],M_BOM[PPGridRow],105),0))/17.88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Name]=$A76)*M_BOM[RM_Qty_Per_Batch]*IFERROR(INDEX(PP_Grid[#Data],M_BOM[PPGridRow],2),0))/17.82</f>
        <v/>
      </c>
      <c r="C76">
        <f>SUMPRODUCT((M_BOM[Part Name]=$A76)*M_BOM[RM_Qty_Per_Batch]*IFERROR(INDEX(PP_Grid[#Data],M_BOM[PPGridRow],3),0))/17.82</f>
        <v/>
      </c>
      <c r="D76">
        <f>SUMPRODUCT((M_BOM[Part Name]=$A76)*M_BOM[RM_Qty_Per_Batch]*IFERROR(INDEX(PP_Grid[#Data],M_BOM[PPGridRow],4),0))/17.82</f>
        <v/>
      </c>
      <c r="E76">
        <f>SUMPRODUCT((M_BOM[Part Name]=$A76)*M_BOM[RM_Qty_Per_Batch]*IFERROR(INDEX(PP_Grid[#Data],M_BOM[PPGridRow],5),0))/17.82</f>
        <v/>
      </c>
      <c r="F76">
        <f>SUMPRODUCT((M_BOM[Part Name]=$A76)*M_BOM[RM_Qty_Per_Batch]*IFERROR(INDEX(PP_Grid[#Data],M_BOM[PPGridRow],6),0))/17.82</f>
        <v/>
      </c>
      <c r="G76">
        <f>SUMPRODUCT((M_BOM[Part Name]=$A76)*M_BOM[RM_Qty_Per_Batch]*IFERROR(INDEX(PP_Grid[#Data],M_BOM[PPGridRow],7),0))/17.82</f>
        <v/>
      </c>
      <c r="H76">
        <f>SUMPRODUCT((M_BOM[Part Name]=$A76)*M_BOM[RM_Qty_Per_Batch]*IFERROR(INDEX(PP_Grid[#Data],M_BOM[PPGridRow],8),0))/17.82</f>
        <v/>
      </c>
      <c r="I76">
        <f>SUMPRODUCT((M_BOM[Part Name]=$A76)*M_BOM[RM_Qty_Per_Batch]*IFERROR(INDEX(PP_Grid[#Data],M_BOM[PPGridRow],9),0))/17.82</f>
        <v/>
      </c>
      <c r="J76">
        <f>SUMPRODUCT((M_BOM[Part Name]=$A76)*M_BOM[RM_Qty_Per_Batch]*IFERROR(INDEX(PP_Grid[#Data],M_BOM[PPGridRow],10),0))/17.82</f>
        <v/>
      </c>
      <c r="K76">
        <f>SUMPRODUCT((M_BOM[Part Name]=$A76)*M_BOM[RM_Qty_Per_Batch]*IFERROR(INDEX(PP_Grid[#Data],M_BOM[PPGridRow],11),0))/17.82</f>
        <v/>
      </c>
      <c r="L76">
        <f>SUMPRODUCT((M_BOM[Part Name]=$A76)*M_BOM[RM_Qty_Per_Batch]*IFERROR(INDEX(PP_Grid[#Data],M_BOM[PPGridRow],12),0))/17.82</f>
        <v/>
      </c>
      <c r="M76">
        <f>SUMPRODUCT((M_BOM[Part Name]=$A76)*M_BOM[RM_Qty_Per_Batch]*IFERROR(INDEX(PP_Grid[#Data],M_BOM[PPGridRow],13),0))/17.82</f>
        <v/>
      </c>
      <c r="N76">
        <f>SUMPRODUCT((M_BOM[Part Name]=$A76)*M_BOM[RM_Qty_Per_Batch]*IFERROR(INDEX(PP_Grid[#Data],M_BOM[PPGridRow],14),0))/17.82</f>
        <v/>
      </c>
      <c r="O76">
        <f>SUMPRODUCT((M_BOM[Part Name]=$A76)*M_BOM[RM_Qty_Per_Batch]*IFERROR(INDEX(PP_Grid[#Data],M_BOM[PPGridRow],15),0))/17.82</f>
        <v/>
      </c>
      <c r="P76">
        <f>SUMPRODUCT((M_BOM[Part Name]=$A76)*M_BOM[RM_Qty_Per_Batch]*IFERROR(INDEX(PP_Grid[#Data],M_BOM[PPGridRow],16),0))/17.82</f>
        <v/>
      </c>
      <c r="Q76">
        <f>SUMPRODUCT((M_BOM[Part Name]=$A76)*M_BOM[RM_Qty_Per_Batch]*IFERROR(INDEX(PP_Grid[#Data],M_BOM[PPGridRow],17),0))/17.82</f>
        <v/>
      </c>
      <c r="R76">
        <f>SUMPRODUCT((M_BOM[Part Name]=$A76)*M_BOM[RM_Qty_Per_Batch]*IFERROR(INDEX(PP_Grid[#Data],M_BOM[PPGridRow],18),0))/17.82</f>
        <v/>
      </c>
      <c r="S76">
        <f>SUMPRODUCT((M_BOM[Part Name]=$A76)*M_BOM[RM_Qty_Per_Batch]*IFERROR(INDEX(PP_Grid[#Data],M_BOM[PPGridRow],19),0))/17.82</f>
        <v/>
      </c>
      <c r="T76">
        <f>SUMPRODUCT((M_BOM[Part Name]=$A76)*M_BOM[RM_Qty_Per_Batch]*IFERROR(INDEX(PP_Grid[#Data],M_BOM[PPGridRow],20),0))/17.82</f>
        <v/>
      </c>
      <c r="U76">
        <f>SUMPRODUCT((M_BOM[Part Name]=$A76)*M_BOM[RM_Qty_Per_Batch]*IFERROR(INDEX(PP_Grid[#Data],M_BOM[PPGridRow],21),0))/17.82</f>
        <v/>
      </c>
      <c r="V76">
        <f>SUMPRODUCT((M_BOM[Part Name]=$A76)*M_BOM[RM_Qty_Per_Batch]*IFERROR(INDEX(PP_Grid[#Data],M_BOM[PPGridRow],22),0))/17.82</f>
        <v/>
      </c>
      <c r="W76">
        <f>SUMPRODUCT((M_BOM[Part Name]=$A76)*M_BOM[RM_Qty_Per_Batch]*IFERROR(INDEX(PP_Grid[#Data],M_BOM[PPGridRow],23),0))/17.82</f>
        <v/>
      </c>
      <c r="X76">
        <f>SUMPRODUCT((M_BOM[Part Name]=$A76)*M_BOM[RM_Qty_Per_Batch]*IFERROR(INDEX(PP_Grid[#Data],M_BOM[PPGridRow],24),0))/17.82</f>
        <v/>
      </c>
      <c r="Y76">
        <f>SUMPRODUCT((M_BOM[Part Name]=$A76)*M_BOM[RM_Qty_Per_Batch]*IFERROR(INDEX(PP_Grid[#Data],M_BOM[PPGridRow],25),0))/17.82</f>
        <v/>
      </c>
      <c r="Z76">
        <f>SUMPRODUCT((M_BOM[Part Name]=$A76)*M_BOM[RM_Qty_Per_Batch]*IFERROR(INDEX(PP_Grid[#Data],M_BOM[PPGridRow],26),0))/17.82</f>
        <v/>
      </c>
      <c r="AA76">
        <f>SUMPRODUCT((M_BOM[Part Name]=$A76)*M_BOM[RM_Qty_Per_Batch]*IFERROR(INDEX(PP_Grid[#Data],M_BOM[PPGridRow],27),0))/17.82</f>
        <v/>
      </c>
      <c r="AB76">
        <f>SUMPRODUCT((M_BOM[Part Name]=$A76)*M_BOM[RM_Qty_Per_Batch]*IFERROR(INDEX(PP_Grid[#Data],M_BOM[PPGridRow],28),0))/17.82</f>
        <v/>
      </c>
      <c r="AC76">
        <f>SUMPRODUCT((M_BOM[Part Name]=$A76)*M_BOM[RM_Qty_Per_Batch]*IFERROR(INDEX(PP_Grid[#Data],M_BOM[PPGridRow],29),0))/17.82</f>
        <v/>
      </c>
      <c r="AD76">
        <f>SUMPRODUCT((M_BOM[Part Name]=$A76)*M_BOM[RM_Qty_Per_Batch]*IFERROR(INDEX(PP_Grid[#Data],M_BOM[PPGridRow],30),0))/17.82</f>
        <v/>
      </c>
      <c r="AE76">
        <f>SUMPRODUCT((M_BOM[Part Name]=$A76)*M_BOM[RM_Qty_Per_Batch]*IFERROR(INDEX(PP_Grid[#Data],M_BOM[PPGridRow],31),0))/17.82</f>
        <v/>
      </c>
      <c r="AF76">
        <f>SUMPRODUCT((M_BOM[Part Name]=$A76)*M_BOM[RM_Qty_Per_Batch]*IFERROR(INDEX(PP_Grid[#Data],M_BOM[PPGridRow],32),0))/17.82</f>
        <v/>
      </c>
      <c r="AG76">
        <f>SUMPRODUCT((M_BOM[Part Name]=$A76)*M_BOM[RM_Qty_Per_Batch]*IFERROR(INDEX(PP_Grid[#Data],M_BOM[PPGridRow],33),0))/17.82</f>
        <v/>
      </c>
      <c r="AH76">
        <f>SUMPRODUCT((M_BOM[Part Name]=$A76)*M_BOM[RM_Qty_Per_Batch]*IFERROR(INDEX(PP_Grid[#Data],M_BOM[PPGridRow],34),0))/17.82</f>
        <v/>
      </c>
      <c r="AI76">
        <f>SUMPRODUCT((M_BOM[Part Name]=$A76)*M_BOM[RM_Qty_Per_Batch]*IFERROR(INDEX(PP_Grid[#Data],M_BOM[PPGridRow],35),0))/17.82</f>
        <v/>
      </c>
      <c r="AJ76">
        <f>SUMPRODUCT((M_BOM[Part Name]=$A76)*M_BOM[RM_Qty_Per_Batch]*IFERROR(INDEX(PP_Grid[#Data],M_BOM[PPGridRow],36),0))/17.82</f>
        <v/>
      </c>
      <c r="AK76">
        <f>SUMPRODUCT((M_BOM[Part Name]=$A76)*M_BOM[RM_Qty_Per_Batch]*IFERROR(INDEX(PP_Grid[#Data],M_BOM[PPGridRow],37),0))/17.82</f>
        <v/>
      </c>
      <c r="AL76">
        <f>SUMPRODUCT((M_BOM[Part Name]=$A76)*M_BOM[RM_Qty_Per_Batch]*IFERROR(INDEX(PP_Grid[#Data],M_BOM[PPGridRow],38),0))/17.82</f>
        <v/>
      </c>
      <c r="AM76">
        <f>SUMPRODUCT((M_BOM[Part Name]=$A76)*M_BOM[RM_Qty_Per_Batch]*IFERROR(INDEX(PP_Grid[#Data],M_BOM[PPGridRow],39),0))/17.82</f>
        <v/>
      </c>
      <c r="AN76">
        <f>SUMPRODUCT((M_BOM[Part Name]=$A76)*M_BOM[RM_Qty_Per_Batch]*IFERROR(INDEX(PP_Grid[#Data],M_BOM[PPGridRow],40),0))/17.82</f>
        <v/>
      </c>
      <c r="AO76">
        <f>SUMPRODUCT((M_BOM[Part Name]=$A76)*M_BOM[RM_Qty_Per_Batch]*IFERROR(INDEX(PP_Grid[#Data],M_BOM[PPGridRow],41),0))/17.82</f>
        <v/>
      </c>
      <c r="AP76">
        <f>SUMPRODUCT((M_BOM[Part Name]=$A76)*M_BOM[RM_Qty_Per_Batch]*IFERROR(INDEX(PP_Grid[#Data],M_BOM[PPGridRow],42),0))/17.82</f>
        <v/>
      </c>
      <c r="AQ76">
        <f>SUMPRODUCT((M_BOM[Part Name]=$A76)*M_BOM[RM_Qty_Per_Batch]*IFERROR(INDEX(PP_Grid[#Data],M_BOM[PPGridRow],43),0))/17.82</f>
        <v/>
      </c>
      <c r="AR76">
        <f>SUMPRODUCT((M_BOM[Part Name]=$A76)*M_BOM[RM_Qty_Per_Batch]*IFERROR(INDEX(PP_Grid[#Data],M_BOM[PPGridRow],44),0))/17.82</f>
        <v/>
      </c>
      <c r="AS76">
        <f>SUMPRODUCT((M_BOM[Part Name]=$A76)*M_BOM[RM_Qty_Per_Batch]*IFERROR(INDEX(PP_Grid[#Data],M_BOM[PPGridRow],45),0))/17.82</f>
        <v/>
      </c>
      <c r="AT76">
        <f>SUMPRODUCT((M_BOM[Part Name]=$A76)*M_BOM[RM_Qty_Per_Batch]*IFERROR(INDEX(PP_Grid[#Data],M_BOM[PPGridRow],46),0))/17.82</f>
        <v/>
      </c>
      <c r="AU76">
        <f>SUMPRODUCT((M_BOM[Part Name]=$A76)*M_BOM[RM_Qty_Per_Batch]*IFERROR(INDEX(PP_Grid[#Data],M_BOM[PPGridRow],47),0))/17.82</f>
        <v/>
      </c>
      <c r="AV76">
        <f>SUMPRODUCT((M_BOM[Part Name]=$A76)*M_BOM[RM_Qty_Per_Batch]*IFERROR(INDEX(PP_Grid[#Data],M_BOM[PPGridRow],48),0))/17.82</f>
        <v/>
      </c>
      <c r="AW76">
        <f>SUMPRODUCT((M_BOM[Part Name]=$A76)*M_BOM[RM_Qty_Per_Batch]*IFERROR(INDEX(PP_Grid[#Data],M_BOM[PPGridRow],49),0))/17.82</f>
        <v/>
      </c>
      <c r="AX76">
        <f>SUMPRODUCT((M_BOM[Part Name]=$A76)*M_BOM[RM_Qty_Per_Batch]*IFERROR(INDEX(PP_Grid[#Data],M_BOM[PPGridRow],50),0))/17.82</f>
        <v/>
      </c>
      <c r="AY76">
        <f>SUMPRODUCT((M_BOM[Part Name]=$A76)*M_BOM[RM_Qty_Per_Batch]*IFERROR(INDEX(PP_Grid[#Data],M_BOM[PPGridRow],51),0))/17.82</f>
        <v/>
      </c>
      <c r="AZ76">
        <f>SUMPRODUCT((M_BOM[Part Name]=$A76)*M_BOM[RM_Qty_Per_Batch]*IFERROR(INDEX(PP_Grid[#Data],M_BOM[PPGridRow],52),0))/17.82</f>
        <v/>
      </c>
      <c r="BA76">
        <f>SUMPRODUCT((M_BOM[Part Name]=$A76)*M_BOM[RM_Qty_Per_Batch]*IFERROR(INDEX(PP_Grid[#Data],M_BOM[PPGridRow],53),0))/17.82</f>
        <v/>
      </c>
      <c r="BB76">
        <f>SUMPRODUCT((M_BOM[Part Name]=$A76)*M_BOM[RM_Qty_Per_Batch]*IFERROR(INDEX(PP_Grid[#Data],M_BOM[PPGridRow],54),0))/17.82</f>
        <v/>
      </c>
      <c r="BC76">
        <f>SUMPRODUCT((M_BOM[Part Name]=$A76)*M_BOM[RM_Qty_Per_Batch]*IFERROR(INDEX(PP_Grid[#Data],M_BOM[PPGridRow],55),0))/17.82</f>
        <v/>
      </c>
      <c r="BD76">
        <f>SUMPRODUCT((M_BOM[Part Name]=$A76)*M_BOM[RM_Qty_Per_Batch]*IFERROR(INDEX(PP_Grid[#Data],M_BOM[PPGridRow],56),0))/17.82</f>
        <v/>
      </c>
      <c r="BE76">
        <f>SUMPRODUCT((M_BOM[Part Name]=$A76)*M_BOM[RM_Qty_Per_Batch]*IFERROR(INDEX(PP_Grid[#Data],M_BOM[PPGridRow],57),0))/17.82</f>
        <v/>
      </c>
      <c r="BF76">
        <f>SUMPRODUCT((M_BOM[Part Name]=$A76)*M_BOM[RM_Qty_Per_Batch]*IFERROR(INDEX(PP_Grid[#Data],M_BOM[PPGridRow],58),0))/17.82</f>
        <v/>
      </c>
      <c r="BG76">
        <f>SUMPRODUCT((M_BOM[Part Name]=$A76)*M_BOM[RM_Qty_Per_Batch]*IFERROR(INDEX(PP_Grid[#Data],M_BOM[PPGridRow],59),0))/17.82</f>
        <v/>
      </c>
      <c r="BH76">
        <f>SUMPRODUCT((M_BOM[Part Name]=$A76)*M_BOM[RM_Qty_Per_Batch]*IFERROR(INDEX(PP_Grid[#Data],M_BOM[PPGridRow],60),0))/17.82</f>
        <v/>
      </c>
      <c r="BI76">
        <f>SUMPRODUCT((M_BOM[Part Name]=$A76)*M_BOM[RM_Qty_Per_Batch]*IFERROR(INDEX(PP_Grid[#Data],M_BOM[PPGridRow],61),0))/17.82</f>
        <v/>
      </c>
      <c r="BJ76">
        <f>SUMPRODUCT((M_BOM[Part Name]=$A76)*M_BOM[RM_Qty_Per_Batch]*IFERROR(INDEX(PP_Grid[#Data],M_BOM[PPGridRow],62),0))/17.82</f>
        <v/>
      </c>
      <c r="BK76">
        <f>SUMPRODUCT((M_BOM[Part Name]=$A76)*M_BOM[RM_Qty_Per_Batch]*IFERROR(INDEX(PP_Grid[#Data],M_BOM[PPGridRow],63),0))/17.82</f>
        <v/>
      </c>
      <c r="BL76">
        <f>SUMPRODUCT((M_BOM[Part Name]=$A76)*M_BOM[RM_Qty_Per_Batch]*IFERROR(INDEX(PP_Grid[#Data],M_BOM[PPGridRow],64),0))/17.82</f>
        <v/>
      </c>
      <c r="BM76">
        <f>SUMPRODUCT((M_BOM[Part Name]=$A76)*M_BOM[RM_Qty_Per_Batch]*IFERROR(INDEX(PP_Grid[#Data],M_BOM[PPGridRow],65),0))/17.82</f>
        <v/>
      </c>
      <c r="BN76">
        <f>SUMPRODUCT((M_BOM[Part Name]=$A76)*M_BOM[RM_Qty_Per_Batch]*IFERROR(INDEX(PP_Grid[#Data],M_BOM[PPGridRow],66),0))/17.82</f>
        <v/>
      </c>
      <c r="BO76">
        <f>SUMPRODUCT((M_BOM[Part Name]=$A76)*M_BOM[RM_Qty_Per_Batch]*IFERROR(INDEX(PP_Grid[#Data],M_BOM[PPGridRow],67),0))/17.82</f>
        <v/>
      </c>
      <c r="BP76">
        <f>SUMPRODUCT((M_BOM[Part Name]=$A76)*M_BOM[RM_Qty_Per_Batch]*IFERROR(INDEX(PP_Grid[#Data],M_BOM[PPGridRow],68),0))/17.82</f>
        <v/>
      </c>
      <c r="BQ76">
        <f>SUMPRODUCT((M_BOM[Part Name]=$A76)*M_BOM[RM_Qty_Per_Batch]*IFERROR(INDEX(PP_Grid[#Data],M_BOM[PPGridRow],69),0))/17.82</f>
        <v/>
      </c>
      <c r="BR76">
        <f>SUMPRODUCT((M_BOM[Part Name]=$A76)*M_BOM[RM_Qty_Per_Batch]*IFERROR(INDEX(PP_Grid[#Data],M_BOM[PPGridRow],70),0))/17.82</f>
        <v/>
      </c>
      <c r="BS76">
        <f>SUMPRODUCT((M_BOM[Part Name]=$A76)*M_BOM[RM_Qty_Per_Batch]*IFERROR(INDEX(PP_Grid[#Data],M_BOM[PPGridRow],71),0))/17.82</f>
        <v/>
      </c>
      <c r="BT76">
        <f>SUMPRODUCT((M_BOM[Part Name]=$A76)*M_BOM[RM_Qty_Per_Batch]*IFERROR(INDEX(PP_Grid[#Data],M_BOM[PPGridRow],72),0))/17.82</f>
        <v/>
      </c>
      <c r="BU76">
        <f>SUMPRODUCT((M_BOM[Part Name]=$A76)*M_BOM[RM_Qty_Per_Batch]*IFERROR(INDEX(PP_Grid[#Data],M_BOM[PPGridRow],73),0))/17.82</f>
        <v/>
      </c>
      <c r="BV76">
        <f>SUMPRODUCT((M_BOM[Part Name]=$A76)*M_BOM[RM_Qty_Per_Batch]*IFERROR(INDEX(PP_Grid[#Data],M_BOM[PPGridRow],74),0))/17.82</f>
        <v/>
      </c>
      <c r="BW76">
        <f>SUMPRODUCT((M_BOM[Part Name]=$A76)*M_BOM[RM_Qty_Per_Batch]*IFERROR(INDEX(PP_Grid[#Data],M_BOM[PPGridRow],75),0))/17.82</f>
        <v/>
      </c>
      <c r="BX76">
        <f>SUMPRODUCT((M_BOM[Part Name]=$A76)*M_BOM[RM_Qty_Per_Batch]*IFERROR(INDEX(PP_Grid[#Data],M_BOM[PPGridRow],76),0))/17.82</f>
        <v/>
      </c>
      <c r="BY76">
        <f>SUMPRODUCT((M_BOM[Part Name]=$A76)*M_BOM[RM_Qty_Per_Batch]*IFERROR(INDEX(PP_Grid[#Data],M_BOM[PPGridRow],77),0))/17.82</f>
        <v/>
      </c>
      <c r="BZ76">
        <f>SUMPRODUCT((M_BOM[Part Name]=$A76)*M_BOM[RM_Qty_Per_Batch]*IFERROR(INDEX(PP_Grid[#Data],M_BOM[PPGridRow],78),0))/17.82</f>
        <v/>
      </c>
      <c r="CA76">
        <f>SUMPRODUCT((M_BOM[Part Name]=$A76)*M_BOM[RM_Qty_Per_Batch]*IFERROR(INDEX(PP_Grid[#Data],M_BOM[PPGridRow],79),0))/17.82</f>
        <v/>
      </c>
      <c r="CB76">
        <f>SUMPRODUCT((M_BOM[Part Name]=$A76)*M_BOM[RM_Qty_Per_Batch]*IFERROR(INDEX(PP_Grid[#Data],M_BOM[PPGridRow],80),0))/17.82</f>
        <v/>
      </c>
      <c r="CC76">
        <f>SUMPRODUCT((M_BOM[Part Name]=$A76)*M_BOM[RM_Qty_Per_Batch]*IFERROR(INDEX(PP_Grid[#Data],M_BOM[PPGridRow],81),0))/17.82</f>
        <v/>
      </c>
      <c r="CD76">
        <f>SUMPRODUCT((M_BOM[Part Name]=$A76)*M_BOM[RM_Qty_Per_Batch]*IFERROR(INDEX(PP_Grid[#Data],M_BOM[PPGridRow],82),0))/17.82</f>
        <v/>
      </c>
      <c r="CE76">
        <f>SUMPRODUCT((M_BOM[Part Name]=$A76)*M_BOM[RM_Qty_Per_Batch]*IFERROR(INDEX(PP_Grid[#Data],M_BOM[PPGridRow],83),0))/17.82</f>
        <v/>
      </c>
      <c r="CF76">
        <f>SUMPRODUCT((M_BOM[Part Name]=$A76)*M_BOM[RM_Qty_Per_Batch]*IFERROR(INDEX(PP_Grid[#Data],M_BOM[PPGridRow],84),0))/17.82</f>
        <v/>
      </c>
      <c r="CG76">
        <f>SUMPRODUCT((M_BOM[Part Name]=$A76)*M_BOM[RM_Qty_Per_Batch]*IFERROR(INDEX(PP_Grid[#Data],M_BOM[PPGridRow],85),0))/17.82</f>
        <v/>
      </c>
      <c r="CH76">
        <f>SUMPRODUCT((M_BOM[Part Name]=$A76)*M_BOM[RM_Qty_Per_Batch]*IFERROR(INDEX(PP_Grid[#Data],M_BOM[PPGridRow],86),0))/17.82</f>
        <v/>
      </c>
      <c r="CI76">
        <f>SUMPRODUCT((M_BOM[Part Name]=$A76)*M_BOM[RM_Qty_Per_Batch]*IFERROR(INDEX(PP_Grid[#Data],M_BOM[PPGridRow],87),0))/17.82</f>
        <v/>
      </c>
      <c r="CJ76">
        <f>SUMPRODUCT((M_BOM[Part Name]=$A76)*M_BOM[RM_Qty_Per_Batch]*IFERROR(INDEX(PP_Grid[#Data],M_BOM[PPGridRow],88),0))/17.82</f>
        <v/>
      </c>
      <c r="CK76">
        <f>SUMPRODUCT((M_BOM[Part Name]=$A76)*M_BOM[RM_Qty_Per_Batch]*IFERROR(INDEX(PP_Grid[#Data],M_BOM[PPGridRow],89),0))/17.82</f>
        <v/>
      </c>
      <c r="CL76">
        <f>SUMPRODUCT((M_BOM[Part Name]=$A76)*M_BOM[RM_Qty_Per_Batch]*IFERROR(INDEX(PP_Grid[#Data],M_BOM[PPGridRow],90),0))/17.82</f>
        <v/>
      </c>
      <c r="CM76">
        <f>SUMPRODUCT((M_BOM[Part Name]=$A76)*M_BOM[RM_Qty_Per_Batch]*IFERROR(INDEX(PP_Grid[#Data],M_BOM[PPGridRow],91),0))/17.82</f>
        <v/>
      </c>
      <c r="CN76">
        <f>SUMPRODUCT((M_BOM[Part Name]=$A76)*M_BOM[RM_Qty_Per_Batch]*IFERROR(INDEX(PP_Grid[#Data],M_BOM[PPGridRow],92),0))/17.82</f>
        <v/>
      </c>
      <c r="CO76">
        <f>SUMPRODUCT((M_BOM[Part Name]=$A76)*M_BOM[RM_Qty_Per_Batch]*IFERROR(INDEX(PP_Grid[#Data],M_BOM[PPGridRow],93),0))/17.82</f>
        <v/>
      </c>
      <c r="CP76">
        <f>SUMPRODUCT((M_BOM[Part Name]=$A76)*M_BOM[RM_Qty_Per_Batch]*IFERROR(INDEX(PP_Grid[#Data],M_BOM[PPGridRow],94),0))/17.82</f>
        <v/>
      </c>
      <c r="CQ76">
        <f>SUMPRODUCT((M_BOM[Part Name]=$A76)*M_BOM[RM_Qty_Per_Batch]*IFERROR(INDEX(PP_Grid[#Data],M_BOM[PPGridRow],95),0))/17.82</f>
        <v/>
      </c>
      <c r="CR76">
        <f>SUMPRODUCT((M_BOM[Part Name]=$A76)*M_BOM[RM_Qty_Per_Batch]*IFERROR(INDEX(PP_Grid[#Data],M_BOM[PPGridRow],96),0))/17.82</f>
        <v/>
      </c>
      <c r="CS76">
        <f>SUMPRODUCT((M_BOM[Part Name]=$A76)*M_BOM[RM_Qty_Per_Batch]*IFERROR(INDEX(PP_Grid[#Data],M_BOM[PPGridRow],97),0))/17.82</f>
        <v/>
      </c>
      <c r="CT76">
        <f>SUMPRODUCT((M_BOM[Part Name]=$A76)*M_BOM[RM_Qty_Per_Batch]*IFERROR(INDEX(PP_Grid[#Data],M_BOM[PPGridRow],98),0))/17.82</f>
        <v/>
      </c>
      <c r="CU76">
        <f>SUMPRODUCT((M_BOM[Part Name]=$A76)*M_BOM[RM_Qty_Per_Batch]*IFERROR(INDEX(PP_Grid[#Data],M_BOM[PPGridRow],99),0))/17.82</f>
        <v/>
      </c>
      <c r="CV76">
        <f>SUMPRODUCT((M_BOM[Part Name]=$A76)*M_BOM[RM_Qty_Per_Batch]*IFERROR(INDEX(PP_Grid[#Data],M_BOM[PPGridRow],100),0))/17.82</f>
        <v/>
      </c>
      <c r="CW76">
        <f>SUMPRODUCT((M_BOM[Part Name]=$A76)*M_BOM[RM_Qty_Per_Batch]*IFERROR(INDEX(PP_Grid[#Data],M_BOM[PPGridRow],101),0))/17.82</f>
        <v/>
      </c>
      <c r="CX76">
        <f>SUMPRODUCT((M_BOM[Part Name]=$A76)*M_BOM[RM_Qty_Per_Batch]*IFERROR(INDEX(PP_Grid[#Data],M_BOM[PPGridRow],102),0))/17.82</f>
        <v/>
      </c>
      <c r="CY76">
        <f>SUMPRODUCT((M_BOM[Part Name]=$A76)*M_BOM[RM_Qty_Per_Batch]*IFERROR(INDEX(PP_Grid[#Data],M_BOM[PPGridRow],103),0))/17.82</f>
        <v/>
      </c>
      <c r="CZ76">
        <f>SUMPRODUCT((M_BOM[Part Name]=$A76)*M_BOM[RM_Qty_Per_Batch]*IFERROR(INDEX(PP_Grid[#Data],M_BOM[PPGridRow],104),0))/17.82</f>
        <v/>
      </c>
      <c r="DA76">
        <f>SUMPRODUCT((M_BOM[Part Name]=$A76)*M_BOM[RM_Qty_Per_Batch]*IFERROR(INDEX(PP_Grid[#Data],M_BOM[PPGridRow],105),0))/17.82</f>
        <v/>
      </c>
    </row>
    <row r="77">
      <c r="A77" t="inlineStr">
        <is>
          <t>TPP-635</t>
        </is>
      </c>
      <c r="B77" s="27" t="n">
        <v>0</v>
      </c>
      <c r="C77" s="27" t="n">
        <v>0</v>
      </c>
      <c r="D77" s="27" t="n">
        <v>0</v>
      </c>
      <c r="E77" s="27" t="n">
        <v>0</v>
      </c>
      <c r="F77" s="27" t="n">
        <v>0</v>
      </c>
      <c r="G77" s="27" t="n">
        <v>0</v>
      </c>
      <c r="H77" s="27" t="n">
        <v>0</v>
      </c>
      <c r="I77" s="27" t="n">
        <v>0</v>
      </c>
      <c r="J77" s="27" t="n">
        <v>0</v>
      </c>
      <c r="K77" s="27" t="n">
        <v>0</v>
      </c>
      <c r="L77" s="27" t="n">
        <v>0</v>
      </c>
      <c r="M77" s="27" t="n">
        <v>0</v>
      </c>
      <c r="N77" s="27" t="n">
        <v>0</v>
      </c>
      <c r="O77" s="27" t="n">
        <v>0</v>
      </c>
      <c r="P77" s="27" t="n">
        <v>0</v>
      </c>
      <c r="Q77" s="27" t="n">
        <v>0</v>
      </c>
      <c r="R77" s="27" t="n">
        <v>0</v>
      </c>
      <c r="S77" s="27" t="n">
        <v>0</v>
      </c>
      <c r="T77" s="27" t="n">
        <v>0</v>
      </c>
      <c r="U77" s="27" t="n">
        <v>0</v>
      </c>
      <c r="V77" s="27" t="n">
        <v>0</v>
      </c>
      <c r="W77" s="27" t="n">
        <v>0</v>
      </c>
      <c r="X77" s="27" t="n">
        <v>0</v>
      </c>
      <c r="Y77" s="27" t="n">
        <v>0</v>
      </c>
      <c r="Z77" s="27" t="n">
        <v>0</v>
      </c>
      <c r="AA77" s="27" t="n">
        <v>0</v>
      </c>
      <c r="AB77" s="27" t="n">
        <v>0</v>
      </c>
      <c r="AC77" s="27" t="n">
        <v>0</v>
      </c>
      <c r="AD77" s="27" t="n">
        <v>0</v>
      </c>
      <c r="AE77" s="27" t="n">
        <v>0</v>
      </c>
      <c r="AF77" s="27" t="n">
        <v>0</v>
      </c>
      <c r="AG77" s="27" t="n">
        <v>0</v>
      </c>
      <c r="AH77" s="27" t="n">
        <v>0</v>
      </c>
      <c r="AI77" s="27" t="n">
        <v>0</v>
      </c>
      <c r="AJ77" s="27" t="n">
        <v>0</v>
      </c>
      <c r="AK77" s="27" t="n">
        <v>0</v>
      </c>
      <c r="AL77" s="27" t="n">
        <v>0</v>
      </c>
      <c r="AM77" s="27" t="n">
        <v>0</v>
      </c>
      <c r="AN77" s="27" t="n">
        <v>0</v>
      </c>
      <c r="AO77" s="27" t="n">
        <v>0</v>
      </c>
      <c r="AP77" s="27" t="n">
        <v>0</v>
      </c>
      <c r="AQ77" s="27" t="n">
        <v>0</v>
      </c>
      <c r="AR77" s="27" t="n">
        <v>0</v>
      </c>
      <c r="AS77" s="27" t="n">
        <v>0</v>
      </c>
      <c r="AT77" s="27" t="n">
        <v>0</v>
      </c>
      <c r="AU77" s="27" t="n">
        <v>0</v>
      </c>
      <c r="AV77" s="27" t="n">
        <v>0</v>
      </c>
      <c r="AW77" s="27" t="n">
        <v>0</v>
      </c>
      <c r="AX77" s="27" t="n">
        <v>0</v>
      </c>
      <c r="AY77" s="27" t="n">
        <v>0</v>
      </c>
      <c r="AZ77" s="27" t="n">
        <v>0</v>
      </c>
      <c r="BA77" s="27" t="n">
        <v>0</v>
      </c>
      <c r="BB77" s="27" t="n">
        <v>0</v>
      </c>
      <c r="BC77" s="27" t="n">
        <v>0</v>
      </c>
      <c r="BD77" s="27" t="n">
        <v>0</v>
      </c>
      <c r="BE77" s="27" t="n">
        <v>0</v>
      </c>
      <c r="BF77" s="27" t="n">
        <v>0</v>
      </c>
      <c r="BG77" s="27" t="n">
        <v>0</v>
      </c>
      <c r="BH77" s="27" t="n">
        <v>0</v>
      </c>
      <c r="BI77" s="27" t="n">
        <v>0</v>
      </c>
      <c r="BJ77" s="27" t="n">
        <v>0</v>
      </c>
      <c r="BK77" s="27" t="n">
        <v>0</v>
      </c>
      <c r="BL77" s="27" t="n">
        <v>0</v>
      </c>
      <c r="BM77" s="27" t="n">
        <v>0</v>
      </c>
      <c r="BN77" s="27" t="n">
        <v>0</v>
      </c>
      <c r="BO77" s="27" t="n">
        <v>0</v>
      </c>
      <c r="BP77" s="27" t="n">
        <v>0</v>
      </c>
      <c r="BQ77" s="27" t="n">
        <v>0</v>
      </c>
      <c r="BR77" s="27" t="n">
        <v>0</v>
      </c>
      <c r="BS77" s="27" t="n">
        <v>0</v>
      </c>
      <c r="BT77" s="27" t="n">
        <v>0</v>
      </c>
      <c r="BU77" s="27" t="n">
        <v>0</v>
      </c>
      <c r="BV77" s="27" t="n">
        <v>0</v>
      </c>
      <c r="BW77" s="27" t="n">
        <v>0</v>
      </c>
      <c r="BX77" s="27" t="n">
        <v>0</v>
      </c>
      <c r="BY77" s="27" t="n">
        <v>0</v>
      </c>
      <c r="BZ77" s="27" t="n">
        <v>0</v>
      </c>
      <c r="CA77" s="27" t="n">
        <v>0</v>
      </c>
      <c r="CB77" s="27" t="n">
        <v>0</v>
      </c>
      <c r="CC77" s="27" t="n">
        <v>0</v>
      </c>
      <c r="CD77" s="27" t="n">
        <v>0</v>
      </c>
      <c r="CE77" s="27" t="n">
        <v>0</v>
      </c>
      <c r="CF77" s="27" t="n">
        <v>0</v>
      </c>
      <c r="CG77" s="27" t="n">
        <v>0</v>
      </c>
      <c r="CH77" s="27" t="n">
        <v>0</v>
      </c>
      <c r="CI77" s="27" t="n">
        <v>0</v>
      </c>
      <c r="CJ77" s="27" t="n">
        <v>0</v>
      </c>
      <c r="CK77" s="27" t="n">
        <v>0</v>
      </c>
      <c r="CL77" s="27" t="n">
        <v>0</v>
      </c>
      <c r="CM77" s="27" t="n">
        <v>0</v>
      </c>
      <c r="CN77" s="27" t="n">
        <v>0</v>
      </c>
      <c r="CO77" s="27" t="n">
        <v>0</v>
      </c>
      <c r="CP77" s="27" t="n">
        <v>0</v>
      </c>
      <c r="CQ77" s="27" t="n">
        <v>0</v>
      </c>
      <c r="CR77" s="27" t="n">
        <v>0</v>
      </c>
      <c r="CS77" s="27" t="n">
        <v>0</v>
      </c>
      <c r="CT77" s="27" t="n">
        <v>0</v>
      </c>
      <c r="CU77" s="27" t="n">
        <v>0</v>
      </c>
      <c r="CV77" s="27" t="n">
        <v>0</v>
      </c>
      <c r="CW77" s="27" t="n">
        <v>0</v>
      </c>
      <c r="CX77" s="27" t="n">
        <v>0</v>
      </c>
      <c r="CY77" s="27" t="n">
        <v>0</v>
      </c>
      <c r="CZ77" s="27" t="n">
        <v>0</v>
      </c>
      <c r="DA77" s="27" t="n">
        <v>0</v>
      </c>
    </row>
    <row r="78">
      <c r="A78" t="inlineStr">
        <is>
          <t>TPP-649</t>
        </is>
      </c>
      <c r="B78" s="27" t="n">
        <v>0</v>
      </c>
      <c r="C78" s="27" t="n">
        <v>0</v>
      </c>
      <c r="D78" s="27" t="n">
        <v>8</v>
      </c>
      <c r="E78" s="27" t="n">
        <v>0</v>
      </c>
      <c r="F78" s="27" t="n">
        <v>4</v>
      </c>
      <c r="G78" s="27" t="n">
        <v>0</v>
      </c>
      <c r="H78" s="27" t="n">
        <v>0</v>
      </c>
      <c r="I78" s="27" t="n">
        <v>4</v>
      </c>
      <c r="J78" s="27" t="n">
        <v>0</v>
      </c>
      <c r="K78" s="27" t="n">
        <v>4</v>
      </c>
      <c r="L78" s="27" t="n">
        <v>0</v>
      </c>
      <c r="M78" s="27" t="n">
        <v>0</v>
      </c>
      <c r="N78" s="27" t="n">
        <v>4</v>
      </c>
      <c r="O78" s="27" t="n">
        <v>0</v>
      </c>
      <c r="P78" s="27" t="n">
        <v>2</v>
      </c>
      <c r="Q78" s="27" t="n">
        <v>3</v>
      </c>
      <c r="R78" s="27" t="n">
        <v>0</v>
      </c>
      <c r="S78" s="27" t="n">
        <v>0</v>
      </c>
      <c r="T78" s="27" t="n">
        <v>4</v>
      </c>
      <c r="U78" s="27" t="n">
        <v>2</v>
      </c>
      <c r="V78" s="27" t="n">
        <v>2</v>
      </c>
      <c r="W78" s="27" t="n">
        <v>4</v>
      </c>
      <c r="X78" s="27" t="n">
        <v>4</v>
      </c>
      <c r="Y78" s="27" t="n">
        <v>0</v>
      </c>
      <c r="Z78" s="27" t="n">
        <v>0</v>
      </c>
      <c r="AA78" s="27" t="n">
        <v>4</v>
      </c>
      <c r="AB78" s="27" t="n">
        <v>4</v>
      </c>
      <c r="AC78" s="27" t="n">
        <v>4</v>
      </c>
      <c r="AD78" s="27" t="n">
        <v>2</v>
      </c>
      <c r="AE78" s="27" t="n">
        <v>4</v>
      </c>
      <c r="AF78" s="27" t="n">
        <v>0</v>
      </c>
      <c r="AG78" s="27" t="n">
        <v>4</v>
      </c>
      <c r="AH78" s="27" t="n">
        <v>0</v>
      </c>
      <c r="AI78" s="27" t="n">
        <v>0</v>
      </c>
      <c r="AJ78" s="27" t="n">
        <v>0</v>
      </c>
      <c r="AK78" s="27" t="n">
        <v>4</v>
      </c>
      <c r="AL78" s="27" t="n">
        <v>0</v>
      </c>
      <c r="AM78" s="27" t="n">
        <v>0</v>
      </c>
      <c r="AN78" s="27" t="n">
        <v>4</v>
      </c>
      <c r="AO78" s="27" t="n">
        <v>0</v>
      </c>
      <c r="AP78" s="27" t="n">
        <v>0</v>
      </c>
      <c r="AQ78" s="27" t="n">
        <v>4</v>
      </c>
      <c r="AR78" s="27" t="n">
        <v>0</v>
      </c>
      <c r="AS78" s="27" t="n">
        <v>4</v>
      </c>
      <c r="AT78" s="27" t="n">
        <v>4</v>
      </c>
      <c r="AU78" s="27" t="n">
        <v>4</v>
      </c>
      <c r="AV78" s="27" t="n">
        <v>4</v>
      </c>
      <c r="AW78" s="27" t="n">
        <v>4</v>
      </c>
      <c r="AX78" s="27" t="n">
        <v>0</v>
      </c>
      <c r="AY78" s="27" t="n">
        <v>4</v>
      </c>
      <c r="AZ78" s="27" t="n">
        <v>0</v>
      </c>
      <c r="BA78" s="27" t="n">
        <v>0</v>
      </c>
      <c r="BB78" s="27" t="n">
        <v>0</v>
      </c>
      <c r="BC78" s="27" t="n">
        <v>0</v>
      </c>
      <c r="BD78" s="27" t="n">
        <v>4</v>
      </c>
      <c r="BE78" s="27" t="n">
        <v>0</v>
      </c>
      <c r="BF78" s="27" t="n">
        <v>0</v>
      </c>
      <c r="BG78" s="27" t="n">
        <v>4</v>
      </c>
      <c r="BH78" s="27" t="n">
        <v>0</v>
      </c>
      <c r="BI78" s="27" t="n">
        <v>4</v>
      </c>
      <c r="BJ78" s="27" t="n">
        <v>0</v>
      </c>
      <c r="BK78" s="27" t="n">
        <v>0</v>
      </c>
      <c r="BL78" s="27" t="n">
        <v>0</v>
      </c>
      <c r="BM78" s="27" t="n">
        <v>0</v>
      </c>
      <c r="BN78" s="27" t="n">
        <v>0</v>
      </c>
      <c r="BO78" s="27" t="n">
        <v>0</v>
      </c>
      <c r="BP78" s="27" t="n">
        <v>0</v>
      </c>
      <c r="BQ78" s="27" t="n">
        <v>0</v>
      </c>
      <c r="BR78" s="27" t="n">
        <v>0</v>
      </c>
      <c r="BS78" s="27" t="n">
        <v>0</v>
      </c>
      <c r="BT78" s="27" t="n">
        <v>0</v>
      </c>
      <c r="BU78" s="27" t="n">
        <v>0</v>
      </c>
      <c r="BV78" s="27" t="n">
        <v>0</v>
      </c>
      <c r="BW78" s="27" t="n">
        <v>0</v>
      </c>
      <c r="BX78" s="27" t="n">
        <v>0</v>
      </c>
      <c r="BY78" s="27" t="n">
        <v>0</v>
      </c>
      <c r="BZ78" s="27" t="n">
        <v>0</v>
      </c>
      <c r="CA78" s="27" t="n">
        <v>0</v>
      </c>
      <c r="CB78" s="27" t="n">
        <v>0</v>
      </c>
      <c r="CC78" s="27" t="n">
        <v>0</v>
      </c>
      <c r="CD78" s="27" t="n">
        <v>0</v>
      </c>
      <c r="CE78" s="27" t="n">
        <v>0</v>
      </c>
      <c r="CF78" s="27" t="n">
        <v>0</v>
      </c>
      <c r="CG78" s="27" t="n">
        <v>0</v>
      </c>
      <c r="CH78" s="27" t="n">
        <v>0</v>
      </c>
      <c r="CI78" s="27" t="n">
        <v>0</v>
      </c>
      <c r="CJ78" s="27" t="n">
        <v>0</v>
      </c>
      <c r="CK78" s="27" t="n">
        <v>0</v>
      </c>
      <c r="CL78" s="27" t="n">
        <v>0</v>
      </c>
      <c r="CM78" s="27" t="n">
        <v>0</v>
      </c>
      <c r="CN78" s="27" t="n">
        <v>0</v>
      </c>
      <c r="CO78" s="27" t="n">
        <v>0</v>
      </c>
      <c r="CP78" s="27" t="n">
        <v>0</v>
      </c>
      <c r="CQ78" s="27" t="n">
        <v>0</v>
      </c>
      <c r="CR78" s="27" t="n">
        <v>0</v>
      </c>
      <c r="CS78" s="27" t="n">
        <v>0</v>
      </c>
      <c r="CT78" s="27" t="n">
        <v>0</v>
      </c>
      <c r="CU78" s="27" t="n">
        <v>0</v>
      </c>
      <c r="CV78" s="27" t="n">
        <v>0</v>
      </c>
      <c r="CW78" s="27" t="n">
        <v>0</v>
      </c>
      <c r="CX78" s="27" t="n">
        <v>0</v>
      </c>
      <c r="CY78" s="27" t="n">
        <v>0</v>
      </c>
      <c r="CZ78" s="27" t="n">
        <v>0</v>
      </c>
      <c r="DA78" s="27" t="n">
        <v>0</v>
      </c>
    </row>
    <row r="79">
      <c r="A79" t="inlineStr">
        <is>
          <t>TPP-650</t>
        </is>
      </c>
      <c r="B79" s="27" t="n">
        <v>0</v>
      </c>
      <c r="C79" s="27" t="n">
        <v>0</v>
      </c>
      <c r="D79" s="27" t="n">
        <v>4</v>
      </c>
      <c r="E79" s="27" t="n">
        <v>2</v>
      </c>
      <c r="F79" s="27" t="n">
        <v>0</v>
      </c>
      <c r="G79" s="27" t="n">
        <v>2</v>
      </c>
      <c r="H79" s="27" t="n">
        <v>0</v>
      </c>
      <c r="I79" s="27" t="n">
        <v>2</v>
      </c>
      <c r="J79" s="27" t="n">
        <v>0</v>
      </c>
      <c r="K79" s="27" t="n">
        <v>2</v>
      </c>
      <c r="L79" s="27" t="n">
        <v>0</v>
      </c>
      <c r="M79" s="27" t="n">
        <v>2</v>
      </c>
      <c r="N79" s="27" t="n">
        <v>2</v>
      </c>
      <c r="O79" s="27" t="n">
        <v>2</v>
      </c>
      <c r="P79" s="27" t="n">
        <v>2</v>
      </c>
      <c r="Q79" s="27" t="n">
        <v>4</v>
      </c>
      <c r="R79" s="27" t="n">
        <v>4</v>
      </c>
      <c r="S79" s="27" t="n">
        <v>0</v>
      </c>
      <c r="T79" s="27" t="n">
        <v>0</v>
      </c>
      <c r="U79" s="27" t="n">
        <v>0</v>
      </c>
      <c r="V79" s="27" t="n">
        <v>0</v>
      </c>
      <c r="W79" s="27" t="n">
        <v>2</v>
      </c>
      <c r="X79" s="27" t="n">
        <v>0</v>
      </c>
      <c r="Y79" s="27" t="n">
        <v>4</v>
      </c>
      <c r="Z79" s="27" t="n">
        <v>0</v>
      </c>
      <c r="AA79" s="27" t="n">
        <v>4</v>
      </c>
      <c r="AB79" s="27" t="n">
        <v>2</v>
      </c>
      <c r="AC79" s="27" t="n">
        <v>4</v>
      </c>
      <c r="AD79" s="27" t="n">
        <v>2</v>
      </c>
      <c r="AE79" s="27" t="n">
        <v>4</v>
      </c>
      <c r="AF79" s="27" t="n">
        <v>0</v>
      </c>
      <c r="AG79" s="27" t="n">
        <v>4</v>
      </c>
      <c r="AH79" s="27" t="n">
        <v>0</v>
      </c>
      <c r="AI79" s="27" t="n">
        <v>0</v>
      </c>
      <c r="AJ79" s="27" t="n">
        <v>0</v>
      </c>
      <c r="AK79" s="27" t="n">
        <v>2</v>
      </c>
      <c r="AL79" s="27" t="n">
        <v>0</v>
      </c>
      <c r="AM79" s="27" t="n">
        <v>0</v>
      </c>
      <c r="AN79" s="27" t="n">
        <v>4</v>
      </c>
      <c r="AO79" s="27" t="n">
        <v>0</v>
      </c>
      <c r="AP79" s="27" t="n">
        <v>0</v>
      </c>
      <c r="AQ79" s="27" t="n">
        <v>2</v>
      </c>
      <c r="AR79" s="27" t="n">
        <v>4</v>
      </c>
      <c r="AS79" s="27" t="n">
        <v>2</v>
      </c>
      <c r="AT79" s="27" t="n">
        <v>2</v>
      </c>
      <c r="AU79" s="27" t="n">
        <v>2</v>
      </c>
      <c r="AV79" s="27" t="n">
        <v>2</v>
      </c>
      <c r="AW79" s="27" t="n">
        <v>4</v>
      </c>
      <c r="AX79" s="27" t="n">
        <v>0</v>
      </c>
      <c r="AY79" s="27" t="n">
        <v>4</v>
      </c>
      <c r="AZ79" s="27" t="n">
        <v>0</v>
      </c>
      <c r="BA79" s="27" t="n">
        <v>0</v>
      </c>
      <c r="BB79" s="27" t="n">
        <v>0</v>
      </c>
      <c r="BC79" s="27" t="n">
        <v>0</v>
      </c>
      <c r="BD79" s="27" t="n">
        <v>2</v>
      </c>
      <c r="BE79" s="27" t="n">
        <v>0</v>
      </c>
      <c r="BF79" s="27" t="n">
        <v>0</v>
      </c>
      <c r="BG79" s="27" t="n">
        <v>2</v>
      </c>
      <c r="BH79" s="27" t="n">
        <v>0</v>
      </c>
      <c r="BI79" s="27" t="n">
        <v>2</v>
      </c>
      <c r="BJ79" s="27" t="n">
        <v>0</v>
      </c>
      <c r="BK79" s="27" t="n">
        <v>0</v>
      </c>
      <c r="BL79" s="27" t="n">
        <v>2</v>
      </c>
      <c r="BM79" s="27" t="n">
        <v>0</v>
      </c>
      <c r="BN79" s="27" t="n">
        <v>0</v>
      </c>
      <c r="BO79" s="27" t="n">
        <v>0</v>
      </c>
      <c r="BP79" s="27" t="n">
        <v>0</v>
      </c>
      <c r="BQ79" s="27" t="n">
        <v>0</v>
      </c>
      <c r="BR79" s="27" t="n">
        <v>0</v>
      </c>
      <c r="BS79" s="27" t="n">
        <v>0</v>
      </c>
      <c r="BT79" s="27" t="n">
        <v>0</v>
      </c>
      <c r="BU79" s="27" t="n">
        <v>0</v>
      </c>
      <c r="BV79" s="27" t="n">
        <v>0</v>
      </c>
      <c r="BW79" s="27" t="n">
        <v>0</v>
      </c>
      <c r="BX79" s="27" t="n">
        <v>0</v>
      </c>
      <c r="BY79" s="27" t="n">
        <v>0</v>
      </c>
      <c r="BZ79" s="27" t="n">
        <v>0</v>
      </c>
      <c r="CA79" s="27" t="n">
        <v>0</v>
      </c>
      <c r="CB79" s="27" t="n">
        <v>0</v>
      </c>
      <c r="CC79" s="27" t="n">
        <v>0</v>
      </c>
      <c r="CD79" s="27" t="n">
        <v>0</v>
      </c>
      <c r="CE79" s="27" t="n">
        <v>0</v>
      </c>
      <c r="CF79" s="27" t="n">
        <v>0</v>
      </c>
      <c r="CG79" s="27" t="n">
        <v>0</v>
      </c>
      <c r="CH79" s="27" t="n">
        <v>0</v>
      </c>
      <c r="CI79" s="27" t="n">
        <v>0</v>
      </c>
      <c r="CJ79" s="27" t="n">
        <v>0</v>
      </c>
      <c r="CK79" s="27" t="n">
        <v>0</v>
      </c>
      <c r="CL79" s="27" t="n">
        <v>0</v>
      </c>
      <c r="CM79" s="27" t="n">
        <v>0</v>
      </c>
      <c r="CN79" s="27" t="n">
        <v>0</v>
      </c>
      <c r="CO79" s="27" t="n">
        <v>0</v>
      </c>
      <c r="CP79" s="27" t="n">
        <v>0</v>
      </c>
      <c r="CQ79" s="27" t="n">
        <v>0</v>
      </c>
      <c r="CR79" s="27" t="n">
        <v>0</v>
      </c>
      <c r="CS79" s="27" t="n">
        <v>0</v>
      </c>
      <c r="CT79" s="27" t="n">
        <v>0</v>
      </c>
      <c r="CU79" s="27" t="n">
        <v>0</v>
      </c>
      <c r="CV79" s="27" t="n">
        <v>0</v>
      </c>
      <c r="CW79" s="27" t="n">
        <v>0</v>
      </c>
      <c r="CX79" s="27" t="n">
        <v>0</v>
      </c>
      <c r="CY79" s="27" t="n">
        <v>0</v>
      </c>
      <c r="CZ79" s="27" t="n">
        <v>0</v>
      </c>
      <c r="DA79" s="27" t="n">
        <v>0</v>
      </c>
    </row>
    <row r="80">
      <c r="A80" t="inlineStr">
        <is>
          <t>TPP-699</t>
        </is>
      </c>
      <c r="B80" s="27" t="n">
        <v>0</v>
      </c>
      <c r="C80" s="27" t="n">
        <v>0</v>
      </c>
      <c r="D80" s="27" t="n">
        <v>0</v>
      </c>
      <c r="E80" s="27" t="n">
        <v>0</v>
      </c>
      <c r="F80" s="27" t="n">
        <v>0</v>
      </c>
      <c r="G80" s="27" t="n">
        <v>0</v>
      </c>
      <c r="H80" s="27" t="n">
        <v>0</v>
      </c>
      <c r="I80" s="27" t="n">
        <v>0</v>
      </c>
      <c r="J80" s="27" t="n">
        <v>0</v>
      </c>
      <c r="K80" s="27" t="n">
        <v>0</v>
      </c>
      <c r="L80" s="27" t="n">
        <v>0</v>
      </c>
      <c r="M80" s="27" t="n">
        <v>0</v>
      </c>
      <c r="N80" s="27" t="n">
        <v>0</v>
      </c>
      <c r="O80" s="27" t="n">
        <v>0</v>
      </c>
      <c r="P80" s="27" t="n">
        <v>0</v>
      </c>
      <c r="Q80" s="27" t="n">
        <v>0</v>
      </c>
      <c r="R80" s="27" t="n">
        <v>0</v>
      </c>
      <c r="S80" s="27" t="n">
        <v>0</v>
      </c>
      <c r="T80" s="27" t="n">
        <v>0</v>
      </c>
      <c r="U80" s="27" t="n">
        <v>0</v>
      </c>
      <c r="V80" s="27" t="n">
        <v>0</v>
      </c>
      <c r="W80" s="27" t="n">
        <v>0</v>
      </c>
      <c r="X80" s="27" t="n">
        <v>0</v>
      </c>
      <c r="Y80" s="27" t="n">
        <v>0</v>
      </c>
      <c r="Z80" s="27" t="n">
        <v>0</v>
      </c>
      <c r="AA80" s="27" t="n">
        <v>0</v>
      </c>
      <c r="AB80" s="27" t="n">
        <v>0</v>
      </c>
      <c r="AC80" s="27" t="n">
        <v>0</v>
      </c>
      <c r="AD80" s="27" t="n">
        <v>0</v>
      </c>
      <c r="AE80" s="27" t="n">
        <v>0</v>
      </c>
      <c r="AF80" s="27" t="n">
        <v>0</v>
      </c>
      <c r="AG80" s="27" t="n">
        <v>0</v>
      </c>
      <c r="AH80" s="27" t="n">
        <v>0</v>
      </c>
      <c r="AI80" s="27" t="n">
        <v>0</v>
      </c>
      <c r="AJ80" s="27" t="n">
        <v>0</v>
      </c>
      <c r="AK80" s="27" t="n">
        <v>0</v>
      </c>
      <c r="AL80" s="27" t="n">
        <v>0</v>
      </c>
      <c r="AM80" s="27" t="n">
        <v>0</v>
      </c>
      <c r="AN80" s="27" t="n">
        <v>0</v>
      </c>
      <c r="AO80" s="27" t="n">
        <v>0</v>
      </c>
      <c r="AP80" s="27" t="n">
        <v>0</v>
      </c>
      <c r="AQ80" s="27" t="n">
        <v>0</v>
      </c>
      <c r="AR80" s="27" t="n">
        <v>0</v>
      </c>
      <c r="AS80" s="27" t="n">
        <v>0</v>
      </c>
      <c r="AT80" s="27" t="n">
        <v>0</v>
      </c>
      <c r="AU80" s="27" t="n">
        <v>0</v>
      </c>
      <c r="AV80" s="27" t="n">
        <v>0</v>
      </c>
      <c r="AW80" s="27" t="n">
        <v>0</v>
      </c>
      <c r="AX80" s="27" t="n">
        <v>0</v>
      </c>
      <c r="AY80" s="27" t="n">
        <v>0</v>
      </c>
      <c r="AZ80" s="27" t="n">
        <v>0</v>
      </c>
      <c r="BA80" s="27" t="n">
        <v>0</v>
      </c>
      <c r="BB80" s="27" t="n">
        <v>0</v>
      </c>
      <c r="BC80" s="27" t="n">
        <v>0</v>
      </c>
      <c r="BD80" s="27" t="n">
        <v>0</v>
      </c>
      <c r="BE80" s="27" t="n">
        <v>0</v>
      </c>
      <c r="BF80" s="27" t="n">
        <v>0</v>
      </c>
      <c r="BG80" s="27" t="n">
        <v>0</v>
      </c>
      <c r="BH80" s="27" t="n">
        <v>0</v>
      </c>
      <c r="BI80" s="27" t="n">
        <v>0</v>
      </c>
      <c r="BJ80" s="27" t="n">
        <v>0</v>
      </c>
      <c r="BK80" s="27" t="n">
        <v>0</v>
      </c>
      <c r="BL80" s="27" t="n">
        <v>0</v>
      </c>
      <c r="BM80" s="27" t="n">
        <v>0</v>
      </c>
      <c r="BN80" s="27" t="n">
        <v>0</v>
      </c>
      <c r="BO80" s="27" t="n">
        <v>0</v>
      </c>
      <c r="BP80" s="27" t="n">
        <v>0</v>
      </c>
      <c r="BQ80" s="27" t="n">
        <v>0</v>
      </c>
      <c r="BR80" s="27" t="n">
        <v>0</v>
      </c>
      <c r="BS80" s="27" t="n">
        <v>0</v>
      </c>
      <c r="BT80" s="27" t="n">
        <v>0</v>
      </c>
      <c r="BU80" s="27" t="n">
        <v>0</v>
      </c>
      <c r="BV80" s="27" t="n">
        <v>0</v>
      </c>
      <c r="BW80" s="27" t="n">
        <v>0</v>
      </c>
      <c r="BX80" s="27" t="n">
        <v>0</v>
      </c>
      <c r="BY80" s="27" t="n">
        <v>0</v>
      </c>
      <c r="BZ80" s="27" t="n">
        <v>0</v>
      </c>
      <c r="CA80" s="27" t="n">
        <v>0</v>
      </c>
      <c r="CB80" s="27" t="n">
        <v>0</v>
      </c>
      <c r="CC80" s="27" t="n">
        <v>0</v>
      </c>
      <c r="CD80" s="27" t="n">
        <v>0</v>
      </c>
      <c r="CE80" s="27" t="n">
        <v>0</v>
      </c>
      <c r="CF80" s="27" t="n">
        <v>0</v>
      </c>
      <c r="CG80" s="27" t="n">
        <v>0</v>
      </c>
      <c r="CH80" s="27" t="n">
        <v>0</v>
      </c>
      <c r="CI80" s="27" t="n">
        <v>0</v>
      </c>
      <c r="CJ80" s="27" t="n">
        <v>0</v>
      </c>
      <c r="CK80" s="27" t="n">
        <v>0</v>
      </c>
      <c r="CL80" s="27" t="n">
        <v>0</v>
      </c>
      <c r="CM80" s="27" t="n">
        <v>0</v>
      </c>
      <c r="CN80" s="27" t="n">
        <v>0</v>
      </c>
      <c r="CO80" s="27" t="n">
        <v>0</v>
      </c>
      <c r="CP80" s="27" t="n">
        <v>0</v>
      </c>
      <c r="CQ80" s="27" t="n">
        <v>0</v>
      </c>
      <c r="CR80" s="27" t="n">
        <v>0</v>
      </c>
      <c r="CS80" s="27" t="n">
        <v>0</v>
      </c>
      <c r="CT80" s="27" t="n">
        <v>0</v>
      </c>
      <c r="CU80" s="27" t="n">
        <v>0</v>
      </c>
      <c r="CV80" s="27" t="n">
        <v>0</v>
      </c>
      <c r="CW80" s="27" t="n">
        <v>0</v>
      </c>
      <c r="CX80" s="27" t="n">
        <v>0</v>
      </c>
      <c r="CY80" s="27" t="n">
        <v>0</v>
      </c>
      <c r="CZ80" s="27" t="n">
        <v>0</v>
      </c>
      <c r="DA80" s="27" t="n">
        <v>0</v>
      </c>
    </row>
    <row r="81">
      <c r="A81" t="inlineStr">
        <is>
          <t>TPP-700</t>
        </is>
      </c>
      <c r="B81" s="27" t="n">
        <v>0</v>
      </c>
      <c r="C81" s="27" t="n">
        <v>0</v>
      </c>
      <c r="D81" s="27" t="n">
        <v>0</v>
      </c>
      <c r="E81" s="27" t="n">
        <v>0</v>
      </c>
      <c r="F81" s="27" t="n">
        <v>0</v>
      </c>
      <c r="G81" s="27" t="n">
        <v>0</v>
      </c>
      <c r="H81" s="27" t="n">
        <v>0</v>
      </c>
      <c r="I81" s="27" t="n">
        <v>0</v>
      </c>
      <c r="J81" s="27" t="n">
        <v>0</v>
      </c>
      <c r="K81" s="27" t="n">
        <v>0</v>
      </c>
      <c r="L81" s="27" t="n">
        <v>0</v>
      </c>
      <c r="M81" s="27" t="n">
        <v>0</v>
      </c>
      <c r="N81" s="27" t="n">
        <v>0</v>
      </c>
      <c r="O81" s="27" t="n">
        <v>0</v>
      </c>
      <c r="P81" s="27" t="n">
        <v>0</v>
      </c>
      <c r="Q81" s="27" t="n">
        <v>0</v>
      </c>
      <c r="R81" s="27" t="n">
        <v>0</v>
      </c>
      <c r="S81" s="27" t="n">
        <v>0</v>
      </c>
      <c r="T81" s="27" t="n">
        <v>0</v>
      </c>
      <c r="U81" s="27" t="n">
        <v>0</v>
      </c>
      <c r="V81" s="27" t="n">
        <v>0</v>
      </c>
      <c r="W81" s="27" t="n">
        <v>0</v>
      </c>
      <c r="X81" s="27" t="n">
        <v>0</v>
      </c>
      <c r="Y81" s="27" t="n">
        <v>0</v>
      </c>
      <c r="Z81" s="27" t="n">
        <v>0</v>
      </c>
      <c r="AA81" s="27" t="n">
        <v>0</v>
      </c>
      <c r="AB81" s="27" t="n">
        <v>0</v>
      </c>
      <c r="AC81" s="27" t="n">
        <v>0</v>
      </c>
      <c r="AD81" s="27" t="n">
        <v>0</v>
      </c>
      <c r="AE81" s="27" t="n">
        <v>0</v>
      </c>
      <c r="AF81" s="27" t="n">
        <v>0</v>
      </c>
      <c r="AG81" s="27" t="n">
        <v>0</v>
      </c>
      <c r="AH81" s="27" t="n">
        <v>0</v>
      </c>
      <c r="AI81" s="27" t="n">
        <v>0</v>
      </c>
      <c r="AJ81" s="27" t="n">
        <v>0</v>
      </c>
      <c r="AK81" s="27" t="n">
        <v>0</v>
      </c>
      <c r="AL81" s="27" t="n">
        <v>0</v>
      </c>
      <c r="AM81" s="27" t="n">
        <v>0</v>
      </c>
      <c r="AN81" s="27" t="n">
        <v>0</v>
      </c>
      <c r="AO81" s="27" t="n">
        <v>0</v>
      </c>
      <c r="AP81" s="27" t="n">
        <v>0</v>
      </c>
      <c r="AQ81" s="27" t="n">
        <v>0</v>
      </c>
      <c r="AR81" s="27" t="n">
        <v>0</v>
      </c>
      <c r="AS81" s="27" t="n">
        <v>0</v>
      </c>
      <c r="AT81" s="27" t="n">
        <v>0</v>
      </c>
      <c r="AU81" s="27" t="n">
        <v>0</v>
      </c>
      <c r="AV81" s="27" t="n">
        <v>0</v>
      </c>
      <c r="AW81" s="27" t="n">
        <v>0</v>
      </c>
      <c r="AX81" s="27" t="n">
        <v>0</v>
      </c>
      <c r="AY81" s="27" t="n">
        <v>0</v>
      </c>
      <c r="AZ81" s="27" t="n">
        <v>0</v>
      </c>
      <c r="BA81" s="27" t="n">
        <v>0</v>
      </c>
      <c r="BB81" s="27" t="n">
        <v>0</v>
      </c>
      <c r="BC81" s="27" t="n">
        <v>0</v>
      </c>
      <c r="BD81" s="27" t="n">
        <v>0</v>
      </c>
      <c r="BE81" s="27" t="n">
        <v>0</v>
      </c>
      <c r="BF81" s="27" t="n">
        <v>0</v>
      </c>
      <c r="BG81" s="27" t="n">
        <v>0</v>
      </c>
      <c r="BH81" s="27" t="n">
        <v>0</v>
      </c>
      <c r="BI81" s="27" t="n">
        <v>0</v>
      </c>
      <c r="BJ81" s="27" t="n">
        <v>0</v>
      </c>
      <c r="BK81" s="27" t="n">
        <v>0</v>
      </c>
      <c r="BL81" s="27" t="n">
        <v>0</v>
      </c>
      <c r="BM81" s="27" t="n">
        <v>0</v>
      </c>
      <c r="BN81" s="27" t="n">
        <v>0</v>
      </c>
      <c r="BO81" s="27" t="n">
        <v>0</v>
      </c>
      <c r="BP81" s="27" t="n">
        <v>0</v>
      </c>
      <c r="BQ81" s="27" t="n">
        <v>0</v>
      </c>
      <c r="BR81" s="27" t="n">
        <v>0</v>
      </c>
      <c r="BS81" s="27" t="n">
        <v>0</v>
      </c>
      <c r="BT81" s="27" t="n">
        <v>0</v>
      </c>
      <c r="BU81" s="27" t="n">
        <v>0</v>
      </c>
      <c r="BV81" s="27" t="n">
        <v>0</v>
      </c>
      <c r="BW81" s="27" t="n">
        <v>0</v>
      </c>
      <c r="BX81" s="27" t="n">
        <v>0</v>
      </c>
      <c r="BY81" s="27" t="n">
        <v>0</v>
      </c>
      <c r="BZ81" s="27" t="n">
        <v>0</v>
      </c>
      <c r="CA81" s="27" t="n">
        <v>0</v>
      </c>
      <c r="CB81" s="27" t="n">
        <v>0</v>
      </c>
      <c r="CC81" s="27" t="n">
        <v>0</v>
      </c>
      <c r="CD81" s="27" t="n">
        <v>0</v>
      </c>
      <c r="CE81" s="27" t="n">
        <v>0</v>
      </c>
      <c r="CF81" s="27" t="n">
        <v>0</v>
      </c>
      <c r="CG81" s="27" t="n">
        <v>0</v>
      </c>
      <c r="CH81" s="27" t="n">
        <v>0</v>
      </c>
      <c r="CI81" s="27" t="n">
        <v>0</v>
      </c>
      <c r="CJ81" s="27" t="n">
        <v>0</v>
      </c>
      <c r="CK81" s="27" t="n">
        <v>0</v>
      </c>
      <c r="CL81" s="27" t="n">
        <v>0</v>
      </c>
      <c r="CM81" s="27" t="n">
        <v>0</v>
      </c>
      <c r="CN81" s="27" t="n">
        <v>0</v>
      </c>
      <c r="CO81" s="27" t="n">
        <v>0</v>
      </c>
      <c r="CP81" s="27" t="n">
        <v>0</v>
      </c>
      <c r="CQ81" s="27" t="n">
        <v>0</v>
      </c>
      <c r="CR81" s="27" t="n">
        <v>0</v>
      </c>
      <c r="CS81" s="27" t="n">
        <v>0</v>
      </c>
      <c r="CT81" s="27" t="n">
        <v>0</v>
      </c>
      <c r="CU81" s="27" t="n">
        <v>0</v>
      </c>
      <c r="CV81" s="27" t="n">
        <v>0</v>
      </c>
      <c r="CW81" s="27" t="n">
        <v>0</v>
      </c>
      <c r="CX81" s="27" t="n">
        <v>0</v>
      </c>
      <c r="CY81" s="27" t="n">
        <v>0</v>
      </c>
      <c r="CZ81" s="27" t="n">
        <v>0</v>
      </c>
      <c r="DA81" s="27" t="n">
        <v>0</v>
      </c>
    </row>
    <row r="82">
      <c r="A82" t="inlineStr">
        <is>
          <t>TPP-701</t>
        </is>
      </c>
      <c r="B82" s="27" t="n">
        <v>0</v>
      </c>
      <c r="C82" s="27" t="n">
        <v>0</v>
      </c>
      <c r="D82" s="27" t="n">
        <v>0</v>
      </c>
      <c r="E82" s="27" t="n">
        <v>0</v>
      </c>
      <c r="F82" s="27" t="n">
        <v>0</v>
      </c>
      <c r="G82" s="27" t="n">
        <v>0</v>
      </c>
      <c r="H82" s="27" t="n">
        <v>0</v>
      </c>
      <c r="I82" s="27" t="n">
        <v>0</v>
      </c>
      <c r="J82" s="27" t="n">
        <v>0</v>
      </c>
      <c r="K82" s="27" t="n">
        <v>0</v>
      </c>
      <c r="L82" s="27" t="n">
        <v>0</v>
      </c>
      <c r="M82" s="27" t="n">
        <v>0</v>
      </c>
      <c r="N82" s="27" t="n">
        <v>0</v>
      </c>
      <c r="O82" s="27" t="n">
        <v>0</v>
      </c>
      <c r="P82" s="27" t="n">
        <v>0</v>
      </c>
      <c r="Q82" s="27" t="n">
        <v>0</v>
      </c>
      <c r="R82" s="27" t="n">
        <v>0</v>
      </c>
      <c r="S82" s="27" t="n">
        <v>0</v>
      </c>
      <c r="T82" s="27" t="n">
        <v>0</v>
      </c>
      <c r="U82" s="27" t="n">
        <v>0</v>
      </c>
      <c r="V82" s="27" t="n">
        <v>0</v>
      </c>
      <c r="W82" s="27" t="n">
        <v>0</v>
      </c>
      <c r="X82" s="27" t="n">
        <v>0</v>
      </c>
      <c r="Y82" s="27" t="n">
        <v>0</v>
      </c>
      <c r="Z82" s="27" t="n">
        <v>0</v>
      </c>
      <c r="AA82" s="27" t="n">
        <v>0</v>
      </c>
      <c r="AB82" s="27" t="n">
        <v>0</v>
      </c>
      <c r="AC82" s="27" t="n">
        <v>0</v>
      </c>
      <c r="AD82" s="27" t="n">
        <v>0</v>
      </c>
      <c r="AE82" s="27" t="n">
        <v>0</v>
      </c>
      <c r="AF82" s="27" t="n">
        <v>0</v>
      </c>
      <c r="AG82" s="27" t="n">
        <v>0</v>
      </c>
      <c r="AH82" s="27" t="n">
        <v>0</v>
      </c>
      <c r="AI82" s="27" t="n">
        <v>0</v>
      </c>
      <c r="AJ82" s="27" t="n">
        <v>0</v>
      </c>
      <c r="AK82" s="27" t="n">
        <v>0</v>
      </c>
      <c r="AL82" s="27" t="n">
        <v>0</v>
      </c>
      <c r="AM82" s="27" t="n">
        <v>0</v>
      </c>
      <c r="AN82" s="27" t="n">
        <v>0</v>
      </c>
      <c r="AO82" s="27" t="n">
        <v>0</v>
      </c>
      <c r="AP82" s="27" t="n">
        <v>0</v>
      </c>
      <c r="AQ82" s="27" t="n">
        <v>0</v>
      </c>
      <c r="AR82" s="27" t="n">
        <v>0</v>
      </c>
      <c r="AS82" s="27" t="n">
        <v>0</v>
      </c>
      <c r="AT82" s="27" t="n">
        <v>0</v>
      </c>
      <c r="AU82" s="27" t="n">
        <v>0</v>
      </c>
      <c r="AV82" s="27" t="n">
        <v>0</v>
      </c>
      <c r="AW82" s="27" t="n">
        <v>0</v>
      </c>
      <c r="AX82" s="27" t="n">
        <v>0</v>
      </c>
      <c r="AY82" s="27" t="n">
        <v>0</v>
      </c>
      <c r="AZ82" s="27" t="n">
        <v>0</v>
      </c>
      <c r="BA82" s="27" t="n">
        <v>0</v>
      </c>
      <c r="BB82" s="27" t="n">
        <v>0</v>
      </c>
      <c r="BC82" s="27" t="n">
        <v>0</v>
      </c>
      <c r="BD82" s="27" t="n">
        <v>0</v>
      </c>
      <c r="BE82" s="27" t="n">
        <v>0</v>
      </c>
      <c r="BF82" s="27" t="n">
        <v>0</v>
      </c>
      <c r="BG82" s="27" t="n">
        <v>0</v>
      </c>
      <c r="BH82" s="27" t="n">
        <v>0</v>
      </c>
      <c r="BI82" s="27" t="n">
        <v>0</v>
      </c>
      <c r="BJ82" s="27" t="n">
        <v>0</v>
      </c>
      <c r="BK82" s="27" t="n">
        <v>0</v>
      </c>
      <c r="BL82" s="27" t="n">
        <v>0</v>
      </c>
      <c r="BM82" s="27" t="n">
        <v>0</v>
      </c>
      <c r="BN82" s="27" t="n">
        <v>0</v>
      </c>
      <c r="BO82" s="27" t="n">
        <v>0</v>
      </c>
      <c r="BP82" s="27" t="n">
        <v>0</v>
      </c>
      <c r="BQ82" s="27" t="n">
        <v>0</v>
      </c>
      <c r="BR82" s="27" t="n">
        <v>0</v>
      </c>
      <c r="BS82" s="27" t="n">
        <v>0</v>
      </c>
      <c r="BT82" s="27" t="n">
        <v>0</v>
      </c>
      <c r="BU82" s="27" t="n">
        <v>0</v>
      </c>
      <c r="BV82" s="27" t="n">
        <v>0</v>
      </c>
      <c r="BW82" s="27" t="n">
        <v>0</v>
      </c>
      <c r="BX82" s="27" t="n">
        <v>0</v>
      </c>
      <c r="BY82" s="27" t="n">
        <v>0</v>
      </c>
      <c r="BZ82" s="27" t="n">
        <v>0</v>
      </c>
      <c r="CA82" s="27" t="n">
        <v>0</v>
      </c>
      <c r="CB82" s="27" t="n">
        <v>0</v>
      </c>
      <c r="CC82" s="27" t="n">
        <v>0</v>
      </c>
      <c r="CD82" s="27" t="n">
        <v>0</v>
      </c>
      <c r="CE82" s="27" t="n">
        <v>0</v>
      </c>
      <c r="CF82" s="27" t="n">
        <v>0</v>
      </c>
      <c r="CG82" s="27" t="n">
        <v>0</v>
      </c>
      <c r="CH82" s="27" t="n">
        <v>0</v>
      </c>
      <c r="CI82" s="27" t="n">
        <v>0</v>
      </c>
      <c r="CJ82" s="27" t="n">
        <v>0</v>
      </c>
      <c r="CK82" s="27" t="n">
        <v>0</v>
      </c>
      <c r="CL82" s="27" t="n">
        <v>0</v>
      </c>
      <c r="CM82" s="27" t="n">
        <v>0</v>
      </c>
      <c r="CN82" s="27" t="n">
        <v>0</v>
      </c>
      <c r="CO82" s="27" t="n">
        <v>0</v>
      </c>
      <c r="CP82" s="27" t="n">
        <v>0</v>
      </c>
      <c r="CQ82" s="27" t="n">
        <v>0</v>
      </c>
      <c r="CR82" s="27" t="n">
        <v>0</v>
      </c>
      <c r="CS82" s="27" t="n">
        <v>0</v>
      </c>
      <c r="CT82" s="27" t="n">
        <v>0</v>
      </c>
      <c r="CU82" s="27" t="n">
        <v>0</v>
      </c>
      <c r="CV82" s="27" t="n">
        <v>0</v>
      </c>
      <c r="CW82" s="27" t="n">
        <v>0</v>
      </c>
      <c r="CX82" s="27" t="n">
        <v>0</v>
      </c>
      <c r="CY82" s="27" t="n">
        <v>0</v>
      </c>
      <c r="CZ82" s="27" t="n">
        <v>0</v>
      </c>
      <c r="DA82" s="27" t="n">
        <v>0</v>
      </c>
    </row>
    <row r="83">
      <c r="A83" t="inlineStr">
        <is>
          <t>TPP-825</t>
        </is>
      </c>
      <c r="B83" s="27" t="n">
        <v>0</v>
      </c>
      <c r="C83" s="27" t="n">
        <v>0</v>
      </c>
      <c r="D83" s="27" t="n">
        <v>0</v>
      </c>
      <c r="E83" s="27" t="n">
        <v>0</v>
      </c>
      <c r="F83" s="27" t="n">
        <v>0</v>
      </c>
      <c r="G83" s="27" t="n">
        <v>0</v>
      </c>
      <c r="H83" s="27" t="n">
        <v>0</v>
      </c>
      <c r="I83" s="27" t="n">
        <v>0</v>
      </c>
      <c r="J83" s="27" t="n">
        <v>0</v>
      </c>
      <c r="K83" s="27" t="n">
        <v>0</v>
      </c>
      <c r="L83" s="27" t="n">
        <v>0</v>
      </c>
      <c r="M83" s="27" t="n">
        <v>0</v>
      </c>
      <c r="N83" s="27" t="n">
        <v>0</v>
      </c>
      <c r="O83" s="27" t="n">
        <v>0</v>
      </c>
      <c r="P83" s="27" t="n">
        <v>0</v>
      </c>
      <c r="Q83" s="27" t="n">
        <v>0</v>
      </c>
      <c r="R83" s="27" t="n">
        <v>0</v>
      </c>
      <c r="S83" s="27" t="n">
        <v>0</v>
      </c>
      <c r="T83" s="27" t="n">
        <v>0</v>
      </c>
      <c r="U83" s="27" t="n">
        <v>0</v>
      </c>
      <c r="V83" s="27" t="n">
        <v>0</v>
      </c>
      <c r="W83" s="27" t="n">
        <v>0</v>
      </c>
      <c r="X83" s="27" t="n">
        <v>0</v>
      </c>
      <c r="Y83" s="27" t="n">
        <v>0</v>
      </c>
      <c r="Z83" s="27" t="n">
        <v>0</v>
      </c>
      <c r="AA83" s="27" t="n">
        <v>0</v>
      </c>
      <c r="AB83" s="27" t="n">
        <v>0</v>
      </c>
      <c r="AC83" s="27" t="n">
        <v>0</v>
      </c>
      <c r="AD83" s="27" t="n">
        <v>0</v>
      </c>
      <c r="AE83" s="27" t="n">
        <v>0</v>
      </c>
      <c r="AF83" s="27" t="n">
        <v>0</v>
      </c>
      <c r="AG83" s="27" t="n">
        <v>0</v>
      </c>
      <c r="AH83" s="27" t="n">
        <v>0</v>
      </c>
      <c r="AI83" s="27" t="n">
        <v>0</v>
      </c>
      <c r="AJ83" s="27" t="n">
        <v>0</v>
      </c>
      <c r="AK83" s="27" t="n">
        <v>0</v>
      </c>
      <c r="AL83" s="27" t="n">
        <v>0</v>
      </c>
      <c r="AM83" s="27" t="n">
        <v>0</v>
      </c>
      <c r="AN83" s="27" t="n">
        <v>0</v>
      </c>
      <c r="AO83" s="27" t="n">
        <v>0</v>
      </c>
      <c r="AP83" s="27" t="n">
        <v>0</v>
      </c>
      <c r="AQ83" s="27" t="n">
        <v>0</v>
      </c>
      <c r="AR83" s="27" t="n">
        <v>0</v>
      </c>
      <c r="AS83" s="27" t="n">
        <v>0</v>
      </c>
      <c r="AT83" s="27" t="n">
        <v>0</v>
      </c>
      <c r="AU83" s="27" t="n">
        <v>0</v>
      </c>
      <c r="AV83" s="27" t="n">
        <v>0</v>
      </c>
      <c r="AW83" s="27" t="n">
        <v>0</v>
      </c>
      <c r="AX83" s="27" t="n">
        <v>0</v>
      </c>
      <c r="AY83" s="27" t="n">
        <v>0</v>
      </c>
      <c r="AZ83" s="27" t="n">
        <v>0</v>
      </c>
      <c r="BA83" s="27" t="n">
        <v>0</v>
      </c>
      <c r="BB83" s="27" t="n">
        <v>0</v>
      </c>
      <c r="BC83" s="27" t="n">
        <v>0</v>
      </c>
      <c r="BD83" s="27" t="n">
        <v>0</v>
      </c>
      <c r="BE83" s="27" t="n">
        <v>0</v>
      </c>
      <c r="BF83" s="27" t="n">
        <v>0</v>
      </c>
      <c r="BG83" s="27" t="n">
        <v>0</v>
      </c>
      <c r="BH83" s="27" t="n">
        <v>0</v>
      </c>
      <c r="BI83" s="27" t="n">
        <v>0</v>
      </c>
      <c r="BJ83" s="27" t="n">
        <v>0</v>
      </c>
      <c r="BK83" s="27" t="n">
        <v>0</v>
      </c>
      <c r="BL83" s="27" t="n">
        <v>0</v>
      </c>
      <c r="BM83" s="27" t="n">
        <v>0</v>
      </c>
      <c r="BN83" s="27" t="n">
        <v>0</v>
      </c>
      <c r="BO83" s="27" t="n">
        <v>0</v>
      </c>
      <c r="BP83" s="27" t="n">
        <v>0</v>
      </c>
      <c r="BQ83" s="27" t="n">
        <v>0</v>
      </c>
      <c r="BR83" s="27" t="n">
        <v>0</v>
      </c>
      <c r="BS83" s="27" t="n">
        <v>0</v>
      </c>
      <c r="BT83" s="27" t="n">
        <v>0</v>
      </c>
      <c r="BU83" s="27" t="n">
        <v>0</v>
      </c>
      <c r="BV83" s="27" t="n">
        <v>0</v>
      </c>
      <c r="BW83" s="27" t="n">
        <v>0</v>
      </c>
      <c r="BX83" s="27" t="n">
        <v>0</v>
      </c>
      <c r="BY83" s="27" t="n">
        <v>0</v>
      </c>
      <c r="BZ83" s="27" t="n">
        <v>0</v>
      </c>
      <c r="CA83" s="27" t="n">
        <v>0</v>
      </c>
      <c r="CB83" s="27" t="n">
        <v>0</v>
      </c>
      <c r="CC83" s="27" t="n">
        <v>0</v>
      </c>
      <c r="CD83" s="27" t="n">
        <v>0</v>
      </c>
      <c r="CE83" s="27" t="n">
        <v>0</v>
      </c>
      <c r="CF83" s="27" t="n">
        <v>0</v>
      </c>
      <c r="CG83" s="27" t="n">
        <v>0</v>
      </c>
      <c r="CH83" s="27" t="n">
        <v>0</v>
      </c>
      <c r="CI83" s="27" t="n">
        <v>0</v>
      </c>
      <c r="CJ83" s="27" t="n">
        <v>0</v>
      </c>
      <c r="CK83" s="27" t="n">
        <v>0</v>
      </c>
      <c r="CL83" s="27" t="n">
        <v>0</v>
      </c>
      <c r="CM83" s="27" t="n">
        <v>0</v>
      </c>
      <c r="CN83" s="27" t="n">
        <v>0</v>
      </c>
      <c r="CO83" s="27" t="n">
        <v>0</v>
      </c>
      <c r="CP83" s="27" t="n">
        <v>0</v>
      </c>
      <c r="CQ83" s="27" t="n">
        <v>0</v>
      </c>
      <c r="CR83" s="27" t="n">
        <v>0</v>
      </c>
      <c r="CS83" s="27" t="n">
        <v>0</v>
      </c>
      <c r="CT83" s="27" t="n">
        <v>0</v>
      </c>
      <c r="CU83" s="27" t="n">
        <v>0</v>
      </c>
      <c r="CV83" s="27" t="n">
        <v>0</v>
      </c>
      <c r="CW83" s="27" t="n">
        <v>0</v>
      </c>
      <c r="CX83" s="27" t="n">
        <v>0</v>
      </c>
      <c r="CY83" s="27" t="n">
        <v>0</v>
      </c>
      <c r="CZ83" s="27" t="n">
        <v>0</v>
      </c>
      <c r="DA83" s="27" t="n">
        <v>0</v>
      </c>
    </row>
    <row r="84">
      <c r="A84" t="inlineStr">
        <is>
          <t>TPP-911</t>
        </is>
      </c>
      <c r="B84" s="27" t="n">
        <v>0</v>
      </c>
      <c r="C84" s="27" t="n">
        <v>0</v>
      </c>
      <c r="D84" s="27" t="n">
        <v>0</v>
      </c>
      <c r="E84" s="27" t="n">
        <v>0</v>
      </c>
      <c r="F84" s="27" t="n">
        <v>0</v>
      </c>
      <c r="G84" s="27" t="n">
        <v>3</v>
      </c>
      <c r="H84" s="27" t="n">
        <v>0</v>
      </c>
      <c r="I84" s="27" t="n">
        <v>0</v>
      </c>
      <c r="J84" s="27" t="n">
        <v>0</v>
      </c>
      <c r="K84" s="27" t="n">
        <v>0</v>
      </c>
      <c r="L84" s="27" t="n">
        <v>0</v>
      </c>
      <c r="M84" s="27" t="n">
        <v>0</v>
      </c>
      <c r="N84" s="27" t="n">
        <v>0</v>
      </c>
      <c r="O84" s="27" t="n">
        <v>0</v>
      </c>
      <c r="P84" s="27" t="n">
        <v>3</v>
      </c>
      <c r="Q84" s="27" t="n">
        <v>0</v>
      </c>
      <c r="R84" s="27" t="n">
        <v>0</v>
      </c>
      <c r="S84" s="27" t="n">
        <v>0</v>
      </c>
      <c r="T84" s="27" t="n">
        <v>0</v>
      </c>
      <c r="U84" s="27" t="n">
        <v>0</v>
      </c>
      <c r="V84" s="27" t="n">
        <v>0</v>
      </c>
      <c r="W84" s="27" t="n">
        <v>0</v>
      </c>
      <c r="X84" s="27" t="n">
        <v>0</v>
      </c>
      <c r="Y84" s="27" t="n">
        <v>0</v>
      </c>
      <c r="Z84" s="27" t="n">
        <v>0</v>
      </c>
      <c r="AA84" s="27" t="n">
        <v>0</v>
      </c>
      <c r="AB84" s="27" t="n">
        <v>0</v>
      </c>
      <c r="AC84" s="27" t="n">
        <v>0</v>
      </c>
      <c r="AD84" s="27" t="n">
        <v>0</v>
      </c>
      <c r="AE84" s="27" t="n">
        <v>0</v>
      </c>
      <c r="AF84" s="27" t="n">
        <v>0</v>
      </c>
      <c r="AG84" s="27" t="n">
        <v>0</v>
      </c>
      <c r="AH84" s="27" t="n">
        <v>0</v>
      </c>
      <c r="AI84" s="27" t="n">
        <v>0</v>
      </c>
      <c r="AJ84" s="27" t="n">
        <v>0</v>
      </c>
      <c r="AK84" s="27" t="n">
        <v>3</v>
      </c>
      <c r="AL84" s="27" t="n">
        <v>0</v>
      </c>
      <c r="AM84" s="27" t="n">
        <v>0</v>
      </c>
      <c r="AN84" s="27" t="n">
        <v>0</v>
      </c>
      <c r="AO84" s="27" t="n">
        <v>0</v>
      </c>
      <c r="AP84" s="27" t="n">
        <v>0</v>
      </c>
      <c r="AQ84" s="27" t="n">
        <v>0</v>
      </c>
      <c r="AR84" s="27" t="n">
        <v>0</v>
      </c>
      <c r="AS84" s="27" t="n">
        <v>0</v>
      </c>
      <c r="AT84" s="27" t="n">
        <v>0</v>
      </c>
      <c r="AU84" s="27" t="n">
        <v>0</v>
      </c>
      <c r="AV84" s="27" t="n">
        <v>0</v>
      </c>
      <c r="AW84" s="27" t="n">
        <v>2</v>
      </c>
      <c r="AX84" s="27" t="n">
        <v>0</v>
      </c>
      <c r="AY84" s="27" t="n">
        <v>0</v>
      </c>
      <c r="AZ84" s="27" t="n">
        <v>0</v>
      </c>
      <c r="BA84" s="27" t="n">
        <v>0</v>
      </c>
      <c r="BB84" s="27" t="n">
        <v>0</v>
      </c>
      <c r="BC84" s="27" t="n">
        <v>0</v>
      </c>
      <c r="BD84" s="27" t="n">
        <v>0</v>
      </c>
      <c r="BE84" s="27" t="n">
        <v>0</v>
      </c>
      <c r="BF84" s="27" t="n">
        <v>0</v>
      </c>
      <c r="BG84" s="27" t="n">
        <v>0</v>
      </c>
      <c r="BH84" s="27" t="n">
        <v>0</v>
      </c>
      <c r="BI84" s="27" t="n">
        <v>0</v>
      </c>
      <c r="BJ84" s="27" t="n">
        <v>0</v>
      </c>
      <c r="BK84" s="27" t="n">
        <v>0</v>
      </c>
      <c r="BL84" s="27" t="n">
        <v>0</v>
      </c>
      <c r="BM84" s="27" t="n">
        <v>0</v>
      </c>
      <c r="BN84" s="27" t="n">
        <v>0</v>
      </c>
      <c r="BO84" s="27" t="n">
        <v>0</v>
      </c>
      <c r="BP84" s="27" t="n">
        <v>0</v>
      </c>
      <c r="BQ84" s="27" t="n">
        <v>0</v>
      </c>
      <c r="BR84" s="27" t="n">
        <v>0</v>
      </c>
      <c r="BS84" s="27" t="n">
        <v>0</v>
      </c>
      <c r="BT84" s="27" t="n">
        <v>0</v>
      </c>
      <c r="BU84" s="27" t="n">
        <v>0</v>
      </c>
      <c r="BV84" s="27" t="n">
        <v>0</v>
      </c>
      <c r="BW84" s="27" t="n">
        <v>0</v>
      </c>
      <c r="BX84" s="27" t="n">
        <v>0</v>
      </c>
      <c r="BY84" s="27" t="n">
        <v>0</v>
      </c>
      <c r="BZ84" s="27" t="n">
        <v>0</v>
      </c>
      <c r="CA84" s="27" t="n">
        <v>0</v>
      </c>
      <c r="CB84" s="27" t="n">
        <v>0</v>
      </c>
      <c r="CC84" s="27" t="n">
        <v>0</v>
      </c>
      <c r="CD84" s="27" t="n">
        <v>0</v>
      </c>
      <c r="CE84" s="27" t="n">
        <v>0</v>
      </c>
      <c r="CF84" s="27" t="n">
        <v>0</v>
      </c>
      <c r="CG84" s="27" t="n">
        <v>0</v>
      </c>
      <c r="CH84" s="27" t="n">
        <v>0</v>
      </c>
      <c r="CI84" s="27" t="n">
        <v>0</v>
      </c>
      <c r="CJ84" s="27" t="n">
        <v>0</v>
      </c>
      <c r="CK84" s="27" t="n">
        <v>0</v>
      </c>
      <c r="CL84" s="27" t="n">
        <v>0</v>
      </c>
      <c r="CM84" s="27" t="n">
        <v>0</v>
      </c>
      <c r="CN84" s="27" t="n">
        <v>0</v>
      </c>
      <c r="CO84" s="27" t="n">
        <v>0</v>
      </c>
      <c r="CP84" s="27" t="n">
        <v>0</v>
      </c>
      <c r="CQ84" s="27" t="n">
        <v>0</v>
      </c>
      <c r="CR84" s="27" t="n">
        <v>0</v>
      </c>
      <c r="CS84" s="27" t="n">
        <v>0</v>
      </c>
      <c r="CT84" s="27" t="n">
        <v>0</v>
      </c>
      <c r="CU84" s="27" t="n">
        <v>0</v>
      </c>
      <c r="CV84" s="27" t="n">
        <v>0</v>
      </c>
      <c r="CW84" s="27" t="n">
        <v>0</v>
      </c>
      <c r="CX84" s="27" t="n">
        <v>0</v>
      </c>
      <c r="CY84" s="27" t="n">
        <v>0</v>
      </c>
      <c r="CZ84" s="27" t="n">
        <v>0</v>
      </c>
      <c r="DA84" s="27" t="n">
        <v>0</v>
      </c>
    </row>
    <row r="85">
      <c r="A85" t="inlineStr">
        <is>
          <t>TPP-912</t>
        </is>
      </c>
      <c r="B85" s="27" t="n">
        <v>0</v>
      </c>
      <c r="C85" s="27" t="n">
        <v>0</v>
      </c>
      <c r="D85" s="27" t="n">
        <v>0</v>
      </c>
      <c r="E85" s="27" t="n">
        <v>0</v>
      </c>
      <c r="F85" s="27" t="n">
        <v>0</v>
      </c>
      <c r="G85" s="27" t="n">
        <v>0</v>
      </c>
      <c r="H85" s="27" t="n">
        <v>0</v>
      </c>
      <c r="I85" s="27" t="n">
        <v>0</v>
      </c>
      <c r="J85" s="27" t="n">
        <v>0</v>
      </c>
      <c r="K85" s="27" t="n">
        <v>0</v>
      </c>
      <c r="L85" s="27" t="n">
        <v>0</v>
      </c>
      <c r="M85" s="27" t="n">
        <v>0</v>
      </c>
      <c r="N85" s="27" t="n">
        <v>0</v>
      </c>
      <c r="O85" s="27" t="n">
        <v>0</v>
      </c>
      <c r="P85" s="27" t="n">
        <v>0</v>
      </c>
      <c r="Q85" s="27" t="n">
        <v>0</v>
      </c>
      <c r="R85" s="27" t="n">
        <v>0</v>
      </c>
      <c r="S85" s="27" t="n">
        <v>0</v>
      </c>
      <c r="T85" s="27" t="n">
        <v>0</v>
      </c>
      <c r="U85" s="27" t="n">
        <v>0</v>
      </c>
      <c r="V85" s="27" t="n">
        <v>0</v>
      </c>
      <c r="W85" s="27" t="n">
        <v>0</v>
      </c>
      <c r="X85" s="27" t="n">
        <v>0</v>
      </c>
      <c r="Y85" s="27" t="n">
        <v>0</v>
      </c>
      <c r="Z85" s="27" t="n">
        <v>0</v>
      </c>
      <c r="AA85" s="27" t="n">
        <v>0</v>
      </c>
      <c r="AB85" s="27" t="n">
        <v>0</v>
      </c>
      <c r="AC85" s="27" t="n">
        <v>0</v>
      </c>
      <c r="AD85" s="27" t="n">
        <v>0</v>
      </c>
      <c r="AE85" s="27" t="n">
        <v>0</v>
      </c>
      <c r="AF85" s="27" t="n">
        <v>0</v>
      </c>
      <c r="AG85" s="27" t="n">
        <v>0</v>
      </c>
      <c r="AH85" s="27" t="n">
        <v>0</v>
      </c>
      <c r="AI85" s="27" t="n">
        <v>0</v>
      </c>
      <c r="AJ85" s="27" t="n">
        <v>1</v>
      </c>
      <c r="AK85" s="27" t="n">
        <v>0</v>
      </c>
      <c r="AL85" s="27" t="n">
        <v>0</v>
      </c>
      <c r="AM85" s="27" t="n">
        <v>0</v>
      </c>
      <c r="AN85" s="27" t="n">
        <v>0</v>
      </c>
      <c r="AO85" s="27" t="n">
        <v>0</v>
      </c>
      <c r="AP85" s="27" t="n">
        <v>0</v>
      </c>
      <c r="AQ85" s="27" t="n">
        <v>0</v>
      </c>
      <c r="AR85" s="27" t="n">
        <v>0</v>
      </c>
      <c r="AS85" s="27" t="n">
        <v>0</v>
      </c>
      <c r="AT85" s="27" t="n">
        <v>0</v>
      </c>
      <c r="AU85" s="27" t="n">
        <v>0</v>
      </c>
      <c r="AV85" s="27" t="n">
        <v>0</v>
      </c>
      <c r="AW85" s="27" t="n">
        <v>0</v>
      </c>
      <c r="AX85" s="27" t="n">
        <v>0</v>
      </c>
      <c r="AY85" s="27" t="n">
        <v>0</v>
      </c>
      <c r="AZ85" s="27" t="n">
        <v>0</v>
      </c>
      <c r="BA85" s="27" t="n">
        <v>0</v>
      </c>
      <c r="BB85" s="27" t="n">
        <v>0</v>
      </c>
      <c r="BC85" s="27" t="n">
        <v>0</v>
      </c>
      <c r="BD85" s="27" t="n">
        <v>0</v>
      </c>
      <c r="BE85" s="27" t="n">
        <v>0</v>
      </c>
      <c r="BF85" s="27" t="n">
        <v>0</v>
      </c>
      <c r="BG85" s="27" t="n">
        <v>0</v>
      </c>
      <c r="BH85" s="27" t="n">
        <v>0</v>
      </c>
      <c r="BI85" s="27" t="n">
        <v>0</v>
      </c>
      <c r="BJ85" s="27" t="n">
        <v>0</v>
      </c>
      <c r="BK85" s="27" t="n">
        <v>0</v>
      </c>
      <c r="BL85" s="27" t="n">
        <v>0</v>
      </c>
      <c r="BM85" s="27" t="n">
        <v>0</v>
      </c>
      <c r="BN85" s="27" t="n">
        <v>0</v>
      </c>
      <c r="BO85" s="27" t="n">
        <v>0</v>
      </c>
      <c r="BP85" s="27" t="n">
        <v>0</v>
      </c>
      <c r="BQ85" s="27" t="n">
        <v>0</v>
      </c>
      <c r="BR85" s="27" t="n">
        <v>0</v>
      </c>
      <c r="BS85" s="27" t="n">
        <v>0</v>
      </c>
      <c r="BT85" s="27" t="n">
        <v>0</v>
      </c>
      <c r="BU85" s="27" t="n">
        <v>0</v>
      </c>
      <c r="BV85" s="27" t="n">
        <v>0</v>
      </c>
      <c r="BW85" s="27" t="n">
        <v>0</v>
      </c>
      <c r="BX85" s="27" t="n">
        <v>0</v>
      </c>
      <c r="BY85" s="27" t="n">
        <v>0</v>
      </c>
      <c r="BZ85" s="27" t="n">
        <v>0</v>
      </c>
      <c r="CA85" s="27" t="n">
        <v>0</v>
      </c>
      <c r="CB85" s="27" t="n">
        <v>0</v>
      </c>
      <c r="CC85" s="27" t="n">
        <v>0</v>
      </c>
      <c r="CD85" s="27" t="n">
        <v>0</v>
      </c>
      <c r="CE85" s="27" t="n">
        <v>0</v>
      </c>
      <c r="CF85" s="27" t="n">
        <v>0</v>
      </c>
      <c r="CG85" s="27" t="n">
        <v>0</v>
      </c>
      <c r="CH85" s="27" t="n">
        <v>0</v>
      </c>
      <c r="CI85" s="27" t="n">
        <v>0</v>
      </c>
      <c r="CJ85" s="27" t="n">
        <v>0</v>
      </c>
      <c r="CK85" s="27" t="n">
        <v>0</v>
      </c>
      <c r="CL85" s="27" t="n">
        <v>0</v>
      </c>
      <c r="CM85" s="27" t="n">
        <v>0</v>
      </c>
      <c r="CN85" s="27" t="n">
        <v>0</v>
      </c>
      <c r="CO85" s="27" t="n">
        <v>0</v>
      </c>
      <c r="CP85" s="27" t="n">
        <v>0</v>
      </c>
      <c r="CQ85" s="27" t="n">
        <v>0</v>
      </c>
      <c r="CR85" s="27" t="n">
        <v>0</v>
      </c>
      <c r="CS85" s="27" t="n">
        <v>0</v>
      </c>
      <c r="CT85" s="27" t="n">
        <v>0</v>
      </c>
      <c r="CU85" s="27" t="n">
        <v>0</v>
      </c>
      <c r="CV85" s="27" t="n">
        <v>0</v>
      </c>
      <c r="CW85" s="27" t="n">
        <v>0</v>
      </c>
      <c r="CX85" s="27" t="n">
        <v>0</v>
      </c>
      <c r="CY85" s="27" t="n">
        <v>0</v>
      </c>
      <c r="CZ85" s="27" t="n">
        <v>0</v>
      </c>
      <c r="DA85" s="27" t="n">
        <v>0</v>
      </c>
    </row>
    <row r="86">
      <c r="A86" t="inlineStr">
        <is>
          <t>TPP-914</t>
        </is>
      </c>
      <c r="B86" s="27" t="n">
        <v>0</v>
      </c>
      <c r="C86" s="27" t="n">
        <v>0</v>
      </c>
      <c r="D86" s="27" t="n">
        <v>0</v>
      </c>
      <c r="E86" s="27" t="n">
        <v>0</v>
      </c>
      <c r="F86" s="27" t="n">
        <v>0</v>
      </c>
      <c r="G86" s="27" t="n">
        <v>0</v>
      </c>
      <c r="H86" s="27" t="n">
        <v>0</v>
      </c>
      <c r="I86" s="27" t="n">
        <v>0</v>
      </c>
      <c r="J86" s="27" t="n">
        <v>0</v>
      </c>
      <c r="K86" s="27" t="n">
        <v>0</v>
      </c>
      <c r="L86" s="27" t="n">
        <v>0</v>
      </c>
      <c r="M86" s="27" t="n">
        <v>0</v>
      </c>
      <c r="N86" s="27" t="n">
        <v>0</v>
      </c>
      <c r="O86" s="27" t="n">
        <v>0</v>
      </c>
      <c r="P86" s="27" t="n">
        <v>0</v>
      </c>
      <c r="Q86" s="27" t="n">
        <v>0</v>
      </c>
      <c r="R86" s="27" t="n">
        <v>0</v>
      </c>
      <c r="S86" s="27" t="n">
        <v>0</v>
      </c>
      <c r="T86" s="27" t="n">
        <v>0</v>
      </c>
      <c r="U86" s="27" t="n">
        <v>0</v>
      </c>
      <c r="V86" s="27" t="n">
        <v>0</v>
      </c>
      <c r="W86" s="27" t="n">
        <v>0</v>
      </c>
      <c r="X86" s="27" t="n">
        <v>0</v>
      </c>
      <c r="Y86" s="27" t="n">
        <v>0</v>
      </c>
      <c r="Z86" s="27" t="n">
        <v>0</v>
      </c>
      <c r="AA86" s="27" t="n">
        <v>0</v>
      </c>
      <c r="AB86" s="27" t="n">
        <v>0</v>
      </c>
      <c r="AC86" s="27" t="n">
        <v>0</v>
      </c>
      <c r="AD86" s="27" t="n">
        <v>0</v>
      </c>
      <c r="AE86" s="27" t="n">
        <v>0</v>
      </c>
      <c r="AF86" s="27" t="n">
        <v>0</v>
      </c>
      <c r="AG86" s="27" t="n">
        <v>0</v>
      </c>
      <c r="AH86" s="27" t="n">
        <v>0</v>
      </c>
      <c r="AI86" s="27" t="n">
        <v>0</v>
      </c>
      <c r="AJ86" s="27" t="n">
        <v>0</v>
      </c>
      <c r="AK86" s="27" t="n">
        <v>0</v>
      </c>
      <c r="AL86" s="27" t="n">
        <v>0</v>
      </c>
      <c r="AM86" s="27" t="n">
        <v>0</v>
      </c>
      <c r="AN86" s="27" t="n">
        <v>0</v>
      </c>
      <c r="AO86" s="27" t="n">
        <v>0</v>
      </c>
      <c r="AP86" s="27" t="n">
        <v>0</v>
      </c>
      <c r="AQ86" s="27" t="n">
        <v>0</v>
      </c>
      <c r="AR86" s="27" t="n">
        <v>0</v>
      </c>
      <c r="AS86" s="27" t="n">
        <v>0</v>
      </c>
      <c r="AT86" s="27" t="n">
        <v>0</v>
      </c>
      <c r="AU86" s="27" t="n">
        <v>0</v>
      </c>
      <c r="AV86" s="27" t="n">
        <v>0</v>
      </c>
      <c r="AW86" s="27" t="n">
        <v>0</v>
      </c>
      <c r="AX86" s="27" t="n">
        <v>0</v>
      </c>
      <c r="AY86" s="27" t="n">
        <v>0</v>
      </c>
      <c r="AZ86" s="27" t="n">
        <v>0</v>
      </c>
      <c r="BA86" s="27" t="n">
        <v>0</v>
      </c>
      <c r="BB86" s="27" t="n">
        <v>0</v>
      </c>
      <c r="BC86" s="27" t="n">
        <v>0</v>
      </c>
      <c r="BD86" s="27" t="n">
        <v>0</v>
      </c>
      <c r="BE86" s="27" t="n">
        <v>0</v>
      </c>
      <c r="BF86" s="27" t="n">
        <v>0</v>
      </c>
      <c r="BG86" s="27" t="n">
        <v>0</v>
      </c>
      <c r="BH86" s="27" t="n">
        <v>0</v>
      </c>
      <c r="BI86" s="27" t="n">
        <v>0</v>
      </c>
      <c r="BJ86" s="27" t="n">
        <v>0</v>
      </c>
      <c r="BK86" s="27" t="n">
        <v>0</v>
      </c>
      <c r="BL86" s="27" t="n">
        <v>0</v>
      </c>
      <c r="BM86" s="27" t="n">
        <v>0</v>
      </c>
      <c r="BN86" s="27" t="n">
        <v>0</v>
      </c>
      <c r="BO86" s="27" t="n">
        <v>0</v>
      </c>
      <c r="BP86" s="27" t="n">
        <v>0</v>
      </c>
      <c r="BQ86" s="27" t="n">
        <v>0</v>
      </c>
      <c r="BR86" s="27" t="n">
        <v>0</v>
      </c>
      <c r="BS86" s="27" t="n">
        <v>0</v>
      </c>
      <c r="BT86" s="27" t="n">
        <v>0</v>
      </c>
      <c r="BU86" s="27" t="n">
        <v>0</v>
      </c>
      <c r="BV86" s="27" t="n">
        <v>0</v>
      </c>
      <c r="BW86" s="27" t="n">
        <v>0</v>
      </c>
      <c r="BX86" s="27" t="n">
        <v>0</v>
      </c>
      <c r="BY86" s="27" t="n">
        <v>0</v>
      </c>
      <c r="BZ86" s="27" t="n">
        <v>0</v>
      </c>
      <c r="CA86" s="27" t="n">
        <v>0</v>
      </c>
      <c r="CB86" s="27" t="n">
        <v>0</v>
      </c>
      <c r="CC86" s="27" t="n">
        <v>0</v>
      </c>
      <c r="CD86" s="27" t="n">
        <v>0</v>
      </c>
      <c r="CE86" s="27" t="n">
        <v>0</v>
      </c>
      <c r="CF86" s="27" t="n">
        <v>0</v>
      </c>
      <c r="CG86" s="27" t="n">
        <v>0</v>
      </c>
      <c r="CH86" s="27" t="n">
        <v>0</v>
      </c>
      <c r="CI86" s="27" t="n">
        <v>0</v>
      </c>
      <c r="CJ86" s="27" t="n">
        <v>0</v>
      </c>
      <c r="CK86" s="27" t="n">
        <v>0</v>
      </c>
      <c r="CL86" s="27" t="n">
        <v>0</v>
      </c>
      <c r="CM86" s="27" t="n">
        <v>0</v>
      </c>
      <c r="CN86" s="27" t="n">
        <v>0</v>
      </c>
      <c r="CO86" s="27" t="n">
        <v>0</v>
      </c>
      <c r="CP86" s="27" t="n">
        <v>0</v>
      </c>
      <c r="CQ86" s="27" t="n">
        <v>0</v>
      </c>
      <c r="CR86" s="27" t="n">
        <v>0</v>
      </c>
      <c r="CS86" s="27" t="n">
        <v>0</v>
      </c>
      <c r="CT86" s="27" t="n">
        <v>0</v>
      </c>
      <c r="CU86" s="27" t="n">
        <v>0</v>
      </c>
      <c r="CV86" s="27" t="n">
        <v>0</v>
      </c>
      <c r="CW86" s="27" t="n">
        <v>0</v>
      </c>
      <c r="CX86" s="27" t="n">
        <v>0</v>
      </c>
      <c r="CY86" s="27" t="n">
        <v>0</v>
      </c>
      <c r="CZ86" s="27" t="n">
        <v>0</v>
      </c>
      <c r="DA86" s="27" t="n">
        <v>0</v>
      </c>
    </row>
    <row r="87">
      <c r="A87" t="inlineStr">
        <is>
          <t>TPP-915</t>
        </is>
      </c>
      <c r="B87" s="27" t="n">
        <v>0</v>
      </c>
      <c r="C87" s="27" t="n">
        <v>0</v>
      </c>
      <c r="D87" s="27" t="n">
        <v>0</v>
      </c>
      <c r="E87" s="27" t="n">
        <v>0</v>
      </c>
      <c r="F87" s="27" t="n">
        <v>4</v>
      </c>
      <c r="G87" s="27" t="n">
        <v>0</v>
      </c>
      <c r="H87" s="27" t="n">
        <v>0</v>
      </c>
      <c r="I87" s="27" t="n">
        <v>0</v>
      </c>
      <c r="J87" s="27" t="n">
        <v>3</v>
      </c>
      <c r="K87" s="27" t="n">
        <v>0</v>
      </c>
      <c r="L87" s="27" t="n">
        <v>4</v>
      </c>
      <c r="M87" s="27" t="n">
        <v>0</v>
      </c>
      <c r="N87" s="27" t="n">
        <v>0</v>
      </c>
      <c r="O87" s="27" t="n">
        <v>0</v>
      </c>
      <c r="P87" s="27" t="n">
        <v>0</v>
      </c>
      <c r="Q87" s="27" t="n">
        <v>0</v>
      </c>
      <c r="R87" s="27" t="n">
        <v>4</v>
      </c>
      <c r="S87" s="27" t="n">
        <v>0</v>
      </c>
      <c r="T87" s="27" t="n">
        <v>0</v>
      </c>
      <c r="U87" s="27" t="n">
        <v>0</v>
      </c>
      <c r="V87" s="27" t="n">
        <v>0</v>
      </c>
      <c r="W87" s="27" t="n">
        <v>0</v>
      </c>
      <c r="X87" s="27" t="n">
        <v>0</v>
      </c>
      <c r="Y87" s="27" t="n">
        <v>0</v>
      </c>
      <c r="Z87" s="27" t="n">
        <v>0</v>
      </c>
      <c r="AA87" s="27" t="n">
        <v>0</v>
      </c>
      <c r="AB87" s="27" t="n">
        <v>0</v>
      </c>
      <c r="AC87" s="27" t="n">
        <v>0</v>
      </c>
      <c r="AD87" s="27" t="n">
        <v>0</v>
      </c>
      <c r="AE87" s="27" t="n">
        <v>0</v>
      </c>
      <c r="AF87" s="27" t="n">
        <v>0</v>
      </c>
      <c r="AG87" s="27" t="n">
        <v>2</v>
      </c>
      <c r="AH87" s="27" t="n">
        <v>0</v>
      </c>
      <c r="AI87" s="27" t="n">
        <v>0</v>
      </c>
      <c r="AJ87" s="27" t="n">
        <v>4</v>
      </c>
      <c r="AK87" s="27" t="n">
        <v>0</v>
      </c>
      <c r="AL87" s="27" t="n">
        <v>0</v>
      </c>
      <c r="AM87" s="27" t="n">
        <v>0</v>
      </c>
      <c r="AN87" s="27" t="n">
        <v>0</v>
      </c>
      <c r="AO87" s="27" t="n">
        <v>4</v>
      </c>
      <c r="AP87" s="27" t="n">
        <v>0</v>
      </c>
      <c r="AQ87" s="27" t="n">
        <v>0</v>
      </c>
      <c r="AR87" s="27" t="n">
        <v>0</v>
      </c>
      <c r="AS87" s="27" t="n">
        <v>0</v>
      </c>
      <c r="AT87" s="27" t="n">
        <v>0</v>
      </c>
      <c r="AU87" s="27" t="n">
        <v>0</v>
      </c>
      <c r="AV87" s="27" t="n">
        <v>0</v>
      </c>
      <c r="AW87" s="27" t="n">
        <v>2</v>
      </c>
      <c r="AX87" s="27" t="n">
        <v>0</v>
      </c>
      <c r="AY87" s="27" t="n">
        <v>0</v>
      </c>
      <c r="AZ87" s="27" t="n">
        <v>0</v>
      </c>
      <c r="BA87" s="27" t="n">
        <v>0</v>
      </c>
      <c r="BB87" s="27" t="n">
        <v>0</v>
      </c>
      <c r="BC87" s="27" t="n">
        <v>0</v>
      </c>
      <c r="BD87" s="27" t="n">
        <v>0</v>
      </c>
      <c r="BE87" s="27" t="n">
        <v>0</v>
      </c>
      <c r="BF87" s="27" t="n">
        <v>0</v>
      </c>
      <c r="BG87" s="27" t="n">
        <v>0</v>
      </c>
      <c r="BH87" s="27" t="n">
        <v>0</v>
      </c>
      <c r="BI87" s="27" t="n">
        <v>0</v>
      </c>
      <c r="BJ87" s="27" t="n">
        <v>0</v>
      </c>
      <c r="BK87" s="27" t="n">
        <v>0</v>
      </c>
      <c r="BL87" s="27" t="n">
        <v>0</v>
      </c>
      <c r="BM87" s="27" t="n">
        <v>0</v>
      </c>
      <c r="BN87" s="27" t="n">
        <v>0</v>
      </c>
      <c r="BO87" s="27" t="n">
        <v>0</v>
      </c>
      <c r="BP87" s="27" t="n">
        <v>0</v>
      </c>
      <c r="BQ87" s="27" t="n">
        <v>0</v>
      </c>
      <c r="BR87" s="27" t="n">
        <v>0</v>
      </c>
      <c r="BS87" s="27" t="n">
        <v>0</v>
      </c>
      <c r="BT87" s="27" t="n">
        <v>0</v>
      </c>
      <c r="BU87" s="27" t="n">
        <v>0</v>
      </c>
      <c r="BV87" s="27" t="n">
        <v>0</v>
      </c>
      <c r="BW87" s="27" t="n">
        <v>0</v>
      </c>
      <c r="BX87" s="27" t="n">
        <v>0</v>
      </c>
      <c r="BY87" s="27" t="n">
        <v>0</v>
      </c>
      <c r="BZ87" s="27" t="n">
        <v>0</v>
      </c>
      <c r="CA87" s="27" t="n">
        <v>0</v>
      </c>
      <c r="CB87" s="27" t="n">
        <v>0</v>
      </c>
      <c r="CC87" s="27" t="n">
        <v>0</v>
      </c>
      <c r="CD87" s="27" t="n">
        <v>0</v>
      </c>
      <c r="CE87" s="27" t="n">
        <v>0</v>
      </c>
      <c r="CF87" s="27" t="n">
        <v>0</v>
      </c>
      <c r="CG87" s="27" t="n">
        <v>0</v>
      </c>
      <c r="CH87" s="27" t="n">
        <v>0</v>
      </c>
      <c r="CI87" s="27" t="n">
        <v>0</v>
      </c>
      <c r="CJ87" s="27" t="n">
        <v>0</v>
      </c>
      <c r="CK87" s="27" t="n">
        <v>0</v>
      </c>
      <c r="CL87" s="27" t="n">
        <v>0</v>
      </c>
      <c r="CM87" s="27" t="n">
        <v>0</v>
      </c>
      <c r="CN87" s="27" t="n">
        <v>0</v>
      </c>
      <c r="CO87" s="27" t="n">
        <v>0</v>
      </c>
      <c r="CP87" s="27" t="n">
        <v>0</v>
      </c>
      <c r="CQ87" s="27" t="n">
        <v>0</v>
      </c>
      <c r="CR87" s="27" t="n">
        <v>0</v>
      </c>
      <c r="CS87" s="27" t="n">
        <v>0</v>
      </c>
      <c r="CT87" s="27" t="n">
        <v>0</v>
      </c>
      <c r="CU87" s="27" t="n">
        <v>0</v>
      </c>
      <c r="CV87" s="27" t="n">
        <v>0</v>
      </c>
      <c r="CW87" s="27" t="n">
        <v>0</v>
      </c>
      <c r="CX87" s="27" t="n">
        <v>0</v>
      </c>
      <c r="CY87" s="27" t="n">
        <v>0</v>
      </c>
      <c r="CZ87" s="27" t="n">
        <v>0</v>
      </c>
      <c r="DA87" s="27" t="n">
        <v>0</v>
      </c>
    </row>
    <row r="88">
      <c r="A88" t="inlineStr">
        <is>
          <t>TPP-916</t>
        </is>
      </c>
      <c r="B88" s="27" t="n">
        <v>0</v>
      </c>
      <c r="C88" s="27" t="n">
        <v>0</v>
      </c>
      <c r="D88" s="27" t="n">
        <v>0</v>
      </c>
      <c r="E88" s="27" t="n">
        <v>0</v>
      </c>
      <c r="F88" s="27" t="n">
        <v>0</v>
      </c>
      <c r="G88" s="27" t="n">
        <v>0</v>
      </c>
      <c r="H88" s="27" t="n">
        <v>0</v>
      </c>
      <c r="I88" s="27" t="n">
        <v>0</v>
      </c>
      <c r="J88" s="27" t="n">
        <v>0</v>
      </c>
      <c r="K88" s="27" t="n">
        <v>0</v>
      </c>
      <c r="L88" s="27" t="n">
        <v>0</v>
      </c>
      <c r="M88" s="27" t="n">
        <v>0</v>
      </c>
      <c r="N88" s="27" t="n">
        <v>0</v>
      </c>
      <c r="O88" s="27" t="n">
        <v>0</v>
      </c>
      <c r="P88" s="27" t="n">
        <v>0</v>
      </c>
      <c r="Q88" s="27" t="n">
        <v>0</v>
      </c>
      <c r="R88" s="27" t="n">
        <v>0</v>
      </c>
      <c r="S88" s="27" t="n">
        <v>0</v>
      </c>
      <c r="T88" s="27" t="n">
        <v>0</v>
      </c>
      <c r="U88" s="27" t="n">
        <v>0</v>
      </c>
      <c r="V88" s="27" t="n">
        <v>0</v>
      </c>
      <c r="W88" s="27" t="n">
        <v>0</v>
      </c>
      <c r="X88" s="27" t="n">
        <v>0</v>
      </c>
      <c r="Y88" s="27" t="n">
        <v>0</v>
      </c>
      <c r="Z88" s="27" t="n">
        <v>0</v>
      </c>
      <c r="AA88" s="27" t="n">
        <v>0</v>
      </c>
      <c r="AB88" s="27" t="n">
        <v>0</v>
      </c>
      <c r="AC88" s="27" t="n">
        <v>0</v>
      </c>
      <c r="AD88" s="27" t="n">
        <v>0</v>
      </c>
      <c r="AE88" s="27" t="n">
        <v>0</v>
      </c>
      <c r="AF88" s="27" t="n">
        <v>0</v>
      </c>
      <c r="AG88" s="27" t="n">
        <v>0</v>
      </c>
      <c r="AH88" s="27" t="n">
        <v>0</v>
      </c>
      <c r="AI88" s="27" t="n">
        <v>0</v>
      </c>
      <c r="AJ88" s="27" t="n">
        <v>0</v>
      </c>
      <c r="AK88" s="27" t="n">
        <v>0</v>
      </c>
      <c r="AL88" s="27" t="n">
        <v>0</v>
      </c>
      <c r="AM88" s="27" t="n">
        <v>0</v>
      </c>
      <c r="AN88" s="27" t="n">
        <v>0</v>
      </c>
      <c r="AO88" s="27" t="n">
        <v>0</v>
      </c>
      <c r="AP88" s="27" t="n">
        <v>0</v>
      </c>
      <c r="AQ88" s="27" t="n">
        <v>0</v>
      </c>
      <c r="AR88" s="27" t="n">
        <v>0</v>
      </c>
      <c r="AS88" s="27" t="n">
        <v>0</v>
      </c>
      <c r="AT88" s="27" t="n">
        <v>0</v>
      </c>
      <c r="AU88" s="27" t="n">
        <v>0</v>
      </c>
      <c r="AV88" s="27" t="n">
        <v>0</v>
      </c>
      <c r="AW88" s="27" t="n">
        <v>0</v>
      </c>
      <c r="AX88" s="27" t="n">
        <v>0</v>
      </c>
      <c r="AY88" s="27" t="n">
        <v>0</v>
      </c>
      <c r="AZ88" s="27" t="n">
        <v>0</v>
      </c>
      <c r="BA88" s="27" t="n">
        <v>0</v>
      </c>
      <c r="BB88" s="27" t="n">
        <v>0</v>
      </c>
      <c r="BC88" s="27" t="n">
        <v>0</v>
      </c>
      <c r="BD88" s="27" t="n">
        <v>0</v>
      </c>
      <c r="BE88" s="27" t="n">
        <v>0</v>
      </c>
      <c r="BF88" s="27" t="n">
        <v>0</v>
      </c>
      <c r="BG88" s="27" t="n">
        <v>0</v>
      </c>
      <c r="BH88" s="27" t="n">
        <v>0</v>
      </c>
      <c r="BI88" s="27" t="n">
        <v>0</v>
      </c>
      <c r="BJ88" s="27" t="n">
        <v>0</v>
      </c>
      <c r="BK88" s="27" t="n">
        <v>0</v>
      </c>
      <c r="BL88" s="27" t="n">
        <v>0</v>
      </c>
      <c r="BM88" s="27" t="n">
        <v>0</v>
      </c>
      <c r="BN88" s="27" t="n">
        <v>0</v>
      </c>
      <c r="BO88" s="27" t="n">
        <v>0</v>
      </c>
      <c r="BP88" s="27" t="n">
        <v>0</v>
      </c>
      <c r="BQ88" s="27" t="n">
        <v>0</v>
      </c>
      <c r="BR88" s="27" t="n">
        <v>0</v>
      </c>
      <c r="BS88" s="27" t="n">
        <v>0</v>
      </c>
      <c r="BT88" s="27" t="n">
        <v>0</v>
      </c>
      <c r="BU88" s="27" t="n">
        <v>0</v>
      </c>
      <c r="BV88" s="27" t="n">
        <v>0</v>
      </c>
      <c r="BW88" s="27" t="n">
        <v>0</v>
      </c>
      <c r="BX88" s="27" t="n">
        <v>0</v>
      </c>
      <c r="BY88" s="27" t="n">
        <v>0</v>
      </c>
      <c r="BZ88" s="27" t="n">
        <v>0</v>
      </c>
      <c r="CA88" s="27" t="n">
        <v>0</v>
      </c>
      <c r="CB88" s="27" t="n">
        <v>0</v>
      </c>
      <c r="CC88" s="27" t="n">
        <v>0</v>
      </c>
      <c r="CD88" s="27" t="n">
        <v>0</v>
      </c>
      <c r="CE88" s="27" t="n">
        <v>0</v>
      </c>
      <c r="CF88" s="27" t="n">
        <v>0</v>
      </c>
      <c r="CG88" s="27" t="n">
        <v>0</v>
      </c>
      <c r="CH88" s="27" t="n">
        <v>0</v>
      </c>
      <c r="CI88" s="27" t="n">
        <v>0</v>
      </c>
      <c r="CJ88" s="27" t="n">
        <v>0</v>
      </c>
      <c r="CK88" s="27" t="n">
        <v>0</v>
      </c>
      <c r="CL88" s="27" t="n">
        <v>0</v>
      </c>
      <c r="CM88" s="27" t="n">
        <v>0</v>
      </c>
      <c r="CN88" s="27" t="n">
        <v>0</v>
      </c>
      <c r="CO88" s="27" t="n">
        <v>0</v>
      </c>
      <c r="CP88" s="27" t="n">
        <v>0</v>
      </c>
      <c r="CQ88" s="27" t="n">
        <v>0</v>
      </c>
      <c r="CR88" s="27" t="n">
        <v>0</v>
      </c>
      <c r="CS88" s="27" t="n">
        <v>0</v>
      </c>
      <c r="CT88" s="27" t="n">
        <v>0</v>
      </c>
      <c r="CU88" s="27" t="n">
        <v>0</v>
      </c>
      <c r="CV88" s="27" t="n">
        <v>0</v>
      </c>
      <c r="CW88" s="27" t="n">
        <v>0</v>
      </c>
      <c r="CX88" s="27" t="n">
        <v>0</v>
      </c>
      <c r="CY88" s="27" t="n">
        <v>0</v>
      </c>
      <c r="CZ88" s="27" t="n">
        <v>0</v>
      </c>
      <c r="DA88" s="27" t="n">
        <v>0</v>
      </c>
    </row>
    <row r="89">
      <c r="A89" t="inlineStr">
        <is>
          <t>TPP-917</t>
        </is>
      </c>
      <c r="B89" s="27" t="n">
        <v>0</v>
      </c>
      <c r="C89" s="27" t="n">
        <v>0</v>
      </c>
      <c r="D89" s="27" t="n">
        <v>4</v>
      </c>
      <c r="E89" s="27" t="n">
        <v>0</v>
      </c>
      <c r="F89" s="27" t="n">
        <v>0</v>
      </c>
      <c r="G89" s="27" t="n">
        <v>0</v>
      </c>
      <c r="H89" s="27" t="n">
        <v>0</v>
      </c>
      <c r="I89" s="27" t="n">
        <v>0</v>
      </c>
      <c r="J89" s="27" t="n">
        <v>0</v>
      </c>
      <c r="K89" s="27" t="n">
        <v>0</v>
      </c>
      <c r="L89" s="27" t="n">
        <v>0</v>
      </c>
      <c r="M89" s="27" t="n">
        <v>0</v>
      </c>
      <c r="N89" s="27" t="n">
        <v>0</v>
      </c>
      <c r="O89" s="27" t="n">
        <v>0</v>
      </c>
      <c r="P89" s="27" t="n">
        <v>0</v>
      </c>
      <c r="Q89" s="27" t="n">
        <v>0</v>
      </c>
      <c r="R89" s="27" t="n">
        <v>0</v>
      </c>
      <c r="S89" s="27" t="n">
        <v>0</v>
      </c>
      <c r="T89" s="27" t="n">
        <v>0</v>
      </c>
      <c r="U89" s="27" t="n">
        <v>0</v>
      </c>
      <c r="V89" s="27" t="n">
        <v>4</v>
      </c>
      <c r="W89" s="27" t="n">
        <v>0</v>
      </c>
      <c r="X89" s="27" t="n">
        <v>0</v>
      </c>
      <c r="Y89" s="27" t="n">
        <v>0</v>
      </c>
      <c r="Z89" s="27" t="n">
        <v>0</v>
      </c>
      <c r="AA89" s="27" t="n">
        <v>0</v>
      </c>
      <c r="AB89" s="27" t="n">
        <v>0</v>
      </c>
      <c r="AC89" s="27" t="n">
        <v>0</v>
      </c>
      <c r="AD89" s="27" t="n">
        <v>0</v>
      </c>
      <c r="AE89" s="27" t="n">
        <v>0</v>
      </c>
      <c r="AF89" s="27" t="n">
        <v>0</v>
      </c>
      <c r="AG89" s="27" t="n">
        <v>0</v>
      </c>
      <c r="AH89" s="27" t="n">
        <v>0</v>
      </c>
      <c r="AI89" s="27" t="n">
        <v>0</v>
      </c>
      <c r="AJ89" s="27" t="n">
        <v>0</v>
      </c>
      <c r="AK89" s="27" t="n">
        <v>0</v>
      </c>
      <c r="AL89" s="27" t="n">
        <v>3</v>
      </c>
      <c r="AM89" s="27" t="n">
        <v>0</v>
      </c>
      <c r="AN89" s="27" t="n">
        <v>0</v>
      </c>
      <c r="AO89" s="27" t="n">
        <v>0</v>
      </c>
      <c r="AP89" s="27" t="n">
        <v>0</v>
      </c>
      <c r="AQ89" s="27" t="n">
        <v>0</v>
      </c>
      <c r="AR89" s="27" t="n">
        <v>0</v>
      </c>
      <c r="AS89" s="27" t="n">
        <v>0</v>
      </c>
      <c r="AT89" s="27" t="n">
        <v>0</v>
      </c>
      <c r="AU89" s="27" t="n">
        <v>0</v>
      </c>
      <c r="AV89" s="27" t="n">
        <v>0</v>
      </c>
      <c r="AW89" s="27" t="n">
        <v>0</v>
      </c>
      <c r="AX89" s="27" t="n">
        <v>0</v>
      </c>
      <c r="AY89" s="27" t="n">
        <v>0</v>
      </c>
      <c r="AZ89" s="27" t="n">
        <v>0</v>
      </c>
      <c r="BA89" s="27" t="n">
        <v>0</v>
      </c>
      <c r="BB89" s="27" t="n">
        <v>0</v>
      </c>
      <c r="BC89" s="27" t="n">
        <v>0</v>
      </c>
      <c r="BD89" s="27" t="n">
        <v>0</v>
      </c>
      <c r="BE89" s="27" t="n">
        <v>0</v>
      </c>
      <c r="BF89" s="27" t="n">
        <v>0</v>
      </c>
      <c r="BG89" s="27" t="n">
        <v>0</v>
      </c>
      <c r="BH89" s="27" t="n">
        <v>0</v>
      </c>
      <c r="BI89" s="27" t="n">
        <v>0</v>
      </c>
      <c r="BJ89" s="27" t="n">
        <v>0</v>
      </c>
      <c r="BK89" s="27" t="n">
        <v>0</v>
      </c>
      <c r="BL89" s="27" t="n">
        <v>0</v>
      </c>
      <c r="BM89" s="27" t="n">
        <v>0</v>
      </c>
      <c r="BN89" s="27" t="n">
        <v>0</v>
      </c>
      <c r="BO89" s="27" t="n">
        <v>0</v>
      </c>
      <c r="BP89" s="27" t="n">
        <v>0</v>
      </c>
      <c r="BQ89" s="27" t="n">
        <v>0</v>
      </c>
      <c r="BR89" s="27" t="n">
        <v>0</v>
      </c>
      <c r="BS89" s="27" t="n">
        <v>0</v>
      </c>
      <c r="BT89" s="27" t="n">
        <v>0</v>
      </c>
      <c r="BU89" s="27" t="n">
        <v>0</v>
      </c>
      <c r="BV89" s="27" t="n">
        <v>0</v>
      </c>
      <c r="BW89" s="27" t="n">
        <v>0</v>
      </c>
      <c r="BX89" s="27" t="n">
        <v>0</v>
      </c>
      <c r="BY89" s="27" t="n">
        <v>0</v>
      </c>
      <c r="BZ89" s="27" t="n">
        <v>0</v>
      </c>
      <c r="CA89" s="27" t="n">
        <v>0</v>
      </c>
      <c r="CB89" s="27" t="n">
        <v>0</v>
      </c>
      <c r="CC89" s="27" t="n">
        <v>0</v>
      </c>
      <c r="CD89" s="27" t="n">
        <v>0</v>
      </c>
      <c r="CE89" s="27" t="n">
        <v>0</v>
      </c>
      <c r="CF89" s="27" t="n">
        <v>0</v>
      </c>
      <c r="CG89" s="27" t="n">
        <v>0</v>
      </c>
      <c r="CH89" s="27" t="n">
        <v>0</v>
      </c>
      <c r="CI89" s="27" t="n">
        <v>0</v>
      </c>
      <c r="CJ89" s="27" t="n">
        <v>0</v>
      </c>
      <c r="CK89" s="27" t="n">
        <v>0</v>
      </c>
      <c r="CL89" s="27" t="n">
        <v>0</v>
      </c>
      <c r="CM89" s="27" t="n">
        <v>0</v>
      </c>
      <c r="CN89" s="27" t="n">
        <v>0</v>
      </c>
      <c r="CO89" s="27" t="n">
        <v>0</v>
      </c>
      <c r="CP89" s="27" t="n">
        <v>0</v>
      </c>
      <c r="CQ89" s="27" t="n">
        <v>0</v>
      </c>
      <c r="CR89" s="27" t="n">
        <v>0</v>
      </c>
      <c r="CS89" s="27" t="n">
        <v>0</v>
      </c>
      <c r="CT89" s="27" t="n">
        <v>0</v>
      </c>
      <c r="CU89" s="27" t="n">
        <v>0</v>
      </c>
      <c r="CV89" s="27" t="n">
        <v>0</v>
      </c>
      <c r="CW89" s="27" t="n">
        <v>0</v>
      </c>
      <c r="CX89" s="27" t="n">
        <v>0</v>
      </c>
      <c r="CY89" s="27" t="n">
        <v>0</v>
      </c>
      <c r="CZ89" s="27" t="n">
        <v>0</v>
      </c>
      <c r="DA89" s="27" t="n">
        <v>0</v>
      </c>
    </row>
    <row r="90">
      <c r="A90" t="inlineStr">
        <is>
          <t>TPP-919</t>
        </is>
      </c>
      <c r="B90" s="27" t="n">
        <v>0</v>
      </c>
      <c r="C90" s="27" t="n">
        <v>0</v>
      </c>
      <c r="D90" s="27" t="n">
        <v>0</v>
      </c>
      <c r="E90" s="27" t="n">
        <v>0</v>
      </c>
      <c r="F90" s="27" t="n">
        <v>0</v>
      </c>
      <c r="G90" s="27" t="n">
        <v>0</v>
      </c>
      <c r="H90" s="27" t="n">
        <v>0</v>
      </c>
      <c r="I90" s="27" t="n">
        <v>0</v>
      </c>
      <c r="J90" s="27" t="n">
        <v>0</v>
      </c>
      <c r="K90" s="27" t="n">
        <v>0</v>
      </c>
      <c r="L90" s="27" t="n">
        <v>0</v>
      </c>
      <c r="M90" s="27" t="n">
        <v>0</v>
      </c>
      <c r="N90" s="27" t="n">
        <v>0</v>
      </c>
      <c r="O90" s="27" t="n">
        <v>0</v>
      </c>
      <c r="P90" s="27" t="n">
        <v>0</v>
      </c>
      <c r="Q90" s="27" t="n">
        <v>0</v>
      </c>
      <c r="R90" s="27" t="n">
        <v>0</v>
      </c>
      <c r="S90" s="27" t="n">
        <v>0</v>
      </c>
      <c r="T90" s="27" t="n">
        <v>0</v>
      </c>
      <c r="U90" s="27" t="n">
        <v>0</v>
      </c>
      <c r="V90" s="27" t="n">
        <v>0</v>
      </c>
      <c r="W90" s="27" t="n">
        <v>0</v>
      </c>
      <c r="X90" s="27" t="n">
        <v>0</v>
      </c>
      <c r="Y90" s="27" t="n">
        <v>0</v>
      </c>
      <c r="Z90" s="27" t="n">
        <v>0</v>
      </c>
      <c r="AA90" s="27" t="n">
        <v>0</v>
      </c>
      <c r="AB90" s="27" t="n">
        <v>0</v>
      </c>
      <c r="AC90" s="27" t="n">
        <v>0</v>
      </c>
      <c r="AD90" s="27" t="n">
        <v>0</v>
      </c>
      <c r="AE90" s="27" t="n">
        <v>0</v>
      </c>
      <c r="AF90" s="27" t="n">
        <v>0</v>
      </c>
      <c r="AG90" s="27" t="n">
        <v>0</v>
      </c>
      <c r="AH90" s="27" t="n">
        <v>0</v>
      </c>
      <c r="AI90" s="27" t="n">
        <v>0</v>
      </c>
      <c r="AJ90" s="27" t="n">
        <v>0</v>
      </c>
      <c r="AK90" s="27" t="n">
        <v>0</v>
      </c>
      <c r="AL90" s="27" t="n">
        <v>0</v>
      </c>
      <c r="AM90" s="27" t="n">
        <v>0</v>
      </c>
      <c r="AN90" s="27" t="n">
        <v>0</v>
      </c>
      <c r="AO90" s="27" t="n">
        <v>0</v>
      </c>
      <c r="AP90" s="27" t="n">
        <v>0</v>
      </c>
      <c r="AQ90" s="27" t="n">
        <v>0</v>
      </c>
      <c r="AR90" s="27" t="n">
        <v>0</v>
      </c>
      <c r="AS90" s="27" t="n">
        <v>0</v>
      </c>
      <c r="AT90" s="27" t="n">
        <v>0</v>
      </c>
      <c r="AU90" s="27" t="n">
        <v>0</v>
      </c>
      <c r="AV90" s="27" t="n">
        <v>0</v>
      </c>
      <c r="AW90" s="27" t="n">
        <v>0</v>
      </c>
      <c r="AX90" s="27" t="n">
        <v>0</v>
      </c>
      <c r="AY90" s="27" t="n">
        <v>0</v>
      </c>
      <c r="AZ90" s="27" t="n">
        <v>0</v>
      </c>
      <c r="BA90" s="27" t="n">
        <v>0</v>
      </c>
      <c r="BB90" s="27" t="n">
        <v>0</v>
      </c>
      <c r="BC90" s="27" t="n">
        <v>0</v>
      </c>
      <c r="BD90" s="27" t="n">
        <v>0</v>
      </c>
      <c r="BE90" s="27" t="n">
        <v>0</v>
      </c>
      <c r="BF90" s="27" t="n">
        <v>0</v>
      </c>
      <c r="BG90" s="27" t="n">
        <v>0</v>
      </c>
      <c r="BH90" s="27" t="n">
        <v>0</v>
      </c>
      <c r="BI90" s="27" t="n">
        <v>0</v>
      </c>
      <c r="BJ90" s="27" t="n">
        <v>0</v>
      </c>
      <c r="BK90" s="27" t="n">
        <v>0</v>
      </c>
      <c r="BL90" s="27" t="n">
        <v>0</v>
      </c>
      <c r="BM90" s="27" t="n">
        <v>0</v>
      </c>
      <c r="BN90" s="27" t="n">
        <v>0</v>
      </c>
      <c r="BO90" s="27" t="n">
        <v>0</v>
      </c>
      <c r="BP90" s="27" t="n">
        <v>0</v>
      </c>
      <c r="BQ90" s="27" t="n">
        <v>0</v>
      </c>
      <c r="BR90" s="27" t="n">
        <v>0</v>
      </c>
      <c r="BS90" s="27" t="n">
        <v>0</v>
      </c>
      <c r="BT90" s="27" t="n">
        <v>0</v>
      </c>
      <c r="BU90" s="27" t="n">
        <v>0</v>
      </c>
      <c r="BV90" s="27" t="n">
        <v>0</v>
      </c>
      <c r="BW90" s="27" t="n">
        <v>0</v>
      </c>
      <c r="BX90" s="27" t="n">
        <v>0</v>
      </c>
      <c r="BY90" s="27" t="n">
        <v>0</v>
      </c>
      <c r="BZ90" s="27" t="n">
        <v>0</v>
      </c>
      <c r="CA90" s="27" t="n">
        <v>0</v>
      </c>
      <c r="CB90" s="27" t="n">
        <v>0</v>
      </c>
      <c r="CC90" s="27" t="n">
        <v>0</v>
      </c>
      <c r="CD90" s="27" t="n">
        <v>0</v>
      </c>
      <c r="CE90" s="27" t="n">
        <v>0</v>
      </c>
      <c r="CF90" s="27" t="n">
        <v>0</v>
      </c>
      <c r="CG90" s="27" t="n">
        <v>0</v>
      </c>
      <c r="CH90" s="27" t="n">
        <v>0</v>
      </c>
      <c r="CI90" s="27" t="n">
        <v>0</v>
      </c>
      <c r="CJ90" s="27" t="n">
        <v>0</v>
      </c>
      <c r="CK90" s="27" t="n">
        <v>0</v>
      </c>
      <c r="CL90" s="27" t="n">
        <v>0</v>
      </c>
      <c r="CM90" s="27" t="n">
        <v>0</v>
      </c>
      <c r="CN90" s="27" t="n">
        <v>0</v>
      </c>
      <c r="CO90" s="27" t="n">
        <v>0</v>
      </c>
      <c r="CP90" s="27" t="n">
        <v>0</v>
      </c>
      <c r="CQ90" s="27" t="n">
        <v>0</v>
      </c>
      <c r="CR90" s="27" t="n">
        <v>0</v>
      </c>
      <c r="CS90" s="27" t="n">
        <v>0</v>
      </c>
      <c r="CT90" s="27" t="n">
        <v>0</v>
      </c>
      <c r="CU90" s="27" t="n">
        <v>0</v>
      </c>
      <c r="CV90" s="27" t="n">
        <v>0</v>
      </c>
      <c r="CW90" s="27" t="n">
        <v>0</v>
      </c>
      <c r="CX90" s="27" t="n">
        <v>0</v>
      </c>
      <c r="CY90" s="27" t="n">
        <v>0</v>
      </c>
      <c r="CZ90" s="27" t="n">
        <v>0</v>
      </c>
      <c r="DA90" s="27" t="n">
        <v>0</v>
      </c>
    </row>
    <row r="91">
      <c r="A91" t="inlineStr">
        <is>
          <t>TPP-920</t>
        </is>
      </c>
      <c r="B91" s="27" t="n">
        <v>0</v>
      </c>
      <c r="C91" s="27" t="n">
        <v>0</v>
      </c>
      <c r="D91" s="27" t="n">
        <v>0</v>
      </c>
      <c r="E91" s="27" t="n">
        <v>0</v>
      </c>
      <c r="F91" s="27" t="n">
        <v>3</v>
      </c>
      <c r="G91" s="27" t="n">
        <v>0</v>
      </c>
      <c r="H91" s="27" t="n">
        <v>0</v>
      </c>
      <c r="I91" s="27" t="n">
        <v>0</v>
      </c>
      <c r="J91" s="27" t="n">
        <v>3</v>
      </c>
      <c r="K91" s="27" t="n">
        <v>0</v>
      </c>
      <c r="L91" s="27" t="n">
        <v>6</v>
      </c>
      <c r="M91" s="27" t="n">
        <v>0</v>
      </c>
      <c r="N91" s="27" t="n">
        <v>0</v>
      </c>
      <c r="O91" s="27" t="n">
        <v>0</v>
      </c>
      <c r="P91" s="27" t="n">
        <v>0</v>
      </c>
      <c r="Q91" s="27" t="n">
        <v>0</v>
      </c>
      <c r="R91" s="27" t="n">
        <v>0</v>
      </c>
      <c r="S91" s="27" t="n">
        <v>0</v>
      </c>
      <c r="T91" s="27" t="n">
        <v>0</v>
      </c>
      <c r="U91" s="27" t="n">
        <v>0</v>
      </c>
      <c r="V91" s="27" t="n">
        <v>0</v>
      </c>
      <c r="W91" s="27" t="n">
        <v>3</v>
      </c>
      <c r="X91" s="27" t="n">
        <v>0</v>
      </c>
      <c r="Y91" s="27" t="n">
        <v>0</v>
      </c>
      <c r="Z91" s="27" t="n">
        <v>0</v>
      </c>
      <c r="AA91" s="27" t="n">
        <v>0</v>
      </c>
      <c r="AB91" s="27" t="n">
        <v>0</v>
      </c>
      <c r="AC91" s="27" t="n">
        <v>0</v>
      </c>
      <c r="AD91" s="27" t="n">
        <v>0</v>
      </c>
      <c r="AE91" s="27" t="n">
        <v>0</v>
      </c>
      <c r="AF91" s="27" t="n">
        <v>0</v>
      </c>
      <c r="AG91" s="27" t="n">
        <v>0</v>
      </c>
      <c r="AH91" s="27" t="n">
        <v>0</v>
      </c>
      <c r="AI91" s="27" t="n">
        <v>4</v>
      </c>
      <c r="AJ91" s="27" t="n">
        <v>0</v>
      </c>
      <c r="AK91" s="27" t="n">
        <v>0</v>
      </c>
      <c r="AL91" s="27" t="n">
        <v>0</v>
      </c>
      <c r="AM91" s="27" t="n">
        <v>0</v>
      </c>
      <c r="AN91" s="27" t="n">
        <v>4</v>
      </c>
      <c r="AO91" s="27" t="n">
        <v>0</v>
      </c>
      <c r="AP91" s="27" t="n">
        <v>0</v>
      </c>
      <c r="AQ91" s="27" t="n">
        <v>0</v>
      </c>
      <c r="AR91" s="27" t="n">
        <v>0</v>
      </c>
      <c r="AS91" s="27" t="n">
        <v>0</v>
      </c>
      <c r="AT91" s="27" t="n">
        <v>0</v>
      </c>
      <c r="AU91" s="27" t="n">
        <v>0</v>
      </c>
      <c r="AV91" s="27" t="n">
        <v>0</v>
      </c>
      <c r="AW91" s="27" t="n">
        <v>2</v>
      </c>
      <c r="AX91" s="27" t="n">
        <v>0</v>
      </c>
      <c r="AY91" s="27" t="n">
        <v>0</v>
      </c>
      <c r="AZ91" s="27" t="n">
        <v>0</v>
      </c>
      <c r="BA91" s="27" t="n">
        <v>0</v>
      </c>
      <c r="BB91" s="27" t="n">
        <v>0</v>
      </c>
      <c r="BC91" s="27" t="n">
        <v>0</v>
      </c>
      <c r="BD91" s="27" t="n">
        <v>0</v>
      </c>
      <c r="BE91" s="27" t="n">
        <v>0</v>
      </c>
      <c r="BF91" s="27" t="n">
        <v>0</v>
      </c>
      <c r="BG91" s="27" t="n">
        <v>0</v>
      </c>
      <c r="BH91" s="27" t="n">
        <v>0</v>
      </c>
      <c r="BI91" s="27" t="n">
        <v>0</v>
      </c>
      <c r="BJ91" s="27" t="n">
        <v>0</v>
      </c>
      <c r="BK91" s="27" t="n">
        <v>0</v>
      </c>
      <c r="BL91" s="27" t="n">
        <v>0</v>
      </c>
      <c r="BM91" s="27" t="n">
        <v>0</v>
      </c>
      <c r="BN91" s="27" t="n">
        <v>0</v>
      </c>
      <c r="BO91" s="27" t="n">
        <v>0</v>
      </c>
      <c r="BP91" s="27" t="n">
        <v>0</v>
      </c>
      <c r="BQ91" s="27" t="n">
        <v>0</v>
      </c>
      <c r="BR91" s="27" t="n">
        <v>0</v>
      </c>
      <c r="BS91" s="27" t="n">
        <v>0</v>
      </c>
      <c r="BT91" s="27" t="n">
        <v>0</v>
      </c>
      <c r="BU91" s="27" t="n">
        <v>0</v>
      </c>
      <c r="BV91" s="27" t="n">
        <v>0</v>
      </c>
      <c r="BW91" s="27" t="n">
        <v>0</v>
      </c>
      <c r="BX91" s="27" t="n">
        <v>0</v>
      </c>
      <c r="BY91" s="27" t="n">
        <v>0</v>
      </c>
      <c r="BZ91" s="27" t="n">
        <v>0</v>
      </c>
      <c r="CA91" s="27" t="n">
        <v>0</v>
      </c>
      <c r="CB91" s="27" t="n">
        <v>0</v>
      </c>
      <c r="CC91" s="27" t="n">
        <v>0</v>
      </c>
      <c r="CD91" s="27" t="n">
        <v>0</v>
      </c>
      <c r="CE91" s="27" t="n">
        <v>0</v>
      </c>
      <c r="CF91" s="27" t="n">
        <v>0</v>
      </c>
      <c r="CG91" s="27" t="n">
        <v>0</v>
      </c>
      <c r="CH91" s="27" t="n">
        <v>0</v>
      </c>
      <c r="CI91" s="27" t="n">
        <v>0</v>
      </c>
      <c r="CJ91" s="27" t="n">
        <v>0</v>
      </c>
      <c r="CK91" s="27" t="n">
        <v>0</v>
      </c>
      <c r="CL91" s="27" t="n">
        <v>0</v>
      </c>
      <c r="CM91" s="27" t="n">
        <v>0</v>
      </c>
      <c r="CN91" s="27" t="n">
        <v>0</v>
      </c>
      <c r="CO91" s="27" t="n">
        <v>0</v>
      </c>
      <c r="CP91" s="27" t="n">
        <v>0</v>
      </c>
      <c r="CQ91" s="27" t="n">
        <v>0</v>
      </c>
      <c r="CR91" s="27" t="n">
        <v>0</v>
      </c>
      <c r="CS91" s="27" t="n">
        <v>0</v>
      </c>
      <c r="CT91" s="27" t="n">
        <v>0</v>
      </c>
      <c r="CU91" s="27" t="n">
        <v>0</v>
      </c>
      <c r="CV91" s="27" t="n">
        <v>0</v>
      </c>
      <c r="CW91" s="27" t="n">
        <v>0</v>
      </c>
      <c r="CX91" s="27" t="n">
        <v>0</v>
      </c>
      <c r="CY91" s="27" t="n">
        <v>0</v>
      </c>
      <c r="CZ91" s="27" t="n">
        <v>0</v>
      </c>
      <c r="DA91" s="27" t="n">
        <v>0</v>
      </c>
    </row>
    <row r="92">
      <c r="A92" t="inlineStr">
        <is>
          <t>TPP-922</t>
        </is>
      </c>
      <c r="B92" s="27" t="n">
        <v>0</v>
      </c>
      <c r="C92" s="27" t="n">
        <v>0</v>
      </c>
      <c r="D92" s="27" t="n">
        <v>0</v>
      </c>
      <c r="E92" s="27" t="n">
        <v>0</v>
      </c>
      <c r="F92" s="27" t="n">
        <v>0</v>
      </c>
      <c r="G92" s="27" t="n">
        <v>0</v>
      </c>
      <c r="H92" s="27" t="n">
        <v>0</v>
      </c>
      <c r="I92" s="27" t="n">
        <v>0</v>
      </c>
      <c r="J92" s="27" t="n">
        <v>0</v>
      </c>
      <c r="K92" s="27" t="n">
        <v>0</v>
      </c>
      <c r="L92" s="27" t="n">
        <v>0</v>
      </c>
      <c r="M92" s="27" t="n">
        <v>0</v>
      </c>
      <c r="N92" s="27" t="n">
        <v>0</v>
      </c>
      <c r="O92" s="27" t="n">
        <v>0</v>
      </c>
      <c r="P92" s="27" t="n">
        <v>0</v>
      </c>
      <c r="Q92" s="27" t="n">
        <v>0</v>
      </c>
      <c r="R92" s="27" t="n">
        <v>0</v>
      </c>
      <c r="S92" s="27" t="n">
        <v>0</v>
      </c>
      <c r="T92" s="27" t="n">
        <v>0</v>
      </c>
      <c r="U92" s="27" t="n">
        <v>0</v>
      </c>
      <c r="V92" s="27" t="n">
        <v>0</v>
      </c>
      <c r="W92" s="27" t="n">
        <v>0</v>
      </c>
      <c r="X92" s="27" t="n">
        <v>0</v>
      </c>
      <c r="Y92" s="27" t="n">
        <v>0</v>
      </c>
      <c r="Z92" s="27" t="n">
        <v>0</v>
      </c>
      <c r="AA92" s="27" t="n">
        <v>0</v>
      </c>
      <c r="AB92" s="27" t="n">
        <v>0</v>
      </c>
      <c r="AC92" s="27" t="n">
        <v>0</v>
      </c>
      <c r="AD92" s="27" t="n">
        <v>0</v>
      </c>
      <c r="AE92" s="27" t="n">
        <v>0</v>
      </c>
      <c r="AF92" s="27" t="n">
        <v>0</v>
      </c>
      <c r="AG92" s="27" t="n">
        <v>0</v>
      </c>
      <c r="AH92" s="27" t="n">
        <v>0</v>
      </c>
      <c r="AI92" s="27" t="n">
        <v>0</v>
      </c>
      <c r="AJ92" s="27" t="n">
        <v>0</v>
      </c>
      <c r="AK92" s="27" t="n">
        <v>0</v>
      </c>
      <c r="AL92" s="27" t="n">
        <v>0</v>
      </c>
      <c r="AM92" s="27" t="n">
        <v>0</v>
      </c>
      <c r="AN92" s="27" t="n">
        <v>0</v>
      </c>
      <c r="AO92" s="27" t="n">
        <v>0</v>
      </c>
      <c r="AP92" s="27" t="n">
        <v>0</v>
      </c>
      <c r="AQ92" s="27" t="n">
        <v>0</v>
      </c>
      <c r="AR92" s="27" t="n">
        <v>0</v>
      </c>
      <c r="AS92" s="27" t="n">
        <v>0</v>
      </c>
      <c r="AT92" s="27" t="n">
        <v>0</v>
      </c>
      <c r="AU92" s="27" t="n">
        <v>0</v>
      </c>
      <c r="AV92" s="27" t="n">
        <v>0</v>
      </c>
      <c r="AW92" s="27" t="n">
        <v>0</v>
      </c>
      <c r="AX92" s="27" t="n">
        <v>0</v>
      </c>
      <c r="AY92" s="27" t="n">
        <v>0</v>
      </c>
      <c r="AZ92" s="27" t="n">
        <v>0</v>
      </c>
      <c r="BA92" s="27" t="n">
        <v>0</v>
      </c>
      <c r="BB92" s="27" t="n">
        <v>0</v>
      </c>
      <c r="BC92" s="27" t="n">
        <v>0</v>
      </c>
      <c r="BD92" s="27" t="n">
        <v>0</v>
      </c>
      <c r="BE92" s="27" t="n">
        <v>0</v>
      </c>
      <c r="BF92" s="27" t="n">
        <v>0</v>
      </c>
      <c r="BG92" s="27" t="n">
        <v>0</v>
      </c>
      <c r="BH92" s="27" t="n">
        <v>0</v>
      </c>
      <c r="BI92" s="27" t="n">
        <v>0</v>
      </c>
      <c r="BJ92" s="27" t="n">
        <v>0</v>
      </c>
      <c r="BK92" s="27" t="n">
        <v>0</v>
      </c>
      <c r="BL92" s="27" t="n">
        <v>0</v>
      </c>
      <c r="BM92" s="27" t="n">
        <v>0</v>
      </c>
      <c r="BN92" s="27" t="n">
        <v>0</v>
      </c>
      <c r="BO92" s="27" t="n">
        <v>0</v>
      </c>
      <c r="BP92" s="27" t="n">
        <v>0</v>
      </c>
      <c r="BQ92" s="27" t="n">
        <v>0</v>
      </c>
      <c r="BR92" s="27" t="n">
        <v>0</v>
      </c>
      <c r="BS92" s="27" t="n">
        <v>0</v>
      </c>
      <c r="BT92" s="27" t="n">
        <v>0</v>
      </c>
      <c r="BU92" s="27" t="n">
        <v>0</v>
      </c>
      <c r="BV92" s="27" t="n">
        <v>0</v>
      </c>
      <c r="BW92" s="27" t="n">
        <v>0</v>
      </c>
      <c r="BX92" s="27" t="n">
        <v>0</v>
      </c>
      <c r="BY92" s="27" t="n">
        <v>0</v>
      </c>
      <c r="BZ92" s="27" t="n">
        <v>0</v>
      </c>
      <c r="CA92" s="27" t="n">
        <v>0</v>
      </c>
      <c r="CB92" s="27" t="n">
        <v>0</v>
      </c>
      <c r="CC92" s="27" t="n">
        <v>0</v>
      </c>
      <c r="CD92" s="27" t="n">
        <v>0</v>
      </c>
      <c r="CE92" s="27" t="n">
        <v>0</v>
      </c>
      <c r="CF92" s="27" t="n">
        <v>0</v>
      </c>
      <c r="CG92" s="27" t="n">
        <v>0</v>
      </c>
      <c r="CH92" s="27" t="n">
        <v>0</v>
      </c>
      <c r="CI92" s="27" t="n">
        <v>0</v>
      </c>
      <c r="CJ92" s="27" t="n">
        <v>0</v>
      </c>
      <c r="CK92" s="27" t="n">
        <v>0</v>
      </c>
      <c r="CL92" s="27" t="n">
        <v>0</v>
      </c>
      <c r="CM92" s="27" t="n">
        <v>0</v>
      </c>
      <c r="CN92" s="27" t="n">
        <v>0</v>
      </c>
      <c r="CO92" s="27" t="n">
        <v>0</v>
      </c>
      <c r="CP92" s="27" t="n">
        <v>0</v>
      </c>
      <c r="CQ92" s="27" t="n">
        <v>0</v>
      </c>
      <c r="CR92" s="27" t="n">
        <v>0</v>
      </c>
      <c r="CS92" s="27" t="n">
        <v>0</v>
      </c>
      <c r="CT92" s="27" t="n">
        <v>0</v>
      </c>
      <c r="CU92" s="27" t="n">
        <v>0</v>
      </c>
      <c r="CV92" s="27" t="n">
        <v>0</v>
      </c>
      <c r="CW92" s="27" t="n">
        <v>0</v>
      </c>
      <c r="CX92" s="27" t="n">
        <v>0</v>
      </c>
      <c r="CY92" s="27" t="n">
        <v>0</v>
      </c>
      <c r="CZ92" s="27" t="n">
        <v>0</v>
      </c>
      <c r="DA92" s="27" t="n">
        <v>0</v>
      </c>
    </row>
    <row r="93">
      <c r="A93" t="inlineStr">
        <is>
          <t>TPP-923</t>
        </is>
      </c>
      <c r="B93" s="27" t="n">
        <v>0</v>
      </c>
      <c r="C93" s="27" t="n">
        <v>0</v>
      </c>
      <c r="D93" s="27" t="n">
        <v>0</v>
      </c>
      <c r="E93" s="27" t="n">
        <v>0</v>
      </c>
      <c r="F93" s="27" t="n">
        <v>3</v>
      </c>
      <c r="G93" s="27" t="n">
        <v>0</v>
      </c>
      <c r="H93" s="27" t="n">
        <v>0</v>
      </c>
      <c r="I93" s="27" t="n">
        <v>0</v>
      </c>
      <c r="J93" s="27" t="n">
        <v>0</v>
      </c>
      <c r="K93" s="27" t="n">
        <v>0</v>
      </c>
      <c r="L93" s="27" t="n">
        <v>3</v>
      </c>
      <c r="M93" s="27" t="n">
        <v>0</v>
      </c>
      <c r="N93" s="27" t="n">
        <v>0</v>
      </c>
      <c r="O93" s="27" t="n">
        <v>0</v>
      </c>
      <c r="P93" s="27" t="n">
        <v>0</v>
      </c>
      <c r="Q93" s="27" t="n">
        <v>0</v>
      </c>
      <c r="R93" s="27" t="n">
        <v>0</v>
      </c>
      <c r="S93" s="27" t="n">
        <v>0</v>
      </c>
      <c r="T93" s="27" t="n">
        <v>0</v>
      </c>
      <c r="U93" s="27" t="n">
        <v>0</v>
      </c>
      <c r="V93" s="27" t="n">
        <v>0</v>
      </c>
      <c r="W93" s="27" t="n">
        <v>4</v>
      </c>
      <c r="X93" s="27" t="n">
        <v>0</v>
      </c>
      <c r="Y93" s="27" t="n">
        <v>0</v>
      </c>
      <c r="Z93" s="27" t="n">
        <v>0</v>
      </c>
      <c r="AA93" s="27" t="n">
        <v>0</v>
      </c>
      <c r="AB93" s="27" t="n">
        <v>0</v>
      </c>
      <c r="AC93" s="27" t="n">
        <v>0</v>
      </c>
      <c r="AD93" s="27" t="n">
        <v>0</v>
      </c>
      <c r="AE93" s="27" t="n">
        <v>0</v>
      </c>
      <c r="AF93" s="27" t="n">
        <v>0</v>
      </c>
      <c r="AG93" s="27" t="n">
        <v>0</v>
      </c>
      <c r="AH93" s="27" t="n">
        <v>0</v>
      </c>
      <c r="AI93" s="27" t="n">
        <v>0</v>
      </c>
      <c r="AJ93" s="27" t="n">
        <v>0</v>
      </c>
      <c r="AK93" s="27" t="n">
        <v>2</v>
      </c>
      <c r="AL93" s="27" t="n">
        <v>0</v>
      </c>
      <c r="AM93" s="27" t="n">
        <v>0</v>
      </c>
      <c r="AN93" s="27" t="n">
        <v>0</v>
      </c>
      <c r="AO93" s="27" t="n">
        <v>0</v>
      </c>
      <c r="AP93" s="27" t="n">
        <v>0</v>
      </c>
      <c r="AQ93" s="27" t="n">
        <v>0</v>
      </c>
      <c r="AR93" s="27" t="n">
        <v>0</v>
      </c>
      <c r="AS93" s="27" t="n">
        <v>0</v>
      </c>
      <c r="AT93" s="27" t="n">
        <v>0</v>
      </c>
      <c r="AU93" s="27" t="n">
        <v>0</v>
      </c>
      <c r="AV93" s="27" t="n">
        <v>0</v>
      </c>
      <c r="AW93" s="27" t="n">
        <v>0</v>
      </c>
      <c r="AX93" s="27" t="n">
        <v>0</v>
      </c>
      <c r="AY93" s="27" t="n">
        <v>0</v>
      </c>
      <c r="AZ93" s="27" t="n">
        <v>0</v>
      </c>
      <c r="BA93" s="27" t="n">
        <v>0</v>
      </c>
      <c r="BB93" s="27" t="n">
        <v>0</v>
      </c>
      <c r="BC93" s="27" t="n">
        <v>0</v>
      </c>
      <c r="BD93" s="27" t="n">
        <v>0</v>
      </c>
      <c r="BE93" s="27" t="n">
        <v>0</v>
      </c>
      <c r="BF93" s="27" t="n">
        <v>0</v>
      </c>
      <c r="BG93" s="27" t="n">
        <v>0</v>
      </c>
      <c r="BH93" s="27" t="n">
        <v>0</v>
      </c>
      <c r="BI93" s="27" t="n">
        <v>0</v>
      </c>
      <c r="BJ93" s="27" t="n">
        <v>0</v>
      </c>
      <c r="BK93" s="27" t="n">
        <v>0</v>
      </c>
      <c r="BL93" s="27" t="n">
        <v>0</v>
      </c>
      <c r="BM93" s="27" t="n">
        <v>0</v>
      </c>
      <c r="BN93" s="27" t="n">
        <v>0</v>
      </c>
      <c r="BO93" s="27" t="n">
        <v>0</v>
      </c>
      <c r="BP93" s="27" t="n">
        <v>0</v>
      </c>
      <c r="BQ93" s="27" t="n">
        <v>0</v>
      </c>
      <c r="BR93" s="27" t="n">
        <v>0</v>
      </c>
      <c r="BS93" s="27" t="n">
        <v>0</v>
      </c>
      <c r="BT93" s="27" t="n">
        <v>0</v>
      </c>
      <c r="BU93" s="27" t="n">
        <v>0</v>
      </c>
      <c r="BV93" s="27" t="n">
        <v>0</v>
      </c>
      <c r="BW93" s="27" t="n">
        <v>0</v>
      </c>
      <c r="BX93" s="27" t="n">
        <v>0</v>
      </c>
      <c r="BY93" s="27" t="n">
        <v>0</v>
      </c>
      <c r="BZ93" s="27" t="n">
        <v>0</v>
      </c>
      <c r="CA93" s="27" t="n">
        <v>0</v>
      </c>
      <c r="CB93" s="27" t="n">
        <v>0</v>
      </c>
      <c r="CC93" s="27" t="n">
        <v>0</v>
      </c>
      <c r="CD93" s="27" t="n">
        <v>0</v>
      </c>
      <c r="CE93" s="27" t="n">
        <v>0</v>
      </c>
      <c r="CF93" s="27" t="n">
        <v>0</v>
      </c>
      <c r="CG93" s="27" t="n">
        <v>0</v>
      </c>
      <c r="CH93" s="27" t="n">
        <v>0</v>
      </c>
      <c r="CI93" s="27" t="n">
        <v>0</v>
      </c>
      <c r="CJ93" s="27" t="n">
        <v>0</v>
      </c>
      <c r="CK93" s="27" t="n">
        <v>0</v>
      </c>
      <c r="CL93" s="27" t="n">
        <v>0</v>
      </c>
      <c r="CM93" s="27" t="n">
        <v>0</v>
      </c>
      <c r="CN93" s="27" t="n">
        <v>0</v>
      </c>
      <c r="CO93" s="27" t="n">
        <v>0</v>
      </c>
      <c r="CP93" s="27" t="n">
        <v>0</v>
      </c>
      <c r="CQ93" s="27" t="n">
        <v>0</v>
      </c>
      <c r="CR93" s="27" t="n">
        <v>0</v>
      </c>
      <c r="CS93" s="27" t="n">
        <v>0</v>
      </c>
      <c r="CT93" s="27" t="n">
        <v>0</v>
      </c>
      <c r="CU93" s="27" t="n">
        <v>0</v>
      </c>
      <c r="CV93" s="27" t="n">
        <v>0</v>
      </c>
      <c r="CW93" s="27" t="n">
        <v>0</v>
      </c>
      <c r="CX93" s="27" t="n">
        <v>0</v>
      </c>
      <c r="CY93" s="27" t="n">
        <v>0</v>
      </c>
      <c r="CZ93" s="27" t="n">
        <v>0</v>
      </c>
      <c r="DA93" s="27" t="n">
        <v>0</v>
      </c>
    </row>
    <row r="94">
      <c r="A94" t="inlineStr">
        <is>
          <t>TPP-968</t>
        </is>
      </c>
      <c r="B94" s="27" t="n">
        <v>0</v>
      </c>
      <c r="C94" s="27" t="n">
        <v>3</v>
      </c>
      <c r="D94" s="27" t="n">
        <v>3</v>
      </c>
      <c r="E94" s="27" t="n">
        <v>6</v>
      </c>
      <c r="F94" s="27" t="n">
        <v>3</v>
      </c>
      <c r="G94" s="27" t="n">
        <v>3</v>
      </c>
      <c r="H94" s="27" t="n">
        <v>6</v>
      </c>
      <c r="I94" s="27" t="n">
        <v>6</v>
      </c>
      <c r="J94" s="27" t="n">
        <v>6</v>
      </c>
      <c r="K94" s="27" t="n">
        <v>6</v>
      </c>
      <c r="L94" s="27" t="n">
        <v>6</v>
      </c>
      <c r="M94" s="27" t="n">
        <v>6</v>
      </c>
      <c r="N94" s="27" t="n">
        <v>12</v>
      </c>
      <c r="O94" s="27" t="n">
        <v>3</v>
      </c>
      <c r="P94" s="27" t="n">
        <v>3</v>
      </c>
      <c r="Q94" s="27" t="n">
        <v>6</v>
      </c>
      <c r="R94" s="27" t="n">
        <v>3</v>
      </c>
      <c r="S94" s="27" t="n">
        <v>0</v>
      </c>
      <c r="T94" s="27" t="n">
        <v>6</v>
      </c>
      <c r="U94" s="27" t="n">
        <v>6</v>
      </c>
      <c r="V94" s="27" t="n">
        <v>6</v>
      </c>
      <c r="W94" s="27" t="n">
        <v>3</v>
      </c>
      <c r="X94" s="27" t="n">
        <v>6</v>
      </c>
      <c r="Y94" s="27" t="n">
        <v>0</v>
      </c>
      <c r="Z94" s="27" t="n">
        <v>0</v>
      </c>
      <c r="AA94" s="27" t="n">
        <v>3</v>
      </c>
      <c r="AB94" s="27" t="n">
        <v>6</v>
      </c>
      <c r="AC94" s="27" t="n">
        <v>6</v>
      </c>
      <c r="AD94" s="27" t="n">
        <v>3</v>
      </c>
      <c r="AE94" s="27" t="n">
        <v>3</v>
      </c>
      <c r="AF94" s="27" t="n">
        <v>6</v>
      </c>
      <c r="AG94" s="27" t="n">
        <v>3</v>
      </c>
      <c r="AH94" s="27" t="n">
        <v>6</v>
      </c>
      <c r="AI94" s="27" t="n">
        <v>6</v>
      </c>
      <c r="AJ94" s="27" t="n">
        <v>6</v>
      </c>
      <c r="AK94" s="27" t="n">
        <v>3</v>
      </c>
      <c r="AL94" s="27" t="n">
        <v>6</v>
      </c>
      <c r="AM94" s="27" t="n">
        <v>6</v>
      </c>
      <c r="AN94" s="27" t="n">
        <v>3</v>
      </c>
      <c r="AO94" s="27" t="n">
        <v>6</v>
      </c>
      <c r="AP94" s="27" t="n">
        <v>6</v>
      </c>
      <c r="AQ94" s="27" t="n">
        <v>6</v>
      </c>
      <c r="AR94" s="27" t="n">
        <v>6</v>
      </c>
      <c r="AS94" s="27" t="n">
        <v>9</v>
      </c>
      <c r="AT94" s="27" t="n">
        <v>9</v>
      </c>
      <c r="AU94" s="27" t="n">
        <v>6</v>
      </c>
      <c r="AV94" s="27" t="n">
        <v>6</v>
      </c>
      <c r="AW94" s="27" t="n">
        <v>6</v>
      </c>
      <c r="AX94" s="27" t="n">
        <v>6</v>
      </c>
      <c r="AY94" s="27" t="n">
        <v>6</v>
      </c>
      <c r="AZ94" s="27" t="n">
        <v>3</v>
      </c>
      <c r="BA94" s="27" t="n">
        <v>0</v>
      </c>
      <c r="BB94" s="27" t="n">
        <v>0</v>
      </c>
      <c r="BC94" s="27" t="n">
        <v>3</v>
      </c>
      <c r="BD94" s="27" t="n">
        <v>6</v>
      </c>
      <c r="BE94" s="27" t="n">
        <v>6</v>
      </c>
      <c r="BF94" s="27" t="n">
        <v>6</v>
      </c>
      <c r="BG94" s="27" t="n">
        <v>6</v>
      </c>
      <c r="BH94" s="27" t="n">
        <v>3</v>
      </c>
      <c r="BI94" s="27" t="n">
        <v>6</v>
      </c>
      <c r="BJ94" s="27" t="n">
        <v>3</v>
      </c>
      <c r="BK94" s="27" t="n">
        <v>3</v>
      </c>
      <c r="BL94" s="27" t="n">
        <v>3</v>
      </c>
      <c r="BM94" s="27" t="n">
        <v>0</v>
      </c>
      <c r="BN94" s="27" t="n">
        <v>3</v>
      </c>
      <c r="BO94" s="27" t="n">
        <v>3</v>
      </c>
      <c r="BP94" s="27" t="n">
        <v>3</v>
      </c>
      <c r="BQ94" s="27" t="n">
        <v>3</v>
      </c>
      <c r="BR94" s="27" t="n">
        <v>3</v>
      </c>
      <c r="BS94" s="27" t="n">
        <v>0</v>
      </c>
      <c r="BT94" s="27" t="n">
        <v>3</v>
      </c>
      <c r="BU94" s="27" t="n">
        <v>3</v>
      </c>
      <c r="BV94" s="27" t="n">
        <v>3</v>
      </c>
      <c r="BW94" s="27" t="n">
        <v>2</v>
      </c>
      <c r="BX94" s="27" t="n">
        <v>0</v>
      </c>
      <c r="BY94" s="27" t="n">
        <v>0</v>
      </c>
      <c r="BZ94" s="27" t="n">
        <v>0</v>
      </c>
      <c r="CA94" s="27" t="n">
        <v>0</v>
      </c>
      <c r="CB94" s="27" t="n">
        <v>0</v>
      </c>
      <c r="CC94" s="27" t="n">
        <v>0</v>
      </c>
      <c r="CD94" s="27" t="n">
        <v>0</v>
      </c>
      <c r="CE94" s="27" t="n">
        <v>0</v>
      </c>
      <c r="CF94" s="27" t="n">
        <v>0</v>
      </c>
      <c r="CG94" s="27" t="n">
        <v>0</v>
      </c>
      <c r="CH94" s="27" t="n">
        <v>0</v>
      </c>
      <c r="CI94" s="27" t="n">
        <v>0</v>
      </c>
      <c r="CJ94" s="27" t="n">
        <v>0</v>
      </c>
      <c r="CK94" s="27" t="n">
        <v>0</v>
      </c>
      <c r="CL94" s="27" t="n">
        <v>0</v>
      </c>
      <c r="CM94" s="27" t="n">
        <v>0</v>
      </c>
      <c r="CN94" s="27" t="n">
        <v>0</v>
      </c>
      <c r="CO94" s="27" t="n">
        <v>0</v>
      </c>
      <c r="CP94" s="27" t="n">
        <v>0</v>
      </c>
      <c r="CQ94" s="27" t="n">
        <v>0</v>
      </c>
      <c r="CR94" s="27" t="n">
        <v>0</v>
      </c>
      <c r="CS94" s="27" t="n">
        <v>0</v>
      </c>
      <c r="CT94" s="27" t="n">
        <v>0</v>
      </c>
      <c r="CU94" s="27" t="n">
        <v>0</v>
      </c>
      <c r="CV94" s="27" t="n">
        <v>0</v>
      </c>
      <c r="CW94" s="27" t="n">
        <v>0</v>
      </c>
      <c r="CX94" s="27" t="n">
        <v>0</v>
      </c>
      <c r="CY94" s="27" t="n">
        <v>0</v>
      </c>
      <c r="CZ94" s="27" t="n">
        <v>0</v>
      </c>
      <c r="DA94" s="27" t="n">
        <v>0</v>
      </c>
    </row>
    <row r="95">
      <c r="A95" t="inlineStr">
        <is>
          <t>SOL-20P</t>
        </is>
      </c>
      <c r="B95" s="27" t="n">
        <v>0</v>
      </c>
      <c r="C95" s="27" t="n">
        <v>0</v>
      </c>
      <c r="D95" s="27" t="n">
        <v>0</v>
      </c>
      <c r="E95" s="27" t="n">
        <v>0</v>
      </c>
      <c r="F95" s="27" t="n">
        <v>0</v>
      </c>
      <c r="G95" s="27" t="n">
        <v>0</v>
      </c>
      <c r="H95" s="27" t="n">
        <v>0</v>
      </c>
      <c r="I95" s="27" t="n">
        <v>0</v>
      </c>
      <c r="J95" s="27" t="n">
        <v>0</v>
      </c>
      <c r="K95" s="27" t="n">
        <v>0</v>
      </c>
      <c r="L95" s="27" t="n">
        <v>0</v>
      </c>
      <c r="M95" s="27" t="n">
        <v>0</v>
      </c>
      <c r="N95" s="27" t="n">
        <v>0</v>
      </c>
      <c r="O95" s="27" t="n">
        <v>0</v>
      </c>
      <c r="P95" s="27" t="n">
        <v>0</v>
      </c>
      <c r="Q95" s="27" t="n">
        <v>0</v>
      </c>
      <c r="R95" s="27" t="n">
        <v>0</v>
      </c>
      <c r="S95" s="27" t="n">
        <v>0</v>
      </c>
      <c r="T95" s="27" t="n">
        <v>0</v>
      </c>
      <c r="U95" s="27" t="n">
        <v>0</v>
      </c>
      <c r="V95" s="27" t="n">
        <v>0</v>
      </c>
      <c r="W95" s="27" t="n">
        <v>0</v>
      </c>
      <c r="X95" s="27" t="n">
        <v>0</v>
      </c>
      <c r="Y95" s="27" t="n">
        <v>0</v>
      </c>
      <c r="Z95" s="27" t="n">
        <v>0</v>
      </c>
      <c r="AA95" s="27" t="n">
        <v>0</v>
      </c>
      <c r="AB95" s="27" t="n">
        <v>0</v>
      </c>
      <c r="AC95" s="27" t="n">
        <v>0</v>
      </c>
      <c r="AD95" s="27" t="n">
        <v>0</v>
      </c>
      <c r="AE95" s="27" t="n">
        <v>0</v>
      </c>
      <c r="AF95" s="27" t="n">
        <v>0</v>
      </c>
      <c r="AG95" s="27" t="n">
        <v>0</v>
      </c>
      <c r="AH95" s="27" t="n">
        <v>0</v>
      </c>
      <c r="AI95" s="27" t="n">
        <v>0</v>
      </c>
      <c r="AJ95" s="27" t="n">
        <v>0</v>
      </c>
      <c r="AK95" s="27" t="n">
        <v>0</v>
      </c>
      <c r="AL95" s="27" t="n">
        <v>0</v>
      </c>
      <c r="AM95" s="27" t="n">
        <v>0</v>
      </c>
      <c r="AN95" s="27" t="n">
        <v>0</v>
      </c>
      <c r="AO95" s="27" t="n">
        <v>0</v>
      </c>
      <c r="AP95" s="27" t="n">
        <v>0</v>
      </c>
      <c r="AQ95" s="27" t="n">
        <v>0</v>
      </c>
      <c r="AR95" s="27" t="n">
        <v>0</v>
      </c>
      <c r="AS95" s="27" t="n">
        <v>0</v>
      </c>
      <c r="AT95" s="27" t="n">
        <v>0</v>
      </c>
      <c r="AU95" s="27" t="n">
        <v>0</v>
      </c>
      <c r="AV95" s="27" t="n">
        <v>0</v>
      </c>
      <c r="AW95" s="27" t="n">
        <v>0</v>
      </c>
      <c r="AX95" s="27" t="n">
        <v>0</v>
      </c>
      <c r="AY95" s="27" t="n">
        <v>0</v>
      </c>
      <c r="AZ95" s="27" t="n">
        <v>0</v>
      </c>
      <c r="BA95" s="27" t="n">
        <v>0</v>
      </c>
      <c r="BB95" s="27" t="n">
        <v>0</v>
      </c>
      <c r="BC95" s="27" t="n">
        <v>0</v>
      </c>
      <c r="BD95" s="27" t="n">
        <v>0</v>
      </c>
      <c r="BE95" s="27" t="n">
        <v>0</v>
      </c>
      <c r="BF95" s="27" t="n">
        <v>0</v>
      </c>
      <c r="BG95" s="27" t="n">
        <v>0</v>
      </c>
      <c r="BH95" s="27" t="n">
        <v>0</v>
      </c>
      <c r="BI95" s="27" t="n">
        <v>0</v>
      </c>
      <c r="BJ95" s="27" t="n">
        <v>0</v>
      </c>
      <c r="BK95" s="27" t="n">
        <v>0</v>
      </c>
      <c r="BL95" s="27" t="n">
        <v>0</v>
      </c>
      <c r="BM95" s="27" t="n">
        <v>0</v>
      </c>
      <c r="BN95" s="27" t="n">
        <v>0</v>
      </c>
      <c r="BO95" s="27" t="n">
        <v>0</v>
      </c>
      <c r="BP95" s="27" t="n">
        <v>0</v>
      </c>
      <c r="BQ95" s="27" t="n">
        <v>0</v>
      </c>
      <c r="BR95" s="27" t="n">
        <v>0</v>
      </c>
      <c r="BS95" s="27" t="n">
        <v>0</v>
      </c>
      <c r="BT95" s="27" t="n">
        <v>0</v>
      </c>
      <c r="BU95" s="27" t="n">
        <v>0</v>
      </c>
      <c r="BV95" s="27" t="n">
        <v>0</v>
      </c>
      <c r="BW95" s="27" t="n">
        <v>0</v>
      </c>
      <c r="BX95" s="27" t="n">
        <v>0</v>
      </c>
      <c r="BY95" s="27" t="n">
        <v>0</v>
      </c>
      <c r="BZ95" s="27" t="n">
        <v>0</v>
      </c>
      <c r="CA95" s="27" t="n">
        <v>0</v>
      </c>
      <c r="CB95" s="27" t="n">
        <v>0</v>
      </c>
      <c r="CC95" s="27" t="n">
        <v>0</v>
      </c>
      <c r="CD95" s="27" t="n">
        <v>0</v>
      </c>
      <c r="CE95" s="27" t="n">
        <v>0</v>
      </c>
      <c r="CF95" s="27" t="n">
        <v>0</v>
      </c>
      <c r="CG95" s="27" t="n">
        <v>0</v>
      </c>
      <c r="CH95" s="27" t="n">
        <v>0</v>
      </c>
      <c r="CI95" s="27" t="n">
        <v>0</v>
      </c>
      <c r="CJ95" s="27" t="n">
        <v>0</v>
      </c>
      <c r="CK95" s="27" t="n">
        <v>0</v>
      </c>
      <c r="CL95" s="27" t="n">
        <v>0</v>
      </c>
      <c r="CM95" s="27" t="n">
        <v>0</v>
      </c>
      <c r="CN95" s="27" t="n">
        <v>0</v>
      </c>
      <c r="CO95" s="27" t="n">
        <v>0</v>
      </c>
      <c r="CP95" s="27" t="n">
        <v>0</v>
      </c>
      <c r="CQ95" s="27" t="n">
        <v>0</v>
      </c>
      <c r="CR95" s="27" t="n">
        <v>0</v>
      </c>
      <c r="CS95" s="27" t="n">
        <v>0</v>
      </c>
      <c r="CT95" s="27" t="n">
        <v>0</v>
      </c>
      <c r="CU95" s="27" t="n">
        <v>0</v>
      </c>
      <c r="CV95" s="27" t="n">
        <v>0</v>
      </c>
      <c r="CW95" s="27" t="n">
        <v>0</v>
      </c>
      <c r="CX95" s="27" t="n">
        <v>0</v>
      </c>
      <c r="CY95" s="27" t="n">
        <v>0</v>
      </c>
      <c r="CZ95" s="27" t="n">
        <v>0</v>
      </c>
      <c r="DA95" s="27" t="n">
        <v>0</v>
      </c>
    </row>
    <row r="96">
      <c r="A96" t="inlineStr">
        <is>
          <t>SOL-250D</t>
        </is>
      </c>
      <c r="B96" s="27" t="n">
        <v>0</v>
      </c>
      <c r="C96" s="27" t="n">
        <v>0</v>
      </c>
      <c r="D96" s="27" t="n">
        <v>0</v>
      </c>
      <c r="E96" s="27" t="n">
        <v>0</v>
      </c>
      <c r="F96" s="27" t="n">
        <v>0</v>
      </c>
      <c r="G96" s="27" t="n">
        <v>0</v>
      </c>
      <c r="H96" s="27" t="n">
        <v>0</v>
      </c>
      <c r="I96" s="27" t="n">
        <v>0</v>
      </c>
      <c r="J96" s="27" t="n">
        <v>0</v>
      </c>
      <c r="K96" s="27" t="n">
        <v>0</v>
      </c>
      <c r="L96" s="27" t="n">
        <v>0</v>
      </c>
      <c r="M96" s="27" t="n">
        <v>0</v>
      </c>
      <c r="N96" s="27" t="n">
        <v>0</v>
      </c>
      <c r="O96" s="27" t="n">
        <v>0</v>
      </c>
      <c r="P96" s="27" t="n">
        <v>0</v>
      </c>
      <c r="Q96" s="27" t="n">
        <v>0</v>
      </c>
      <c r="R96" s="27" t="n">
        <v>0</v>
      </c>
      <c r="S96" s="27" t="n">
        <v>0</v>
      </c>
      <c r="T96" s="27" t="n">
        <v>0</v>
      </c>
      <c r="U96" s="27" t="n">
        <v>0</v>
      </c>
      <c r="V96" s="27" t="n">
        <v>0</v>
      </c>
      <c r="W96" s="27" t="n">
        <v>0</v>
      </c>
      <c r="X96" s="27" t="n">
        <v>0</v>
      </c>
      <c r="Y96" s="27" t="n">
        <v>0</v>
      </c>
      <c r="Z96" s="27" t="n">
        <v>0</v>
      </c>
      <c r="AA96" s="27" t="n">
        <v>0</v>
      </c>
      <c r="AB96" s="27" t="n">
        <v>0</v>
      </c>
      <c r="AC96" s="27" t="n">
        <v>0</v>
      </c>
      <c r="AD96" s="27" t="n">
        <v>0</v>
      </c>
      <c r="AE96" s="27" t="n">
        <v>0</v>
      </c>
      <c r="AF96" s="27" t="n">
        <v>0</v>
      </c>
      <c r="AG96" s="27" t="n">
        <v>0</v>
      </c>
      <c r="AH96" s="27" t="n">
        <v>0</v>
      </c>
      <c r="AI96" s="27" t="n">
        <v>0</v>
      </c>
      <c r="AJ96" s="27" t="n">
        <v>0</v>
      </c>
      <c r="AK96" s="27" t="n">
        <v>0</v>
      </c>
      <c r="AL96" s="27" t="n">
        <v>0</v>
      </c>
      <c r="AM96" s="27" t="n">
        <v>0</v>
      </c>
      <c r="AN96" s="27" t="n">
        <v>0</v>
      </c>
      <c r="AO96" s="27" t="n">
        <v>0</v>
      </c>
      <c r="AP96" s="27" t="n">
        <v>0</v>
      </c>
      <c r="AQ96" s="27" t="n">
        <v>0</v>
      </c>
      <c r="AR96" s="27" t="n">
        <v>0</v>
      </c>
      <c r="AS96" s="27" t="n">
        <v>0</v>
      </c>
      <c r="AT96" s="27" t="n">
        <v>0</v>
      </c>
      <c r="AU96" s="27" t="n">
        <v>0</v>
      </c>
      <c r="AV96" s="27" t="n">
        <v>0</v>
      </c>
      <c r="AW96" s="27" t="n">
        <v>0</v>
      </c>
      <c r="AX96" s="27" t="n">
        <v>0</v>
      </c>
      <c r="AY96" s="27" t="n">
        <v>0</v>
      </c>
      <c r="AZ96" s="27" t="n">
        <v>0</v>
      </c>
      <c r="BA96" s="27" t="n">
        <v>0</v>
      </c>
      <c r="BB96" s="27" t="n">
        <v>0</v>
      </c>
      <c r="BC96" s="27" t="n">
        <v>0</v>
      </c>
      <c r="BD96" s="27" t="n">
        <v>0</v>
      </c>
      <c r="BE96" s="27" t="n">
        <v>0</v>
      </c>
      <c r="BF96" s="27" t="n">
        <v>0</v>
      </c>
      <c r="BG96" s="27" t="n">
        <v>0</v>
      </c>
      <c r="BH96" s="27" t="n">
        <v>0</v>
      </c>
      <c r="BI96" s="27" t="n">
        <v>0</v>
      </c>
      <c r="BJ96" s="27" t="n">
        <v>0</v>
      </c>
      <c r="BK96" s="27" t="n">
        <v>0</v>
      </c>
      <c r="BL96" s="27" t="n">
        <v>0</v>
      </c>
      <c r="BM96" s="27" t="n">
        <v>0</v>
      </c>
      <c r="BN96" s="27" t="n">
        <v>0</v>
      </c>
      <c r="BO96" s="27" t="n">
        <v>0</v>
      </c>
      <c r="BP96" s="27" t="n">
        <v>0</v>
      </c>
      <c r="BQ96" s="27" t="n">
        <v>0</v>
      </c>
      <c r="BR96" s="27" t="n">
        <v>0</v>
      </c>
      <c r="BS96" s="27" t="n">
        <v>0</v>
      </c>
      <c r="BT96" s="27" t="n">
        <v>0</v>
      </c>
      <c r="BU96" s="27" t="n">
        <v>0</v>
      </c>
      <c r="BV96" s="27" t="n">
        <v>0</v>
      </c>
      <c r="BW96" s="27" t="n">
        <v>0</v>
      </c>
      <c r="BX96" s="27" t="n">
        <v>0</v>
      </c>
      <c r="BY96" s="27" t="n">
        <v>0</v>
      </c>
      <c r="BZ96" s="27" t="n">
        <v>0</v>
      </c>
      <c r="CA96" s="27" t="n">
        <v>0</v>
      </c>
      <c r="CB96" s="27" t="n">
        <v>0</v>
      </c>
      <c r="CC96" s="27" t="n">
        <v>0</v>
      </c>
      <c r="CD96" s="27" t="n">
        <v>0</v>
      </c>
      <c r="CE96" s="27" t="n">
        <v>0</v>
      </c>
      <c r="CF96" s="27" t="n">
        <v>0</v>
      </c>
      <c r="CG96" s="27" t="n">
        <v>0</v>
      </c>
      <c r="CH96" s="27" t="n">
        <v>0</v>
      </c>
      <c r="CI96" s="27" t="n">
        <v>0</v>
      </c>
      <c r="CJ96" s="27" t="n">
        <v>0</v>
      </c>
      <c r="CK96" s="27" t="n">
        <v>0</v>
      </c>
      <c r="CL96" s="27" t="n">
        <v>0</v>
      </c>
      <c r="CM96" s="27" t="n">
        <v>0</v>
      </c>
      <c r="CN96" s="27" t="n">
        <v>0</v>
      </c>
      <c r="CO96" s="27" t="n">
        <v>0</v>
      </c>
      <c r="CP96" s="27" t="n">
        <v>0</v>
      </c>
      <c r="CQ96" s="27" t="n">
        <v>0</v>
      </c>
      <c r="CR96" s="27" t="n">
        <v>0</v>
      </c>
      <c r="CS96" s="27" t="n">
        <v>0</v>
      </c>
      <c r="CT96" s="27" t="n">
        <v>0</v>
      </c>
      <c r="CU96" s="27" t="n">
        <v>0</v>
      </c>
      <c r="CV96" s="27" t="n">
        <v>0</v>
      </c>
      <c r="CW96" s="27" t="n">
        <v>0</v>
      </c>
      <c r="CX96" s="27" t="n">
        <v>0</v>
      </c>
      <c r="CY96" s="27" t="n">
        <v>0</v>
      </c>
      <c r="CZ96" s="27" t="n">
        <v>0</v>
      </c>
      <c r="DA96" s="27" t="n">
        <v>0</v>
      </c>
    </row>
    <row r="97">
      <c r="A97" t="inlineStr">
        <is>
          <t>SOL-85D</t>
        </is>
      </c>
      <c r="B97" s="27" t="n">
        <v>0</v>
      </c>
      <c r="C97" s="27" t="n">
        <v>0</v>
      </c>
      <c r="D97" s="27" t="n">
        <v>0</v>
      </c>
      <c r="E97" s="27" t="n">
        <v>0</v>
      </c>
      <c r="F97" s="27" t="n">
        <v>0</v>
      </c>
      <c r="G97" s="27" t="n">
        <v>0</v>
      </c>
      <c r="H97" s="27" t="n">
        <v>0</v>
      </c>
      <c r="I97" s="27" t="n">
        <v>0</v>
      </c>
      <c r="J97" s="27" t="n">
        <v>0</v>
      </c>
      <c r="K97" s="27" t="n">
        <v>0</v>
      </c>
      <c r="L97" s="27" t="n">
        <v>0</v>
      </c>
      <c r="M97" s="27" t="n">
        <v>0</v>
      </c>
      <c r="N97" s="27" t="n">
        <v>0</v>
      </c>
      <c r="O97" s="27" t="n">
        <v>0</v>
      </c>
      <c r="P97" s="27" t="n">
        <v>0</v>
      </c>
      <c r="Q97" s="27" t="n">
        <v>0</v>
      </c>
      <c r="R97" s="27" t="n">
        <v>0</v>
      </c>
      <c r="S97" s="27" t="n">
        <v>0</v>
      </c>
      <c r="T97" s="27" t="n">
        <v>0</v>
      </c>
      <c r="U97" s="27" t="n">
        <v>0</v>
      </c>
      <c r="V97" s="27" t="n">
        <v>0</v>
      </c>
      <c r="W97" s="27" t="n">
        <v>0</v>
      </c>
      <c r="X97" s="27" t="n">
        <v>0</v>
      </c>
      <c r="Y97" s="27" t="n">
        <v>0</v>
      </c>
      <c r="Z97" s="27" t="n">
        <v>0</v>
      </c>
      <c r="AA97" s="27" t="n">
        <v>0</v>
      </c>
      <c r="AB97" s="27" t="n">
        <v>0</v>
      </c>
      <c r="AC97" s="27" t="n">
        <v>1</v>
      </c>
      <c r="AD97" s="27" t="n">
        <v>1</v>
      </c>
      <c r="AE97" s="27" t="n">
        <v>0</v>
      </c>
      <c r="AF97" s="27" t="n">
        <v>1</v>
      </c>
      <c r="AG97" s="27" t="n">
        <v>2</v>
      </c>
      <c r="AH97" s="27" t="n">
        <v>0</v>
      </c>
      <c r="AI97" s="27" t="n">
        <v>1</v>
      </c>
      <c r="AJ97" s="27" t="n">
        <v>1</v>
      </c>
      <c r="AK97" s="27" t="n">
        <v>1</v>
      </c>
      <c r="AL97" s="27" t="n">
        <v>0</v>
      </c>
      <c r="AM97" s="27" t="n">
        <v>1</v>
      </c>
      <c r="AN97" s="27" t="n">
        <v>0</v>
      </c>
      <c r="AO97" s="27" t="n">
        <v>1</v>
      </c>
      <c r="AP97" s="27" t="n">
        <v>1</v>
      </c>
      <c r="AQ97" s="27" t="n">
        <v>0</v>
      </c>
      <c r="AR97" s="27" t="n">
        <v>1</v>
      </c>
      <c r="AS97" s="27" t="n">
        <v>2</v>
      </c>
      <c r="AT97" s="27" t="n">
        <v>1</v>
      </c>
      <c r="AU97" s="27" t="n">
        <v>1</v>
      </c>
      <c r="AV97" s="27" t="n">
        <v>1</v>
      </c>
      <c r="AW97" s="27" t="n">
        <v>1</v>
      </c>
      <c r="AX97" s="27" t="n">
        <v>0</v>
      </c>
      <c r="AY97" s="27" t="n">
        <v>1</v>
      </c>
      <c r="AZ97" s="27" t="n">
        <v>0</v>
      </c>
      <c r="BA97" s="27" t="n">
        <v>0</v>
      </c>
      <c r="BB97" s="27" t="n">
        <v>0</v>
      </c>
      <c r="BC97" s="27" t="n">
        <v>1</v>
      </c>
      <c r="BD97" s="27" t="n">
        <v>1</v>
      </c>
      <c r="BE97" s="27" t="n">
        <v>0</v>
      </c>
      <c r="BF97" s="27" t="n">
        <v>1</v>
      </c>
      <c r="BG97" s="27" t="n">
        <v>0</v>
      </c>
      <c r="BH97" s="27" t="n">
        <v>1</v>
      </c>
      <c r="BI97" s="27" t="n">
        <v>0</v>
      </c>
      <c r="BJ97" s="27" t="n">
        <v>1</v>
      </c>
      <c r="BK97" s="27" t="n">
        <v>0</v>
      </c>
      <c r="BL97" s="27" t="n">
        <v>1</v>
      </c>
      <c r="BM97" s="27" t="n">
        <v>0</v>
      </c>
      <c r="BN97" s="27" t="n">
        <v>0</v>
      </c>
      <c r="BO97" s="27" t="n">
        <v>0</v>
      </c>
      <c r="BP97" s="27" t="n">
        <v>1</v>
      </c>
      <c r="BQ97" s="27" t="n">
        <v>0</v>
      </c>
      <c r="BR97" s="27" t="n">
        <v>0</v>
      </c>
      <c r="BS97" s="27" t="n">
        <v>0</v>
      </c>
      <c r="BT97" s="27" t="n">
        <v>1</v>
      </c>
      <c r="BU97" s="27" t="n">
        <v>0</v>
      </c>
      <c r="BV97" s="27" t="n">
        <v>0</v>
      </c>
      <c r="BW97" s="27" t="n">
        <v>0</v>
      </c>
      <c r="BX97" s="27" t="n">
        <v>0</v>
      </c>
      <c r="BY97" s="27" t="n">
        <v>0</v>
      </c>
      <c r="BZ97" s="27" t="n">
        <v>0</v>
      </c>
      <c r="CA97" s="27" t="n">
        <v>0</v>
      </c>
      <c r="CB97" s="27" t="n">
        <v>0</v>
      </c>
      <c r="CC97" s="27" t="n">
        <v>0</v>
      </c>
      <c r="CD97" s="27" t="n">
        <v>0</v>
      </c>
      <c r="CE97" s="27" t="n">
        <v>0</v>
      </c>
      <c r="CF97" s="27" t="n">
        <v>0</v>
      </c>
      <c r="CG97" s="27" t="n">
        <v>0</v>
      </c>
      <c r="CH97" s="27" t="n">
        <v>0</v>
      </c>
      <c r="CI97" s="27" t="n">
        <v>0</v>
      </c>
      <c r="CJ97" s="27" t="n">
        <v>0</v>
      </c>
      <c r="CK97" s="27" t="n">
        <v>0</v>
      </c>
      <c r="CL97" s="27" t="n">
        <v>0</v>
      </c>
      <c r="CM97" s="27" t="n">
        <v>0</v>
      </c>
      <c r="CN97" s="27" t="n">
        <v>0</v>
      </c>
      <c r="CO97" s="27" t="n">
        <v>0</v>
      </c>
      <c r="CP97" s="27" t="n">
        <v>0</v>
      </c>
      <c r="CQ97" s="27" t="n">
        <v>0</v>
      </c>
      <c r="CR97" s="27" t="n">
        <v>0</v>
      </c>
      <c r="CS97" s="27" t="n">
        <v>0</v>
      </c>
      <c r="CT97" s="27" t="n">
        <v>0</v>
      </c>
      <c r="CU97" s="27" t="n">
        <v>0</v>
      </c>
      <c r="CV97" s="27" t="n">
        <v>0</v>
      </c>
      <c r="CW97" s="27" t="n">
        <v>0</v>
      </c>
      <c r="CX97" s="27" t="n">
        <v>0</v>
      </c>
      <c r="CY97" s="27" t="n">
        <v>0</v>
      </c>
      <c r="CZ97" s="27" t="n">
        <v>0</v>
      </c>
      <c r="DA97" s="27" t="n">
        <v>0</v>
      </c>
    </row>
    <row r="98">
      <c r="A98" t="inlineStr">
        <is>
          <t>TSP-1499</t>
        </is>
      </c>
      <c r="B98" s="27" t="n">
        <v>0</v>
      </c>
      <c r="C98" s="27" t="n">
        <v>0</v>
      </c>
      <c r="D98" s="27" t="n">
        <v>0</v>
      </c>
      <c r="E98" s="27" t="n">
        <v>0</v>
      </c>
      <c r="F98" s="27" t="n">
        <v>0</v>
      </c>
      <c r="G98" s="27" t="n">
        <v>0</v>
      </c>
      <c r="H98" s="27" t="n">
        <v>0</v>
      </c>
      <c r="I98" s="27" t="n">
        <v>0</v>
      </c>
      <c r="J98" s="27" t="n">
        <v>0</v>
      </c>
      <c r="K98" s="27" t="n">
        <v>0</v>
      </c>
      <c r="L98" s="27" t="n">
        <v>0</v>
      </c>
      <c r="M98" s="27" t="n">
        <v>0</v>
      </c>
      <c r="N98" s="27" t="n">
        <v>0</v>
      </c>
      <c r="O98" s="27" t="n">
        <v>0</v>
      </c>
      <c r="P98" s="27" t="n">
        <v>3</v>
      </c>
      <c r="Q98" s="27" t="n">
        <v>0</v>
      </c>
      <c r="R98" s="27" t="n">
        <v>0</v>
      </c>
      <c r="S98" s="27" t="n">
        <v>0</v>
      </c>
      <c r="T98" s="27" t="n">
        <v>0</v>
      </c>
      <c r="U98" s="27" t="n">
        <v>0</v>
      </c>
      <c r="V98" s="27" t="n">
        <v>4.790816326530612</v>
      </c>
      <c r="W98" s="27" t="n">
        <v>0</v>
      </c>
      <c r="X98" s="27" t="n">
        <v>0</v>
      </c>
      <c r="Y98" s="27" t="n">
        <v>0</v>
      </c>
      <c r="Z98" s="27" t="n">
        <v>0</v>
      </c>
      <c r="AA98" s="27" t="n">
        <v>0</v>
      </c>
      <c r="AB98" s="27" t="n">
        <v>0</v>
      </c>
      <c r="AC98" s="27" t="n">
        <v>0</v>
      </c>
      <c r="AD98" s="27" t="n">
        <v>0</v>
      </c>
      <c r="AE98" s="27" t="n">
        <v>2.936224489795918</v>
      </c>
      <c r="AF98" s="27" t="n">
        <v>0</v>
      </c>
      <c r="AG98" s="27" t="n">
        <v>0</v>
      </c>
      <c r="AH98" s="27" t="n">
        <v>0</v>
      </c>
      <c r="AI98" s="27" t="n">
        <v>0</v>
      </c>
      <c r="AJ98" s="27" t="n">
        <v>0</v>
      </c>
      <c r="AK98" s="27" t="n">
        <v>3</v>
      </c>
      <c r="AL98" s="27" t="n">
        <v>0</v>
      </c>
      <c r="AM98" s="27" t="n">
        <v>0</v>
      </c>
      <c r="AN98" s="27" t="n">
        <v>0</v>
      </c>
      <c r="AO98" s="27" t="n">
        <v>0</v>
      </c>
      <c r="AP98" s="27" t="n">
        <v>0</v>
      </c>
      <c r="AQ98" s="27" t="n">
        <v>0</v>
      </c>
      <c r="AR98" s="27" t="n">
        <v>0</v>
      </c>
      <c r="AS98" s="27" t="n">
        <v>0</v>
      </c>
      <c r="AT98" s="27" t="n">
        <v>0</v>
      </c>
      <c r="AU98" s="27" t="n">
        <v>0</v>
      </c>
      <c r="AV98" s="27" t="n">
        <v>3</v>
      </c>
      <c r="AW98" s="27" t="n">
        <v>0</v>
      </c>
      <c r="AX98" s="27" t="n">
        <v>0</v>
      </c>
      <c r="AY98" s="27" t="n">
        <v>0</v>
      </c>
      <c r="AZ98" s="27" t="n">
        <v>0</v>
      </c>
      <c r="BA98" s="27" t="n">
        <v>0</v>
      </c>
      <c r="BB98" s="27" t="n">
        <v>0</v>
      </c>
      <c r="BC98" s="27" t="n">
        <v>0</v>
      </c>
      <c r="BD98" s="27" t="n">
        <v>0</v>
      </c>
      <c r="BE98" s="27" t="n">
        <v>0</v>
      </c>
      <c r="BF98" s="27" t="n">
        <v>3</v>
      </c>
      <c r="BG98" s="27" t="n">
        <v>0</v>
      </c>
      <c r="BH98" s="27" t="n">
        <v>0</v>
      </c>
      <c r="BI98" s="27" t="n">
        <v>0</v>
      </c>
      <c r="BJ98" s="27" t="n">
        <v>3</v>
      </c>
      <c r="BK98" s="27" t="n">
        <v>0</v>
      </c>
      <c r="BL98" s="27" t="n">
        <v>0</v>
      </c>
      <c r="BM98" s="27" t="n">
        <v>0</v>
      </c>
      <c r="BN98" s="27" t="n">
        <v>3</v>
      </c>
      <c r="BO98" s="27" t="n">
        <v>0</v>
      </c>
      <c r="BP98" s="27" t="n">
        <v>0</v>
      </c>
      <c r="BQ98" s="27" t="n">
        <v>0</v>
      </c>
      <c r="BR98" s="27" t="n">
        <v>3</v>
      </c>
      <c r="BS98" s="27" t="n">
        <v>3</v>
      </c>
      <c r="BT98" s="27" t="n">
        <v>3</v>
      </c>
      <c r="BU98" s="27" t="n">
        <v>3</v>
      </c>
      <c r="BV98" s="27" t="n">
        <v>0</v>
      </c>
      <c r="BW98" s="27" t="n">
        <v>3</v>
      </c>
      <c r="BX98" s="27" t="n">
        <v>0</v>
      </c>
      <c r="BY98" s="27" t="n">
        <v>3</v>
      </c>
      <c r="BZ98" s="27" t="n">
        <v>0</v>
      </c>
      <c r="CA98" s="27" t="n">
        <v>3</v>
      </c>
      <c r="CB98" s="27" t="n">
        <v>3</v>
      </c>
      <c r="CC98" s="27" t="n">
        <v>0</v>
      </c>
      <c r="CD98" s="27" t="n">
        <v>3</v>
      </c>
      <c r="CE98" s="27" t="n">
        <v>3</v>
      </c>
      <c r="CF98" s="27" t="n">
        <v>3</v>
      </c>
      <c r="CG98" s="27" t="n">
        <v>3</v>
      </c>
      <c r="CH98" s="27" t="n">
        <v>3</v>
      </c>
      <c r="CI98" s="27" t="n">
        <v>0</v>
      </c>
      <c r="CJ98" s="27" t="n">
        <v>3</v>
      </c>
      <c r="CK98" s="27" t="n">
        <v>3</v>
      </c>
      <c r="CL98" s="27" t="n">
        <v>0</v>
      </c>
      <c r="CM98" s="27" t="n">
        <v>3</v>
      </c>
      <c r="CN98" s="27" t="n">
        <v>3</v>
      </c>
      <c r="CO98" s="27" t="n">
        <v>0</v>
      </c>
      <c r="CP98" s="27" t="n">
        <v>3</v>
      </c>
      <c r="CQ98" s="27" t="n">
        <v>3</v>
      </c>
      <c r="CR98" s="27" t="n">
        <v>3</v>
      </c>
      <c r="CS98" s="27" t="n">
        <v>3</v>
      </c>
      <c r="CT98" s="27" t="n">
        <v>3</v>
      </c>
      <c r="CU98" s="27" t="n">
        <v>3</v>
      </c>
      <c r="CV98" s="27" t="n">
        <v>3</v>
      </c>
      <c r="CW98" s="27" t="n">
        <v>3</v>
      </c>
      <c r="CX98" s="27" t="n">
        <v>3</v>
      </c>
      <c r="CY98" s="27" t="n">
        <v>3</v>
      </c>
      <c r="CZ98" s="27" t="n">
        <v>3</v>
      </c>
      <c r="DA98" s="27" t="n">
        <v>0</v>
      </c>
    </row>
    <row r="99">
      <c r="A99" t="inlineStr">
        <is>
          <t>TSP-1558</t>
        </is>
      </c>
      <c r="B99" s="27" t="n">
        <v>0</v>
      </c>
      <c r="C99" s="27" t="n">
        <v>0</v>
      </c>
      <c r="D99" s="27" t="n">
        <v>0</v>
      </c>
      <c r="E99" s="27" t="n">
        <v>0</v>
      </c>
      <c r="F99" s="27" t="n">
        <v>0</v>
      </c>
      <c r="G99" s="27" t="n">
        <v>0</v>
      </c>
      <c r="H99" s="27" t="n">
        <v>0</v>
      </c>
      <c r="I99" s="27" t="n">
        <v>0</v>
      </c>
      <c r="J99" s="27" t="n">
        <v>0</v>
      </c>
      <c r="K99" s="27" t="n">
        <v>0</v>
      </c>
      <c r="L99" s="27" t="n">
        <v>0</v>
      </c>
      <c r="M99" s="27" t="n">
        <v>0</v>
      </c>
      <c r="N99" s="27" t="n">
        <v>0</v>
      </c>
      <c r="O99" s="27" t="n">
        <v>0</v>
      </c>
      <c r="P99" s="27" t="n">
        <v>2</v>
      </c>
      <c r="Q99" s="27" t="n">
        <v>0</v>
      </c>
      <c r="R99" s="27" t="n">
        <v>0</v>
      </c>
      <c r="S99" s="27" t="n">
        <v>0</v>
      </c>
      <c r="T99" s="27" t="n">
        <v>0</v>
      </c>
      <c r="U99" s="27" t="n">
        <v>0</v>
      </c>
      <c r="V99" s="27" t="n">
        <v>3.193877551020408</v>
      </c>
      <c r="W99" s="27" t="n">
        <v>0</v>
      </c>
      <c r="X99" s="27" t="n">
        <v>0</v>
      </c>
      <c r="Y99" s="27" t="n">
        <v>0</v>
      </c>
      <c r="Z99" s="27" t="n">
        <v>0</v>
      </c>
      <c r="AA99" s="27" t="n">
        <v>0</v>
      </c>
      <c r="AB99" s="27" t="n">
        <v>0</v>
      </c>
      <c r="AC99" s="27" t="n">
        <v>0</v>
      </c>
      <c r="AD99" s="27" t="n">
        <v>0</v>
      </c>
      <c r="AE99" s="27" t="n">
        <v>1.957482993197279</v>
      </c>
      <c r="AF99" s="27" t="n">
        <v>0</v>
      </c>
      <c r="AG99" s="27" t="n">
        <v>0</v>
      </c>
      <c r="AH99" s="27" t="n">
        <v>0</v>
      </c>
      <c r="AI99" s="27" t="n">
        <v>0</v>
      </c>
      <c r="AJ99" s="27" t="n">
        <v>0</v>
      </c>
      <c r="AK99" s="27" t="n">
        <v>2</v>
      </c>
      <c r="AL99" s="27" t="n">
        <v>0</v>
      </c>
      <c r="AM99" s="27" t="n">
        <v>0</v>
      </c>
      <c r="AN99" s="27" t="n">
        <v>0</v>
      </c>
      <c r="AO99" s="27" t="n">
        <v>0</v>
      </c>
      <c r="AP99" s="27" t="n">
        <v>0</v>
      </c>
      <c r="AQ99" s="27" t="n">
        <v>0</v>
      </c>
      <c r="AR99" s="27" t="n">
        <v>0</v>
      </c>
      <c r="AS99" s="27" t="n">
        <v>0</v>
      </c>
      <c r="AT99" s="27" t="n">
        <v>0</v>
      </c>
      <c r="AU99" s="27" t="n">
        <v>0</v>
      </c>
      <c r="AV99" s="27" t="n">
        <v>2</v>
      </c>
      <c r="AW99" s="27" t="n">
        <v>0</v>
      </c>
      <c r="AX99" s="27" t="n">
        <v>0</v>
      </c>
      <c r="AY99" s="27" t="n">
        <v>0</v>
      </c>
      <c r="AZ99" s="27" t="n">
        <v>0</v>
      </c>
      <c r="BA99" s="27" t="n">
        <v>0</v>
      </c>
      <c r="BB99" s="27" t="n">
        <v>0</v>
      </c>
      <c r="BC99" s="27" t="n">
        <v>0</v>
      </c>
      <c r="BD99" s="27" t="n">
        <v>0</v>
      </c>
      <c r="BE99" s="27" t="n">
        <v>0</v>
      </c>
      <c r="BF99" s="27" t="n">
        <v>2</v>
      </c>
      <c r="BG99" s="27" t="n">
        <v>0</v>
      </c>
      <c r="BH99" s="27" t="n">
        <v>0</v>
      </c>
      <c r="BI99" s="27" t="n">
        <v>0</v>
      </c>
      <c r="BJ99" s="27" t="n">
        <v>2</v>
      </c>
      <c r="BK99" s="27" t="n">
        <v>0</v>
      </c>
      <c r="BL99" s="27" t="n">
        <v>0</v>
      </c>
      <c r="BM99" s="27" t="n">
        <v>0</v>
      </c>
      <c r="BN99" s="27" t="n">
        <v>2</v>
      </c>
      <c r="BO99" s="27" t="n">
        <v>0</v>
      </c>
      <c r="BP99" s="27" t="n">
        <v>0</v>
      </c>
      <c r="BQ99" s="27" t="n">
        <v>0</v>
      </c>
      <c r="BR99" s="27" t="n">
        <v>2</v>
      </c>
      <c r="BS99" s="27" t="n">
        <v>2</v>
      </c>
      <c r="BT99" s="27" t="n">
        <v>2</v>
      </c>
      <c r="BU99" s="27" t="n">
        <v>2</v>
      </c>
      <c r="BV99" s="27" t="n">
        <v>0</v>
      </c>
      <c r="BW99" s="27" t="n">
        <v>2</v>
      </c>
      <c r="BX99" s="27" t="n">
        <v>0</v>
      </c>
      <c r="BY99" s="27" t="n">
        <v>2</v>
      </c>
      <c r="BZ99" s="27" t="n">
        <v>0</v>
      </c>
      <c r="CA99" s="27" t="n">
        <v>2</v>
      </c>
      <c r="CB99" s="27" t="n">
        <v>2</v>
      </c>
      <c r="CC99" s="27" t="n">
        <v>0</v>
      </c>
      <c r="CD99" s="27" t="n">
        <v>2</v>
      </c>
      <c r="CE99" s="27" t="n">
        <v>2</v>
      </c>
      <c r="CF99" s="27" t="n">
        <v>2</v>
      </c>
      <c r="CG99" s="27" t="n">
        <v>2</v>
      </c>
      <c r="CH99" s="27" t="n">
        <v>2</v>
      </c>
      <c r="CI99" s="27" t="n">
        <v>0</v>
      </c>
      <c r="CJ99" s="27" t="n">
        <v>2</v>
      </c>
      <c r="CK99" s="27" t="n">
        <v>2</v>
      </c>
      <c r="CL99" s="27" t="n">
        <v>0</v>
      </c>
      <c r="CM99" s="27" t="n">
        <v>2</v>
      </c>
      <c r="CN99" s="27" t="n">
        <v>2</v>
      </c>
      <c r="CO99" s="27" t="n">
        <v>0</v>
      </c>
      <c r="CP99" s="27" t="n">
        <v>2</v>
      </c>
      <c r="CQ99" s="27" t="n">
        <v>2</v>
      </c>
      <c r="CR99" s="27" t="n">
        <v>2</v>
      </c>
      <c r="CS99" s="27" t="n">
        <v>2</v>
      </c>
      <c r="CT99" s="27" t="n">
        <v>2</v>
      </c>
      <c r="CU99" s="27" t="n">
        <v>2</v>
      </c>
      <c r="CV99" s="27" t="n">
        <v>2</v>
      </c>
      <c r="CW99" s="27" t="n">
        <v>2</v>
      </c>
      <c r="CX99" s="27" t="n">
        <v>2</v>
      </c>
      <c r="CY99" s="27" t="n">
        <v>2</v>
      </c>
      <c r="CZ99" s="27" t="n">
        <v>2</v>
      </c>
      <c r="DA99" s="27" t="n">
        <v>0</v>
      </c>
    </row>
    <row r="100">
      <c r="A100" t="inlineStr">
        <is>
          <t>TSP-1559</t>
        </is>
      </c>
      <c r="B100" s="27" t="n">
        <v>0</v>
      </c>
      <c r="C100" s="27" t="n">
        <v>0</v>
      </c>
      <c r="D100" s="27" t="n">
        <v>0</v>
      </c>
      <c r="E100" s="27" t="n">
        <v>0</v>
      </c>
      <c r="F100" s="27" t="n">
        <v>0</v>
      </c>
      <c r="G100" s="27" t="n">
        <v>0</v>
      </c>
      <c r="H100" s="27" t="n">
        <v>0</v>
      </c>
      <c r="I100" s="27" t="n">
        <v>0</v>
      </c>
      <c r="J100" s="27" t="n">
        <v>0</v>
      </c>
      <c r="K100" s="27" t="n">
        <v>0</v>
      </c>
      <c r="L100" s="27" t="n">
        <v>0</v>
      </c>
      <c r="M100" s="27" t="n">
        <v>0</v>
      </c>
      <c r="N100" s="27" t="n">
        <v>0</v>
      </c>
      <c r="O100" s="27" t="n">
        <v>0</v>
      </c>
      <c r="P100" s="27" t="n">
        <v>0</v>
      </c>
      <c r="Q100" s="27" t="n">
        <v>0</v>
      </c>
      <c r="R100" s="27" t="n">
        <v>0</v>
      </c>
      <c r="S100" s="27" t="n">
        <v>0</v>
      </c>
      <c r="T100" s="27" t="n">
        <v>0</v>
      </c>
      <c r="U100" s="27" t="n">
        <v>0</v>
      </c>
      <c r="V100" s="27" t="n">
        <v>0</v>
      </c>
      <c r="W100" s="27" t="n">
        <v>0</v>
      </c>
      <c r="X100" s="27" t="n">
        <v>0</v>
      </c>
      <c r="Y100" s="27" t="n">
        <v>0</v>
      </c>
      <c r="Z100" s="27" t="n">
        <v>0</v>
      </c>
      <c r="AA100" s="27" t="n">
        <v>0</v>
      </c>
      <c r="AB100" s="27" t="n">
        <v>0</v>
      </c>
      <c r="AC100" s="27" t="n">
        <v>0</v>
      </c>
      <c r="AD100" s="27" t="n">
        <v>0</v>
      </c>
      <c r="AE100" s="27" t="n">
        <v>0</v>
      </c>
      <c r="AF100" s="27" t="n">
        <v>0</v>
      </c>
      <c r="AG100" s="27" t="n">
        <v>0</v>
      </c>
      <c r="AH100" s="27" t="n">
        <v>0</v>
      </c>
      <c r="AI100" s="27" t="n">
        <v>0</v>
      </c>
      <c r="AJ100" s="27" t="n">
        <v>0</v>
      </c>
      <c r="AK100" s="27" t="n">
        <v>0</v>
      </c>
      <c r="AL100" s="27" t="n">
        <v>0</v>
      </c>
      <c r="AM100" s="27" t="n">
        <v>0</v>
      </c>
      <c r="AN100" s="27" t="n">
        <v>0</v>
      </c>
      <c r="AO100" s="27" t="n">
        <v>0</v>
      </c>
      <c r="AP100" s="27" t="n">
        <v>0</v>
      </c>
      <c r="AQ100" s="27" t="n">
        <v>0</v>
      </c>
      <c r="AR100" s="27" t="n">
        <v>0</v>
      </c>
      <c r="AS100" s="27" t="n">
        <v>0</v>
      </c>
      <c r="AT100" s="27" t="n">
        <v>0</v>
      </c>
      <c r="AU100" s="27" t="n">
        <v>0</v>
      </c>
      <c r="AV100" s="27" t="n">
        <v>0</v>
      </c>
      <c r="AW100" s="27" t="n">
        <v>0</v>
      </c>
      <c r="AX100" s="27" t="n">
        <v>0</v>
      </c>
      <c r="AY100" s="27" t="n">
        <v>0</v>
      </c>
      <c r="AZ100" s="27" t="n">
        <v>0</v>
      </c>
      <c r="BA100" s="27" t="n">
        <v>0</v>
      </c>
      <c r="BB100" s="27" t="n">
        <v>0</v>
      </c>
      <c r="BC100" s="27" t="n">
        <v>0</v>
      </c>
      <c r="BD100" s="27" t="n">
        <v>0</v>
      </c>
      <c r="BE100" s="27" t="n">
        <v>0</v>
      </c>
      <c r="BF100" s="27" t="n">
        <v>0</v>
      </c>
      <c r="BG100" s="27" t="n">
        <v>0</v>
      </c>
      <c r="BH100" s="27" t="n">
        <v>0</v>
      </c>
      <c r="BI100" s="27" t="n">
        <v>0</v>
      </c>
      <c r="BJ100" s="27" t="n">
        <v>0</v>
      </c>
      <c r="BK100" s="27" t="n">
        <v>0</v>
      </c>
      <c r="BL100" s="27" t="n">
        <v>0</v>
      </c>
      <c r="BM100" s="27" t="n">
        <v>0</v>
      </c>
      <c r="BN100" s="27" t="n">
        <v>0</v>
      </c>
      <c r="BO100" s="27" t="n">
        <v>0</v>
      </c>
      <c r="BP100" s="27" t="n">
        <v>0</v>
      </c>
      <c r="BQ100" s="27" t="n">
        <v>0</v>
      </c>
      <c r="BR100" s="27" t="n">
        <v>0</v>
      </c>
      <c r="BS100" s="27" t="n">
        <v>0</v>
      </c>
      <c r="BT100" s="27" t="n">
        <v>0</v>
      </c>
      <c r="BU100" s="27" t="n">
        <v>0</v>
      </c>
      <c r="BV100" s="27" t="n">
        <v>0</v>
      </c>
      <c r="BW100" s="27" t="n">
        <v>0</v>
      </c>
      <c r="BX100" s="27" t="n">
        <v>0</v>
      </c>
      <c r="BY100" s="27" t="n">
        <v>0</v>
      </c>
      <c r="BZ100" s="27" t="n">
        <v>0</v>
      </c>
      <c r="CA100" s="27" t="n">
        <v>0</v>
      </c>
      <c r="CB100" s="27" t="n">
        <v>0</v>
      </c>
      <c r="CC100" s="27" t="n">
        <v>0</v>
      </c>
      <c r="CD100" s="27" t="n">
        <v>0</v>
      </c>
      <c r="CE100" s="27" t="n">
        <v>0</v>
      </c>
      <c r="CF100" s="27" t="n">
        <v>0</v>
      </c>
      <c r="CG100" s="27" t="n">
        <v>0</v>
      </c>
      <c r="CH100" s="27" t="n">
        <v>0</v>
      </c>
      <c r="CI100" s="27" t="n">
        <v>0</v>
      </c>
      <c r="CJ100" s="27" t="n">
        <v>0</v>
      </c>
      <c r="CK100" s="27" t="n">
        <v>0</v>
      </c>
      <c r="CL100" s="27" t="n">
        <v>0</v>
      </c>
      <c r="CM100" s="27" t="n">
        <v>0</v>
      </c>
      <c r="CN100" s="27" t="n">
        <v>0</v>
      </c>
      <c r="CO100" s="27" t="n">
        <v>0</v>
      </c>
      <c r="CP100" s="27" t="n">
        <v>0</v>
      </c>
      <c r="CQ100" s="27" t="n">
        <v>0</v>
      </c>
      <c r="CR100" s="27" t="n">
        <v>0</v>
      </c>
      <c r="CS100" s="27" t="n">
        <v>0</v>
      </c>
      <c r="CT100" s="27" t="n">
        <v>0</v>
      </c>
      <c r="CU100" s="27" t="n">
        <v>0</v>
      </c>
      <c r="CV100" s="27" t="n">
        <v>0</v>
      </c>
      <c r="CW100" s="27" t="n">
        <v>0</v>
      </c>
      <c r="CX100" s="27" t="n">
        <v>0</v>
      </c>
      <c r="CY100" s="27" t="n">
        <v>0</v>
      </c>
      <c r="CZ100" s="27" t="n">
        <v>0</v>
      </c>
      <c r="DA100" s="27" t="n">
        <v>0</v>
      </c>
    </row>
    <row r="101">
      <c r="A101" t="inlineStr">
        <is>
          <t>0Q110</t>
        </is>
      </c>
      <c r="B101" s="27" t="n">
        <v>0</v>
      </c>
      <c r="C101" s="27" t="n">
        <v>0</v>
      </c>
      <c r="D101" s="27" t="n">
        <v>0</v>
      </c>
      <c r="E101" s="27" t="n">
        <v>0</v>
      </c>
      <c r="F101" s="27" t="n">
        <v>0</v>
      </c>
      <c r="G101" s="27" t="n">
        <v>0</v>
      </c>
      <c r="H101" s="27" t="n">
        <v>0</v>
      </c>
      <c r="I101" s="27" t="n">
        <v>0</v>
      </c>
      <c r="J101" s="27" t="n">
        <v>0</v>
      </c>
      <c r="K101" s="27" t="n">
        <v>0</v>
      </c>
      <c r="L101" s="27" t="n">
        <v>0</v>
      </c>
      <c r="M101" s="27" t="n">
        <v>0</v>
      </c>
      <c r="N101" s="27" t="n">
        <v>0</v>
      </c>
      <c r="O101" s="27" t="n">
        <v>0</v>
      </c>
      <c r="P101" s="27" t="n">
        <v>0</v>
      </c>
      <c r="Q101" s="27" t="n">
        <v>0</v>
      </c>
      <c r="R101" s="27" t="n">
        <v>0</v>
      </c>
      <c r="S101" s="27" t="n">
        <v>0</v>
      </c>
      <c r="T101" s="27" t="n">
        <v>0</v>
      </c>
      <c r="U101" s="27" t="n">
        <v>0</v>
      </c>
      <c r="V101" s="27" t="n">
        <v>0</v>
      </c>
      <c r="W101" s="27" t="n">
        <v>0</v>
      </c>
      <c r="X101" s="27" t="n">
        <v>0</v>
      </c>
      <c r="Y101" s="27" t="n">
        <v>0</v>
      </c>
      <c r="Z101" s="27" t="n">
        <v>0</v>
      </c>
      <c r="AA101" s="27" t="n">
        <v>0</v>
      </c>
      <c r="AB101" s="27" t="n">
        <v>0</v>
      </c>
      <c r="AC101" s="27" t="n">
        <v>0</v>
      </c>
      <c r="AD101" s="27" t="n">
        <v>0</v>
      </c>
      <c r="AE101" s="27" t="n">
        <v>0</v>
      </c>
      <c r="AF101" s="27" t="n">
        <v>0</v>
      </c>
      <c r="AG101" s="27" t="n">
        <v>0</v>
      </c>
      <c r="AH101" s="27" t="n">
        <v>0</v>
      </c>
      <c r="AI101" s="27" t="n">
        <v>0</v>
      </c>
      <c r="AJ101" s="27" t="n">
        <v>0</v>
      </c>
      <c r="AK101" s="27" t="n">
        <v>0</v>
      </c>
      <c r="AL101" s="27" t="n">
        <v>0</v>
      </c>
      <c r="AM101" s="27" t="n">
        <v>0</v>
      </c>
      <c r="AN101" s="27" t="n">
        <v>0</v>
      </c>
      <c r="AO101" s="27" t="n">
        <v>0</v>
      </c>
      <c r="AP101" s="27" t="n">
        <v>0</v>
      </c>
      <c r="AQ101" s="27" t="n">
        <v>0</v>
      </c>
      <c r="AR101" s="27" t="n">
        <v>0</v>
      </c>
      <c r="AS101" s="27" t="n">
        <v>0</v>
      </c>
      <c r="AT101" s="27" t="n">
        <v>0</v>
      </c>
      <c r="AU101" s="27" t="n">
        <v>0</v>
      </c>
      <c r="AV101" s="27" t="n">
        <v>0</v>
      </c>
      <c r="AW101" s="27" t="n">
        <v>0</v>
      </c>
      <c r="AX101" s="27" t="n">
        <v>0</v>
      </c>
      <c r="AY101" s="27" t="n">
        <v>0</v>
      </c>
      <c r="AZ101" s="27" t="n">
        <v>0</v>
      </c>
      <c r="BA101" s="27" t="n">
        <v>0</v>
      </c>
      <c r="BB101" s="27" t="n">
        <v>0</v>
      </c>
      <c r="BC101" s="27" t="n">
        <v>0</v>
      </c>
      <c r="BD101" s="27" t="n">
        <v>0</v>
      </c>
      <c r="BE101" s="27" t="n">
        <v>0</v>
      </c>
      <c r="BF101" s="27" t="n">
        <v>0</v>
      </c>
      <c r="BG101" s="27" t="n">
        <v>0</v>
      </c>
      <c r="BH101" s="27" t="n">
        <v>0</v>
      </c>
      <c r="BI101" s="27" t="n">
        <v>0</v>
      </c>
      <c r="BJ101" s="27" t="n">
        <v>0</v>
      </c>
      <c r="BK101" s="27" t="n">
        <v>0</v>
      </c>
      <c r="BL101" s="27" t="n">
        <v>0</v>
      </c>
      <c r="BM101" s="27" t="n">
        <v>0</v>
      </c>
      <c r="BN101" s="27" t="n">
        <v>0</v>
      </c>
      <c r="BO101" s="27" t="n">
        <v>0</v>
      </c>
      <c r="BP101" s="27" t="n">
        <v>0</v>
      </c>
      <c r="BQ101" s="27" t="n">
        <v>0</v>
      </c>
      <c r="BR101" s="27" t="n">
        <v>0</v>
      </c>
      <c r="BS101" s="27" t="n">
        <v>0</v>
      </c>
      <c r="BT101" s="27" t="n">
        <v>0</v>
      </c>
      <c r="BU101" s="27" t="n">
        <v>0</v>
      </c>
      <c r="BV101" s="27" t="n">
        <v>0</v>
      </c>
      <c r="BW101" s="27" t="n">
        <v>0</v>
      </c>
      <c r="BX101" s="27" t="n">
        <v>0</v>
      </c>
      <c r="BY101" s="27" t="n">
        <v>0</v>
      </c>
      <c r="BZ101" s="27" t="n">
        <v>0</v>
      </c>
      <c r="CA101" s="27" t="n">
        <v>0</v>
      </c>
      <c r="CB101" s="27" t="n">
        <v>0</v>
      </c>
      <c r="CC101" s="27" t="n">
        <v>0</v>
      </c>
      <c r="CD101" s="27" t="n">
        <v>0</v>
      </c>
      <c r="CE101" s="27" t="n">
        <v>0</v>
      </c>
      <c r="CF101" s="27" t="n">
        <v>0</v>
      </c>
      <c r="CG101" s="27" t="n">
        <v>0</v>
      </c>
      <c r="CH101" s="27" t="n">
        <v>0</v>
      </c>
      <c r="CI101" s="27" t="n">
        <v>0</v>
      </c>
      <c r="CJ101" s="27" t="n">
        <v>0</v>
      </c>
      <c r="CK101" s="27" t="n">
        <v>0</v>
      </c>
      <c r="CL101" s="27" t="n">
        <v>0</v>
      </c>
      <c r="CM101" s="27" t="n">
        <v>0</v>
      </c>
      <c r="CN101" s="27" t="n">
        <v>0</v>
      </c>
      <c r="CO101" s="27" t="n">
        <v>0</v>
      </c>
      <c r="CP101" s="27" t="n">
        <v>0</v>
      </c>
      <c r="CQ101" s="27" t="n">
        <v>0</v>
      </c>
      <c r="CR101" s="27" t="n">
        <v>0</v>
      </c>
      <c r="CS101" s="27" t="n">
        <v>0</v>
      </c>
      <c r="CT101" s="27" t="n">
        <v>0</v>
      </c>
      <c r="CU101" s="27" t="n">
        <v>0</v>
      </c>
      <c r="CV101" s="27" t="n">
        <v>0</v>
      </c>
      <c r="CW101" s="27" t="n">
        <v>0</v>
      </c>
      <c r="CX101" s="27" t="n">
        <v>0</v>
      </c>
      <c r="CY101" s="27" t="n">
        <v>0</v>
      </c>
      <c r="CZ101" s="27" t="n">
        <v>0</v>
      </c>
      <c r="DA101" s="27" t="n">
        <v>0</v>
      </c>
    </row>
    <row r="102">
      <c r="A102" t="inlineStr">
        <is>
          <t>0Q120</t>
        </is>
      </c>
      <c r="B102" s="27" t="n">
        <v>0</v>
      </c>
      <c r="C102" s="27" t="n">
        <v>0</v>
      </c>
      <c r="D102" s="27" t="n">
        <v>0</v>
      </c>
      <c r="E102" s="27" t="n">
        <v>0</v>
      </c>
      <c r="F102" s="27" t="n">
        <v>0</v>
      </c>
      <c r="G102" s="27" t="n">
        <v>0</v>
      </c>
      <c r="H102" s="27" t="n">
        <v>0</v>
      </c>
      <c r="I102" s="27" t="n">
        <v>0</v>
      </c>
      <c r="J102" s="27" t="n">
        <v>0</v>
      </c>
      <c r="K102" s="27" t="n">
        <v>0</v>
      </c>
      <c r="L102" s="27" t="n">
        <v>0</v>
      </c>
      <c r="M102" s="27" t="n">
        <v>0</v>
      </c>
      <c r="N102" s="27" t="n">
        <v>0</v>
      </c>
      <c r="O102" s="27" t="n">
        <v>0</v>
      </c>
      <c r="P102" s="27" t="n">
        <v>0</v>
      </c>
      <c r="Q102" s="27" t="n">
        <v>0</v>
      </c>
      <c r="R102" s="27" t="n">
        <v>0</v>
      </c>
      <c r="S102" s="27" t="n">
        <v>0</v>
      </c>
      <c r="T102" s="27" t="n">
        <v>0</v>
      </c>
      <c r="U102" s="27" t="n">
        <v>0</v>
      </c>
      <c r="V102" s="27" t="n">
        <v>0</v>
      </c>
      <c r="W102" s="27" t="n">
        <v>0</v>
      </c>
      <c r="X102" s="27" t="n">
        <v>0</v>
      </c>
      <c r="Y102" s="27" t="n">
        <v>0</v>
      </c>
      <c r="Z102" s="27" t="n">
        <v>0</v>
      </c>
      <c r="AA102" s="27" t="n">
        <v>0</v>
      </c>
      <c r="AB102" s="27" t="n">
        <v>0</v>
      </c>
      <c r="AC102" s="27" t="n">
        <v>0</v>
      </c>
      <c r="AD102" s="27" t="n">
        <v>0</v>
      </c>
      <c r="AE102" s="27" t="n">
        <v>0</v>
      </c>
      <c r="AF102" s="27" t="n">
        <v>0</v>
      </c>
      <c r="AG102" s="27" t="n">
        <v>0</v>
      </c>
      <c r="AH102" s="27" t="n">
        <v>0</v>
      </c>
      <c r="AI102" s="27" t="n">
        <v>0</v>
      </c>
      <c r="AJ102" s="27" t="n">
        <v>0</v>
      </c>
      <c r="AK102" s="27" t="n">
        <v>0</v>
      </c>
      <c r="AL102" s="27" t="n">
        <v>0</v>
      </c>
      <c r="AM102" s="27" t="n">
        <v>0</v>
      </c>
      <c r="AN102" s="27" t="n">
        <v>0</v>
      </c>
      <c r="AO102" s="27" t="n">
        <v>0</v>
      </c>
      <c r="AP102" s="27" t="n">
        <v>0</v>
      </c>
      <c r="AQ102" s="27" t="n">
        <v>0</v>
      </c>
      <c r="AR102" s="27" t="n">
        <v>0</v>
      </c>
      <c r="AS102" s="27" t="n">
        <v>0</v>
      </c>
      <c r="AT102" s="27" t="n">
        <v>0</v>
      </c>
      <c r="AU102" s="27" t="n">
        <v>0</v>
      </c>
      <c r="AV102" s="27" t="n">
        <v>0</v>
      </c>
      <c r="AW102" s="27" t="n">
        <v>0</v>
      </c>
      <c r="AX102" s="27" t="n">
        <v>0</v>
      </c>
      <c r="AY102" s="27" t="n">
        <v>0</v>
      </c>
      <c r="AZ102" s="27" t="n">
        <v>0</v>
      </c>
      <c r="BA102" s="27" t="n">
        <v>0</v>
      </c>
      <c r="BB102" s="27" t="n">
        <v>0</v>
      </c>
      <c r="BC102" s="27" t="n">
        <v>0</v>
      </c>
      <c r="BD102" s="27" t="n">
        <v>0</v>
      </c>
      <c r="BE102" s="27" t="n">
        <v>0</v>
      </c>
      <c r="BF102" s="27" t="n">
        <v>0</v>
      </c>
      <c r="BG102" s="27" t="n">
        <v>0</v>
      </c>
      <c r="BH102" s="27" t="n">
        <v>0</v>
      </c>
      <c r="BI102" s="27" t="n">
        <v>0</v>
      </c>
      <c r="BJ102" s="27" t="n">
        <v>0</v>
      </c>
      <c r="BK102" s="27" t="n">
        <v>0</v>
      </c>
      <c r="BL102" s="27" t="n">
        <v>0</v>
      </c>
      <c r="BM102" s="27" t="n">
        <v>0</v>
      </c>
      <c r="BN102" s="27" t="n">
        <v>0</v>
      </c>
      <c r="BO102" s="27" t="n">
        <v>0</v>
      </c>
      <c r="BP102" s="27" t="n">
        <v>0</v>
      </c>
      <c r="BQ102" s="27" t="n">
        <v>0</v>
      </c>
      <c r="BR102" s="27" t="n">
        <v>0</v>
      </c>
      <c r="BS102" s="27" t="n">
        <v>0</v>
      </c>
      <c r="BT102" s="27" t="n">
        <v>0</v>
      </c>
      <c r="BU102" s="27" t="n">
        <v>0</v>
      </c>
      <c r="BV102" s="27" t="n">
        <v>0</v>
      </c>
      <c r="BW102" s="27" t="n">
        <v>0</v>
      </c>
      <c r="BX102" s="27" t="n">
        <v>0</v>
      </c>
      <c r="BY102" s="27" t="n">
        <v>0</v>
      </c>
      <c r="BZ102" s="27" t="n">
        <v>0</v>
      </c>
      <c r="CA102" s="27" t="n">
        <v>0</v>
      </c>
      <c r="CB102" s="27" t="n">
        <v>0</v>
      </c>
      <c r="CC102" s="27" t="n">
        <v>0</v>
      </c>
      <c r="CD102" s="27" t="n">
        <v>0</v>
      </c>
      <c r="CE102" s="27" t="n">
        <v>0</v>
      </c>
      <c r="CF102" s="27" t="n">
        <v>0</v>
      </c>
      <c r="CG102" s="27" t="n">
        <v>0</v>
      </c>
      <c r="CH102" s="27" t="n">
        <v>0</v>
      </c>
      <c r="CI102" s="27" t="n">
        <v>0</v>
      </c>
      <c r="CJ102" s="27" t="n">
        <v>0</v>
      </c>
      <c r="CK102" s="27" t="n">
        <v>0</v>
      </c>
      <c r="CL102" s="27" t="n">
        <v>0</v>
      </c>
      <c r="CM102" s="27" t="n">
        <v>0</v>
      </c>
      <c r="CN102" s="27" t="n">
        <v>0</v>
      </c>
      <c r="CO102" s="27" t="n">
        <v>0</v>
      </c>
      <c r="CP102" s="27" t="n">
        <v>0</v>
      </c>
      <c r="CQ102" s="27" t="n">
        <v>0</v>
      </c>
      <c r="CR102" s="27" t="n">
        <v>0</v>
      </c>
      <c r="CS102" s="27" t="n">
        <v>0</v>
      </c>
      <c r="CT102" s="27" t="n">
        <v>0</v>
      </c>
      <c r="CU102" s="27" t="n">
        <v>0</v>
      </c>
      <c r="CV102" s="27" t="n">
        <v>0</v>
      </c>
      <c r="CW102" s="27" t="n">
        <v>0</v>
      </c>
      <c r="CX102" s="27" t="n">
        <v>0</v>
      </c>
      <c r="CY102" s="27" t="n">
        <v>0</v>
      </c>
      <c r="CZ102" s="27" t="n">
        <v>0</v>
      </c>
      <c r="DA102" s="27" t="n">
        <v>0</v>
      </c>
    </row>
    <row r="103">
      <c r="A103" t="inlineStr">
        <is>
          <t>0TA30</t>
        </is>
      </c>
      <c r="B103" s="27" t="n">
        <v>0</v>
      </c>
      <c r="C103" s="27" t="n">
        <v>0</v>
      </c>
      <c r="D103" s="27" t="n">
        <v>0</v>
      </c>
      <c r="E103" s="27" t="n">
        <v>0</v>
      </c>
      <c r="F103" s="27" t="n">
        <v>0</v>
      </c>
      <c r="G103" s="27" t="n">
        <v>0</v>
      </c>
      <c r="H103" s="27" t="n">
        <v>0</v>
      </c>
      <c r="I103" s="27" t="n">
        <v>0</v>
      </c>
      <c r="J103" s="27" t="n">
        <v>0</v>
      </c>
      <c r="K103" s="27" t="n">
        <v>0</v>
      </c>
      <c r="L103" s="27" t="n">
        <v>0</v>
      </c>
      <c r="M103" s="27" t="n">
        <v>0</v>
      </c>
      <c r="N103" s="27" t="n">
        <v>0</v>
      </c>
      <c r="O103" s="27" t="n">
        <v>0</v>
      </c>
      <c r="P103" s="27" t="n">
        <v>1176</v>
      </c>
      <c r="Q103" s="27" t="n">
        <v>0</v>
      </c>
      <c r="R103" s="27" t="n">
        <v>0</v>
      </c>
      <c r="S103" s="27" t="n">
        <v>0</v>
      </c>
      <c r="T103" s="27" t="n">
        <v>0</v>
      </c>
      <c r="U103" s="27" t="n">
        <v>0</v>
      </c>
      <c r="V103" s="27" t="n">
        <v>1878</v>
      </c>
      <c r="W103" s="27" t="n">
        <v>0</v>
      </c>
      <c r="X103" s="27" t="n">
        <v>0</v>
      </c>
      <c r="Y103" s="27" t="n">
        <v>0</v>
      </c>
      <c r="Z103" s="27" t="n">
        <v>0</v>
      </c>
      <c r="AA103" s="27" t="n">
        <v>0</v>
      </c>
      <c r="AB103" s="27" t="n">
        <v>0</v>
      </c>
      <c r="AC103" s="27" t="n">
        <v>0</v>
      </c>
      <c r="AD103" s="27" t="n">
        <v>0</v>
      </c>
      <c r="AE103" s="27" t="n">
        <v>1151</v>
      </c>
      <c r="AF103" s="27" t="n">
        <v>0</v>
      </c>
      <c r="AG103" s="27" t="n">
        <v>0</v>
      </c>
      <c r="AH103" s="27" t="n">
        <v>0</v>
      </c>
      <c r="AI103" s="27" t="n">
        <v>0</v>
      </c>
      <c r="AJ103" s="27" t="n">
        <v>0</v>
      </c>
      <c r="AK103" s="27" t="n">
        <v>1176</v>
      </c>
      <c r="AL103" s="27" t="n">
        <v>0</v>
      </c>
      <c r="AM103" s="27" t="n">
        <v>0</v>
      </c>
      <c r="AN103" s="27" t="n">
        <v>0</v>
      </c>
      <c r="AO103" s="27" t="n">
        <v>0</v>
      </c>
      <c r="AP103" s="27" t="n">
        <v>0</v>
      </c>
      <c r="AQ103" s="27" t="n">
        <v>0</v>
      </c>
      <c r="AR103" s="27" t="n">
        <v>0</v>
      </c>
      <c r="AS103" s="27" t="n">
        <v>0</v>
      </c>
      <c r="AT103" s="27" t="n">
        <v>0</v>
      </c>
      <c r="AU103" s="27" t="n">
        <v>0</v>
      </c>
      <c r="AV103" s="27" t="n">
        <v>1176</v>
      </c>
      <c r="AW103" s="27" t="n">
        <v>0</v>
      </c>
      <c r="AX103" s="27" t="n">
        <v>0</v>
      </c>
      <c r="AY103" s="27" t="n">
        <v>0</v>
      </c>
      <c r="AZ103" s="27" t="n">
        <v>0</v>
      </c>
      <c r="BA103" s="27" t="n">
        <v>0</v>
      </c>
      <c r="BB103" s="27" t="n">
        <v>0</v>
      </c>
      <c r="BC103" s="27" t="n">
        <v>0</v>
      </c>
      <c r="BD103" s="27" t="n">
        <v>0</v>
      </c>
      <c r="BE103" s="27" t="n">
        <v>0</v>
      </c>
      <c r="BF103" s="27" t="n">
        <v>1176</v>
      </c>
      <c r="BG103" s="27" t="n">
        <v>0</v>
      </c>
      <c r="BH103" s="27" t="n">
        <v>0</v>
      </c>
      <c r="BI103" s="27" t="n">
        <v>0</v>
      </c>
      <c r="BJ103" s="27" t="n">
        <v>1176</v>
      </c>
      <c r="BK103" s="27" t="n">
        <v>0</v>
      </c>
      <c r="BL103" s="27" t="n">
        <v>0</v>
      </c>
      <c r="BM103" s="27" t="n">
        <v>0</v>
      </c>
      <c r="BN103" s="27" t="n">
        <v>1176</v>
      </c>
      <c r="BO103" s="27" t="n">
        <v>0</v>
      </c>
      <c r="BP103" s="27" t="n">
        <v>0</v>
      </c>
      <c r="BQ103" s="27" t="n">
        <v>0</v>
      </c>
      <c r="BR103" s="27" t="n">
        <v>1176</v>
      </c>
      <c r="BS103" s="27" t="n">
        <v>1176</v>
      </c>
      <c r="BT103" s="27" t="n">
        <v>1176</v>
      </c>
      <c r="BU103" s="27" t="n">
        <v>1176</v>
      </c>
      <c r="BV103" s="27" t="n">
        <v>0</v>
      </c>
      <c r="BW103" s="27" t="n">
        <v>1176</v>
      </c>
      <c r="BX103" s="27" t="n">
        <v>0</v>
      </c>
      <c r="BY103" s="27" t="n">
        <v>1176</v>
      </c>
      <c r="BZ103" s="27" t="n">
        <v>0</v>
      </c>
      <c r="CA103" s="27" t="n">
        <v>1176</v>
      </c>
      <c r="CB103" s="27" t="n">
        <v>1176</v>
      </c>
      <c r="CC103" s="27" t="n">
        <v>0</v>
      </c>
      <c r="CD103" s="27" t="n">
        <v>1176</v>
      </c>
      <c r="CE103" s="27" t="n">
        <v>1176</v>
      </c>
      <c r="CF103" s="27" t="n">
        <v>1176</v>
      </c>
      <c r="CG103" s="27" t="n">
        <v>1176</v>
      </c>
      <c r="CH103" s="27" t="n">
        <v>1176</v>
      </c>
      <c r="CI103" s="27" t="n">
        <v>0</v>
      </c>
      <c r="CJ103" s="27" t="n">
        <v>1176</v>
      </c>
      <c r="CK103" s="27" t="n">
        <v>1176</v>
      </c>
      <c r="CL103" s="27" t="n">
        <v>0</v>
      </c>
      <c r="CM103" s="27" t="n">
        <v>1176</v>
      </c>
      <c r="CN103" s="27" t="n">
        <v>1176</v>
      </c>
      <c r="CO103" s="27" t="n">
        <v>0</v>
      </c>
      <c r="CP103" s="27" t="n">
        <v>1176</v>
      </c>
      <c r="CQ103" s="27" t="n">
        <v>1176</v>
      </c>
      <c r="CR103" s="27" t="n">
        <v>1176</v>
      </c>
      <c r="CS103" s="27" t="n">
        <v>1176</v>
      </c>
      <c r="CT103" s="27" t="n">
        <v>1176</v>
      </c>
      <c r="CU103" s="27" t="n">
        <v>1176</v>
      </c>
      <c r="CV103" s="27" t="n">
        <v>1176</v>
      </c>
      <c r="CW103" s="27" t="n">
        <v>1176</v>
      </c>
      <c r="CX103" s="27" t="n">
        <v>1176</v>
      </c>
      <c r="CY103" s="27" t="n">
        <v>1176</v>
      </c>
      <c r="CZ103" s="27" t="n">
        <v>1176</v>
      </c>
      <c r="DA103" s="27" t="n">
        <v>0</v>
      </c>
    </row>
    <row r="104">
      <c r="A104" t="inlineStr">
        <is>
          <t>Ester Film</t>
        </is>
      </c>
      <c r="B104" s="27" t="n">
        <v>0</v>
      </c>
      <c r="C104" s="27" t="n">
        <v>0</v>
      </c>
      <c r="D104" s="27" t="n">
        <v>0</v>
      </c>
      <c r="E104" s="27" t="n">
        <v>0</v>
      </c>
      <c r="F104" s="27" t="n">
        <v>0</v>
      </c>
      <c r="G104" s="27" t="n">
        <v>0</v>
      </c>
      <c r="H104" s="27" t="n">
        <v>0</v>
      </c>
      <c r="I104" s="27" t="n">
        <v>0</v>
      </c>
      <c r="J104" s="27" t="n">
        <v>0</v>
      </c>
      <c r="K104" s="27" t="n">
        <v>0</v>
      </c>
      <c r="L104" s="27" t="n">
        <v>0</v>
      </c>
      <c r="M104" s="27" t="n">
        <v>0</v>
      </c>
      <c r="N104" s="27" t="n">
        <v>0</v>
      </c>
      <c r="O104" s="27" t="n">
        <v>0</v>
      </c>
      <c r="P104" s="27" t="n">
        <v>0</v>
      </c>
      <c r="Q104" s="27" t="n">
        <v>0</v>
      </c>
      <c r="R104" s="27" t="n">
        <v>0</v>
      </c>
      <c r="S104" s="27" t="n">
        <v>0</v>
      </c>
      <c r="T104" s="27" t="n">
        <v>0</v>
      </c>
      <c r="U104" s="27" t="n">
        <v>0</v>
      </c>
      <c r="V104" s="27" t="n">
        <v>0</v>
      </c>
      <c r="W104" s="27" t="n">
        <v>0</v>
      </c>
      <c r="X104" s="27" t="n">
        <v>5</v>
      </c>
      <c r="Y104" s="27" t="n">
        <v>5</v>
      </c>
      <c r="Z104" s="27" t="n">
        <v>5</v>
      </c>
      <c r="AA104" s="27" t="n">
        <v>5</v>
      </c>
      <c r="AB104" s="27" t="n">
        <v>5</v>
      </c>
      <c r="AC104" s="27" t="n">
        <v>5</v>
      </c>
      <c r="AD104" s="27" t="n">
        <v>5</v>
      </c>
      <c r="AE104" s="27" t="n">
        <v>5</v>
      </c>
      <c r="AF104" s="27" t="n">
        <v>5</v>
      </c>
      <c r="AG104" s="27" t="n">
        <v>5</v>
      </c>
      <c r="AH104" s="27" t="n">
        <v>5</v>
      </c>
      <c r="AI104" s="27" t="n">
        <v>5</v>
      </c>
      <c r="AJ104" s="27" t="n">
        <v>5</v>
      </c>
      <c r="AK104" s="27" t="n">
        <v>5</v>
      </c>
      <c r="AL104" s="27" t="n">
        <v>5</v>
      </c>
      <c r="AM104" s="27" t="n">
        <v>5</v>
      </c>
      <c r="AN104" s="27" t="n">
        <v>5</v>
      </c>
      <c r="AO104" s="27" t="n">
        <v>5</v>
      </c>
      <c r="AP104" s="27" t="n">
        <v>5</v>
      </c>
      <c r="AQ104" s="27" t="n">
        <v>5</v>
      </c>
      <c r="AR104" s="27" t="n">
        <v>5</v>
      </c>
      <c r="AS104" s="27" t="n">
        <v>5</v>
      </c>
      <c r="AT104" s="27" t="n">
        <v>5</v>
      </c>
      <c r="AU104" s="27" t="n">
        <v>5</v>
      </c>
      <c r="AV104" s="27" t="n">
        <v>5</v>
      </c>
      <c r="AW104" s="27" t="n">
        <v>5</v>
      </c>
      <c r="AX104" s="27" t="n">
        <v>5</v>
      </c>
      <c r="AY104" s="27" t="n">
        <v>5</v>
      </c>
      <c r="AZ104" s="27" t="n">
        <v>5</v>
      </c>
      <c r="BA104" s="27" t="n">
        <v>5</v>
      </c>
      <c r="BB104" s="27" t="n">
        <v>5</v>
      </c>
      <c r="BC104" s="27" t="n">
        <v>5</v>
      </c>
      <c r="BD104" s="27" t="n">
        <v>5</v>
      </c>
      <c r="BE104" s="27" t="n">
        <v>5</v>
      </c>
      <c r="BF104" s="27" t="n">
        <v>5</v>
      </c>
      <c r="BG104" s="27" t="n">
        <v>5</v>
      </c>
      <c r="BH104" s="27" t="n">
        <v>5</v>
      </c>
      <c r="BI104" s="27" t="n">
        <v>5</v>
      </c>
      <c r="BJ104" s="27" t="n">
        <v>5</v>
      </c>
      <c r="BK104" s="27" t="n">
        <v>5</v>
      </c>
      <c r="BL104" s="27" t="n">
        <v>5</v>
      </c>
      <c r="BM104" s="27" t="n">
        <v>5</v>
      </c>
      <c r="BN104" s="27" t="n">
        <v>5</v>
      </c>
      <c r="BO104" s="27" t="n">
        <v>5</v>
      </c>
      <c r="BP104" s="27" t="n">
        <v>5</v>
      </c>
      <c r="BQ104" s="27" t="n">
        <v>5</v>
      </c>
      <c r="BR104" s="27" t="n">
        <v>5</v>
      </c>
      <c r="BS104" s="27" t="n">
        <v>5</v>
      </c>
      <c r="BT104" s="27" t="n">
        <v>5</v>
      </c>
      <c r="BU104" s="27" t="n">
        <v>5</v>
      </c>
      <c r="BV104" s="27" t="n">
        <v>5</v>
      </c>
      <c r="BW104" s="27" t="n">
        <v>5</v>
      </c>
      <c r="BX104" s="27" t="n">
        <v>0</v>
      </c>
      <c r="BY104" s="27" t="n">
        <v>0</v>
      </c>
      <c r="BZ104" s="27" t="n">
        <v>0</v>
      </c>
      <c r="CA104" s="27" t="n">
        <v>0</v>
      </c>
      <c r="CB104" s="27" t="n">
        <v>0</v>
      </c>
      <c r="CC104" s="27" t="n">
        <v>0</v>
      </c>
      <c r="CD104" s="27" t="n">
        <v>0</v>
      </c>
      <c r="CE104" s="27" t="n">
        <v>0</v>
      </c>
      <c r="CF104" s="27" t="n">
        <v>0</v>
      </c>
      <c r="CG104" s="27" t="n">
        <v>0</v>
      </c>
      <c r="CH104" s="27" t="n">
        <v>0</v>
      </c>
      <c r="CI104" s="27" t="n">
        <v>0</v>
      </c>
      <c r="CJ104" s="27" t="n">
        <v>0</v>
      </c>
      <c r="CK104" s="27" t="n">
        <v>0</v>
      </c>
      <c r="CL104" s="27" t="n">
        <v>0</v>
      </c>
      <c r="CM104" s="27" t="n">
        <v>0</v>
      </c>
      <c r="CN104" s="27" t="n">
        <v>0</v>
      </c>
      <c r="CO104" s="27" t="n">
        <v>0</v>
      </c>
      <c r="CP104" s="27" t="n">
        <v>0</v>
      </c>
      <c r="CQ104" s="27" t="n">
        <v>0</v>
      </c>
      <c r="CR104" s="27" t="n">
        <v>0</v>
      </c>
      <c r="CS104" s="27" t="n">
        <v>0</v>
      </c>
      <c r="CT104" s="27" t="n">
        <v>0</v>
      </c>
      <c r="CU104" s="27" t="n">
        <v>0</v>
      </c>
      <c r="CV104" s="27" t="n">
        <v>0</v>
      </c>
      <c r="CW104" s="27" t="n">
        <v>0</v>
      </c>
      <c r="CX104" s="27" t="n">
        <v>0</v>
      </c>
      <c r="CY104" s="27" t="n">
        <v>0</v>
      </c>
      <c r="CZ104" s="27" t="n">
        <v>0</v>
      </c>
      <c r="DA104" s="27" t="n">
        <v>0</v>
      </c>
    </row>
    <row r="105">
      <c r="A105" t="inlineStr">
        <is>
          <t>F2090</t>
        </is>
      </c>
      <c r="B105" s="27" t="n">
        <v>0</v>
      </c>
      <c r="C105" s="27" t="n">
        <v>3960</v>
      </c>
      <c r="D105" s="27" t="n">
        <v>3960</v>
      </c>
      <c r="E105" s="27" t="n">
        <v>7920</v>
      </c>
      <c r="F105" s="27" t="n">
        <v>7920</v>
      </c>
      <c r="G105" s="27" t="n">
        <v>7920</v>
      </c>
      <c r="H105" s="27" t="n">
        <v>0</v>
      </c>
      <c r="I105" s="27" t="n">
        <v>0</v>
      </c>
      <c r="J105" s="27" t="n">
        <v>0</v>
      </c>
      <c r="K105" s="27" t="n">
        <v>15840</v>
      </c>
      <c r="L105" s="27" t="n">
        <v>3564</v>
      </c>
      <c r="M105" s="27" t="n">
        <v>3960</v>
      </c>
      <c r="N105" s="27" t="n">
        <v>0</v>
      </c>
      <c r="O105" s="27" t="n">
        <v>4284</v>
      </c>
      <c r="P105" s="27" t="n">
        <v>7920</v>
      </c>
      <c r="Q105" s="27" t="n">
        <v>3960</v>
      </c>
      <c r="R105" s="27" t="n">
        <v>7524</v>
      </c>
      <c r="S105" s="27" t="n">
        <v>0</v>
      </c>
      <c r="T105" s="27" t="n">
        <v>0</v>
      </c>
      <c r="U105" s="27" t="n">
        <v>5544</v>
      </c>
      <c r="V105" s="27" t="n">
        <v>3960</v>
      </c>
      <c r="W105" s="27" t="n">
        <v>6732</v>
      </c>
      <c r="X105" s="27" t="n">
        <v>0</v>
      </c>
      <c r="Y105" s="27" t="n">
        <v>15840</v>
      </c>
      <c r="Z105" s="27" t="n">
        <v>0</v>
      </c>
      <c r="AA105" s="27" t="n">
        <v>7920</v>
      </c>
      <c r="AB105" s="27" t="n">
        <v>5940</v>
      </c>
      <c r="AC105" s="27" t="n">
        <v>7920</v>
      </c>
      <c r="AD105" s="27" t="n">
        <v>3960</v>
      </c>
      <c r="AE105" s="27" t="n">
        <v>5940</v>
      </c>
      <c r="AF105" s="27" t="n">
        <v>3960</v>
      </c>
      <c r="AG105" s="27" t="n">
        <v>5940</v>
      </c>
      <c r="AH105" s="27" t="n">
        <v>0</v>
      </c>
      <c r="AI105" s="27" t="n">
        <v>0</v>
      </c>
      <c r="AJ105" s="27" t="n">
        <v>5940</v>
      </c>
      <c r="AK105" s="27" t="n">
        <v>0</v>
      </c>
      <c r="AL105" s="27" t="n">
        <v>0</v>
      </c>
      <c r="AM105" s="27" t="n">
        <v>7920</v>
      </c>
      <c r="AN105" s="27" t="n">
        <v>0</v>
      </c>
      <c r="AO105" s="27" t="n">
        <v>7920</v>
      </c>
      <c r="AP105" s="27" t="n">
        <v>0</v>
      </c>
      <c r="AQ105" s="27" t="n">
        <v>0</v>
      </c>
      <c r="AR105" s="27" t="n">
        <v>7920</v>
      </c>
      <c r="AS105" s="27" t="n">
        <v>0</v>
      </c>
      <c r="AT105" s="27" t="n">
        <v>7920</v>
      </c>
      <c r="AU105" s="27" t="n">
        <v>7920</v>
      </c>
      <c r="AV105" s="27" t="n">
        <v>7920</v>
      </c>
      <c r="AW105" s="27" t="n">
        <v>7920</v>
      </c>
      <c r="AX105" s="27" t="n">
        <v>7920</v>
      </c>
      <c r="AY105" s="27" t="n">
        <v>0</v>
      </c>
      <c r="AZ105" s="27" t="n">
        <v>0</v>
      </c>
      <c r="BA105" s="27" t="n">
        <v>0</v>
      </c>
      <c r="BB105" s="27" t="n">
        <v>0</v>
      </c>
      <c r="BC105" s="27" t="n">
        <v>0</v>
      </c>
      <c r="BD105" s="27" t="n">
        <v>7920</v>
      </c>
      <c r="BE105" s="27" t="n">
        <v>0</v>
      </c>
      <c r="BF105" s="27" t="n">
        <v>7920</v>
      </c>
      <c r="BG105" s="27" t="n">
        <v>0</v>
      </c>
      <c r="BH105" s="27" t="n">
        <v>7920</v>
      </c>
      <c r="BI105" s="27" t="n">
        <v>0</v>
      </c>
      <c r="BJ105" s="27" t="n">
        <v>0</v>
      </c>
      <c r="BK105" s="27" t="n">
        <v>7920</v>
      </c>
      <c r="BL105" s="27" t="n">
        <v>0</v>
      </c>
      <c r="BM105" s="27" t="n">
        <v>0</v>
      </c>
      <c r="BN105" s="27" t="n">
        <v>3960</v>
      </c>
      <c r="BO105" s="27" t="n">
        <v>0</v>
      </c>
      <c r="BP105" s="27" t="n">
        <v>0</v>
      </c>
      <c r="BQ105" s="27" t="n">
        <v>1980</v>
      </c>
      <c r="BR105" s="27" t="n">
        <v>0</v>
      </c>
      <c r="BS105" s="27" t="n">
        <v>0</v>
      </c>
      <c r="BT105" s="27" t="n">
        <v>0</v>
      </c>
      <c r="BU105" s="27" t="n">
        <v>0</v>
      </c>
      <c r="BV105" s="27" t="n">
        <v>0</v>
      </c>
      <c r="BW105" s="27" t="n">
        <v>0</v>
      </c>
      <c r="BX105" s="27" t="n">
        <v>0</v>
      </c>
      <c r="BY105" s="27" t="n">
        <v>0</v>
      </c>
      <c r="BZ105" s="27" t="n">
        <v>0</v>
      </c>
      <c r="CA105" s="27" t="n">
        <v>0</v>
      </c>
      <c r="CB105" s="27" t="n">
        <v>0</v>
      </c>
      <c r="CC105" s="27" t="n">
        <v>0</v>
      </c>
      <c r="CD105" s="27" t="n">
        <v>0</v>
      </c>
      <c r="CE105" s="27" t="n">
        <v>0</v>
      </c>
      <c r="CF105" s="27" t="n">
        <v>0</v>
      </c>
      <c r="CG105" s="27" t="n">
        <v>0</v>
      </c>
      <c r="CH105" s="27" t="n">
        <v>0</v>
      </c>
      <c r="CI105" s="27" t="n">
        <v>0</v>
      </c>
      <c r="CJ105" s="27" t="n">
        <v>0</v>
      </c>
      <c r="CK105" s="27" t="n">
        <v>0</v>
      </c>
      <c r="CL105" s="27" t="n">
        <v>0</v>
      </c>
      <c r="CM105" s="27" t="n">
        <v>0</v>
      </c>
      <c r="CN105" s="27" t="n">
        <v>0</v>
      </c>
      <c r="CO105" s="27" t="n">
        <v>0</v>
      </c>
      <c r="CP105" s="27" t="n">
        <v>0</v>
      </c>
      <c r="CQ105" s="27" t="n">
        <v>0</v>
      </c>
      <c r="CR105" s="27" t="n">
        <v>0</v>
      </c>
      <c r="CS105" s="27" t="n">
        <v>0</v>
      </c>
      <c r="CT105" s="27" t="n">
        <v>0</v>
      </c>
      <c r="CU105" s="27" t="n">
        <v>0</v>
      </c>
      <c r="CV105" s="27" t="n">
        <v>0</v>
      </c>
      <c r="CW105" s="27" t="n">
        <v>0</v>
      </c>
      <c r="CX105" s="27" t="n">
        <v>0</v>
      </c>
      <c r="CY105" s="27" t="n">
        <v>0</v>
      </c>
      <c r="CZ105" s="27" t="n">
        <v>0</v>
      </c>
      <c r="DA105" s="27" t="n">
        <v>0</v>
      </c>
    </row>
    <row r="106">
      <c r="A106" t="inlineStr">
        <is>
          <t>F2290</t>
        </is>
      </c>
      <c r="B106" s="27" t="n">
        <v>0</v>
      </c>
      <c r="C106" s="27" t="n">
        <v>0</v>
      </c>
      <c r="D106" s="27" t="n">
        <v>0</v>
      </c>
      <c r="E106" s="27" t="n">
        <v>0</v>
      </c>
      <c r="F106" s="27" t="n">
        <v>0</v>
      </c>
      <c r="G106" s="27" t="n">
        <v>0</v>
      </c>
      <c r="H106" s="27" t="n">
        <v>0</v>
      </c>
      <c r="I106" s="27" t="n">
        <v>0</v>
      </c>
      <c r="J106" s="27" t="n">
        <v>0</v>
      </c>
      <c r="K106" s="27" t="n">
        <v>0</v>
      </c>
      <c r="L106" s="27" t="n">
        <v>0</v>
      </c>
      <c r="M106" s="27" t="n">
        <v>0</v>
      </c>
      <c r="N106" s="27" t="n">
        <v>0</v>
      </c>
      <c r="O106" s="27" t="n">
        <v>0</v>
      </c>
      <c r="P106" s="27" t="n">
        <v>0</v>
      </c>
      <c r="Q106" s="27" t="n">
        <v>0</v>
      </c>
      <c r="R106" s="27" t="n">
        <v>0</v>
      </c>
      <c r="S106" s="27" t="n">
        <v>0</v>
      </c>
      <c r="T106" s="27" t="n">
        <v>0</v>
      </c>
      <c r="U106" s="27" t="n">
        <v>0</v>
      </c>
      <c r="V106" s="27" t="n">
        <v>1980</v>
      </c>
      <c r="W106" s="27" t="n">
        <v>0</v>
      </c>
      <c r="X106" s="27" t="n">
        <v>0</v>
      </c>
      <c r="Y106" s="27" t="n">
        <v>0</v>
      </c>
      <c r="Z106" s="27" t="n">
        <v>0</v>
      </c>
      <c r="AA106" s="27" t="n">
        <v>0</v>
      </c>
      <c r="AB106" s="27" t="n">
        <v>0</v>
      </c>
      <c r="AC106" s="27" t="n">
        <v>0</v>
      </c>
      <c r="AD106" s="27" t="n">
        <v>0</v>
      </c>
      <c r="AE106" s="27" t="n">
        <v>0</v>
      </c>
      <c r="AF106" s="27" t="n">
        <v>1920</v>
      </c>
      <c r="AG106" s="27" t="n">
        <v>0</v>
      </c>
      <c r="AH106" s="27" t="n">
        <v>0</v>
      </c>
      <c r="AI106" s="27" t="n">
        <v>0</v>
      </c>
      <c r="AJ106" s="27" t="n">
        <v>1980</v>
      </c>
      <c r="AK106" s="27" t="n">
        <v>0</v>
      </c>
      <c r="AL106" s="27" t="n">
        <v>0</v>
      </c>
      <c r="AM106" s="27" t="n">
        <v>0</v>
      </c>
      <c r="AN106" s="27" t="n">
        <v>0</v>
      </c>
      <c r="AO106" s="27" t="n">
        <v>1980</v>
      </c>
      <c r="AP106" s="27" t="n">
        <v>0</v>
      </c>
      <c r="AQ106" s="27" t="n">
        <v>0</v>
      </c>
      <c r="AR106" s="27" t="n">
        <v>3960</v>
      </c>
      <c r="AS106" s="27" t="n">
        <v>0</v>
      </c>
      <c r="AT106" s="27" t="n">
        <v>0</v>
      </c>
      <c r="AU106" s="27" t="n">
        <v>0</v>
      </c>
      <c r="AV106" s="27" t="n">
        <v>0</v>
      </c>
      <c r="AW106" s="27" t="n">
        <v>0</v>
      </c>
      <c r="AX106" s="27" t="n">
        <v>3960</v>
      </c>
      <c r="AY106" s="27" t="n">
        <v>0</v>
      </c>
      <c r="AZ106" s="27" t="n">
        <v>0</v>
      </c>
      <c r="BA106" s="27" t="n">
        <v>0</v>
      </c>
      <c r="BB106" s="27" t="n">
        <v>0</v>
      </c>
      <c r="BC106" s="27" t="n">
        <v>0</v>
      </c>
      <c r="BD106" s="27" t="n">
        <v>0</v>
      </c>
      <c r="BE106" s="27" t="n">
        <v>0</v>
      </c>
      <c r="BF106" s="27" t="n">
        <v>0</v>
      </c>
      <c r="BG106" s="27" t="n">
        <v>1980</v>
      </c>
      <c r="BH106" s="27" t="n">
        <v>0</v>
      </c>
      <c r="BI106" s="27" t="n">
        <v>0</v>
      </c>
      <c r="BJ106" s="27" t="n">
        <v>0</v>
      </c>
      <c r="BK106" s="27" t="n">
        <v>1584</v>
      </c>
      <c r="BL106" s="27" t="n">
        <v>0</v>
      </c>
      <c r="BM106" s="27" t="n">
        <v>0</v>
      </c>
      <c r="BN106" s="27" t="n">
        <v>0</v>
      </c>
      <c r="BO106" s="27" t="n">
        <v>0</v>
      </c>
      <c r="BP106" s="27" t="n">
        <v>0</v>
      </c>
      <c r="BQ106" s="27" t="n">
        <v>0</v>
      </c>
      <c r="BR106" s="27" t="n">
        <v>0</v>
      </c>
      <c r="BS106" s="27" t="n">
        <v>0</v>
      </c>
      <c r="BT106" s="27" t="n">
        <v>0</v>
      </c>
      <c r="BU106" s="27" t="n">
        <v>0</v>
      </c>
      <c r="BV106" s="27" t="n">
        <v>0</v>
      </c>
      <c r="BW106" s="27" t="n">
        <v>0</v>
      </c>
      <c r="BX106" s="27" t="n">
        <v>0</v>
      </c>
      <c r="BY106" s="27" t="n">
        <v>0</v>
      </c>
      <c r="BZ106" s="27" t="n">
        <v>0</v>
      </c>
      <c r="CA106" s="27" t="n">
        <v>0</v>
      </c>
      <c r="CB106" s="27" t="n">
        <v>0</v>
      </c>
      <c r="CC106" s="27" t="n">
        <v>0</v>
      </c>
      <c r="CD106" s="27" t="n">
        <v>0</v>
      </c>
      <c r="CE106" s="27" t="n">
        <v>0</v>
      </c>
      <c r="CF106" s="27" t="n">
        <v>0</v>
      </c>
      <c r="CG106" s="27" t="n">
        <v>0</v>
      </c>
      <c r="CH106" s="27" t="n">
        <v>0</v>
      </c>
      <c r="CI106" s="27" t="n">
        <v>0</v>
      </c>
      <c r="CJ106" s="27" t="n">
        <v>0</v>
      </c>
      <c r="CK106" s="27" t="n">
        <v>0</v>
      </c>
      <c r="CL106" s="27" t="n">
        <v>0</v>
      </c>
      <c r="CM106" s="27" t="n">
        <v>0</v>
      </c>
      <c r="CN106" s="27" t="n">
        <v>0</v>
      </c>
      <c r="CO106" s="27" t="n">
        <v>0</v>
      </c>
      <c r="CP106" s="27" t="n">
        <v>0</v>
      </c>
      <c r="CQ106" s="27" t="n">
        <v>0</v>
      </c>
      <c r="CR106" s="27" t="n">
        <v>0</v>
      </c>
      <c r="CS106" s="27" t="n">
        <v>0</v>
      </c>
      <c r="CT106" s="27" t="n">
        <v>0</v>
      </c>
      <c r="CU106" s="27" t="n">
        <v>0</v>
      </c>
      <c r="CV106" s="27" t="n">
        <v>0</v>
      </c>
      <c r="CW106" s="27" t="n">
        <v>0</v>
      </c>
      <c r="CX106" s="27" t="n">
        <v>0</v>
      </c>
      <c r="CY106" s="27" t="n">
        <v>0</v>
      </c>
      <c r="CZ106" s="27" t="n">
        <v>0</v>
      </c>
      <c r="DA106" s="27" t="n">
        <v>0</v>
      </c>
    </row>
    <row r="107">
      <c r="A107" t="inlineStr">
        <is>
          <t>K0050</t>
        </is>
      </c>
      <c r="B107" s="27" t="n">
        <v>0</v>
      </c>
      <c r="C107" s="27" t="n">
        <v>0</v>
      </c>
      <c r="D107" s="27" t="n">
        <v>2420</v>
      </c>
      <c r="E107" s="27" t="n">
        <v>2420</v>
      </c>
      <c r="F107" s="27" t="n">
        <v>13552</v>
      </c>
      <c r="G107" s="27" t="n">
        <v>12584</v>
      </c>
      <c r="H107" s="27" t="n">
        <v>9680</v>
      </c>
      <c r="I107" s="27" t="n">
        <v>9680</v>
      </c>
      <c r="J107" s="27" t="n">
        <v>9680</v>
      </c>
      <c r="K107" s="27" t="n">
        <v>12584</v>
      </c>
      <c r="L107" s="27" t="n">
        <v>14520</v>
      </c>
      <c r="M107" s="27" t="n">
        <v>14520</v>
      </c>
      <c r="N107" s="27" t="n">
        <v>14520</v>
      </c>
      <c r="O107" s="27" t="n">
        <v>14520</v>
      </c>
      <c r="P107" s="27" t="n">
        <v>9680</v>
      </c>
      <c r="Q107" s="27" t="n">
        <v>9680</v>
      </c>
      <c r="R107" s="27" t="n">
        <v>10648</v>
      </c>
      <c r="S107" s="27" t="n">
        <v>0</v>
      </c>
      <c r="T107" s="27" t="n">
        <v>0</v>
      </c>
      <c r="U107" s="27" t="n">
        <v>15972</v>
      </c>
      <c r="V107" s="27" t="n">
        <v>16940</v>
      </c>
      <c r="W107" s="27" t="n">
        <v>7260</v>
      </c>
      <c r="X107" s="27" t="n">
        <v>9680</v>
      </c>
      <c r="Y107" s="27" t="n">
        <v>9680</v>
      </c>
      <c r="Z107" s="27" t="n">
        <v>0</v>
      </c>
      <c r="AA107" s="27" t="n">
        <v>11616</v>
      </c>
      <c r="AB107" s="27" t="n">
        <v>7744</v>
      </c>
      <c r="AC107" s="27" t="n">
        <v>14520</v>
      </c>
      <c r="AD107" s="27" t="n">
        <v>9680</v>
      </c>
      <c r="AE107" s="27" t="n">
        <v>0</v>
      </c>
      <c r="AF107" s="27" t="n">
        <v>4840</v>
      </c>
      <c r="AG107" s="27" t="n">
        <v>9680</v>
      </c>
      <c r="AH107" s="27" t="n">
        <v>9680</v>
      </c>
      <c r="AI107" s="27" t="n">
        <v>9680</v>
      </c>
      <c r="AJ107" s="27" t="n">
        <v>9680</v>
      </c>
      <c r="AK107" s="27" t="n">
        <v>9680</v>
      </c>
      <c r="AL107" s="27" t="n">
        <v>9680</v>
      </c>
      <c r="AM107" s="27" t="n">
        <v>9680</v>
      </c>
      <c r="AN107" s="27" t="n">
        <v>9680</v>
      </c>
      <c r="AO107" s="27" t="n">
        <v>9680</v>
      </c>
      <c r="AP107" s="27" t="n">
        <v>9680</v>
      </c>
      <c r="AQ107" s="27" t="n">
        <v>9680</v>
      </c>
      <c r="AR107" s="27" t="n">
        <v>9680</v>
      </c>
      <c r="AS107" s="27" t="n">
        <v>9680</v>
      </c>
      <c r="AT107" s="27" t="n">
        <v>14520</v>
      </c>
      <c r="AU107" s="27" t="n">
        <v>14520</v>
      </c>
      <c r="AV107" s="27" t="n">
        <v>14520</v>
      </c>
      <c r="AW107" s="27" t="n">
        <v>14520</v>
      </c>
      <c r="AX107" s="27" t="n">
        <v>9680</v>
      </c>
      <c r="AY107" s="27" t="n">
        <v>9680</v>
      </c>
      <c r="AZ107" s="27" t="n">
        <v>4840</v>
      </c>
      <c r="BA107" s="27" t="n">
        <v>0</v>
      </c>
      <c r="BB107" s="27" t="n">
        <v>0</v>
      </c>
      <c r="BC107" s="27" t="n">
        <v>9680</v>
      </c>
      <c r="BD107" s="27" t="n">
        <v>9680</v>
      </c>
      <c r="BE107" s="27" t="n">
        <v>9680</v>
      </c>
      <c r="BF107" s="27" t="n">
        <v>9680</v>
      </c>
      <c r="BG107" s="27" t="n">
        <v>9680</v>
      </c>
      <c r="BH107" s="27" t="n">
        <v>9680</v>
      </c>
      <c r="BI107" s="27" t="n">
        <v>9680</v>
      </c>
      <c r="BJ107" s="27" t="n">
        <v>9680</v>
      </c>
      <c r="BK107" s="27" t="n">
        <v>9680</v>
      </c>
      <c r="BL107" s="27" t="n">
        <v>0</v>
      </c>
      <c r="BM107" s="27" t="n">
        <v>9680</v>
      </c>
      <c r="BN107" s="27" t="n">
        <v>0</v>
      </c>
      <c r="BO107" s="27" t="n">
        <v>4840</v>
      </c>
      <c r="BP107" s="27" t="n">
        <v>4840</v>
      </c>
      <c r="BQ107" s="27" t="n">
        <v>4840</v>
      </c>
      <c r="BR107" s="27" t="n">
        <v>4840</v>
      </c>
      <c r="BS107" s="27" t="n">
        <v>0</v>
      </c>
      <c r="BT107" s="27" t="n">
        <v>4840</v>
      </c>
      <c r="BU107" s="27" t="n">
        <v>4840</v>
      </c>
      <c r="BV107" s="27" t="n">
        <v>4840</v>
      </c>
      <c r="BW107" s="27" t="n">
        <v>4840</v>
      </c>
      <c r="BX107" s="27" t="n">
        <v>2904</v>
      </c>
      <c r="BY107" s="27" t="n">
        <v>0</v>
      </c>
      <c r="BZ107" s="27" t="n">
        <v>0</v>
      </c>
      <c r="CA107" s="27" t="n">
        <v>0</v>
      </c>
      <c r="CB107" s="27" t="n">
        <v>0</v>
      </c>
      <c r="CC107" s="27" t="n">
        <v>0</v>
      </c>
      <c r="CD107" s="27" t="n">
        <v>0</v>
      </c>
      <c r="CE107" s="27" t="n">
        <v>0</v>
      </c>
      <c r="CF107" s="27" t="n">
        <v>0</v>
      </c>
      <c r="CG107" s="27" t="n">
        <v>0</v>
      </c>
      <c r="CH107" s="27" t="n">
        <v>0</v>
      </c>
      <c r="CI107" s="27" t="n">
        <v>0</v>
      </c>
      <c r="CJ107" s="27" t="n">
        <v>0</v>
      </c>
      <c r="CK107" s="27" t="n">
        <v>0</v>
      </c>
      <c r="CL107" s="27" t="n">
        <v>0</v>
      </c>
      <c r="CM107" s="27" t="n">
        <v>0</v>
      </c>
      <c r="CN107" s="27" t="n">
        <v>0</v>
      </c>
      <c r="CO107" s="27" t="n">
        <v>0</v>
      </c>
      <c r="CP107" s="27" t="n">
        <v>0</v>
      </c>
      <c r="CQ107" s="27" t="n">
        <v>0</v>
      </c>
      <c r="CR107" s="27" t="n">
        <v>0</v>
      </c>
      <c r="CS107" s="27" t="n">
        <v>0</v>
      </c>
      <c r="CT107" s="27" t="n">
        <v>0</v>
      </c>
      <c r="CU107" s="27" t="n">
        <v>0</v>
      </c>
      <c r="CV107" s="27" t="n">
        <v>0</v>
      </c>
      <c r="CW107" s="27" t="n">
        <v>0</v>
      </c>
      <c r="CX107" s="27" t="n">
        <v>0</v>
      </c>
      <c r="CY107" s="27" t="n">
        <v>0</v>
      </c>
      <c r="CZ107" s="27" t="n">
        <v>0</v>
      </c>
      <c r="DA107" s="27" t="n">
        <v>0</v>
      </c>
    </row>
    <row r="108">
      <c r="A108" t="inlineStr">
        <is>
          <t>PP Film</t>
        </is>
      </c>
      <c r="B108" s="27" t="n">
        <v>0</v>
      </c>
      <c r="C108" s="27" t="n">
        <v>0</v>
      </c>
      <c r="D108" s="27" t="n">
        <v>0</v>
      </c>
      <c r="E108" s="27" t="n">
        <v>0</v>
      </c>
      <c r="F108" s="27" t="n">
        <v>0</v>
      </c>
      <c r="G108" s="27" t="n">
        <v>0</v>
      </c>
      <c r="H108" s="27" t="n">
        <v>0</v>
      </c>
      <c r="I108" s="27" t="n">
        <v>0</v>
      </c>
      <c r="J108" s="27" t="n">
        <v>0</v>
      </c>
      <c r="K108" s="27" t="n">
        <v>0</v>
      </c>
      <c r="L108" s="27" t="n">
        <v>0</v>
      </c>
      <c r="M108" s="27" t="n">
        <v>0</v>
      </c>
      <c r="N108" s="27" t="n">
        <v>0</v>
      </c>
      <c r="O108" s="27" t="n">
        <v>0</v>
      </c>
      <c r="P108" s="27" t="n">
        <v>0</v>
      </c>
      <c r="Q108" s="27" t="n">
        <v>0</v>
      </c>
      <c r="R108" s="27" t="n">
        <v>0</v>
      </c>
      <c r="S108" s="27" t="n">
        <v>0</v>
      </c>
      <c r="T108" s="27" t="n">
        <v>0</v>
      </c>
      <c r="U108" s="27" t="n">
        <v>0</v>
      </c>
      <c r="V108" s="27" t="n">
        <v>0</v>
      </c>
      <c r="W108" s="27" t="n">
        <v>0</v>
      </c>
      <c r="X108" s="27" t="n">
        <v>21</v>
      </c>
      <c r="Y108" s="27" t="n">
        <v>18</v>
      </c>
      <c r="Z108" s="27" t="n">
        <v>0</v>
      </c>
      <c r="AA108" s="27" t="n">
        <v>4</v>
      </c>
      <c r="AB108" s="27" t="n">
        <v>15</v>
      </c>
      <c r="AC108" s="27" t="n">
        <v>9</v>
      </c>
      <c r="AD108" s="27" t="n">
        <v>12</v>
      </c>
      <c r="AE108" s="27" t="n">
        <v>16</v>
      </c>
      <c r="AF108" s="27" t="n">
        <v>16</v>
      </c>
      <c r="AG108" s="27" t="n">
        <v>20</v>
      </c>
      <c r="AH108" s="27" t="n">
        <v>17</v>
      </c>
      <c r="AI108" s="27" t="n">
        <v>6</v>
      </c>
      <c r="AJ108" s="27" t="n">
        <v>12</v>
      </c>
      <c r="AK108" s="27" t="n">
        <v>7</v>
      </c>
      <c r="AL108" s="27" t="n">
        <v>13</v>
      </c>
      <c r="AM108" s="27" t="n">
        <v>19</v>
      </c>
      <c r="AN108" s="27" t="n">
        <v>16</v>
      </c>
      <c r="AO108" s="27" t="n">
        <v>16</v>
      </c>
      <c r="AP108" s="27" t="n">
        <v>18</v>
      </c>
      <c r="AQ108" s="27" t="n">
        <v>19</v>
      </c>
      <c r="AR108" s="27" t="n">
        <v>18</v>
      </c>
      <c r="AS108" s="27" t="n">
        <v>23</v>
      </c>
      <c r="AT108" s="27" t="n">
        <v>26</v>
      </c>
      <c r="AU108" s="27" t="n">
        <v>26</v>
      </c>
      <c r="AV108" s="27" t="n">
        <v>26</v>
      </c>
      <c r="AW108" s="27" t="n">
        <v>19</v>
      </c>
      <c r="AX108" s="27" t="n">
        <v>23</v>
      </c>
      <c r="AY108" s="27" t="n">
        <v>10</v>
      </c>
      <c r="AZ108" s="27" t="n">
        <v>10</v>
      </c>
      <c r="BA108" s="27" t="n">
        <v>0</v>
      </c>
      <c r="BB108" s="27" t="n">
        <v>0</v>
      </c>
      <c r="BC108" s="27" t="n">
        <v>13</v>
      </c>
      <c r="BD108" s="27" t="n">
        <v>16</v>
      </c>
      <c r="BE108" s="27" t="n">
        <v>24</v>
      </c>
      <c r="BF108" s="27" t="n">
        <v>16</v>
      </c>
      <c r="BG108" s="27" t="n">
        <v>19</v>
      </c>
      <c r="BH108" s="27" t="n">
        <v>15</v>
      </c>
      <c r="BI108" s="27" t="n">
        <v>10</v>
      </c>
      <c r="BJ108" s="27" t="n">
        <v>16</v>
      </c>
      <c r="BK108" s="27" t="n">
        <v>16</v>
      </c>
      <c r="BL108" s="27" t="n">
        <v>6</v>
      </c>
      <c r="BM108" s="27" t="n">
        <v>9</v>
      </c>
      <c r="BN108" s="27" t="n">
        <v>13</v>
      </c>
      <c r="BO108" s="27" t="n">
        <v>3</v>
      </c>
      <c r="BP108" s="27" t="n">
        <v>6</v>
      </c>
      <c r="BQ108" s="27" t="n">
        <v>9</v>
      </c>
      <c r="BR108" s="27" t="n">
        <v>11</v>
      </c>
      <c r="BS108" s="27" t="n">
        <v>0</v>
      </c>
      <c r="BT108" s="27" t="n">
        <v>5</v>
      </c>
      <c r="BU108" s="27" t="n">
        <v>0</v>
      </c>
      <c r="BV108" s="27" t="n">
        <v>0</v>
      </c>
      <c r="BW108" s="27" t="n">
        <v>0</v>
      </c>
      <c r="BX108" s="27" t="n">
        <v>0</v>
      </c>
      <c r="BY108" s="27" t="n">
        <v>0</v>
      </c>
      <c r="BZ108" s="27" t="n">
        <v>0</v>
      </c>
      <c r="CA108" s="27" t="n">
        <v>0</v>
      </c>
      <c r="CB108" s="27" t="n">
        <v>0</v>
      </c>
      <c r="CC108" s="27" t="n">
        <v>0</v>
      </c>
      <c r="CD108" s="27" t="n">
        <v>0</v>
      </c>
      <c r="CE108" s="27" t="n">
        <v>0</v>
      </c>
      <c r="CF108" s="27" t="n">
        <v>0</v>
      </c>
      <c r="CG108" s="27" t="n">
        <v>0</v>
      </c>
      <c r="CH108" s="27" t="n">
        <v>0</v>
      </c>
      <c r="CI108" s="27" t="n">
        <v>0</v>
      </c>
      <c r="CJ108" s="27" t="n">
        <v>0</v>
      </c>
      <c r="CK108" s="27" t="n">
        <v>0</v>
      </c>
      <c r="CL108" s="27" t="n">
        <v>0</v>
      </c>
      <c r="CM108" s="27" t="n">
        <v>0</v>
      </c>
      <c r="CN108" s="27" t="n">
        <v>0</v>
      </c>
      <c r="CO108" s="27" t="n">
        <v>0</v>
      </c>
      <c r="CP108" s="27" t="n">
        <v>0</v>
      </c>
      <c r="CQ108" s="27" t="n">
        <v>0</v>
      </c>
      <c r="CR108" s="27" t="n">
        <v>0</v>
      </c>
      <c r="CS108" s="27" t="n">
        <v>0</v>
      </c>
      <c r="CT108" s="27" t="n">
        <v>0</v>
      </c>
      <c r="CU108" s="27" t="n">
        <v>0</v>
      </c>
      <c r="CV108" s="27" t="n">
        <v>0</v>
      </c>
      <c r="CW108" s="27" t="n">
        <v>0</v>
      </c>
      <c r="CX108" s="27" t="n">
        <v>0</v>
      </c>
      <c r="CY108" s="27" t="n">
        <v>0</v>
      </c>
      <c r="CZ108" s="27" t="n">
        <v>0</v>
      </c>
      <c r="DA108" s="27" t="n">
        <v>0</v>
      </c>
    </row>
    <row r="109">
      <c r="A109" t="inlineStr">
        <is>
          <t>0T150</t>
        </is>
      </c>
      <c r="B109" s="27" t="n">
        <v>0</v>
      </c>
      <c r="C109" s="27" t="n">
        <v>0</v>
      </c>
      <c r="D109" s="27" t="n">
        <v>0</v>
      </c>
      <c r="E109" s="27" t="n">
        <v>0</v>
      </c>
      <c r="F109" s="27" t="n">
        <v>0</v>
      </c>
      <c r="G109" s="27" t="n">
        <v>0</v>
      </c>
      <c r="H109" s="27" t="n">
        <v>0</v>
      </c>
      <c r="I109" s="27" t="n">
        <v>0</v>
      </c>
      <c r="J109" s="27" t="n">
        <v>0</v>
      </c>
      <c r="K109" s="27" t="n">
        <v>0</v>
      </c>
      <c r="L109" s="27" t="n">
        <v>0</v>
      </c>
      <c r="M109" s="27" t="n">
        <v>0</v>
      </c>
      <c r="N109" s="27" t="n">
        <v>0</v>
      </c>
      <c r="O109" s="27" t="n">
        <v>0</v>
      </c>
      <c r="P109" s="27" t="n">
        <v>0</v>
      </c>
      <c r="Q109" s="27" t="n">
        <v>0</v>
      </c>
      <c r="R109" s="27" t="n">
        <v>0</v>
      </c>
      <c r="S109" s="27" t="n">
        <v>0</v>
      </c>
      <c r="T109" s="27" t="n">
        <v>0</v>
      </c>
      <c r="U109" s="27" t="n">
        <v>0</v>
      </c>
      <c r="V109" s="27" t="n">
        <v>0</v>
      </c>
      <c r="W109" s="27" t="n">
        <v>0</v>
      </c>
      <c r="X109" s="27" t="n">
        <v>0</v>
      </c>
      <c r="Y109" s="27" t="n">
        <v>0</v>
      </c>
      <c r="Z109" s="27" t="n">
        <v>0</v>
      </c>
      <c r="AA109" s="27" t="n">
        <v>0</v>
      </c>
      <c r="AB109" s="27" t="n">
        <v>0</v>
      </c>
      <c r="AC109" s="27" t="n">
        <v>0</v>
      </c>
      <c r="AD109" s="27" t="n">
        <v>0</v>
      </c>
      <c r="AE109" s="27" t="n">
        <v>0</v>
      </c>
      <c r="AF109" s="27" t="n">
        <v>0</v>
      </c>
      <c r="AG109" s="27" t="n">
        <v>0</v>
      </c>
      <c r="AH109" s="27" t="n">
        <v>0</v>
      </c>
      <c r="AI109" s="27" t="n">
        <v>0</v>
      </c>
      <c r="AJ109" s="27" t="n">
        <v>0</v>
      </c>
      <c r="AK109" s="27" t="n">
        <v>0</v>
      </c>
      <c r="AL109" s="27" t="n">
        <v>0</v>
      </c>
      <c r="AM109" s="27" t="n">
        <v>0</v>
      </c>
      <c r="AN109" s="27" t="n">
        <v>0</v>
      </c>
      <c r="AO109" s="27" t="n">
        <v>0</v>
      </c>
      <c r="AP109" s="27" t="n">
        <v>0</v>
      </c>
      <c r="AQ109" s="27" t="n">
        <v>0</v>
      </c>
      <c r="AR109" s="27" t="n">
        <v>0</v>
      </c>
      <c r="AS109" s="27" t="n">
        <v>0</v>
      </c>
      <c r="AT109" s="27" t="n">
        <v>0</v>
      </c>
      <c r="AU109" s="27" t="n">
        <v>0</v>
      </c>
      <c r="AV109" s="27" t="n">
        <v>0</v>
      </c>
      <c r="AW109" s="27" t="n">
        <v>0</v>
      </c>
      <c r="AX109" s="27" t="n">
        <v>0</v>
      </c>
      <c r="AY109" s="27" t="n">
        <v>0</v>
      </c>
      <c r="AZ109" s="27" t="n">
        <v>0</v>
      </c>
      <c r="BA109" s="27" t="n">
        <v>0</v>
      </c>
      <c r="BB109" s="27" t="n">
        <v>0</v>
      </c>
      <c r="BC109" s="27" t="n">
        <v>0</v>
      </c>
      <c r="BD109" s="27" t="n">
        <v>0</v>
      </c>
      <c r="BE109" s="27" t="n">
        <v>0</v>
      </c>
      <c r="BF109" s="27" t="n">
        <v>0</v>
      </c>
      <c r="BG109" s="27" t="n">
        <v>0</v>
      </c>
      <c r="BH109" s="27" t="n">
        <v>0</v>
      </c>
      <c r="BI109" s="27" t="n">
        <v>0</v>
      </c>
      <c r="BJ109" s="27" t="n">
        <v>0</v>
      </c>
      <c r="BK109" s="27" t="n">
        <v>0</v>
      </c>
      <c r="BL109" s="27" t="n">
        <v>0</v>
      </c>
      <c r="BM109" s="27" t="n">
        <v>0</v>
      </c>
      <c r="BN109" s="27" t="n">
        <v>0</v>
      </c>
      <c r="BO109" s="27" t="n">
        <v>0</v>
      </c>
      <c r="BP109" s="27" t="n">
        <v>0</v>
      </c>
      <c r="BQ109" s="27" t="n">
        <v>0</v>
      </c>
      <c r="BR109" s="27" t="n">
        <v>0</v>
      </c>
      <c r="BS109" s="27" t="n">
        <v>0</v>
      </c>
      <c r="BT109" s="27" t="n">
        <v>0</v>
      </c>
      <c r="BU109" s="27" t="n">
        <v>0</v>
      </c>
      <c r="BV109" s="27" t="n">
        <v>0</v>
      </c>
      <c r="BW109" s="27" t="n">
        <v>0</v>
      </c>
      <c r="BX109" s="27" t="n">
        <v>0</v>
      </c>
      <c r="BY109" s="27" t="n">
        <v>0</v>
      </c>
      <c r="BZ109" s="27" t="n">
        <v>0</v>
      </c>
      <c r="CA109" s="27" t="n">
        <v>0</v>
      </c>
      <c r="CB109" s="27" t="n">
        <v>0</v>
      </c>
      <c r="CC109" s="27" t="n">
        <v>0</v>
      </c>
      <c r="CD109" s="27" t="n">
        <v>0</v>
      </c>
      <c r="CE109" s="27" t="n">
        <v>0</v>
      </c>
      <c r="CF109" s="27" t="n">
        <v>0</v>
      </c>
      <c r="CG109" s="27" t="n">
        <v>0</v>
      </c>
      <c r="CH109" s="27" t="n">
        <v>0</v>
      </c>
      <c r="CI109" s="27" t="n">
        <v>0</v>
      </c>
      <c r="CJ109" s="27" t="n">
        <v>0</v>
      </c>
      <c r="CK109" s="27" t="n">
        <v>0</v>
      </c>
      <c r="CL109" s="27" t="n">
        <v>0</v>
      </c>
      <c r="CM109" s="27" t="n">
        <v>0</v>
      </c>
      <c r="CN109" s="27" t="n">
        <v>0</v>
      </c>
      <c r="CO109" s="27" t="n">
        <v>0</v>
      </c>
      <c r="CP109" s="27" t="n">
        <v>0</v>
      </c>
      <c r="CQ109" s="27" t="n">
        <v>0</v>
      </c>
      <c r="CR109" s="27" t="n">
        <v>0</v>
      </c>
      <c r="CS109" s="27" t="n">
        <v>0</v>
      </c>
      <c r="CT109" s="27" t="n">
        <v>0</v>
      </c>
      <c r="CU109" s="27" t="n">
        <v>0</v>
      </c>
      <c r="CV109" s="27" t="n">
        <v>0</v>
      </c>
      <c r="CW109" s="27" t="n">
        <v>0</v>
      </c>
      <c r="CX109" s="27" t="n">
        <v>0</v>
      </c>
      <c r="CY109" s="27" t="n">
        <v>0</v>
      </c>
      <c r="CZ109" s="27" t="n">
        <v>0</v>
      </c>
      <c r="DA109" s="27" t="n">
        <v>0</v>
      </c>
    </row>
    <row r="110">
      <c r="A110" t="inlineStr">
        <is>
          <t>0T160</t>
        </is>
      </c>
      <c r="B110" s="27" t="n">
        <v>0</v>
      </c>
      <c r="C110" s="27" t="n">
        <v>0</v>
      </c>
      <c r="D110" s="27" t="n">
        <v>0</v>
      </c>
      <c r="E110" s="27" t="n">
        <v>0</v>
      </c>
      <c r="F110" s="27" t="n">
        <v>0</v>
      </c>
      <c r="G110" s="27" t="n">
        <v>0</v>
      </c>
      <c r="H110" s="27" t="n">
        <v>0</v>
      </c>
      <c r="I110" s="27" t="n">
        <v>0</v>
      </c>
      <c r="J110" s="27" t="n">
        <v>0</v>
      </c>
      <c r="K110" s="27" t="n">
        <v>0</v>
      </c>
      <c r="L110" s="27" t="n">
        <v>0</v>
      </c>
      <c r="M110" s="27" t="n">
        <v>0</v>
      </c>
      <c r="N110" s="27" t="n">
        <v>0</v>
      </c>
      <c r="O110" s="27" t="n">
        <v>0</v>
      </c>
      <c r="P110" s="27" t="n">
        <v>0</v>
      </c>
      <c r="Q110" s="27" t="n">
        <v>0</v>
      </c>
      <c r="R110" s="27" t="n">
        <v>0</v>
      </c>
      <c r="S110" s="27" t="n">
        <v>0</v>
      </c>
      <c r="T110" s="27" t="n">
        <v>0</v>
      </c>
      <c r="U110" s="27" t="n">
        <v>0</v>
      </c>
      <c r="V110" s="27" t="n">
        <v>0</v>
      </c>
      <c r="W110" s="27" t="n">
        <v>0</v>
      </c>
      <c r="X110" s="27" t="n">
        <v>0</v>
      </c>
      <c r="Y110" s="27" t="n">
        <v>0</v>
      </c>
      <c r="Z110" s="27" t="n">
        <v>0</v>
      </c>
      <c r="AA110" s="27" t="n">
        <v>0</v>
      </c>
      <c r="AB110" s="27" t="n">
        <v>0</v>
      </c>
      <c r="AC110" s="27" t="n">
        <v>0</v>
      </c>
      <c r="AD110" s="27" t="n">
        <v>0</v>
      </c>
      <c r="AE110" s="27" t="n">
        <v>0</v>
      </c>
      <c r="AF110" s="27" t="n">
        <v>0</v>
      </c>
      <c r="AG110" s="27" t="n">
        <v>0</v>
      </c>
      <c r="AH110" s="27" t="n">
        <v>0</v>
      </c>
      <c r="AI110" s="27" t="n">
        <v>0</v>
      </c>
      <c r="AJ110" s="27" t="n">
        <v>0</v>
      </c>
      <c r="AK110" s="27" t="n">
        <v>0</v>
      </c>
      <c r="AL110" s="27" t="n">
        <v>0</v>
      </c>
      <c r="AM110" s="27" t="n">
        <v>0</v>
      </c>
      <c r="AN110" s="27" t="n">
        <v>0</v>
      </c>
      <c r="AO110" s="27" t="n">
        <v>0</v>
      </c>
      <c r="AP110" s="27" t="n">
        <v>0</v>
      </c>
      <c r="AQ110" s="27" t="n">
        <v>0</v>
      </c>
      <c r="AR110" s="27" t="n">
        <v>0</v>
      </c>
      <c r="AS110" s="27" t="n">
        <v>0</v>
      </c>
      <c r="AT110" s="27" t="n">
        <v>0</v>
      </c>
      <c r="AU110" s="27" t="n">
        <v>0</v>
      </c>
      <c r="AV110" s="27" t="n">
        <v>0</v>
      </c>
      <c r="AW110" s="27" t="n">
        <v>0</v>
      </c>
      <c r="AX110" s="27" t="n">
        <v>0</v>
      </c>
      <c r="AY110" s="27" t="n">
        <v>0</v>
      </c>
      <c r="AZ110" s="27" t="n">
        <v>0</v>
      </c>
      <c r="BA110" s="27" t="n">
        <v>0</v>
      </c>
      <c r="BB110" s="27" t="n">
        <v>0</v>
      </c>
      <c r="BC110" s="27" t="n">
        <v>0</v>
      </c>
      <c r="BD110" s="27" t="n">
        <v>0</v>
      </c>
      <c r="BE110" s="27" t="n">
        <v>0</v>
      </c>
      <c r="BF110" s="27" t="n">
        <v>0</v>
      </c>
      <c r="BG110" s="27" t="n">
        <v>0</v>
      </c>
      <c r="BH110" s="27" t="n">
        <v>0</v>
      </c>
      <c r="BI110" s="27" t="n">
        <v>0</v>
      </c>
      <c r="BJ110" s="27" t="n">
        <v>0</v>
      </c>
      <c r="BK110" s="27" t="n">
        <v>0</v>
      </c>
      <c r="BL110" s="27" t="n">
        <v>0</v>
      </c>
      <c r="BM110" s="27" t="n">
        <v>0</v>
      </c>
      <c r="BN110" s="27" t="n">
        <v>0</v>
      </c>
      <c r="BO110" s="27" t="n">
        <v>0</v>
      </c>
      <c r="BP110" s="27" t="n">
        <v>0</v>
      </c>
      <c r="BQ110" s="27" t="n">
        <v>0</v>
      </c>
      <c r="BR110" s="27" t="n">
        <v>0</v>
      </c>
      <c r="BS110" s="27" t="n">
        <v>0</v>
      </c>
      <c r="BT110" s="27" t="n">
        <v>0</v>
      </c>
      <c r="BU110" s="27" t="n">
        <v>0</v>
      </c>
      <c r="BV110" s="27" t="n">
        <v>0</v>
      </c>
      <c r="BW110" s="27" t="n">
        <v>0</v>
      </c>
      <c r="BX110" s="27" t="n">
        <v>0</v>
      </c>
      <c r="BY110" s="27" t="n">
        <v>0</v>
      </c>
      <c r="BZ110" s="27" t="n">
        <v>0</v>
      </c>
      <c r="CA110" s="27" t="n">
        <v>0</v>
      </c>
      <c r="CB110" s="27" t="n">
        <v>0</v>
      </c>
      <c r="CC110" s="27" t="n">
        <v>0</v>
      </c>
      <c r="CD110" s="27" t="n">
        <v>0</v>
      </c>
      <c r="CE110" s="27" t="n">
        <v>0</v>
      </c>
      <c r="CF110" s="27" t="n">
        <v>0</v>
      </c>
      <c r="CG110" s="27" t="n">
        <v>0</v>
      </c>
      <c r="CH110" s="27" t="n">
        <v>0</v>
      </c>
      <c r="CI110" s="27" t="n">
        <v>0</v>
      </c>
      <c r="CJ110" s="27" t="n">
        <v>0</v>
      </c>
      <c r="CK110" s="27" t="n">
        <v>0</v>
      </c>
      <c r="CL110" s="27" t="n">
        <v>0</v>
      </c>
      <c r="CM110" s="27" t="n">
        <v>0</v>
      </c>
      <c r="CN110" s="27" t="n">
        <v>0</v>
      </c>
      <c r="CO110" s="27" t="n">
        <v>0</v>
      </c>
      <c r="CP110" s="27" t="n">
        <v>0</v>
      </c>
      <c r="CQ110" s="27" t="n">
        <v>0</v>
      </c>
      <c r="CR110" s="27" t="n">
        <v>0</v>
      </c>
      <c r="CS110" s="27" t="n">
        <v>0</v>
      </c>
      <c r="CT110" s="27" t="n">
        <v>0</v>
      </c>
      <c r="CU110" s="27" t="n">
        <v>0</v>
      </c>
      <c r="CV110" s="27" t="n">
        <v>0</v>
      </c>
      <c r="CW110" s="27" t="n">
        <v>0</v>
      </c>
      <c r="CX110" s="27" t="n">
        <v>0</v>
      </c>
      <c r="CY110" s="27" t="n">
        <v>0</v>
      </c>
      <c r="CZ110" s="27" t="n">
        <v>0</v>
      </c>
      <c r="DA110" s="27" t="n">
        <v>0</v>
      </c>
    </row>
    <row r="111">
      <c r="A111" t="inlineStr">
        <is>
          <t>0T410</t>
        </is>
      </c>
      <c r="B111" s="27" t="n">
        <v>0</v>
      </c>
      <c r="C111" s="27" t="n">
        <v>0</v>
      </c>
      <c r="D111" s="27" t="n">
        <v>0</v>
      </c>
      <c r="E111" s="27" t="n">
        <v>0</v>
      </c>
      <c r="F111" s="27" t="n">
        <v>0</v>
      </c>
      <c r="G111" s="27" t="n">
        <v>0</v>
      </c>
      <c r="H111" s="27" t="n">
        <v>0</v>
      </c>
      <c r="I111" s="27" t="n">
        <v>0</v>
      </c>
      <c r="J111" s="27" t="n">
        <v>0</v>
      </c>
      <c r="K111" s="27" t="n">
        <v>0</v>
      </c>
      <c r="L111" s="27" t="n">
        <v>0</v>
      </c>
      <c r="M111" s="27" t="n">
        <v>0</v>
      </c>
      <c r="N111" s="27" t="n">
        <v>0</v>
      </c>
      <c r="O111" s="27" t="n">
        <v>0</v>
      </c>
      <c r="P111" s="27" t="n">
        <v>0</v>
      </c>
      <c r="Q111" s="27" t="n">
        <v>0</v>
      </c>
      <c r="R111" s="27" t="n">
        <v>0</v>
      </c>
      <c r="S111" s="27" t="n">
        <v>0</v>
      </c>
      <c r="T111" s="27" t="n">
        <v>0</v>
      </c>
      <c r="U111" s="27" t="n">
        <v>0</v>
      </c>
      <c r="V111" s="27" t="n">
        <v>0</v>
      </c>
      <c r="W111" s="27" t="n">
        <v>0</v>
      </c>
      <c r="X111" s="27" t="n">
        <v>0</v>
      </c>
      <c r="Y111" s="27" t="n">
        <v>0</v>
      </c>
      <c r="Z111" s="27" t="n">
        <v>0</v>
      </c>
      <c r="AA111" s="27" t="n">
        <v>0</v>
      </c>
      <c r="AB111" s="27" t="n">
        <v>0</v>
      </c>
      <c r="AC111" s="27" t="n">
        <v>0</v>
      </c>
      <c r="AD111" s="27" t="n">
        <v>0</v>
      </c>
      <c r="AE111" s="27" t="n">
        <v>0</v>
      </c>
      <c r="AF111" s="27" t="n">
        <v>0</v>
      </c>
      <c r="AG111" s="27" t="n">
        <v>0</v>
      </c>
      <c r="AH111" s="27" t="n">
        <v>0</v>
      </c>
      <c r="AI111" s="27" t="n">
        <v>0</v>
      </c>
      <c r="AJ111" s="27" t="n">
        <v>0</v>
      </c>
      <c r="AK111" s="27" t="n">
        <v>0</v>
      </c>
      <c r="AL111" s="27" t="n">
        <v>0</v>
      </c>
      <c r="AM111" s="27" t="n">
        <v>0</v>
      </c>
      <c r="AN111" s="27" t="n">
        <v>0</v>
      </c>
      <c r="AO111" s="27" t="n">
        <v>0</v>
      </c>
      <c r="AP111" s="27" t="n">
        <v>0</v>
      </c>
      <c r="AQ111" s="27" t="n">
        <v>0</v>
      </c>
      <c r="AR111" s="27" t="n">
        <v>0</v>
      </c>
      <c r="AS111" s="27" t="n">
        <v>0</v>
      </c>
      <c r="AT111" s="27" t="n">
        <v>0</v>
      </c>
      <c r="AU111" s="27" t="n">
        <v>0</v>
      </c>
      <c r="AV111" s="27" t="n">
        <v>0</v>
      </c>
      <c r="AW111" s="27" t="n">
        <v>0</v>
      </c>
      <c r="AX111" s="27" t="n">
        <v>0</v>
      </c>
      <c r="AY111" s="27" t="n">
        <v>0</v>
      </c>
      <c r="AZ111" s="27" t="n">
        <v>0</v>
      </c>
      <c r="BA111" s="27" t="n">
        <v>0</v>
      </c>
      <c r="BB111" s="27" t="n">
        <v>0</v>
      </c>
      <c r="BC111" s="27" t="n">
        <v>0</v>
      </c>
      <c r="BD111" s="27" t="n">
        <v>0</v>
      </c>
      <c r="BE111" s="27" t="n">
        <v>0</v>
      </c>
      <c r="BF111" s="27" t="n">
        <v>0</v>
      </c>
      <c r="BG111" s="27" t="n">
        <v>0</v>
      </c>
      <c r="BH111" s="27" t="n">
        <v>0</v>
      </c>
      <c r="BI111" s="27" t="n">
        <v>0</v>
      </c>
      <c r="BJ111" s="27" t="n">
        <v>0</v>
      </c>
      <c r="BK111" s="27" t="n">
        <v>0</v>
      </c>
      <c r="BL111" s="27" t="n">
        <v>0</v>
      </c>
      <c r="BM111" s="27" t="n">
        <v>0</v>
      </c>
      <c r="BN111" s="27" t="n">
        <v>0</v>
      </c>
      <c r="BO111" s="27" t="n">
        <v>0</v>
      </c>
      <c r="BP111" s="27" t="n">
        <v>0</v>
      </c>
      <c r="BQ111" s="27" t="n">
        <v>0</v>
      </c>
      <c r="BR111" s="27" t="n">
        <v>0</v>
      </c>
      <c r="BS111" s="27" t="n">
        <v>0</v>
      </c>
      <c r="BT111" s="27" t="n">
        <v>0</v>
      </c>
      <c r="BU111" s="27" t="n">
        <v>0</v>
      </c>
      <c r="BV111" s="27" t="n">
        <v>0</v>
      </c>
      <c r="BW111" s="27" t="n">
        <v>0</v>
      </c>
      <c r="BX111" s="27" t="n">
        <v>0</v>
      </c>
      <c r="BY111" s="27" t="n">
        <v>0</v>
      </c>
      <c r="BZ111" s="27" t="n">
        <v>0</v>
      </c>
      <c r="CA111" s="27" t="n">
        <v>0</v>
      </c>
      <c r="CB111" s="27" t="n">
        <v>0</v>
      </c>
      <c r="CC111" s="27" t="n">
        <v>0</v>
      </c>
      <c r="CD111" s="27" t="n">
        <v>0</v>
      </c>
      <c r="CE111" s="27" t="n">
        <v>0</v>
      </c>
      <c r="CF111" s="27" t="n">
        <v>0</v>
      </c>
      <c r="CG111" s="27" t="n">
        <v>0</v>
      </c>
      <c r="CH111" s="27" t="n">
        <v>0</v>
      </c>
      <c r="CI111" s="27" t="n">
        <v>0</v>
      </c>
      <c r="CJ111" s="27" t="n">
        <v>0</v>
      </c>
      <c r="CK111" s="27" t="n">
        <v>0</v>
      </c>
      <c r="CL111" s="27" t="n">
        <v>0</v>
      </c>
      <c r="CM111" s="27" t="n">
        <v>0</v>
      </c>
      <c r="CN111" s="27" t="n">
        <v>0</v>
      </c>
      <c r="CO111" s="27" t="n">
        <v>0</v>
      </c>
      <c r="CP111" s="27" t="n">
        <v>0</v>
      </c>
      <c r="CQ111" s="27" t="n">
        <v>0</v>
      </c>
      <c r="CR111" s="27" t="n">
        <v>0</v>
      </c>
      <c r="CS111" s="27" t="n">
        <v>0</v>
      </c>
      <c r="CT111" s="27" t="n">
        <v>0</v>
      </c>
      <c r="CU111" s="27" t="n">
        <v>0</v>
      </c>
      <c r="CV111" s="27" t="n">
        <v>0</v>
      </c>
      <c r="CW111" s="27" t="n">
        <v>0</v>
      </c>
      <c r="CX111" s="27" t="n">
        <v>0</v>
      </c>
      <c r="CY111" s="27" t="n">
        <v>0</v>
      </c>
      <c r="CZ111" s="27" t="n">
        <v>0</v>
      </c>
      <c r="DA111" s="27" t="n">
        <v>0</v>
      </c>
    </row>
    <row r="112">
      <c r="A112" t="inlineStr">
        <is>
          <t>0T420</t>
        </is>
      </c>
      <c r="B112" s="27" t="n">
        <v>0</v>
      </c>
      <c r="C112" s="27" t="n">
        <v>0</v>
      </c>
      <c r="D112" s="27" t="n">
        <v>0</v>
      </c>
      <c r="E112" s="27" t="n">
        <v>0</v>
      </c>
      <c r="F112" s="27" t="n">
        <v>0</v>
      </c>
      <c r="G112" s="27" t="n">
        <v>0</v>
      </c>
      <c r="H112" s="27" t="n">
        <v>0</v>
      </c>
      <c r="I112" s="27" t="n">
        <v>0</v>
      </c>
      <c r="J112" s="27" t="n">
        <v>0</v>
      </c>
      <c r="K112" s="27" t="n">
        <v>0</v>
      </c>
      <c r="L112" s="27" t="n">
        <v>0</v>
      </c>
      <c r="M112" s="27" t="n">
        <v>0</v>
      </c>
      <c r="N112" s="27" t="n">
        <v>0</v>
      </c>
      <c r="O112" s="27" t="n">
        <v>0</v>
      </c>
      <c r="P112" s="27" t="n">
        <v>0</v>
      </c>
      <c r="Q112" s="27" t="n">
        <v>0</v>
      </c>
      <c r="R112" s="27" t="n">
        <v>0</v>
      </c>
      <c r="S112" s="27" t="n">
        <v>0</v>
      </c>
      <c r="T112" s="27" t="n">
        <v>0</v>
      </c>
      <c r="U112" s="27" t="n">
        <v>0</v>
      </c>
      <c r="V112" s="27" t="n">
        <v>0</v>
      </c>
      <c r="W112" s="27" t="n">
        <v>0</v>
      </c>
      <c r="X112" s="27" t="n">
        <v>0</v>
      </c>
      <c r="Y112" s="27" t="n">
        <v>0</v>
      </c>
      <c r="Z112" s="27" t="n">
        <v>0</v>
      </c>
      <c r="AA112" s="27" t="n">
        <v>0</v>
      </c>
      <c r="AB112" s="27" t="n">
        <v>0</v>
      </c>
      <c r="AC112" s="27" t="n">
        <v>0</v>
      </c>
      <c r="AD112" s="27" t="n">
        <v>0</v>
      </c>
      <c r="AE112" s="27" t="n">
        <v>0</v>
      </c>
      <c r="AF112" s="27" t="n">
        <v>0</v>
      </c>
      <c r="AG112" s="27" t="n">
        <v>0</v>
      </c>
      <c r="AH112" s="27" t="n">
        <v>0</v>
      </c>
      <c r="AI112" s="27" t="n">
        <v>0</v>
      </c>
      <c r="AJ112" s="27" t="n">
        <v>0</v>
      </c>
      <c r="AK112" s="27" t="n">
        <v>0</v>
      </c>
      <c r="AL112" s="27" t="n">
        <v>0</v>
      </c>
      <c r="AM112" s="27" t="n">
        <v>0</v>
      </c>
      <c r="AN112" s="27" t="n">
        <v>0</v>
      </c>
      <c r="AO112" s="27" t="n">
        <v>0</v>
      </c>
      <c r="AP112" s="27" t="n">
        <v>0</v>
      </c>
      <c r="AQ112" s="27" t="n">
        <v>0</v>
      </c>
      <c r="AR112" s="27" t="n">
        <v>0</v>
      </c>
      <c r="AS112" s="27" t="n">
        <v>0</v>
      </c>
      <c r="AT112" s="27" t="n">
        <v>0</v>
      </c>
      <c r="AU112" s="27" t="n">
        <v>0</v>
      </c>
      <c r="AV112" s="27" t="n">
        <v>0</v>
      </c>
      <c r="AW112" s="27" t="n">
        <v>0</v>
      </c>
      <c r="AX112" s="27" t="n">
        <v>0</v>
      </c>
      <c r="AY112" s="27" t="n">
        <v>0</v>
      </c>
      <c r="AZ112" s="27" t="n">
        <v>0</v>
      </c>
      <c r="BA112" s="27" t="n">
        <v>0</v>
      </c>
      <c r="BB112" s="27" t="n">
        <v>0</v>
      </c>
      <c r="BC112" s="27" t="n">
        <v>0</v>
      </c>
      <c r="BD112" s="27" t="n">
        <v>0</v>
      </c>
      <c r="BE112" s="27" t="n">
        <v>0</v>
      </c>
      <c r="BF112" s="27" t="n">
        <v>0</v>
      </c>
      <c r="BG112" s="27" t="n">
        <v>0</v>
      </c>
      <c r="BH112" s="27" t="n">
        <v>0</v>
      </c>
      <c r="BI112" s="27" t="n">
        <v>0</v>
      </c>
      <c r="BJ112" s="27" t="n">
        <v>0</v>
      </c>
      <c r="BK112" s="27" t="n">
        <v>0</v>
      </c>
      <c r="BL112" s="27" t="n">
        <v>0</v>
      </c>
      <c r="BM112" s="27" t="n">
        <v>0</v>
      </c>
      <c r="BN112" s="27" t="n">
        <v>0</v>
      </c>
      <c r="BO112" s="27" t="n">
        <v>0</v>
      </c>
      <c r="BP112" s="27" t="n">
        <v>0</v>
      </c>
      <c r="BQ112" s="27" t="n">
        <v>0</v>
      </c>
      <c r="BR112" s="27" t="n">
        <v>0</v>
      </c>
      <c r="BS112" s="27" t="n">
        <v>0</v>
      </c>
      <c r="BT112" s="27" t="n">
        <v>0</v>
      </c>
      <c r="BU112" s="27" t="n">
        <v>0</v>
      </c>
      <c r="BV112" s="27" t="n">
        <v>0</v>
      </c>
      <c r="BW112" s="27" t="n">
        <v>0</v>
      </c>
      <c r="BX112" s="27" t="n">
        <v>0</v>
      </c>
      <c r="BY112" s="27" t="n">
        <v>0</v>
      </c>
      <c r="BZ112" s="27" t="n">
        <v>0</v>
      </c>
      <c r="CA112" s="27" t="n">
        <v>0</v>
      </c>
      <c r="CB112" s="27" t="n">
        <v>0</v>
      </c>
      <c r="CC112" s="27" t="n">
        <v>0</v>
      </c>
      <c r="CD112" s="27" t="n">
        <v>0</v>
      </c>
      <c r="CE112" s="27" t="n">
        <v>0</v>
      </c>
      <c r="CF112" s="27" t="n">
        <v>0</v>
      </c>
      <c r="CG112" s="27" t="n">
        <v>0</v>
      </c>
      <c r="CH112" s="27" t="n">
        <v>0</v>
      </c>
      <c r="CI112" s="27" t="n">
        <v>0</v>
      </c>
      <c r="CJ112" s="27" t="n">
        <v>0</v>
      </c>
      <c r="CK112" s="27" t="n">
        <v>0</v>
      </c>
      <c r="CL112" s="27" t="n">
        <v>0</v>
      </c>
      <c r="CM112" s="27" t="n">
        <v>0</v>
      </c>
      <c r="CN112" s="27" t="n">
        <v>0</v>
      </c>
      <c r="CO112" s="27" t="n">
        <v>0</v>
      </c>
      <c r="CP112" s="27" t="n">
        <v>0</v>
      </c>
      <c r="CQ112" s="27" t="n">
        <v>0</v>
      </c>
      <c r="CR112" s="27" t="n">
        <v>0</v>
      </c>
      <c r="CS112" s="27" t="n">
        <v>0</v>
      </c>
      <c r="CT112" s="27" t="n">
        <v>0</v>
      </c>
      <c r="CU112" s="27" t="n">
        <v>0</v>
      </c>
      <c r="CV112" s="27" t="n">
        <v>0</v>
      </c>
      <c r="CW112" s="27" t="n">
        <v>0</v>
      </c>
      <c r="CX112" s="27" t="n">
        <v>0</v>
      </c>
      <c r="CY112" s="27" t="n">
        <v>0</v>
      </c>
      <c r="CZ112" s="27" t="n">
        <v>0</v>
      </c>
      <c r="DA112" s="27" t="n">
        <v>0</v>
      </c>
    </row>
    <row r="113">
      <c r="A113" t="inlineStr">
        <is>
          <t>0T470</t>
        </is>
      </c>
      <c r="B113" s="27" t="n">
        <v>0</v>
      </c>
      <c r="C113" s="27" t="n">
        <v>0</v>
      </c>
      <c r="D113" s="27" t="n">
        <v>0</v>
      </c>
      <c r="E113" s="27" t="n">
        <v>0</v>
      </c>
      <c r="F113" s="27" t="n">
        <v>0</v>
      </c>
      <c r="G113" s="27" t="n">
        <v>0</v>
      </c>
      <c r="H113" s="27" t="n">
        <v>0</v>
      </c>
      <c r="I113" s="27" t="n">
        <v>0</v>
      </c>
      <c r="J113" s="27" t="n">
        <v>0</v>
      </c>
      <c r="K113" s="27" t="n">
        <v>0</v>
      </c>
      <c r="L113" s="27" t="n">
        <v>0</v>
      </c>
      <c r="M113" s="27" t="n">
        <v>0</v>
      </c>
      <c r="N113" s="27" t="n">
        <v>0</v>
      </c>
      <c r="O113" s="27" t="n">
        <v>0</v>
      </c>
      <c r="P113" s="27" t="n">
        <v>0</v>
      </c>
      <c r="Q113" s="27" t="n">
        <v>0</v>
      </c>
      <c r="R113" s="27" t="n">
        <v>0</v>
      </c>
      <c r="S113" s="27" t="n">
        <v>0</v>
      </c>
      <c r="T113" s="27" t="n">
        <v>0</v>
      </c>
      <c r="U113" s="27" t="n">
        <v>0</v>
      </c>
      <c r="V113" s="27" t="n">
        <v>0</v>
      </c>
      <c r="W113" s="27" t="n">
        <v>0</v>
      </c>
      <c r="X113" s="27" t="n">
        <v>0</v>
      </c>
      <c r="Y113" s="27" t="n">
        <v>0</v>
      </c>
      <c r="Z113" s="27" t="n">
        <v>0</v>
      </c>
      <c r="AA113" s="27" t="n">
        <v>0</v>
      </c>
      <c r="AB113" s="27" t="n">
        <v>0</v>
      </c>
      <c r="AC113" s="27" t="n">
        <v>0</v>
      </c>
      <c r="AD113" s="27" t="n">
        <v>0</v>
      </c>
      <c r="AE113" s="27" t="n">
        <v>0</v>
      </c>
      <c r="AF113" s="27" t="n">
        <v>0</v>
      </c>
      <c r="AG113" s="27" t="n">
        <v>0</v>
      </c>
      <c r="AH113" s="27" t="n">
        <v>0</v>
      </c>
      <c r="AI113" s="27" t="n">
        <v>0</v>
      </c>
      <c r="AJ113" s="27" t="n">
        <v>0</v>
      </c>
      <c r="AK113" s="27" t="n">
        <v>0</v>
      </c>
      <c r="AL113" s="27" t="n">
        <v>0</v>
      </c>
      <c r="AM113" s="27" t="n">
        <v>0</v>
      </c>
      <c r="AN113" s="27" t="n">
        <v>0</v>
      </c>
      <c r="AO113" s="27" t="n">
        <v>0</v>
      </c>
      <c r="AP113" s="27" t="n">
        <v>0</v>
      </c>
      <c r="AQ113" s="27" t="n">
        <v>0</v>
      </c>
      <c r="AR113" s="27" t="n">
        <v>0</v>
      </c>
      <c r="AS113" s="27" t="n">
        <v>0</v>
      </c>
      <c r="AT113" s="27" t="n">
        <v>0</v>
      </c>
      <c r="AU113" s="27" t="n">
        <v>0</v>
      </c>
      <c r="AV113" s="27" t="n">
        <v>0</v>
      </c>
      <c r="AW113" s="27" t="n">
        <v>0</v>
      </c>
      <c r="AX113" s="27" t="n">
        <v>0</v>
      </c>
      <c r="AY113" s="27" t="n">
        <v>0</v>
      </c>
      <c r="AZ113" s="27" t="n">
        <v>0</v>
      </c>
      <c r="BA113" s="27" t="n">
        <v>0</v>
      </c>
      <c r="BB113" s="27" t="n">
        <v>0</v>
      </c>
      <c r="BC113" s="27" t="n">
        <v>0</v>
      </c>
      <c r="BD113" s="27" t="n">
        <v>0</v>
      </c>
      <c r="BE113" s="27" t="n">
        <v>0</v>
      </c>
      <c r="BF113" s="27" t="n">
        <v>0</v>
      </c>
      <c r="BG113" s="27" t="n">
        <v>0</v>
      </c>
      <c r="BH113" s="27" t="n">
        <v>0</v>
      </c>
      <c r="BI113" s="27" t="n">
        <v>0</v>
      </c>
      <c r="BJ113" s="27" t="n">
        <v>0</v>
      </c>
      <c r="BK113" s="27" t="n">
        <v>0</v>
      </c>
      <c r="BL113" s="27" t="n">
        <v>0</v>
      </c>
      <c r="BM113" s="27" t="n">
        <v>0</v>
      </c>
      <c r="BN113" s="27" t="n">
        <v>0</v>
      </c>
      <c r="BO113" s="27" t="n">
        <v>0</v>
      </c>
      <c r="BP113" s="27" t="n">
        <v>0</v>
      </c>
      <c r="BQ113" s="27" t="n">
        <v>0</v>
      </c>
      <c r="BR113" s="27" t="n">
        <v>0</v>
      </c>
      <c r="BS113" s="27" t="n">
        <v>0</v>
      </c>
      <c r="BT113" s="27" t="n">
        <v>0</v>
      </c>
      <c r="BU113" s="27" t="n">
        <v>0</v>
      </c>
      <c r="BV113" s="27" t="n">
        <v>0</v>
      </c>
      <c r="BW113" s="27" t="n">
        <v>0</v>
      </c>
      <c r="BX113" s="27" t="n">
        <v>0</v>
      </c>
      <c r="BY113" s="27" t="n">
        <v>0</v>
      </c>
      <c r="BZ113" s="27" t="n">
        <v>0</v>
      </c>
      <c r="CA113" s="27" t="n">
        <v>0</v>
      </c>
      <c r="CB113" s="27" t="n">
        <v>0</v>
      </c>
      <c r="CC113" s="27" t="n">
        <v>0</v>
      </c>
      <c r="CD113" s="27" t="n">
        <v>0</v>
      </c>
      <c r="CE113" s="27" t="n">
        <v>0</v>
      </c>
      <c r="CF113" s="27" t="n">
        <v>0</v>
      </c>
      <c r="CG113" s="27" t="n">
        <v>0</v>
      </c>
      <c r="CH113" s="27" t="n">
        <v>0</v>
      </c>
      <c r="CI113" s="27" t="n">
        <v>0</v>
      </c>
      <c r="CJ113" s="27" t="n">
        <v>0</v>
      </c>
      <c r="CK113" s="27" t="n">
        <v>0</v>
      </c>
      <c r="CL113" s="27" t="n">
        <v>0</v>
      </c>
      <c r="CM113" s="27" t="n">
        <v>0</v>
      </c>
      <c r="CN113" s="27" t="n">
        <v>0</v>
      </c>
      <c r="CO113" s="27" t="n">
        <v>0</v>
      </c>
      <c r="CP113" s="27" t="n">
        <v>0</v>
      </c>
      <c r="CQ113" s="27" t="n">
        <v>0</v>
      </c>
      <c r="CR113" s="27" t="n">
        <v>0</v>
      </c>
      <c r="CS113" s="27" t="n">
        <v>0</v>
      </c>
      <c r="CT113" s="27" t="n">
        <v>0</v>
      </c>
      <c r="CU113" s="27" t="n">
        <v>0</v>
      </c>
      <c r="CV113" s="27" t="n">
        <v>0</v>
      </c>
      <c r="CW113" s="27" t="n">
        <v>0</v>
      </c>
      <c r="CX113" s="27" t="n">
        <v>0</v>
      </c>
      <c r="CY113" s="27" t="n">
        <v>0</v>
      </c>
      <c r="CZ113" s="27" t="n">
        <v>0</v>
      </c>
      <c r="DA113" s="27" t="n">
        <v>0</v>
      </c>
    </row>
    <row r="114">
      <c r="A114" t="inlineStr">
        <is>
          <t>0T480</t>
        </is>
      </c>
      <c r="B114" s="27" t="n">
        <v>0</v>
      </c>
      <c r="C114" s="27" t="n">
        <v>0</v>
      </c>
      <c r="D114" s="27" t="n">
        <v>0</v>
      </c>
      <c r="E114" s="27" t="n">
        <v>0</v>
      </c>
      <c r="F114" s="27" t="n">
        <v>0</v>
      </c>
      <c r="G114" s="27" t="n">
        <v>0</v>
      </c>
      <c r="H114" s="27" t="n">
        <v>0</v>
      </c>
      <c r="I114" s="27" t="n">
        <v>0</v>
      </c>
      <c r="J114" s="27" t="n">
        <v>0</v>
      </c>
      <c r="K114" s="27" t="n">
        <v>0</v>
      </c>
      <c r="L114" s="27" t="n">
        <v>0</v>
      </c>
      <c r="M114" s="27" t="n">
        <v>0</v>
      </c>
      <c r="N114" s="27" t="n">
        <v>0</v>
      </c>
      <c r="O114" s="27" t="n">
        <v>0</v>
      </c>
      <c r="P114" s="27" t="n">
        <v>0</v>
      </c>
      <c r="Q114" s="27" t="n">
        <v>0</v>
      </c>
      <c r="R114" s="27" t="n">
        <v>0</v>
      </c>
      <c r="S114" s="27" t="n">
        <v>0</v>
      </c>
      <c r="T114" s="27" t="n">
        <v>0</v>
      </c>
      <c r="U114" s="27" t="n">
        <v>0</v>
      </c>
      <c r="V114" s="27" t="n">
        <v>0</v>
      </c>
      <c r="W114" s="27" t="n">
        <v>0</v>
      </c>
      <c r="X114" s="27" t="n">
        <v>0</v>
      </c>
      <c r="Y114" s="27" t="n">
        <v>0</v>
      </c>
      <c r="Z114" s="27" t="n">
        <v>0</v>
      </c>
      <c r="AA114" s="27" t="n">
        <v>0</v>
      </c>
      <c r="AB114" s="27" t="n">
        <v>0</v>
      </c>
      <c r="AC114" s="27" t="n">
        <v>0</v>
      </c>
      <c r="AD114" s="27" t="n">
        <v>0</v>
      </c>
      <c r="AE114" s="27" t="n">
        <v>0</v>
      </c>
      <c r="AF114" s="27" t="n">
        <v>0</v>
      </c>
      <c r="AG114" s="27" t="n">
        <v>0</v>
      </c>
      <c r="AH114" s="27" t="n">
        <v>0</v>
      </c>
      <c r="AI114" s="27" t="n">
        <v>0</v>
      </c>
      <c r="AJ114" s="27" t="n">
        <v>0</v>
      </c>
      <c r="AK114" s="27" t="n">
        <v>0</v>
      </c>
      <c r="AL114" s="27" t="n">
        <v>0</v>
      </c>
      <c r="AM114" s="27" t="n">
        <v>0</v>
      </c>
      <c r="AN114" s="27" t="n">
        <v>0</v>
      </c>
      <c r="AO114" s="27" t="n">
        <v>0</v>
      </c>
      <c r="AP114" s="27" t="n">
        <v>0</v>
      </c>
      <c r="AQ114" s="27" t="n">
        <v>0</v>
      </c>
      <c r="AR114" s="27" t="n">
        <v>0</v>
      </c>
      <c r="AS114" s="27" t="n">
        <v>0</v>
      </c>
      <c r="AT114" s="27" t="n">
        <v>0</v>
      </c>
      <c r="AU114" s="27" t="n">
        <v>0</v>
      </c>
      <c r="AV114" s="27" t="n">
        <v>0</v>
      </c>
      <c r="AW114" s="27" t="n">
        <v>0</v>
      </c>
      <c r="AX114" s="27" t="n">
        <v>0</v>
      </c>
      <c r="AY114" s="27" t="n">
        <v>0</v>
      </c>
      <c r="AZ114" s="27" t="n">
        <v>0</v>
      </c>
      <c r="BA114" s="27" t="n">
        <v>0</v>
      </c>
      <c r="BB114" s="27" t="n">
        <v>0</v>
      </c>
      <c r="BC114" s="27" t="n">
        <v>0</v>
      </c>
      <c r="BD114" s="27" t="n">
        <v>0</v>
      </c>
      <c r="BE114" s="27" t="n">
        <v>0</v>
      </c>
      <c r="BF114" s="27" t="n">
        <v>0</v>
      </c>
      <c r="BG114" s="27" t="n">
        <v>0</v>
      </c>
      <c r="BH114" s="27" t="n">
        <v>0</v>
      </c>
      <c r="BI114" s="27" t="n">
        <v>0</v>
      </c>
      <c r="BJ114" s="27" t="n">
        <v>0</v>
      </c>
      <c r="BK114" s="27" t="n">
        <v>0</v>
      </c>
      <c r="BL114" s="27" t="n">
        <v>0</v>
      </c>
      <c r="BM114" s="27" t="n">
        <v>0</v>
      </c>
      <c r="BN114" s="27" t="n">
        <v>0</v>
      </c>
      <c r="BO114" s="27" t="n">
        <v>0</v>
      </c>
      <c r="BP114" s="27" t="n">
        <v>0</v>
      </c>
      <c r="BQ114" s="27" t="n">
        <v>0</v>
      </c>
      <c r="BR114" s="27" t="n">
        <v>0</v>
      </c>
      <c r="BS114" s="27" t="n">
        <v>0</v>
      </c>
      <c r="BT114" s="27" t="n">
        <v>0</v>
      </c>
      <c r="BU114" s="27" t="n">
        <v>0</v>
      </c>
      <c r="BV114" s="27" t="n">
        <v>0</v>
      </c>
      <c r="BW114" s="27" t="n">
        <v>0</v>
      </c>
      <c r="BX114" s="27" t="n">
        <v>0</v>
      </c>
      <c r="BY114" s="27" t="n">
        <v>0</v>
      </c>
      <c r="BZ114" s="27" t="n">
        <v>0</v>
      </c>
      <c r="CA114" s="27" t="n">
        <v>0</v>
      </c>
      <c r="CB114" s="27" t="n">
        <v>0</v>
      </c>
      <c r="CC114" s="27" t="n">
        <v>0</v>
      </c>
      <c r="CD114" s="27" t="n">
        <v>0</v>
      </c>
      <c r="CE114" s="27" t="n">
        <v>0</v>
      </c>
      <c r="CF114" s="27" t="n">
        <v>0</v>
      </c>
      <c r="CG114" s="27" t="n">
        <v>0</v>
      </c>
      <c r="CH114" s="27" t="n">
        <v>0</v>
      </c>
      <c r="CI114" s="27" t="n">
        <v>0</v>
      </c>
      <c r="CJ114" s="27" t="n">
        <v>0</v>
      </c>
      <c r="CK114" s="27" t="n">
        <v>0</v>
      </c>
      <c r="CL114" s="27" t="n">
        <v>0</v>
      </c>
      <c r="CM114" s="27" t="n">
        <v>0</v>
      </c>
      <c r="CN114" s="27" t="n">
        <v>0</v>
      </c>
      <c r="CO114" s="27" t="n">
        <v>0</v>
      </c>
      <c r="CP114" s="27" t="n">
        <v>0</v>
      </c>
      <c r="CQ114" s="27" t="n">
        <v>0</v>
      </c>
      <c r="CR114" s="27" t="n">
        <v>0</v>
      </c>
      <c r="CS114" s="27" t="n">
        <v>0</v>
      </c>
      <c r="CT114" s="27" t="n">
        <v>0</v>
      </c>
      <c r="CU114" s="27" t="n">
        <v>0</v>
      </c>
      <c r="CV114" s="27" t="n">
        <v>0</v>
      </c>
      <c r="CW114" s="27" t="n">
        <v>0</v>
      </c>
      <c r="CX114" s="27" t="n">
        <v>0</v>
      </c>
      <c r="CY114" s="27" t="n">
        <v>0</v>
      </c>
      <c r="CZ114" s="27" t="n">
        <v>0</v>
      </c>
      <c r="DA114" s="27" t="n">
        <v>0</v>
      </c>
    </row>
    <row r="115">
      <c r="A115" t="inlineStr">
        <is>
          <t>0T490</t>
        </is>
      </c>
      <c r="B115" s="27" t="n">
        <v>0</v>
      </c>
      <c r="C115" s="27" t="n">
        <v>0</v>
      </c>
      <c r="D115" s="27" t="n">
        <v>0</v>
      </c>
      <c r="E115" s="27" t="n">
        <v>0</v>
      </c>
      <c r="F115" s="27" t="n">
        <v>0</v>
      </c>
      <c r="G115" s="27" t="n">
        <v>0</v>
      </c>
      <c r="H115" s="27" t="n">
        <v>0</v>
      </c>
      <c r="I115" s="27" t="n">
        <v>0</v>
      </c>
      <c r="J115" s="27" t="n">
        <v>0</v>
      </c>
      <c r="K115" s="27" t="n">
        <v>0</v>
      </c>
      <c r="L115" s="27" t="n">
        <v>0</v>
      </c>
      <c r="M115" s="27" t="n">
        <v>0</v>
      </c>
      <c r="N115" s="27" t="n">
        <v>0</v>
      </c>
      <c r="O115" s="27" t="n">
        <v>0</v>
      </c>
      <c r="P115" s="27" t="n">
        <v>0</v>
      </c>
      <c r="Q115" s="27" t="n">
        <v>0</v>
      </c>
      <c r="R115" s="27" t="n">
        <v>0</v>
      </c>
      <c r="S115" s="27" t="n">
        <v>0</v>
      </c>
      <c r="T115" s="27" t="n">
        <v>0</v>
      </c>
      <c r="U115" s="27" t="n">
        <v>0</v>
      </c>
      <c r="V115" s="27" t="n">
        <v>0</v>
      </c>
      <c r="W115" s="27" t="n">
        <v>0</v>
      </c>
      <c r="X115" s="27" t="n">
        <v>0</v>
      </c>
      <c r="Y115" s="27" t="n">
        <v>0</v>
      </c>
      <c r="Z115" s="27" t="n">
        <v>0</v>
      </c>
      <c r="AA115" s="27" t="n">
        <v>0</v>
      </c>
      <c r="AB115" s="27" t="n">
        <v>0</v>
      </c>
      <c r="AC115" s="27" t="n">
        <v>0</v>
      </c>
      <c r="AD115" s="27" t="n">
        <v>0</v>
      </c>
      <c r="AE115" s="27" t="n">
        <v>0</v>
      </c>
      <c r="AF115" s="27" t="n">
        <v>0</v>
      </c>
      <c r="AG115" s="27" t="n">
        <v>0</v>
      </c>
      <c r="AH115" s="27" t="n">
        <v>0</v>
      </c>
      <c r="AI115" s="27" t="n">
        <v>0</v>
      </c>
      <c r="AJ115" s="27" t="n">
        <v>0</v>
      </c>
      <c r="AK115" s="27" t="n">
        <v>0</v>
      </c>
      <c r="AL115" s="27" t="n">
        <v>0</v>
      </c>
      <c r="AM115" s="27" t="n">
        <v>0</v>
      </c>
      <c r="AN115" s="27" t="n">
        <v>0</v>
      </c>
      <c r="AO115" s="27" t="n">
        <v>0</v>
      </c>
      <c r="AP115" s="27" t="n">
        <v>0</v>
      </c>
      <c r="AQ115" s="27" t="n">
        <v>0</v>
      </c>
      <c r="AR115" s="27" t="n">
        <v>0</v>
      </c>
      <c r="AS115" s="27" t="n">
        <v>0</v>
      </c>
      <c r="AT115" s="27" t="n">
        <v>0</v>
      </c>
      <c r="AU115" s="27" t="n">
        <v>0</v>
      </c>
      <c r="AV115" s="27" t="n">
        <v>0</v>
      </c>
      <c r="AW115" s="27" t="n">
        <v>0</v>
      </c>
      <c r="AX115" s="27" t="n">
        <v>0</v>
      </c>
      <c r="AY115" s="27" t="n">
        <v>0</v>
      </c>
      <c r="AZ115" s="27" t="n">
        <v>0</v>
      </c>
      <c r="BA115" s="27" t="n">
        <v>0</v>
      </c>
      <c r="BB115" s="27" t="n">
        <v>0</v>
      </c>
      <c r="BC115" s="27" t="n">
        <v>0</v>
      </c>
      <c r="BD115" s="27" t="n">
        <v>0</v>
      </c>
      <c r="BE115" s="27" t="n">
        <v>0</v>
      </c>
      <c r="BF115" s="27" t="n">
        <v>0</v>
      </c>
      <c r="BG115" s="27" t="n">
        <v>0</v>
      </c>
      <c r="BH115" s="27" t="n">
        <v>0</v>
      </c>
      <c r="BI115" s="27" t="n">
        <v>0</v>
      </c>
      <c r="BJ115" s="27" t="n">
        <v>0</v>
      </c>
      <c r="BK115" s="27" t="n">
        <v>0</v>
      </c>
      <c r="BL115" s="27" t="n">
        <v>0</v>
      </c>
      <c r="BM115" s="27" t="n">
        <v>0</v>
      </c>
      <c r="BN115" s="27" t="n">
        <v>0</v>
      </c>
      <c r="BO115" s="27" t="n">
        <v>0</v>
      </c>
      <c r="BP115" s="27" t="n">
        <v>0</v>
      </c>
      <c r="BQ115" s="27" t="n">
        <v>0</v>
      </c>
      <c r="BR115" s="27" t="n">
        <v>0</v>
      </c>
      <c r="BS115" s="27" t="n">
        <v>0</v>
      </c>
      <c r="BT115" s="27" t="n">
        <v>0</v>
      </c>
      <c r="BU115" s="27" t="n">
        <v>0</v>
      </c>
      <c r="BV115" s="27" t="n">
        <v>0</v>
      </c>
      <c r="BW115" s="27" t="n">
        <v>0</v>
      </c>
      <c r="BX115" s="27" t="n">
        <v>0</v>
      </c>
      <c r="BY115" s="27" t="n">
        <v>0</v>
      </c>
      <c r="BZ115" s="27" t="n">
        <v>0</v>
      </c>
      <c r="CA115" s="27" t="n">
        <v>0</v>
      </c>
      <c r="CB115" s="27" t="n">
        <v>0</v>
      </c>
      <c r="CC115" s="27" t="n">
        <v>0</v>
      </c>
      <c r="CD115" s="27" t="n">
        <v>0</v>
      </c>
      <c r="CE115" s="27" t="n">
        <v>0</v>
      </c>
      <c r="CF115" s="27" t="n">
        <v>0</v>
      </c>
      <c r="CG115" s="27" t="n">
        <v>0</v>
      </c>
      <c r="CH115" s="27" t="n">
        <v>0</v>
      </c>
      <c r="CI115" s="27" t="n">
        <v>0</v>
      </c>
      <c r="CJ115" s="27" t="n">
        <v>0</v>
      </c>
      <c r="CK115" s="27" t="n">
        <v>0</v>
      </c>
      <c r="CL115" s="27" t="n">
        <v>0</v>
      </c>
      <c r="CM115" s="27" t="n">
        <v>0</v>
      </c>
      <c r="CN115" s="27" t="n">
        <v>0</v>
      </c>
      <c r="CO115" s="27" t="n">
        <v>0</v>
      </c>
      <c r="CP115" s="27" t="n">
        <v>0</v>
      </c>
      <c r="CQ115" s="27" t="n">
        <v>0</v>
      </c>
      <c r="CR115" s="27" t="n">
        <v>0</v>
      </c>
      <c r="CS115" s="27" t="n">
        <v>0</v>
      </c>
      <c r="CT115" s="27" t="n">
        <v>0</v>
      </c>
      <c r="CU115" s="27" t="n">
        <v>0</v>
      </c>
      <c r="CV115" s="27" t="n">
        <v>0</v>
      </c>
      <c r="CW115" s="27" t="n">
        <v>0</v>
      </c>
      <c r="CX115" s="27" t="n">
        <v>0</v>
      </c>
      <c r="CY115" s="27" t="n">
        <v>0</v>
      </c>
      <c r="CZ115" s="27" t="n">
        <v>0</v>
      </c>
      <c r="DA115" s="27" t="n">
        <v>0</v>
      </c>
    </row>
    <row r="116">
      <c r="A116" t="inlineStr">
        <is>
          <t>0T500</t>
        </is>
      </c>
      <c r="B116" s="27" t="n">
        <v>0</v>
      </c>
      <c r="C116" s="27" t="n">
        <v>0</v>
      </c>
      <c r="D116" s="27" t="n">
        <v>0</v>
      </c>
      <c r="E116" s="27" t="n">
        <v>0</v>
      </c>
      <c r="F116" s="27" t="n">
        <v>0</v>
      </c>
      <c r="G116" s="27" t="n">
        <v>0</v>
      </c>
      <c r="H116" s="27" t="n">
        <v>0</v>
      </c>
      <c r="I116" s="27" t="n">
        <v>0</v>
      </c>
      <c r="J116" s="27" t="n">
        <v>0</v>
      </c>
      <c r="K116" s="27" t="n">
        <v>0</v>
      </c>
      <c r="L116" s="27" t="n">
        <v>0</v>
      </c>
      <c r="M116" s="27" t="n">
        <v>0</v>
      </c>
      <c r="N116" s="27" t="n">
        <v>0</v>
      </c>
      <c r="O116" s="27" t="n">
        <v>0</v>
      </c>
      <c r="P116" s="27" t="n">
        <v>0</v>
      </c>
      <c r="Q116" s="27" t="n">
        <v>0</v>
      </c>
      <c r="R116" s="27" t="n">
        <v>0</v>
      </c>
      <c r="S116" s="27" t="n">
        <v>0</v>
      </c>
      <c r="T116" s="27" t="n">
        <v>0</v>
      </c>
      <c r="U116" s="27" t="n">
        <v>0</v>
      </c>
      <c r="V116" s="27" t="n">
        <v>0</v>
      </c>
      <c r="W116" s="27" t="n">
        <v>0</v>
      </c>
      <c r="X116" s="27" t="n">
        <v>0</v>
      </c>
      <c r="Y116" s="27" t="n">
        <v>0</v>
      </c>
      <c r="Z116" s="27" t="n">
        <v>0</v>
      </c>
      <c r="AA116" s="27" t="n">
        <v>0</v>
      </c>
      <c r="AB116" s="27" t="n">
        <v>0</v>
      </c>
      <c r="AC116" s="27" t="n">
        <v>0</v>
      </c>
      <c r="AD116" s="27" t="n">
        <v>0</v>
      </c>
      <c r="AE116" s="27" t="n">
        <v>0</v>
      </c>
      <c r="AF116" s="27" t="n">
        <v>0</v>
      </c>
      <c r="AG116" s="27" t="n">
        <v>0</v>
      </c>
      <c r="AH116" s="27" t="n">
        <v>0</v>
      </c>
      <c r="AI116" s="27" t="n">
        <v>0</v>
      </c>
      <c r="AJ116" s="27" t="n">
        <v>0</v>
      </c>
      <c r="AK116" s="27" t="n">
        <v>0</v>
      </c>
      <c r="AL116" s="27" t="n">
        <v>0</v>
      </c>
      <c r="AM116" s="27" t="n">
        <v>0</v>
      </c>
      <c r="AN116" s="27" t="n">
        <v>0</v>
      </c>
      <c r="AO116" s="27" t="n">
        <v>0</v>
      </c>
      <c r="AP116" s="27" t="n">
        <v>0</v>
      </c>
      <c r="AQ116" s="27" t="n">
        <v>0</v>
      </c>
      <c r="AR116" s="27" t="n">
        <v>0</v>
      </c>
      <c r="AS116" s="27" t="n">
        <v>0</v>
      </c>
      <c r="AT116" s="27" t="n">
        <v>0</v>
      </c>
      <c r="AU116" s="27" t="n">
        <v>0</v>
      </c>
      <c r="AV116" s="27" t="n">
        <v>0</v>
      </c>
      <c r="AW116" s="27" t="n">
        <v>0</v>
      </c>
      <c r="AX116" s="27" t="n">
        <v>0</v>
      </c>
      <c r="AY116" s="27" t="n">
        <v>0</v>
      </c>
      <c r="AZ116" s="27" t="n">
        <v>0</v>
      </c>
      <c r="BA116" s="27" t="n">
        <v>0</v>
      </c>
      <c r="BB116" s="27" t="n">
        <v>0</v>
      </c>
      <c r="BC116" s="27" t="n">
        <v>0</v>
      </c>
      <c r="BD116" s="27" t="n">
        <v>0</v>
      </c>
      <c r="BE116" s="27" t="n">
        <v>0</v>
      </c>
      <c r="BF116" s="27" t="n">
        <v>0</v>
      </c>
      <c r="BG116" s="27" t="n">
        <v>0</v>
      </c>
      <c r="BH116" s="27" t="n">
        <v>0</v>
      </c>
      <c r="BI116" s="27" t="n">
        <v>0</v>
      </c>
      <c r="BJ116" s="27" t="n">
        <v>0</v>
      </c>
      <c r="BK116" s="27" t="n">
        <v>0</v>
      </c>
      <c r="BL116" s="27" t="n">
        <v>0</v>
      </c>
      <c r="BM116" s="27" t="n">
        <v>0</v>
      </c>
      <c r="BN116" s="27" t="n">
        <v>0</v>
      </c>
      <c r="BO116" s="27" t="n">
        <v>0</v>
      </c>
      <c r="BP116" s="27" t="n">
        <v>0</v>
      </c>
      <c r="BQ116" s="27" t="n">
        <v>0</v>
      </c>
      <c r="BR116" s="27" t="n">
        <v>0</v>
      </c>
      <c r="BS116" s="27" t="n">
        <v>0</v>
      </c>
      <c r="BT116" s="27" t="n">
        <v>0</v>
      </c>
      <c r="BU116" s="27" t="n">
        <v>0</v>
      </c>
      <c r="BV116" s="27" t="n">
        <v>0</v>
      </c>
      <c r="BW116" s="27" t="n">
        <v>0</v>
      </c>
      <c r="BX116" s="27" t="n">
        <v>0</v>
      </c>
      <c r="BY116" s="27" t="n">
        <v>0</v>
      </c>
      <c r="BZ116" s="27" t="n">
        <v>0</v>
      </c>
      <c r="CA116" s="27" t="n">
        <v>0</v>
      </c>
      <c r="CB116" s="27" t="n">
        <v>0</v>
      </c>
      <c r="CC116" s="27" t="n">
        <v>0</v>
      </c>
      <c r="CD116" s="27" t="n">
        <v>0</v>
      </c>
      <c r="CE116" s="27" t="n">
        <v>0</v>
      </c>
      <c r="CF116" s="27" t="n">
        <v>0</v>
      </c>
      <c r="CG116" s="27" t="n">
        <v>0</v>
      </c>
      <c r="CH116" s="27" t="n">
        <v>0</v>
      </c>
      <c r="CI116" s="27" t="n">
        <v>0</v>
      </c>
      <c r="CJ116" s="27" t="n">
        <v>0</v>
      </c>
      <c r="CK116" s="27" t="n">
        <v>0</v>
      </c>
      <c r="CL116" s="27" t="n">
        <v>0</v>
      </c>
      <c r="CM116" s="27" t="n">
        <v>0</v>
      </c>
      <c r="CN116" s="27" t="n">
        <v>0</v>
      </c>
      <c r="CO116" s="27" t="n">
        <v>0</v>
      </c>
      <c r="CP116" s="27" t="n">
        <v>0</v>
      </c>
      <c r="CQ116" s="27" t="n">
        <v>0</v>
      </c>
      <c r="CR116" s="27" t="n">
        <v>0</v>
      </c>
      <c r="CS116" s="27" t="n">
        <v>0</v>
      </c>
      <c r="CT116" s="27" t="n">
        <v>0</v>
      </c>
      <c r="CU116" s="27" t="n">
        <v>0</v>
      </c>
      <c r="CV116" s="27" t="n">
        <v>0</v>
      </c>
      <c r="CW116" s="27" t="n">
        <v>0</v>
      </c>
      <c r="CX116" s="27" t="n">
        <v>0</v>
      </c>
      <c r="CY116" s="27" t="n">
        <v>0</v>
      </c>
      <c r="CZ116" s="27" t="n">
        <v>0</v>
      </c>
      <c r="DA116" s="27" t="n">
        <v>0</v>
      </c>
    </row>
    <row r="117">
      <c r="A117" t="inlineStr">
        <is>
          <t>0T690</t>
        </is>
      </c>
      <c r="B117" s="27" t="n">
        <v>0</v>
      </c>
      <c r="C117" s="27" t="n">
        <v>0</v>
      </c>
      <c r="D117" s="27" t="n">
        <v>0</v>
      </c>
      <c r="E117" s="27" t="n">
        <v>0</v>
      </c>
      <c r="F117" s="27" t="n">
        <v>0</v>
      </c>
      <c r="G117" s="27" t="n">
        <v>0</v>
      </c>
      <c r="H117" s="27" t="n">
        <v>0</v>
      </c>
      <c r="I117" s="27" t="n">
        <v>0</v>
      </c>
      <c r="J117" s="27" t="n">
        <v>0</v>
      </c>
      <c r="K117" s="27" t="n">
        <v>0</v>
      </c>
      <c r="L117" s="27" t="n">
        <v>0</v>
      </c>
      <c r="M117" s="27" t="n">
        <v>0</v>
      </c>
      <c r="N117" s="27" t="n">
        <v>0</v>
      </c>
      <c r="O117" s="27" t="n">
        <v>0</v>
      </c>
      <c r="P117" s="27" t="n">
        <v>0</v>
      </c>
      <c r="Q117" s="27" t="n">
        <v>0</v>
      </c>
      <c r="R117" s="27" t="n">
        <v>0</v>
      </c>
      <c r="S117" s="27" t="n">
        <v>0</v>
      </c>
      <c r="T117" s="27" t="n">
        <v>0</v>
      </c>
      <c r="U117" s="27" t="n">
        <v>0</v>
      </c>
      <c r="V117" s="27" t="n">
        <v>0</v>
      </c>
      <c r="W117" s="27" t="n">
        <v>0</v>
      </c>
      <c r="X117" s="27" t="n">
        <v>0</v>
      </c>
      <c r="Y117" s="27" t="n">
        <v>0</v>
      </c>
      <c r="Z117" s="27" t="n">
        <v>0</v>
      </c>
      <c r="AA117" s="27" t="n">
        <v>0</v>
      </c>
      <c r="AB117" s="27" t="n">
        <v>0</v>
      </c>
      <c r="AC117" s="27" t="n">
        <v>0</v>
      </c>
      <c r="AD117" s="27" t="n">
        <v>0</v>
      </c>
      <c r="AE117" s="27" t="n">
        <v>0</v>
      </c>
      <c r="AF117" s="27" t="n">
        <v>0</v>
      </c>
      <c r="AG117" s="27" t="n">
        <v>0</v>
      </c>
      <c r="AH117" s="27" t="n">
        <v>0</v>
      </c>
      <c r="AI117" s="27" t="n">
        <v>0</v>
      </c>
      <c r="AJ117" s="27" t="n">
        <v>0</v>
      </c>
      <c r="AK117" s="27" t="n">
        <v>0</v>
      </c>
      <c r="AL117" s="27" t="n">
        <v>0</v>
      </c>
      <c r="AM117" s="27" t="n">
        <v>0</v>
      </c>
      <c r="AN117" s="27" t="n">
        <v>0</v>
      </c>
      <c r="AO117" s="27" t="n">
        <v>0</v>
      </c>
      <c r="AP117" s="27" t="n">
        <v>0</v>
      </c>
      <c r="AQ117" s="27" t="n">
        <v>0</v>
      </c>
      <c r="AR117" s="27" t="n">
        <v>0</v>
      </c>
      <c r="AS117" s="27" t="n">
        <v>0</v>
      </c>
      <c r="AT117" s="27" t="n">
        <v>0</v>
      </c>
      <c r="AU117" s="27" t="n">
        <v>0</v>
      </c>
      <c r="AV117" s="27" t="n">
        <v>0</v>
      </c>
      <c r="AW117" s="27" t="n">
        <v>0</v>
      </c>
      <c r="AX117" s="27" t="n">
        <v>0</v>
      </c>
      <c r="AY117" s="27" t="n">
        <v>0</v>
      </c>
      <c r="AZ117" s="27" t="n">
        <v>0</v>
      </c>
      <c r="BA117" s="27" t="n">
        <v>0</v>
      </c>
      <c r="BB117" s="27" t="n">
        <v>0</v>
      </c>
      <c r="BC117" s="27" t="n">
        <v>0</v>
      </c>
      <c r="BD117" s="27" t="n">
        <v>0</v>
      </c>
      <c r="BE117" s="27" t="n">
        <v>0</v>
      </c>
      <c r="BF117" s="27" t="n">
        <v>0</v>
      </c>
      <c r="BG117" s="27" t="n">
        <v>0</v>
      </c>
      <c r="BH117" s="27" t="n">
        <v>0</v>
      </c>
      <c r="BI117" s="27" t="n">
        <v>0</v>
      </c>
      <c r="BJ117" s="27" t="n">
        <v>0</v>
      </c>
      <c r="BK117" s="27" t="n">
        <v>0</v>
      </c>
      <c r="BL117" s="27" t="n">
        <v>0</v>
      </c>
      <c r="BM117" s="27" t="n">
        <v>0</v>
      </c>
      <c r="BN117" s="27" t="n">
        <v>0</v>
      </c>
      <c r="BO117" s="27" t="n">
        <v>0</v>
      </c>
      <c r="BP117" s="27" t="n">
        <v>0</v>
      </c>
      <c r="BQ117" s="27" t="n">
        <v>0</v>
      </c>
      <c r="BR117" s="27" t="n">
        <v>0</v>
      </c>
      <c r="BS117" s="27" t="n">
        <v>0</v>
      </c>
      <c r="BT117" s="27" t="n">
        <v>0</v>
      </c>
      <c r="BU117" s="27" t="n">
        <v>0</v>
      </c>
      <c r="BV117" s="27" t="n">
        <v>0</v>
      </c>
      <c r="BW117" s="27" t="n">
        <v>0</v>
      </c>
      <c r="BX117" s="27" t="n">
        <v>0</v>
      </c>
      <c r="BY117" s="27" t="n">
        <v>0</v>
      </c>
      <c r="BZ117" s="27" t="n">
        <v>0</v>
      </c>
      <c r="CA117" s="27" t="n">
        <v>0</v>
      </c>
      <c r="CB117" s="27" t="n">
        <v>0</v>
      </c>
      <c r="CC117" s="27" t="n">
        <v>0</v>
      </c>
      <c r="CD117" s="27" t="n">
        <v>0</v>
      </c>
      <c r="CE117" s="27" t="n">
        <v>0</v>
      </c>
      <c r="CF117" s="27" t="n">
        <v>0</v>
      </c>
      <c r="CG117" s="27" t="n">
        <v>0</v>
      </c>
      <c r="CH117" s="27" t="n">
        <v>0</v>
      </c>
      <c r="CI117" s="27" t="n">
        <v>0</v>
      </c>
      <c r="CJ117" s="27" t="n">
        <v>0</v>
      </c>
      <c r="CK117" s="27" t="n">
        <v>0</v>
      </c>
      <c r="CL117" s="27" t="n">
        <v>0</v>
      </c>
      <c r="CM117" s="27" t="n">
        <v>0</v>
      </c>
      <c r="CN117" s="27" t="n">
        <v>0</v>
      </c>
      <c r="CO117" s="27" t="n">
        <v>0</v>
      </c>
      <c r="CP117" s="27" t="n">
        <v>0</v>
      </c>
      <c r="CQ117" s="27" t="n">
        <v>0</v>
      </c>
      <c r="CR117" s="27" t="n">
        <v>0</v>
      </c>
      <c r="CS117" s="27" t="n">
        <v>0</v>
      </c>
      <c r="CT117" s="27" t="n">
        <v>0</v>
      </c>
      <c r="CU117" s="27" t="n">
        <v>0</v>
      </c>
      <c r="CV117" s="27" t="n">
        <v>0</v>
      </c>
      <c r="CW117" s="27" t="n">
        <v>0</v>
      </c>
      <c r="CX117" s="27" t="n">
        <v>0</v>
      </c>
      <c r="CY117" s="27" t="n">
        <v>0</v>
      </c>
      <c r="CZ117" s="27" t="n">
        <v>0</v>
      </c>
      <c r="DA117" s="27" t="n">
        <v>0</v>
      </c>
    </row>
    <row r="118">
      <c r="A118" t="inlineStr">
        <is>
          <t>0T720</t>
        </is>
      </c>
      <c r="B118" s="27" t="n">
        <v>0</v>
      </c>
      <c r="C118" s="27" t="n">
        <v>0</v>
      </c>
      <c r="D118" s="27" t="n">
        <v>0</v>
      </c>
      <c r="E118" s="27" t="n">
        <v>0</v>
      </c>
      <c r="F118" s="27" t="n">
        <v>0</v>
      </c>
      <c r="G118" s="27" t="n">
        <v>0</v>
      </c>
      <c r="H118" s="27" t="n">
        <v>0</v>
      </c>
      <c r="I118" s="27" t="n">
        <v>0</v>
      </c>
      <c r="J118" s="27" t="n">
        <v>0</v>
      </c>
      <c r="K118" s="27" t="n">
        <v>0</v>
      </c>
      <c r="L118" s="27" t="n">
        <v>0</v>
      </c>
      <c r="M118" s="27" t="n">
        <v>0</v>
      </c>
      <c r="N118" s="27" t="n">
        <v>0</v>
      </c>
      <c r="O118" s="27" t="n">
        <v>0</v>
      </c>
      <c r="P118" s="27" t="n">
        <v>0</v>
      </c>
      <c r="Q118" s="27" t="n">
        <v>0</v>
      </c>
      <c r="R118" s="27" t="n">
        <v>0</v>
      </c>
      <c r="S118" s="27" t="n">
        <v>0</v>
      </c>
      <c r="T118" s="27" t="n">
        <v>0</v>
      </c>
      <c r="U118" s="27" t="n">
        <v>0</v>
      </c>
      <c r="V118" s="27" t="n">
        <v>0</v>
      </c>
      <c r="W118" s="27" t="n">
        <v>0</v>
      </c>
      <c r="X118" s="27" t="n">
        <v>0</v>
      </c>
      <c r="Y118" s="27" t="n">
        <v>0</v>
      </c>
      <c r="Z118" s="27" t="n">
        <v>0</v>
      </c>
      <c r="AA118" s="27" t="n">
        <v>0</v>
      </c>
      <c r="AB118" s="27" t="n">
        <v>0</v>
      </c>
      <c r="AC118" s="27" t="n">
        <v>0</v>
      </c>
      <c r="AD118" s="27" t="n">
        <v>0</v>
      </c>
      <c r="AE118" s="27" t="n">
        <v>0</v>
      </c>
      <c r="AF118" s="27" t="n">
        <v>0</v>
      </c>
      <c r="AG118" s="27" t="n">
        <v>0</v>
      </c>
      <c r="AH118" s="27" t="n">
        <v>0</v>
      </c>
      <c r="AI118" s="27" t="n">
        <v>0</v>
      </c>
      <c r="AJ118" s="27" t="n">
        <v>0</v>
      </c>
      <c r="AK118" s="27" t="n">
        <v>0</v>
      </c>
      <c r="AL118" s="27" t="n">
        <v>0</v>
      </c>
      <c r="AM118" s="27" t="n">
        <v>0</v>
      </c>
      <c r="AN118" s="27" t="n">
        <v>0</v>
      </c>
      <c r="AO118" s="27" t="n">
        <v>0</v>
      </c>
      <c r="AP118" s="27" t="n">
        <v>0</v>
      </c>
      <c r="AQ118" s="27" t="n">
        <v>0</v>
      </c>
      <c r="AR118" s="27" t="n">
        <v>0</v>
      </c>
      <c r="AS118" s="27" t="n">
        <v>0</v>
      </c>
      <c r="AT118" s="27" t="n">
        <v>0</v>
      </c>
      <c r="AU118" s="27" t="n">
        <v>0</v>
      </c>
      <c r="AV118" s="27" t="n">
        <v>0</v>
      </c>
      <c r="AW118" s="27" t="n">
        <v>0</v>
      </c>
      <c r="AX118" s="27" t="n">
        <v>0</v>
      </c>
      <c r="AY118" s="27" t="n">
        <v>0</v>
      </c>
      <c r="AZ118" s="27" t="n">
        <v>0</v>
      </c>
      <c r="BA118" s="27" t="n">
        <v>0</v>
      </c>
      <c r="BB118" s="27" t="n">
        <v>0</v>
      </c>
      <c r="BC118" s="27" t="n">
        <v>0</v>
      </c>
      <c r="BD118" s="27" t="n">
        <v>0</v>
      </c>
      <c r="BE118" s="27" t="n">
        <v>0</v>
      </c>
      <c r="BF118" s="27" t="n">
        <v>0</v>
      </c>
      <c r="BG118" s="27" t="n">
        <v>0</v>
      </c>
      <c r="BH118" s="27" t="n">
        <v>0</v>
      </c>
      <c r="BI118" s="27" t="n">
        <v>0</v>
      </c>
      <c r="BJ118" s="27" t="n">
        <v>0</v>
      </c>
      <c r="BK118" s="27" t="n">
        <v>0</v>
      </c>
      <c r="BL118" s="27" t="n">
        <v>0</v>
      </c>
      <c r="BM118" s="27" t="n">
        <v>0</v>
      </c>
      <c r="BN118" s="27" t="n">
        <v>0</v>
      </c>
      <c r="BO118" s="27" t="n">
        <v>0</v>
      </c>
      <c r="BP118" s="27" t="n">
        <v>0</v>
      </c>
      <c r="BQ118" s="27" t="n">
        <v>0</v>
      </c>
      <c r="BR118" s="27" t="n">
        <v>0</v>
      </c>
      <c r="BS118" s="27" t="n">
        <v>0</v>
      </c>
      <c r="BT118" s="27" t="n">
        <v>0</v>
      </c>
      <c r="BU118" s="27" t="n">
        <v>0</v>
      </c>
      <c r="BV118" s="27" t="n">
        <v>0</v>
      </c>
      <c r="BW118" s="27" t="n">
        <v>0</v>
      </c>
      <c r="BX118" s="27" t="n">
        <v>0</v>
      </c>
      <c r="BY118" s="27" t="n">
        <v>0</v>
      </c>
      <c r="BZ118" s="27" t="n">
        <v>0</v>
      </c>
      <c r="CA118" s="27" t="n">
        <v>0</v>
      </c>
      <c r="CB118" s="27" t="n">
        <v>0</v>
      </c>
      <c r="CC118" s="27" t="n">
        <v>0</v>
      </c>
      <c r="CD118" s="27" t="n">
        <v>0</v>
      </c>
      <c r="CE118" s="27" t="n">
        <v>0</v>
      </c>
      <c r="CF118" s="27" t="n">
        <v>0</v>
      </c>
      <c r="CG118" s="27" t="n">
        <v>0</v>
      </c>
      <c r="CH118" s="27" t="n">
        <v>0</v>
      </c>
      <c r="CI118" s="27" t="n">
        <v>0</v>
      </c>
      <c r="CJ118" s="27" t="n">
        <v>0</v>
      </c>
      <c r="CK118" s="27" t="n">
        <v>0</v>
      </c>
      <c r="CL118" s="27" t="n">
        <v>0</v>
      </c>
      <c r="CM118" s="27" t="n">
        <v>0</v>
      </c>
      <c r="CN118" s="27" t="n">
        <v>0</v>
      </c>
      <c r="CO118" s="27" t="n">
        <v>0</v>
      </c>
      <c r="CP118" s="27" t="n">
        <v>0</v>
      </c>
      <c r="CQ118" s="27" t="n">
        <v>0</v>
      </c>
      <c r="CR118" s="27" t="n">
        <v>0</v>
      </c>
      <c r="CS118" s="27" t="n">
        <v>0</v>
      </c>
      <c r="CT118" s="27" t="n">
        <v>0</v>
      </c>
      <c r="CU118" s="27" t="n">
        <v>0</v>
      </c>
      <c r="CV118" s="27" t="n">
        <v>0</v>
      </c>
      <c r="CW118" s="27" t="n">
        <v>0</v>
      </c>
      <c r="CX118" s="27" t="n">
        <v>0</v>
      </c>
      <c r="CY118" s="27" t="n">
        <v>0</v>
      </c>
      <c r="CZ118" s="27" t="n">
        <v>0</v>
      </c>
      <c r="DA118" s="27" t="n">
        <v>0</v>
      </c>
    </row>
    <row r="119">
      <c r="A119" t="inlineStr">
        <is>
          <t>0T740</t>
        </is>
      </c>
      <c r="B119" s="27" t="n">
        <v>0</v>
      </c>
      <c r="C119" s="27" t="n">
        <v>0</v>
      </c>
      <c r="D119" s="27" t="n">
        <v>0</v>
      </c>
      <c r="E119" s="27" t="n">
        <v>0</v>
      </c>
      <c r="F119" s="27" t="n">
        <v>0</v>
      </c>
      <c r="G119" s="27" t="n">
        <v>0</v>
      </c>
      <c r="H119" s="27" t="n">
        <v>0</v>
      </c>
      <c r="I119" s="27" t="n">
        <v>0</v>
      </c>
      <c r="J119" s="27" t="n">
        <v>0</v>
      </c>
      <c r="K119" s="27" t="n">
        <v>0</v>
      </c>
      <c r="L119" s="27" t="n">
        <v>0</v>
      </c>
      <c r="M119" s="27" t="n">
        <v>0</v>
      </c>
      <c r="N119" s="27" t="n">
        <v>0</v>
      </c>
      <c r="O119" s="27" t="n">
        <v>0</v>
      </c>
      <c r="P119" s="27" t="n">
        <v>0</v>
      </c>
      <c r="Q119" s="27" t="n">
        <v>0</v>
      </c>
      <c r="R119" s="27" t="n">
        <v>0</v>
      </c>
      <c r="S119" s="27" t="n">
        <v>0</v>
      </c>
      <c r="T119" s="27" t="n">
        <v>0</v>
      </c>
      <c r="U119" s="27" t="n">
        <v>0</v>
      </c>
      <c r="V119" s="27" t="n">
        <v>0</v>
      </c>
      <c r="W119" s="27" t="n">
        <v>0</v>
      </c>
      <c r="X119" s="27" t="n">
        <v>0</v>
      </c>
      <c r="Y119" s="27" t="n">
        <v>0</v>
      </c>
      <c r="Z119" s="27" t="n">
        <v>0</v>
      </c>
      <c r="AA119" s="27" t="n">
        <v>0</v>
      </c>
      <c r="AB119" s="27" t="n">
        <v>0</v>
      </c>
      <c r="AC119" s="27" t="n">
        <v>0</v>
      </c>
      <c r="AD119" s="27" t="n">
        <v>0</v>
      </c>
      <c r="AE119" s="27" t="n">
        <v>0</v>
      </c>
      <c r="AF119" s="27" t="n">
        <v>0</v>
      </c>
      <c r="AG119" s="27" t="n">
        <v>0</v>
      </c>
      <c r="AH119" s="27" t="n">
        <v>0</v>
      </c>
      <c r="AI119" s="27" t="n">
        <v>0</v>
      </c>
      <c r="AJ119" s="27" t="n">
        <v>0</v>
      </c>
      <c r="AK119" s="27" t="n">
        <v>0</v>
      </c>
      <c r="AL119" s="27" t="n">
        <v>0</v>
      </c>
      <c r="AM119" s="27" t="n">
        <v>0</v>
      </c>
      <c r="AN119" s="27" t="n">
        <v>0</v>
      </c>
      <c r="AO119" s="27" t="n">
        <v>0</v>
      </c>
      <c r="AP119" s="27" t="n">
        <v>0</v>
      </c>
      <c r="AQ119" s="27" t="n">
        <v>0</v>
      </c>
      <c r="AR119" s="27" t="n">
        <v>0</v>
      </c>
      <c r="AS119" s="27" t="n">
        <v>0</v>
      </c>
      <c r="AT119" s="27" t="n">
        <v>0</v>
      </c>
      <c r="AU119" s="27" t="n">
        <v>0</v>
      </c>
      <c r="AV119" s="27" t="n">
        <v>0</v>
      </c>
      <c r="AW119" s="27" t="n">
        <v>0</v>
      </c>
      <c r="AX119" s="27" t="n">
        <v>0</v>
      </c>
      <c r="AY119" s="27" t="n">
        <v>0</v>
      </c>
      <c r="AZ119" s="27" t="n">
        <v>0</v>
      </c>
      <c r="BA119" s="27" t="n">
        <v>0</v>
      </c>
      <c r="BB119" s="27" t="n">
        <v>0</v>
      </c>
      <c r="BC119" s="27" t="n">
        <v>0</v>
      </c>
      <c r="BD119" s="27" t="n">
        <v>0</v>
      </c>
      <c r="BE119" s="27" t="n">
        <v>0</v>
      </c>
      <c r="BF119" s="27" t="n">
        <v>0</v>
      </c>
      <c r="BG119" s="27" t="n">
        <v>0</v>
      </c>
      <c r="BH119" s="27" t="n">
        <v>0</v>
      </c>
      <c r="BI119" s="27" t="n">
        <v>0</v>
      </c>
      <c r="BJ119" s="27" t="n">
        <v>0</v>
      </c>
      <c r="BK119" s="27" t="n">
        <v>0</v>
      </c>
      <c r="BL119" s="27" t="n">
        <v>0</v>
      </c>
      <c r="BM119" s="27" t="n">
        <v>0</v>
      </c>
      <c r="BN119" s="27" t="n">
        <v>0</v>
      </c>
      <c r="BO119" s="27" t="n">
        <v>0</v>
      </c>
      <c r="BP119" s="27" t="n">
        <v>0</v>
      </c>
      <c r="BQ119" s="27" t="n">
        <v>0</v>
      </c>
      <c r="BR119" s="27" t="n">
        <v>0</v>
      </c>
      <c r="BS119" s="27" t="n">
        <v>0</v>
      </c>
      <c r="BT119" s="27" t="n">
        <v>0</v>
      </c>
      <c r="BU119" s="27" t="n">
        <v>0</v>
      </c>
      <c r="BV119" s="27" t="n">
        <v>0</v>
      </c>
      <c r="BW119" s="27" t="n">
        <v>0</v>
      </c>
      <c r="BX119" s="27" t="n">
        <v>0</v>
      </c>
      <c r="BY119" s="27" t="n">
        <v>0</v>
      </c>
      <c r="BZ119" s="27" t="n">
        <v>0</v>
      </c>
      <c r="CA119" s="27" t="n">
        <v>0</v>
      </c>
      <c r="CB119" s="27" t="n">
        <v>0</v>
      </c>
      <c r="CC119" s="27" t="n">
        <v>0</v>
      </c>
      <c r="CD119" s="27" t="n">
        <v>0</v>
      </c>
      <c r="CE119" s="27" t="n">
        <v>0</v>
      </c>
      <c r="CF119" s="27" t="n">
        <v>0</v>
      </c>
      <c r="CG119" s="27" t="n">
        <v>0</v>
      </c>
      <c r="CH119" s="27" t="n">
        <v>0</v>
      </c>
      <c r="CI119" s="27" t="n">
        <v>0</v>
      </c>
      <c r="CJ119" s="27" t="n">
        <v>0</v>
      </c>
      <c r="CK119" s="27" t="n">
        <v>0</v>
      </c>
      <c r="CL119" s="27" t="n">
        <v>0</v>
      </c>
      <c r="CM119" s="27" t="n">
        <v>0</v>
      </c>
      <c r="CN119" s="27" t="n">
        <v>0</v>
      </c>
      <c r="CO119" s="27" t="n">
        <v>0</v>
      </c>
      <c r="CP119" s="27" t="n">
        <v>0</v>
      </c>
      <c r="CQ119" s="27" t="n">
        <v>0</v>
      </c>
      <c r="CR119" s="27" t="n">
        <v>0</v>
      </c>
      <c r="CS119" s="27" t="n">
        <v>0</v>
      </c>
      <c r="CT119" s="27" t="n">
        <v>0</v>
      </c>
      <c r="CU119" s="27" t="n">
        <v>0</v>
      </c>
      <c r="CV119" s="27" t="n">
        <v>0</v>
      </c>
      <c r="CW119" s="27" t="n">
        <v>0</v>
      </c>
      <c r="CX119" s="27" t="n">
        <v>0</v>
      </c>
      <c r="CY119" s="27" t="n">
        <v>0</v>
      </c>
      <c r="CZ119" s="27" t="n">
        <v>0</v>
      </c>
      <c r="DA119" s="27" t="n">
        <v>0</v>
      </c>
    </row>
    <row r="120">
      <c r="A120" t="inlineStr">
        <is>
          <t>0T750</t>
        </is>
      </c>
      <c r="B120" s="27" t="n">
        <v>0</v>
      </c>
      <c r="C120" s="27" t="n">
        <v>1440</v>
      </c>
      <c r="D120" s="27" t="n">
        <v>0</v>
      </c>
      <c r="E120" s="27" t="n">
        <v>1440</v>
      </c>
      <c r="F120" s="27" t="n">
        <v>0</v>
      </c>
      <c r="G120" s="27" t="n">
        <v>1440</v>
      </c>
      <c r="H120" s="27" t="n">
        <v>0</v>
      </c>
      <c r="I120" s="27" t="n">
        <v>0</v>
      </c>
      <c r="J120" s="27" t="n">
        <v>0</v>
      </c>
      <c r="K120" s="27" t="n">
        <v>0</v>
      </c>
      <c r="L120" s="27" t="n">
        <v>1440</v>
      </c>
      <c r="M120" s="27" t="n">
        <v>1440</v>
      </c>
      <c r="N120" s="27" t="n">
        <v>0</v>
      </c>
      <c r="O120" s="27" t="n">
        <v>0</v>
      </c>
      <c r="P120" s="27" t="n">
        <v>0</v>
      </c>
      <c r="Q120" s="27" t="n">
        <v>0</v>
      </c>
      <c r="R120" s="27" t="n">
        <v>1440</v>
      </c>
      <c r="S120" s="27" t="n">
        <v>0</v>
      </c>
      <c r="T120" s="27" t="n">
        <v>0</v>
      </c>
      <c r="U120" s="27" t="n">
        <v>0</v>
      </c>
      <c r="V120" s="27" t="n">
        <v>0</v>
      </c>
      <c r="W120" s="27" t="n">
        <v>0</v>
      </c>
      <c r="X120" s="27" t="n">
        <v>1440</v>
      </c>
      <c r="Y120" s="27" t="n">
        <v>0</v>
      </c>
      <c r="Z120" s="27" t="n">
        <v>0</v>
      </c>
      <c r="AA120" s="27" t="n">
        <v>0</v>
      </c>
      <c r="AB120" s="27" t="n">
        <v>0</v>
      </c>
      <c r="AC120" s="27" t="n">
        <v>0</v>
      </c>
      <c r="AD120" s="27" t="n">
        <v>1440</v>
      </c>
      <c r="AE120" s="27" t="n">
        <v>0</v>
      </c>
      <c r="AF120" s="27" t="n">
        <v>0</v>
      </c>
      <c r="AG120" s="27" t="n">
        <v>0</v>
      </c>
      <c r="AH120" s="27" t="n">
        <v>0</v>
      </c>
      <c r="AI120" s="27" t="n">
        <v>0</v>
      </c>
      <c r="AJ120" s="27" t="n">
        <v>0</v>
      </c>
      <c r="AK120" s="27" t="n">
        <v>0</v>
      </c>
      <c r="AL120" s="27" t="n">
        <v>0</v>
      </c>
      <c r="AM120" s="27" t="n">
        <v>1440</v>
      </c>
      <c r="AN120" s="27" t="n">
        <v>0</v>
      </c>
      <c r="AO120" s="27" t="n">
        <v>0</v>
      </c>
      <c r="AP120" s="27" t="n">
        <v>0</v>
      </c>
      <c r="AQ120" s="27" t="n">
        <v>0</v>
      </c>
      <c r="AR120" s="27" t="n">
        <v>0</v>
      </c>
      <c r="AS120" s="27" t="n">
        <v>1400</v>
      </c>
      <c r="AT120" s="27" t="n">
        <v>0</v>
      </c>
      <c r="AU120" s="27" t="n">
        <v>0</v>
      </c>
      <c r="AV120" s="27" t="n">
        <v>0</v>
      </c>
      <c r="AW120" s="27" t="n">
        <v>0</v>
      </c>
      <c r="AX120" s="27" t="n">
        <v>0</v>
      </c>
      <c r="AY120" s="27" t="n">
        <v>0</v>
      </c>
      <c r="AZ120" s="27" t="n">
        <v>0</v>
      </c>
      <c r="BA120" s="27" t="n">
        <v>0</v>
      </c>
      <c r="BB120" s="27" t="n">
        <v>0</v>
      </c>
      <c r="BC120" s="27" t="n">
        <v>0</v>
      </c>
      <c r="BD120" s="27" t="n">
        <v>0</v>
      </c>
      <c r="BE120" s="27" t="n">
        <v>0</v>
      </c>
      <c r="BF120" s="27" t="n">
        <v>0</v>
      </c>
      <c r="BG120" s="27" t="n">
        <v>0</v>
      </c>
      <c r="BH120" s="27" t="n">
        <v>0</v>
      </c>
      <c r="BI120" s="27" t="n">
        <v>0</v>
      </c>
      <c r="BJ120" s="27" t="n">
        <v>0</v>
      </c>
      <c r="BK120" s="27" t="n">
        <v>0</v>
      </c>
      <c r="BL120" s="27" t="n">
        <v>0</v>
      </c>
      <c r="BM120" s="27" t="n">
        <v>0</v>
      </c>
      <c r="BN120" s="27" t="n">
        <v>0</v>
      </c>
      <c r="BO120" s="27" t="n">
        <v>0</v>
      </c>
      <c r="BP120" s="27" t="n">
        <v>0</v>
      </c>
      <c r="BQ120" s="27" t="n">
        <v>0</v>
      </c>
      <c r="BR120" s="27" t="n">
        <v>0</v>
      </c>
      <c r="BS120" s="27" t="n">
        <v>0</v>
      </c>
      <c r="BT120" s="27" t="n">
        <v>0</v>
      </c>
      <c r="BU120" s="27" t="n">
        <v>0</v>
      </c>
      <c r="BV120" s="27" t="n">
        <v>0</v>
      </c>
      <c r="BW120" s="27" t="n">
        <v>0</v>
      </c>
      <c r="BX120" s="27" t="n">
        <v>0</v>
      </c>
      <c r="BY120" s="27" t="n">
        <v>0</v>
      </c>
      <c r="BZ120" s="27" t="n">
        <v>0</v>
      </c>
      <c r="CA120" s="27" t="n">
        <v>0</v>
      </c>
      <c r="CB120" s="27" t="n">
        <v>0</v>
      </c>
      <c r="CC120" s="27" t="n">
        <v>0</v>
      </c>
      <c r="CD120" s="27" t="n">
        <v>0</v>
      </c>
      <c r="CE120" s="27" t="n">
        <v>0</v>
      </c>
      <c r="CF120" s="27" t="n">
        <v>0</v>
      </c>
      <c r="CG120" s="27" t="n">
        <v>0</v>
      </c>
      <c r="CH120" s="27" t="n">
        <v>0</v>
      </c>
      <c r="CI120" s="27" t="n">
        <v>0</v>
      </c>
      <c r="CJ120" s="27" t="n">
        <v>0</v>
      </c>
      <c r="CK120" s="27" t="n">
        <v>0</v>
      </c>
      <c r="CL120" s="27" t="n">
        <v>0</v>
      </c>
      <c r="CM120" s="27" t="n">
        <v>0</v>
      </c>
      <c r="CN120" s="27" t="n">
        <v>0</v>
      </c>
      <c r="CO120" s="27" t="n">
        <v>0</v>
      </c>
      <c r="CP120" s="27" t="n">
        <v>0</v>
      </c>
      <c r="CQ120" s="27" t="n">
        <v>0</v>
      </c>
      <c r="CR120" s="27" t="n">
        <v>0</v>
      </c>
      <c r="CS120" s="27" t="n">
        <v>0</v>
      </c>
      <c r="CT120" s="27" t="n">
        <v>0</v>
      </c>
      <c r="CU120" s="27" t="n">
        <v>0</v>
      </c>
      <c r="CV120" s="27" t="n">
        <v>0</v>
      </c>
      <c r="CW120" s="27" t="n">
        <v>0</v>
      </c>
      <c r="CX120" s="27" t="n">
        <v>0</v>
      </c>
      <c r="CY120" s="27" t="n">
        <v>0</v>
      </c>
      <c r="CZ120" s="27" t="n">
        <v>0</v>
      </c>
      <c r="DA120" s="27" t="n">
        <v>0</v>
      </c>
    </row>
    <row r="121">
      <c r="A121" t="inlineStr">
        <is>
          <t>0T860</t>
        </is>
      </c>
      <c r="B121" s="27" t="n">
        <v>0</v>
      </c>
      <c r="C121" s="27" t="n">
        <v>5760</v>
      </c>
      <c r="D121" s="27" t="n">
        <v>8640</v>
      </c>
      <c r="E121" s="27" t="n">
        <v>8640</v>
      </c>
      <c r="F121" s="27" t="n">
        <v>8640</v>
      </c>
      <c r="G121" s="27" t="n">
        <v>4320</v>
      </c>
      <c r="H121" s="27" t="n">
        <v>0</v>
      </c>
      <c r="I121" s="27" t="n">
        <v>3360</v>
      </c>
      <c r="J121" s="27" t="n">
        <v>7360</v>
      </c>
      <c r="K121" s="27" t="n">
        <v>0</v>
      </c>
      <c r="L121" s="27" t="n">
        <v>8640</v>
      </c>
      <c r="M121" s="27" t="n">
        <v>4320</v>
      </c>
      <c r="N121" s="27" t="n">
        <v>4320</v>
      </c>
      <c r="O121" s="27" t="n">
        <v>4320</v>
      </c>
      <c r="P121" s="27" t="n">
        <v>4320</v>
      </c>
      <c r="Q121" s="27" t="n">
        <v>4320</v>
      </c>
      <c r="R121" s="27" t="n">
        <v>4320</v>
      </c>
      <c r="S121" s="27" t="n">
        <v>0</v>
      </c>
      <c r="T121" s="27" t="n">
        <v>4320</v>
      </c>
      <c r="U121" s="27" t="n">
        <v>0</v>
      </c>
      <c r="V121" s="27" t="n">
        <v>4320</v>
      </c>
      <c r="W121" s="27" t="n">
        <v>4320</v>
      </c>
      <c r="X121" s="27" t="n">
        <v>8640</v>
      </c>
      <c r="Y121" s="27" t="n">
        <v>4320</v>
      </c>
      <c r="Z121" s="27" t="n">
        <v>0</v>
      </c>
      <c r="AA121" s="27" t="n">
        <v>2880</v>
      </c>
      <c r="AB121" s="27" t="n">
        <v>4320</v>
      </c>
      <c r="AC121" s="27" t="n">
        <v>4320</v>
      </c>
      <c r="AD121" s="27" t="n">
        <v>0</v>
      </c>
      <c r="AE121" s="27" t="n">
        <v>0</v>
      </c>
      <c r="AF121" s="27" t="n">
        <v>2880</v>
      </c>
      <c r="AG121" s="27" t="n">
        <v>4320</v>
      </c>
      <c r="AH121" s="27" t="n">
        <v>4320</v>
      </c>
      <c r="AI121" s="27" t="n">
        <v>4320</v>
      </c>
      <c r="AJ121" s="27" t="n">
        <v>4320</v>
      </c>
      <c r="AK121" s="27" t="n">
        <v>4320</v>
      </c>
      <c r="AL121" s="27" t="n">
        <v>4320</v>
      </c>
      <c r="AM121" s="27" t="n">
        <v>0</v>
      </c>
      <c r="AN121" s="27" t="n">
        <v>4320</v>
      </c>
      <c r="AO121" s="27" t="n">
        <v>4320</v>
      </c>
      <c r="AP121" s="27" t="n">
        <v>4320</v>
      </c>
      <c r="AQ121" s="27" t="n">
        <v>4320</v>
      </c>
      <c r="AR121" s="27" t="n">
        <v>4320</v>
      </c>
      <c r="AS121" s="27" t="n">
        <v>2880</v>
      </c>
      <c r="AT121" s="27" t="n">
        <v>4320</v>
      </c>
      <c r="AU121" s="27" t="n">
        <v>4320</v>
      </c>
      <c r="AV121" s="27" t="n">
        <v>4320</v>
      </c>
      <c r="AW121" s="27" t="n">
        <v>4320</v>
      </c>
      <c r="AX121" s="27" t="n">
        <v>4320</v>
      </c>
      <c r="AY121" s="27" t="n">
        <v>4320</v>
      </c>
      <c r="AZ121" s="27" t="n">
        <v>0</v>
      </c>
      <c r="BA121" s="27" t="n">
        <v>0</v>
      </c>
      <c r="BB121" s="27" t="n">
        <v>0</v>
      </c>
      <c r="BC121" s="27" t="n">
        <v>0</v>
      </c>
      <c r="BD121" s="27" t="n">
        <v>4320</v>
      </c>
      <c r="BE121" s="27" t="n">
        <v>4320</v>
      </c>
      <c r="BF121" s="27" t="n">
        <v>4320</v>
      </c>
      <c r="BG121" s="27" t="n">
        <v>4320</v>
      </c>
      <c r="BH121" s="27" t="n">
        <v>4320</v>
      </c>
      <c r="BI121" s="27" t="n">
        <v>0</v>
      </c>
      <c r="BJ121" s="27" t="n">
        <v>4320</v>
      </c>
      <c r="BK121" s="27" t="n">
        <v>0</v>
      </c>
      <c r="BL121" s="27" t="n">
        <v>4320</v>
      </c>
      <c r="BM121" s="27" t="n">
        <v>0</v>
      </c>
      <c r="BN121" s="27" t="n">
        <v>4320</v>
      </c>
      <c r="BO121" s="27" t="n">
        <v>0</v>
      </c>
      <c r="BP121" s="27" t="n">
        <v>0</v>
      </c>
      <c r="BQ121" s="27" t="n">
        <v>0</v>
      </c>
      <c r="BR121" s="27" t="n">
        <v>0</v>
      </c>
      <c r="BS121" s="27" t="n">
        <v>0</v>
      </c>
      <c r="BT121" s="27" t="n">
        <v>0</v>
      </c>
      <c r="BU121" s="27" t="n">
        <v>0</v>
      </c>
      <c r="BV121" s="27" t="n">
        <v>0</v>
      </c>
      <c r="BW121" s="27" t="n">
        <v>0</v>
      </c>
      <c r="BX121" s="27" t="n">
        <v>0</v>
      </c>
      <c r="BY121" s="27" t="n">
        <v>0</v>
      </c>
      <c r="BZ121" s="27" t="n">
        <v>0</v>
      </c>
      <c r="CA121" s="27" t="n">
        <v>0</v>
      </c>
      <c r="CB121" s="27" t="n">
        <v>0</v>
      </c>
      <c r="CC121" s="27" t="n">
        <v>0</v>
      </c>
      <c r="CD121" s="27" t="n">
        <v>0</v>
      </c>
      <c r="CE121" s="27" t="n">
        <v>0</v>
      </c>
      <c r="CF121" s="27" t="n">
        <v>0</v>
      </c>
      <c r="CG121" s="27" t="n">
        <v>0</v>
      </c>
      <c r="CH121" s="27" t="n">
        <v>0</v>
      </c>
      <c r="CI121" s="27" t="n">
        <v>0</v>
      </c>
      <c r="CJ121" s="27" t="n">
        <v>0</v>
      </c>
      <c r="CK121" s="27" t="n">
        <v>0</v>
      </c>
      <c r="CL121" s="27" t="n">
        <v>0</v>
      </c>
      <c r="CM121" s="27" t="n">
        <v>0</v>
      </c>
      <c r="CN121" s="27" t="n">
        <v>0</v>
      </c>
      <c r="CO121" s="27" t="n">
        <v>0</v>
      </c>
      <c r="CP121" s="27" t="n">
        <v>0</v>
      </c>
      <c r="CQ121" s="27" t="n">
        <v>0</v>
      </c>
      <c r="CR121" s="27" t="n">
        <v>0</v>
      </c>
      <c r="CS121" s="27" t="n">
        <v>0</v>
      </c>
      <c r="CT121" s="27" t="n">
        <v>0</v>
      </c>
      <c r="CU121" s="27" t="n">
        <v>0</v>
      </c>
      <c r="CV121" s="27" t="n">
        <v>0</v>
      </c>
      <c r="CW121" s="27" t="n">
        <v>0</v>
      </c>
      <c r="CX121" s="27" t="n">
        <v>0</v>
      </c>
      <c r="CY121" s="27" t="n">
        <v>0</v>
      </c>
      <c r="CZ121" s="27" t="n">
        <v>0</v>
      </c>
      <c r="DA121" s="27" t="n">
        <v>0</v>
      </c>
    </row>
    <row r="122">
      <c r="A122" t="inlineStr">
        <is>
          <t>0T870</t>
        </is>
      </c>
      <c r="B122" s="27" t="n">
        <v>0</v>
      </c>
      <c r="C122" s="27" t="n">
        <v>0</v>
      </c>
      <c r="D122" s="27" t="n">
        <v>0</v>
      </c>
      <c r="E122" s="27" t="n">
        <v>0</v>
      </c>
      <c r="F122" s="27" t="n">
        <v>0</v>
      </c>
      <c r="G122" s="27" t="n">
        <v>0</v>
      </c>
      <c r="H122" s="27" t="n">
        <v>0</v>
      </c>
      <c r="I122" s="27" t="n">
        <v>0</v>
      </c>
      <c r="J122" s="27" t="n">
        <v>0</v>
      </c>
      <c r="K122" s="27" t="n">
        <v>0</v>
      </c>
      <c r="L122" s="27" t="n">
        <v>0</v>
      </c>
      <c r="M122" s="27" t="n">
        <v>0</v>
      </c>
      <c r="N122" s="27" t="n">
        <v>0</v>
      </c>
      <c r="O122" s="27" t="n">
        <v>0</v>
      </c>
      <c r="P122" s="27" t="n">
        <v>0</v>
      </c>
      <c r="Q122" s="27" t="n">
        <v>0</v>
      </c>
      <c r="R122" s="27" t="n">
        <v>0</v>
      </c>
      <c r="S122" s="27" t="n">
        <v>0</v>
      </c>
      <c r="T122" s="27" t="n">
        <v>0</v>
      </c>
      <c r="U122" s="27" t="n">
        <v>0</v>
      </c>
      <c r="V122" s="27" t="n">
        <v>0</v>
      </c>
      <c r="W122" s="27" t="n">
        <v>0</v>
      </c>
      <c r="X122" s="27" t="n">
        <v>0</v>
      </c>
      <c r="Y122" s="27" t="n">
        <v>0</v>
      </c>
      <c r="Z122" s="27" t="n">
        <v>0</v>
      </c>
      <c r="AA122" s="27" t="n">
        <v>0</v>
      </c>
      <c r="AB122" s="27" t="n">
        <v>0</v>
      </c>
      <c r="AC122" s="27" t="n">
        <v>0</v>
      </c>
      <c r="AD122" s="27" t="n">
        <v>0</v>
      </c>
      <c r="AE122" s="27" t="n">
        <v>0</v>
      </c>
      <c r="AF122" s="27" t="n">
        <v>0</v>
      </c>
      <c r="AG122" s="27" t="n">
        <v>0</v>
      </c>
      <c r="AH122" s="27" t="n">
        <v>0</v>
      </c>
      <c r="AI122" s="27" t="n">
        <v>0</v>
      </c>
      <c r="AJ122" s="27" t="n">
        <v>0</v>
      </c>
      <c r="AK122" s="27" t="n">
        <v>0</v>
      </c>
      <c r="AL122" s="27" t="n">
        <v>0</v>
      </c>
      <c r="AM122" s="27" t="n">
        <v>0</v>
      </c>
      <c r="AN122" s="27" t="n">
        <v>0</v>
      </c>
      <c r="AO122" s="27" t="n">
        <v>0</v>
      </c>
      <c r="AP122" s="27" t="n">
        <v>0</v>
      </c>
      <c r="AQ122" s="27" t="n">
        <v>0</v>
      </c>
      <c r="AR122" s="27" t="n">
        <v>0</v>
      </c>
      <c r="AS122" s="27" t="n">
        <v>0</v>
      </c>
      <c r="AT122" s="27" t="n">
        <v>0</v>
      </c>
      <c r="AU122" s="27" t="n">
        <v>0</v>
      </c>
      <c r="AV122" s="27" t="n">
        <v>0</v>
      </c>
      <c r="AW122" s="27" t="n">
        <v>0</v>
      </c>
      <c r="AX122" s="27" t="n">
        <v>0</v>
      </c>
      <c r="AY122" s="27" t="n">
        <v>0</v>
      </c>
      <c r="AZ122" s="27" t="n">
        <v>0</v>
      </c>
      <c r="BA122" s="27" t="n">
        <v>0</v>
      </c>
      <c r="BB122" s="27" t="n">
        <v>0</v>
      </c>
      <c r="BC122" s="27" t="n">
        <v>0</v>
      </c>
      <c r="BD122" s="27" t="n">
        <v>0</v>
      </c>
      <c r="BE122" s="27" t="n">
        <v>0</v>
      </c>
      <c r="BF122" s="27" t="n">
        <v>0</v>
      </c>
      <c r="BG122" s="27" t="n">
        <v>0</v>
      </c>
      <c r="BH122" s="27" t="n">
        <v>0</v>
      </c>
      <c r="BI122" s="27" t="n">
        <v>0</v>
      </c>
      <c r="BJ122" s="27" t="n">
        <v>0</v>
      </c>
      <c r="BK122" s="27" t="n">
        <v>0</v>
      </c>
      <c r="BL122" s="27" t="n">
        <v>0</v>
      </c>
      <c r="BM122" s="27" t="n">
        <v>0</v>
      </c>
      <c r="BN122" s="27" t="n">
        <v>0</v>
      </c>
      <c r="BO122" s="27" t="n">
        <v>0</v>
      </c>
      <c r="BP122" s="27" t="n">
        <v>0</v>
      </c>
      <c r="BQ122" s="27" t="n">
        <v>0</v>
      </c>
      <c r="BR122" s="27" t="n">
        <v>0</v>
      </c>
      <c r="BS122" s="27" t="n">
        <v>0</v>
      </c>
      <c r="BT122" s="27" t="n">
        <v>0</v>
      </c>
      <c r="BU122" s="27" t="n">
        <v>0</v>
      </c>
      <c r="BV122" s="27" t="n">
        <v>0</v>
      </c>
      <c r="BW122" s="27" t="n">
        <v>0</v>
      </c>
      <c r="BX122" s="27" t="n">
        <v>0</v>
      </c>
      <c r="BY122" s="27" t="n">
        <v>0</v>
      </c>
      <c r="BZ122" s="27" t="n">
        <v>0</v>
      </c>
      <c r="CA122" s="27" t="n">
        <v>0</v>
      </c>
      <c r="CB122" s="27" t="n">
        <v>0</v>
      </c>
      <c r="CC122" s="27" t="n">
        <v>0</v>
      </c>
      <c r="CD122" s="27" t="n">
        <v>0</v>
      </c>
      <c r="CE122" s="27" t="n">
        <v>0</v>
      </c>
      <c r="CF122" s="27" t="n">
        <v>0</v>
      </c>
      <c r="CG122" s="27" t="n">
        <v>0</v>
      </c>
      <c r="CH122" s="27" t="n">
        <v>0</v>
      </c>
      <c r="CI122" s="27" t="n">
        <v>0</v>
      </c>
      <c r="CJ122" s="27" t="n">
        <v>0</v>
      </c>
      <c r="CK122" s="27" t="n">
        <v>0</v>
      </c>
      <c r="CL122" s="27" t="n">
        <v>0</v>
      </c>
      <c r="CM122" s="27" t="n">
        <v>0</v>
      </c>
      <c r="CN122" s="27" t="n">
        <v>0</v>
      </c>
      <c r="CO122" s="27" t="n">
        <v>0</v>
      </c>
      <c r="CP122" s="27" t="n">
        <v>0</v>
      </c>
      <c r="CQ122" s="27" t="n">
        <v>0</v>
      </c>
      <c r="CR122" s="27" t="n">
        <v>0</v>
      </c>
      <c r="CS122" s="27" t="n">
        <v>0</v>
      </c>
      <c r="CT122" s="27" t="n">
        <v>0</v>
      </c>
      <c r="CU122" s="27" t="n">
        <v>0</v>
      </c>
      <c r="CV122" s="27" t="n">
        <v>0</v>
      </c>
      <c r="CW122" s="27" t="n">
        <v>0</v>
      </c>
      <c r="CX122" s="27" t="n">
        <v>0</v>
      </c>
      <c r="CY122" s="27" t="n">
        <v>0</v>
      </c>
      <c r="CZ122" s="27" t="n">
        <v>0</v>
      </c>
      <c r="DA122" s="27" t="n">
        <v>0</v>
      </c>
    </row>
    <row r="123">
      <c r="A123" t="inlineStr">
        <is>
          <t>0T880</t>
        </is>
      </c>
      <c r="B123" s="27" t="n">
        <v>0</v>
      </c>
      <c r="C123" s="27" t="n">
        <v>0</v>
      </c>
      <c r="D123" s="27" t="n">
        <v>0</v>
      </c>
      <c r="E123" s="27" t="n">
        <v>0</v>
      </c>
      <c r="F123" s="27" t="n">
        <v>0</v>
      </c>
      <c r="G123" s="27" t="n">
        <v>0</v>
      </c>
      <c r="H123" s="27" t="n">
        <v>0</v>
      </c>
      <c r="I123" s="27" t="n">
        <v>0</v>
      </c>
      <c r="J123" s="27" t="n">
        <v>0</v>
      </c>
      <c r="K123" s="27" t="n">
        <v>0</v>
      </c>
      <c r="L123" s="27" t="n">
        <v>0</v>
      </c>
      <c r="M123" s="27" t="n">
        <v>0</v>
      </c>
      <c r="N123" s="27" t="n">
        <v>0</v>
      </c>
      <c r="O123" s="27" t="n">
        <v>0</v>
      </c>
      <c r="P123" s="27" t="n">
        <v>0</v>
      </c>
      <c r="Q123" s="27" t="n">
        <v>0</v>
      </c>
      <c r="R123" s="27" t="n">
        <v>0</v>
      </c>
      <c r="S123" s="27" t="n">
        <v>0</v>
      </c>
      <c r="T123" s="27" t="n">
        <v>0</v>
      </c>
      <c r="U123" s="27" t="n">
        <v>0</v>
      </c>
      <c r="V123" s="27" t="n">
        <v>0</v>
      </c>
      <c r="W123" s="27" t="n">
        <v>0</v>
      </c>
      <c r="X123" s="27" t="n">
        <v>0</v>
      </c>
      <c r="Y123" s="27" t="n">
        <v>0</v>
      </c>
      <c r="Z123" s="27" t="n">
        <v>0</v>
      </c>
      <c r="AA123" s="27" t="n">
        <v>0</v>
      </c>
      <c r="AB123" s="27" t="n">
        <v>0</v>
      </c>
      <c r="AC123" s="27" t="n">
        <v>0</v>
      </c>
      <c r="AD123" s="27" t="n">
        <v>0</v>
      </c>
      <c r="AE123" s="27" t="n">
        <v>0</v>
      </c>
      <c r="AF123" s="27" t="n">
        <v>0</v>
      </c>
      <c r="AG123" s="27" t="n">
        <v>0</v>
      </c>
      <c r="AH123" s="27" t="n">
        <v>0</v>
      </c>
      <c r="AI123" s="27" t="n">
        <v>0</v>
      </c>
      <c r="AJ123" s="27" t="n">
        <v>0</v>
      </c>
      <c r="AK123" s="27" t="n">
        <v>0</v>
      </c>
      <c r="AL123" s="27" t="n">
        <v>0</v>
      </c>
      <c r="AM123" s="27" t="n">
        <v>0</v>
      </c>
      <c r="AN123" s="27" t="n">
        <v>0</v>
      </c>
      <c r="AO123" s="27" t="n">
        <v>0</v>
      </c>
      <c r="AP123" s="27" t="n">
        <v>0</v>
      </c>
      <c r="AQ123" s="27" t="n">
        <v>0</v>
      </c>
      <c r="AR123" s="27" t="n">
        <v>0</v>
      </c>
      <c r="AS123" s="27" t="n">
        <v>0</v>
      </c>
      <c r="AT123" s="27" t="n">
        <v>0</v>
      </c>
      <c r="AU123" s="27" t="n">
        <v>0</v>
      </c>
      <c r="AV123" s="27" t="n">
        <v>0</v>
      </c>
      <c r="AW123" s="27" t="n">
        <v>0</v>
      </c>
      <c r="AX123" s="27" t="n">
        <v>0</v>
      </c>
      <c r="AY123" s="27" t="n">
        <v>0</v>
      </c>
      <c r="AZ123" s="27" t="n">
        <v>0</v>
      </c>
      <c r="BA123" s="27" t="n">
        <v>0</v>
      </c>
      <c r="BB123" s="27" t="n">
        <v>0</v>
      </c>
      <c r="BC123" s="27" t="n">
        <v>0</v>
      </c>
      <c r="BD123" s="27" t="n">
        <v>0</v>
      </c>
      <c r="BE123" s="27" t="n">
        <v>0</v>
      </c>
      <c r="BF123" s="27" t="n">
        <v>0</v>
      </c>
      <c r="BG123" s="27" t="n">
        <v>0</v>
      </c>
      <c r="BH123" s="27" t="n">
        <v>0</v>
      </c>
      <c r="BI123" s="27" t="n">
        <v>0</v>
      </c>
      <c r="BJ123" s="27" t="n">
        <v>0</v>
      </c>
      <c r="BK123" s="27" t="n">
        <v>0</v>
      </c>
      <c r="BL123" s="27" t="n">
        <v>0</v>
      </c>
      <c r="BM123" s="27" t="n">
        <v>0</v>
      </c>
      <c r="BN123" s="27" t="n">
        <v>0</v>
      </c>
      <c r="BO123" s="27" t="n">
        <v>0</v>
      </c>
      <c r="BP123" s="27" t="n">
        <v>0</v>
      </c>
      <c r="BQ123" s="27" t="n">
        <v>0</v>
      </c>
      <c r="BR123" s="27" t="n">
        <v>0</v>
      </c>
      <c r="BS123" s="27" t="n">
        <v>0</v>
      </c>
      <c r="BT123" s="27" t="n">
        <v>0</v>
      </c>
      <c r="BU123" s="27" t="n">
        <v>0</v>
      </c>
      <c r="BV123" s="27" t="n">
        <v>0</v>
      </c>
      <c r="BW123" s="27" t="n">
        <v>0</v>
      </c>
      <c r="BX123" s="27" t="n">
        <v>0</v>
      </c>
      <c r="BY123" s="27" t="n">
        <v>0</v>
      </c>
      <c r="BZ123" s="27" t="n">
        <v>0</v>
      </c>
      <c r="CA123" s="27" t="n">
        <v>0</v>
      </c>
      <c r="CB123" s="27" t="n">
        <v>0</v>
      </c>
      <c r="CC123" s="27" t="n">
        <v>0</v>
      </c>
      <c r="CD123" s="27" t="n">
        <v>0</v>
      </c>
      <c r="CE123" s="27" t="n">
        <v>0</v>
      </c>
      <c r="CF123" s="27" t="n">
        <v>0</v>
      </c>
      <c r="CG123" s="27" t="n">
        <v>0</v>
      </c>
      <c r="CH123" s="27" t="n">
        <v>0</v>
      </c>
      <c r="CI123" s="27" t="n">
        <v>0</v>
      </c>
      <c r="CJ123" s="27" t="n">
        <v>0</v>
      </c>
      <c r="CK123" s="27" t="n">
        <v>0</v>
      </c>
      <c r="CL123" s="27" t="n">
        <v>0</v>
      </c>
      <c r="CM123" s="27" t="n">
        <v>0</v>
      </c>
      <c r="CN123" s="27" t="n">
        <v>0</v>
      </c>
      <c r="CO123" s="27" t="n">
        <v>0</v>
      </c>
      <c r="CP123" s="27" t="n">
        <v>0</v>
      </c>
      <c r="CQ123" s="27" t="n">
        <v>0</v>
      </c>
      <c r="CR123" s="27" t="n">
        <v>0</v>
      </c>
      <c r="CS123" s="27" t="n">
        <v>0</v>
      </c>
      <c r="CT123" s="27" t="n">
        <v>0</v>
      </c>
      <c r="CU123" s="27" t="n">
        <v>0</v>
      </c>
      <c r="CV123" s="27" t="n">
        <v>0</v>
      </c>
      <c r="CW123" s="27" t="n">
        <v>0</v>
      </c>
      <c r="CX123" s="27" t="n">
        <v>0</v>
      </c>
      <c r="CY123" s="27" t="n">
        <v>0</v>
      </c>
      <c r="CZ123" s="27" t="n">
        <v>0</v>
      </c>
      <c r="DA123" s="27" t="n">
        <v>0</v>
      </c>
    </row>
    <row r="124">
      <c r="A124" t="inlineStr">
        <is>
          <t>0TA40</t>
        </is>
      </c>
      <c r="B124" s="27" t="n">
        <v>0</v>
      </c>
      <c r="C124" s="27" t="n">
        <v>1440</v>
      </c>
      <c r="D124" s="27" t="n">
        <v>0</v>
      </c>
      <c r="E124" s="27" t="n">
        <v>0</v>
      </c>
      <c r="F124" s="27" t="n">
        <v>0</v>
      </c>
      <c r="G124" s="27" t="n">
        <v>0</v>
      </c>
      <c r="H124" s="27" t="n">
        <v>1440</v>
      </c>
      <c r="I124" s="27" t="n">
        <v>0</v>
      </c>
      <c r="J124" s="27" t="n">
        <v>0</v>
      </c>
      <c r="K124" s="27" t="n">
        <v>0</v>
      </c>
      <c r="L124" s="27" t="n">
        <v>0</v>
      </c>
      <c r="M124" s="27" t="n">
        <v>0</v>
      </c>
      <c r="N124" s="27" t="n">
        <v>0</v>
      </c>
      <c r="O124" s="27" t="n">
        <v>0</v>
      </c>
      <c r="P124" s="27" t="n">
        <v>0</v>
      </c>
      <c r="Q124" s="27" t="n">
        <v>0</v>
      </c>
      <c r="R124" s="27" t="n">
        <v>0</v>
      </c>
      <c r="S124" s="27" t="n">
        <v>0</v>
      </c>
      <c r="T124" s="27" t="n">
        <v>0</v>
      </c>
      <c r="U124" s="27" t="n">
        <v>0</v>
      </c>
      <c r="V124" s="27" t="n">
        <v>0</v>
      </c>
      <c r="W124" s="27" t="n">
        <v>0</v>
      </c>
      <c r="X124" s="27" t="n">
        <v>0</v>
      </c>
      <c r="Y124" s="27" t="n">
        <v>0</v>
      </c>
      <c r="Z124" s="27" t="n">
        <v>0</v>
      </c>
      <c r="AA124" s="27" t="n">
        <v>1440</v>
      </c>
      <c r="AB124" s="27" t="n">
        <v>0</v>
      </c>
      <c r="AC124" s="27" t="n">
        <v>0</v>
      </c>
      <c r="AD124" s="27" t="n">
        <v>0</v>
      </c>
      <c r="AE124" s="27" t="n">
        <v>0</v>
      </c>
      <c r="AF124" s="27" t="n">
        <v>1440</v>
      </c>
      <c r="AG124" s="27" t="n">
        <v>0</v>
      </c>
      <c r="AH124" s="27" t="n">
        <v>0</v>
      </c>
      <c r="AI124" s="27" t="n">
        <v>0</v>
      </c>
      <c r="AJ124" s="27" t="n">
        <v>0</v>
      </c>
      <c r="AK124" s="27" t="n">
        <v>0</v>
      </c>
      <c r="AL124" s="27" t="n">
        <v>0</v>
      </c>
      <c r="AM124" s="27" t="n">
        <v>0</v>
      </c>
      <c r="AN124" s="27" t="n">
        <v>0</v>
      </c>
      <c r="AO124" s="27" t="n">
        <v>0</v>
      </c>
      <c r="AP124" s="27" t="n">
        <v>0</v>
      </c>
      <c r="AQ124" s="27" t="n">
        <v>0</v>
      </c>
      <c r="AR124" s="27" t="n">
        <v>0</v>
      </c>
      <c r="AS124" s="27" t="n">
        <v>1440</v>
      </c>
      <c r="AT124" s="27" t="n">
        <v>0</v>
      </c>
      <c r="AU124" s="27" t="n">
        <v>0</v>
      </c>
      <c r="AV124" s="27" t="n">
        <v>0</v>
      </c>
      <c r="AW124" s="27" t="n">
        <v>0</v>
      </c>
      <c r="AX124" s="27" t="n">
        <v>0</v>
      </c>
      <c r="AY124" s="27" t="n">
        <v>0</v>
      </c>
      <c r="AZ124" s="27" t="n">
        <v>0</v>
      </c>
      <c r="BA124" s="27" t="n">
        <v>0</v>
      </c>
      <c r="BB124" s="27" t="n">
        <v>0</v>
      </c>
      <c r="BC124" s="27" t="n">
        <v>0</v>
      </c>
      <c r="BD124" s="27" t="n">
        <v>0</v>
      </c>
      <c r="BE124" s="27" t="n">
        <v>0</v>
      </c>
      <c r="BF124" s="27" t="n">
        <v>1440</v>
      </c>
      <c r="BG124" s="27" t="n">
        <v>0</v>
      </c>
      <c r="BH124" s="27" t="n">
        <v>0</v>
      </c>
      <c r="BI124" s="27" t="n">
        <v>0</v>
      </c>
      <c r="BJ124" s="27" t="n">
        <v>0</v>
      </c>
      <c r="BK124" s="27" t="n">
        <v>0</v>
      </c>
      <c r="BL124" s="27" t="n">
        <v>1440</v>
      </c>
      <c r="BM124" s="27" t="n">
        <v>0</v>
      </c>
      <c r="BN124" s="27" t="n">
        <v>0</v>
      </c>
      <c r="BO124" s="27" t="n">
        <v>0</v>
      </c>
      <c r="BP124" s="27" t="n">
        <v>1440</v>
      </c>
      <c r="BQ124" s="27" t="n">
        <v>0</v>
      </c>
      <c r="BR124" s="27" t="n">
        <v>0</v>
      </c>
      <c r="BS124" s="27" t="n">
        <v>1440</v>
      </c>
      <c r="BT124" s="27" t="n">
        <v>0</v>
      </c>
      <c r="BU124" s="27" t="n">
        <v>0</v>
      </c>
      <c r="BV124" s="27" t="n">
        <v>0</v>
      </c>
      <c r="BW124" s="27" t="n">
        <v>1440</v>
      </c>
      <c r="BX124" s="27" t="n">
        <v>0</v>
      </c>
      <c r="BY124" s="27" t="n">
        <v>0</v>
      </c>
      <c r="BZ124" s="27" t="n">
        <v>0</v>
      </c>
      <c r="CA124" s="27" t="n">
        <v>0</v>
      </c>
      <c r="CB124" s="27" t="n">
        <v>0</v>
      </c>
      <c r="CC124" s="27" t="n">
        <v>0</v>
      </c>
      <c r="CD124" s="27" t="n">
        <v>0</v>
      </c>
      <c r="CE124" s="27" t="n">
        <v>0</v>
      </c>
      <c r="CF124" s="27" t="n">
        <v>0</v>
      </c>
      <c r="CG124" s="27" t="n">
        <v>0</v>
      </c>
      <c r="CH124" s="27" t="n">
        <v>0</v>
      </c>
      <c r="CI124" s="27" t="n">
        <v>0</v>
      </c>
      <c r="CJ124" s="27" t="n">
        <v>0</v>
      </c>
      <c r="CK124" s="27" t="n">
        <v>0</v>
      </c>
      <c r="CL124" s="27" t="n">
        <v>0</v>
      </c>
      <c r="CM124" s="27" t="n">
        <v>0</v>
      </c>
      <c r="CN124" s="27" t="n">
        <v>0</v>
      </c>
      <c r="CO124" s="27" t="n">
        <v>0</v>
      </c>
      <c r="CP124" s="27" t="n">
        <v>0</v>
      </c>
      <c r="CQ124" s="27" t="n">
        <v>0</v>
      </c>
      <c r="CR124" s="27" t="n">
        <v>0</v>
      </c>
      <c r="CS124" s="27" t="n">
        <v>0</v>
      </c>
      <c r="CT124" s="27" t="n">
        <v>0</v>
      </c>
      <c r="CU124" s="27" t="n">
        <v>0</v>
      </c>
      <c r="CV124" s="27" t="n">
        <v>0</v>
      </c>
      <c r="CW124" s="27" t="n">
        <v>0</v>
      </c>
      <c r="CX124" s="27" t="n">
        <v>0</v>
      </c>
      <c r="CY124" s="27" t="n">
        <v>0</v>
      </c>
      <c r="CZ124" s="27" t="n">
        <v>0</v>
      </c>
      <c r="DA124" s="27" t="n">
        <v>0</v>
      </c>
    </row>
    <row r="125">
      <c r="A125" t="inlineStr">
        <is>
          <t>0W750</t>
        </is>
      </c>
      <c r="B125" s="27" t="n">
        <v>0</v>
      </c>
      <c r="C125" s="27" t="n">
        <v>0</v>
      </c>
      <c r="D125" s="27" t="n">
        <v>0</v>
      </c>
      <c r="E125" s="27" t="n">
        <v>0</v>
      </c>
      <c r="F125" s="27" t="n">
        <v>0</v>
      </c>
      <c r="G125" s="27" t="n">
        <v>0</v>
      </c>
      <c r="H125" s="27" t="n">
        <v>0</v>
      </c>
      <c r="I125" s="27" t="n">
        <v>0</v>
      </c>
      <c r="J125" s="27" t="n">
        <v>0</v>
      </c>
      <c r="K125" s="27" t="n">
        <v>0</v>
      </c>
      <c r="L125" s="27" t="n">
        <v>0</v>
      </c>
      <c r="M125" s="27" t="n">
        <v>0</v>
      </c>
      <c r="N125" s="27" t="n">
        <v>0</v>
      </c>
      <c r="O125" s="27" t="n">
        <v>0</v>
      </c>
      <c r="P125" s="27" t="n">
        <v>0</v>
      </c>
      <c r="Q125" s="27" t="n">
        <v>0</v>
      </c>
      <c r="R125" s="27" t="n">
        <v>0</v>
      </c>
      <c r="S125" s="27" t="n">
        <v>0</v>
      </c>
      <c r="T125" s="27" t="n">
        <v>0</v>
      </c>
      <c r="U125" s="27" t="n">
        <v>0</v>
      </c>
      <c r="V125" s="27" t="n">
        <v>0</v>
      </c>
      <c r="W125" s="27" t="n">
        <v>0</v>
      </c>
      <c r="X125" s="27" t="n">
        <v>0</v>
      </c>
      <c r="Y125" s="27" t="n">
        <v>0</v>
      </c>
      <c r="Z125" s="27" t="n">
        <v>0</v>
      </c>
      <c r="AA125" s="27" t="n">
        <v>0</v>
      </c>
      <c r="AB125" s="27" t="n">
        <v>0</v>
      </c>
      <c r="AC125" s="27" t="n">
        <v>0</v>
      </c>
      <c r="AD125" s="27" t="n">
        <v>0</v>
      </c>
      <c r="AE125" s="27" t="n">
        <v>0</v>
      </c>
      <c r="AF125" s="27" t="n">
        <v>0</v>
      </c>
      <c r="AG125" s="27" t="n">
        <v>0</v>
      </c>
      <c r="AH125" s="27" t="n">
        <v>0</v>
      </c>
      <c r="AI125" s="27" t="n">
        <v>0</v>
      </c>
      <c r="AJ125" s="27" t="n">
        <v>0</v>
      </c>
      <c r="AK125" s="27" t="n">
        <v>0</v>
      </c>
      <c r="AL125" s="27" t="n">
        <v>0</v>
      </c>
      <c r="AM125" s="27" t="n">
        <v>0</v>
      </c>
      <c r="AN125" s="27" t="n">
        <v>0</v>
      </c>
      <c r="AO125" s="27" t="n">
        <v>0</v>
      </c>
      <c r="AP125" s="27" t="n">
        <v>0</v>
      </c>
      <c r="AQ125" s="27" t="n">
        <v>0</v>
      </c>
      <c r="AR125" s="27" t="n">
        <v>0</v>
      </c>
      <c r="AS125" s="27" t="n">
        <v>0</v>
      </c>
      <c r="AT125" s="27" t="n">
        <v>0</v>
      </c>
      <c r="AU125" s="27" t="n">
        <v>0</v>
      </c>
      <c r="AV125" s="27" t="n">
        <v>0</v>
      </c>
      <c r="AW125" s="27" t="n">
        <v>0</v>
      </c>
      <c r="AX125" s="27" t="n">
        <v>0</v>
      </c>
      <c r="AY125" s="27" t="n">
        <v>0</v>
      </c>
      <c r="AZ125" s="27" t="n">
        <v>0</v>
      </c>
      <c r="BA125" s="27" t="n">
        <v>0</v>
      </c>
      <c r="BB125" s="27" t="n">
        <v>0</v>
      </c>
      <c r="BC125" s="27" t="n">
        <v>0</v>
      </c>
      <c r="BD125" s="27" t="n">
        <v>0</v>
      </c>
      <c r="BE125" s="27" t="n">
        <v>0</v>
      </c>
      <c r="BF125" s="27" t="n">
        <v>0</v>
      </c>
      <c r="BG125" s="27" t="n">
        <v>0</v>
      </c>
      <c r="BH125" s="27" t="n">
        <v>0</v>
      </c>
      <c r="BI125" s="27" t="n">
        <v>0</v>
      </c>
      <c r="BJ125" s="27" t="n">
        <v>0</v>
      </c>
      <c r="BK125" s="27" t="n">
        <v>0</v>
      </c>
      <c r="BL125" s="27" t="n">
        <v>0</v>
      </c>
      <c r="BM125" s="27" t="n">
        <v>0</v>
      </c>
      <c r="BN125" s="27" t="n">
        <v>0</v>
      </c>
      <c r="BO125" s="27" t="n">
        <v>0</v>
      </c>
      <c r="BP125" s="27" t="n">
        <v>0</v>
      </c>
      <c r="BQ125" s="27" t="n">
        <v>0</v>
      </c>
      <c r="BR125" s="27" t="n">
        <v>0</v>
      </c>
      <c r="BS125" s="27" t="n">
        <v>0</v>
      </c>
      <c r="BT125" s="27" t="n">
        <v>0</v>
      </c>
      <c r="BU125" s="27" t="n">
        <v>0</v>
      </c>
      <c r="BV125" s="27" t="n">
        <v>0</v>
      </c>
      <c r="BW125" s="27" t="n">
        <v>0</v>
      </c>
      <c r="BX125" s="27" t="n">
        <v>0</v>
      </c>
      <c r="BY125" s="27" t="n">
        <v>0</v>
      </c>
      <c r="BZ125" s="27" t="n">
        <v>0</v>
      </c>
      <c r="CA125" s="27" t="n">
        <v>0</v>
      </c>
      <c r="CB125" s="27" t="n">
        <v>0</v>
      </c>
      <c r="CC125" s="27" t="n">
        <v>0</v>
      </c>
      <c r="CD125" s="27" t="n">
        <v>0</v>
      </c>
      <c r="CE125" s="27" t="n">
        <v>0</v>
      </c>
      <c r="CF125" s="27" t="n">
        <v>0</v>
      </c>
      <c r="CG125" s="27" t="n">
        <v>0</v>
      </c>
      <c r="CH125" s="27" t="n">
        <v>0</v>
      </c>
      <c r="CI125" s="27" t="n">
        <v>0</v>
      </c>
      <c r="CJ125" s="27" t="n">
        <v>0</v>
      </c>
      <c r="CK125" s="27" t="n">
        <v>0</v>
      </c>
      <c r="CL125" s="27" t="n">
        <v>0</v>
      </c>
      <c r="CM125" s="27" t="n">
        <v>0</v>
      </c>
      <c r="CN125" s="27" t="n">
        <v>0</v>
      </c>
      <c r="CO125" s="27" t="n">
        <v>0</v>
      </c>
      <c r="CP125" s="27" t="n">
        <v>0</v>
      </c>
      <c r="CQ125" s="27" t="n">
        <v>0</v>
      </c>
      <c r="CR125" s="27" t="n">
        <v>0</v>
      </c>
      <c r="CS125" s="27" t="n">
        <v>0</v>
      </c>
      <c r="CT125" s="27" t="n">
        <v>0</v>
      </c>
      <c r="CU125" s="27" t="n">
        <v>0</v>
      </c>
      <c r="CV125" s="27" t="n">
        <v>0</v>
      </c>
      <c r="CW125" s="27" t="n">
        <v>0</v>
      </c>
      <c r="CX125" s="27" t="n">
        <v>0</v>
      </c>
      <c r="CY125" s="27" t="n">
        <v>0</v>
      </c>
      <c r="CZ125" s="27" t="n">
        <v>0</v>
      </c>
      <c r="DA125" s="27" t="n">
        <v>0</v>
      </c>
    </row>
    <row r="126">
      <c r="A126" t="inlineStr">
        <is>
          <t>0W780</t>
        </is>
      </c>
      <c r="B126" s="27" t="n">
        <v>0</v>
      </c>
      <c r="C126" s="27" t="n">
        <v>0</v>
      </c>
      <c r="D126" s="27" t="n">
        <v>0</v>
      </c>
      <c r="E126" s="27" t="n">
        <v>0</v>
      </c>
      <c r="F126" s="27" t="n">
        <v>0</v>
      </c>
      <c r="G126" s="27" t="n">
        <v>0</v>
      </c>
      <c r="H126" s="27" t="n">
        <v>0</v>
      </c>
      <c r="I126" s="27" t="n">
        <v>0</v>
      </c>
      <c r="J126" s="27" t="n">
        <v>0</v>
      </c>
      <c r="K126" s="27" t="n">
        <v>0</v>
      </c>
      <c r="L126" s="27" t="n">
        <v>0</v>
      </c>
      <c r="M126" s="27" t="n">
        <v>0</v>
      </c>
      <c r="N126" s="27" t="n">
        <v>0</v>
      </c>
      <c r="O126" s="27" t="n">
        <v>0</v>
      </c>
      <c r="P126" s="27" t="n">
        <v>0</v>
      </c>
      <c r="Q126" s="27" t="n">
        <v>0</v>
      </c>
      <c r="R126" s="27" t="n">
        <v>0</v>
      </c>
      <c r="S126" s="27" t="n">
        <v>0</v>
      </c>
      <c r="T126" s="27" t="n">
        <v>0</v>
      </c>
      <c r="U126" s="27" t="n">
        <v>0</v>
      </c>
      <c r="V126" s="27" t="n">
        <v>0</v>
      </c>
      <c r="W126" s="27" t="n">
        <v>0</v>
      </c>
      <c r="X126" s="27" t="n">
        <v>0</v>
      </c>
      <c r="Y126" s="27" t="n">
        <v>0</v>
      </c>
      <c r="Z126" s="27" t="n">
        <v>0</v>
      </c>
      <c r="AA126" s="27" t="n">
        <v>0</v>
      </c>
      <c r="AB126" s="27" t="n">
        <v>0</v>
      </c>
      <c r="AC126" s="27" t="n">
        <v>0</v>
      </c>
      <c r="AD126" s="27" t="n">
        <v>0</v>
      </c>
      <c r="AE126" s="27" t="n">
        <v>0</v>
      </c>
      <c r="AF126" s="27" t="n">
        <v>0</v>
      </c>
      <c r="AG126" s="27" t="n">
        <v>0</v>
      </c>
      <c r="AH126" s="27" t="n">
        <v>0</v>
      </c>
      <c r="AI126" s="27" t="n">
        <v>0</v>
      </c>
      <c r="AJ126" s="27" t="n">
        <v>0</v>
      </c>
      <c r="AK126" s="27" t="n">
        <v>0</v>
      </c>
      <c r="AL126" s="27" t="n">
        <v>0</v>
      </c>
      <c r="AM126" s="27" t="n">
        <v>0</v>
      </c>
      <c r="AN126" s="27" t="n">
        <v>0</v>
      </c>
      <c r="AO126" s="27" t="n">
        <v>0</v>
      </c>
      <c r="AP126" s="27" t="n">
        <v>0</v>
      </c>
      <c r="AQ126" s="27" t="n">
        <v>0</v>
      </c>
      <c r="AR126" s="27" t="n">
        <v>0</v>
      </c>
      <c r="AS126" s="27" t="n">
        <v>0</v>
      </c>
      <c r="AT126" s="27" t="n">
        <v>0</v>
      </c>
      <c r="AU126" s="27" t="n">
        <v>0</v>
      </c>
      <c r="AV126" s="27" t="n">
        <v>0</v>
      </c>
      <c r="AW126" s="27" t="n">
        <v>0</v>
      </c>
      <c r="AX126" s="27" t="n">
        <v>0</v>
      </c>
      <c r="AY126" s="27" t="n">
        <v>0</v>
      </c>
      <c r="AZ126" s="27" t="n">
        <v>0</v>
      </c>
      <c r="BA126" s="27" t="n">
        <v>0</v>
      </c>
      <c r="BB126" s="27" t="n">
        <v>0</v>
      </c>
      <c r="BC126" s="27" t="n">
        <v>0</v>
      </c>
      <c r="BD126" s="27" t="n">
        <v>0</v>
      </c>
      <c r="BE126" s="27" t="n">
        <v>0</v>
      </c>
      <c r="BF126" s="27" t="n">
        <v>0</v>
      </c>
      <c r="BG126" s="27" t="n">
        <v>0</v>
      </c>
      <c r="BH126" s="27" t="n">
        <v>0</v>
      </c>
      <c r="BI126" s="27" t="n">
        <v>0</v>
      </c>
      <c r="BJ126" s="27" t="n">
        <v>0</v>
      </c>
      <c r="BK126" s="27" t="n">
        <v>0</v>
      </c>
      <c r="BL126" s="27" t="n">
        <v>0</v>
      </c>
      <c r="BM126" s="27" t="n">
        <v>0</v>
      </c>
      <c r="BN126" s="27" t="n">
        <v>0</v>
      </c>
      <c r="BO126" s="27" t="n">
        <v>0</v>
      </c>
      <c r="BP126" s="27" t="n">
        <v>0</v>
      </c>
      <c r="BQ126" s="27" t="n">
        <v>0</v>
      </c>
      <c r="BR126" s="27" t="n">
        <v>0</v>
      </c>
      <c r="BS126" s="27" t="n">
        <v>0</v>
      </c>
      <c r="BT126" s="27" t="n">
        <v>0</v>
      </c>
      <c r="BU126" s="27" t="n">
        <v>0</v>
      </c>
      <c r="BV126" s="27" t="n">
        <v>0</v>
      </c>
      <c r="BW126" s="27" t="n">
        <v>0</v>
      </c>
      <c r="BX126" s="27" t="n">
        <v>0</v>
      </c>
      <c r="BY126" s="27" t="n">
        <v>0</v>
      </c>
      <c r="BZ126" s="27" t="n">
        <v>0</v>
      </c>
      <c r="CA126" s="27" t="n">
        <v>0</v>
      </c>
      <c r="CB126" s="27" t="n">
        <v>0</v>
      </c>
      <c r="CC126" s="27" t="n">
        <v>0</v>
      </c>
      <c r="CD126" s="27" t="n">
        <v>0</v>
      </c>
      <c r="CE126" s="27" t="n">
        <v>0</v>
      </c>
      <c r="CF126" s="27" t="n">
        <v>0</v>
      </c>
      <c r="CG126" s="27" t="n">
        <v>0</v>
      </c>
      <c r="CH126" s="27" t="n">
        <v>0</v>
      </c>
      <c r="CI126" s="27" t="n">
        <v>0</v>
      </c>
      <c r="CJ126" s="27" t="n">
        <v>0</v>
      </c>
      <c r="CK126" s="27" t="n">
        <v>0</v>
      </c>
      <c r="CL126" s="27" t="n">
        <v>0</v>
      </c>
      <c r="CM126" s="27" t="n">
        <v>0</v>
      </c>
      <c r="CN126" s="27" t="n">
        <v>0</v>
      </c>
      <c r="CO126" s="27" t="n">
        <v>0</v>
      </c>
      <c r="CP126" s="27" t="n">
        <v>0</v>
      </c>
      <c r="CQ126" s="27" t="n">
        <v>0</v>
      </c>
      <c r="CR126" s="27" t="n">
        <v>0</v>
      </c>
      <c r="CS126" s="27" t="n">
        <v>0</v>
      </c>
      <c r="CT126" s="27" t="n">
        <v>0</v>
      </c>
      <c r="CU126" s="27" t="n">
        <v>0</v>
      </c>
      <c r="CV126" s="27" t="n">
        <v>0</v>
      </c>
      <c r="CW126" s="27" t="n">
        <v>0</v>
      </c>
      <c r="CX126" s="27" t="n">
        <v>0</v>
      </c>
      <c r="CY126" s="27" t="n">
        <v>0</v>
      </c>
      <c r="CZ126" s="27" t="n">
        <v>0</v>
      </c>
      <c r="DA126" s="27" t="n">
        <v>0</v>
      </c>
    </row>
    <row r="127">
      <c r="A127" t="inlineStr">
        <is>
          <t>0Y460</t>
        </is>
      </c>
      <c r="B127" s="27" t="n">
        <v>0</v>
      </c>
      <c r="C127" s="27" t="n">
        <v>0</v>
      </c>
      <c r="D127" s="27" t="n">
        <v>0</v>
      </c>
      <c r="E127" s="27" t="n">
        <v>0</v>
      </c>
      <c r="F127" s="27" t="n">
        <v>0</v>
      </c>
      <c r="G127" s="27" t="n">
        <v>0</v>
      </c>
      <c r="H127" s="27" t="n">
        <v>0</v>
      </c>
      <c r="I127" s="27" t="n">
        <v>0</v>
      </c>
      <c r="J127" s="27" t="n">
        <v>0</v>
      </c>
      <c r="K127" s="27" t="n">
        <v>0</v>
      </c>
      <c r="L127" s="27" t="n">
        <v>0</v>
      </c>
      <c r="M127" s="27" t="n">
        <v>0</v>
      </c>
      <c r="N127" s="27" t="n">
        <v>0</v>
      </c>
      <c r="O127" s="27" t="n">
        <v>0</v>
      </c>
      <c r="P127" s="27" t="n">
        <v>0</v>
      </c>
      <c r="Q127" s="27" t="n">
        <v>0</v>
      </c>
      <c r="R127" s="27" t="n">
        <v>0</v>
      </c>
      <c r="S127" s="27" t="n">
        <v>0</v>
      </c>
      <c r="T127" s="27" t="n">
        <v>0</v>
      </c>
      <c r="U127" s="27" t="n">
        <v>0</v>
      </c>
      <c r="V127" s="27" t="n">
        <v>0</v>
      </c>
      <c r="W127" s="27" t="n">
        <v>0</v>
      </c>
      <c r="X127" s="27" t="n">
        <v>0</v>
      </c>
      <c r="Y127" s="27" t="n">
        <v>0</v>
      </c>
      <c r="Z127" s="27" t="n">
        <v>0</v>
      </c>
      <c r="AA127" s="27" t="n">
        <v>0</v>
      </c>
      <c r="AB127" s="27" t="n">
        <v>0</v>
      </c>
      <c r="AC127" s="27" t="n">
        <v>0</v>
      </c>
      <c r="AD127" s="27" t="n">
        <v>0</v>
      </c>
      <c r="AE127" s="27" t="n">
        <v>0</v>
      </c>
      <c r="AF127" s="27" t="n">
        <v>0</v>
      </c>
      <c r="AG127" s="27" t="n">
        <v>0</v>
      </c>
      <c r="AH127" s="27" t="n">
        <v>0</v>
      </c>
      <c r="AI127" s="27" t="n">
        <v>0</v>
      </c>
      <c r="AJ127" s="27" t="n">
        <v>0</v>
      </c>
      <c r="AK127" s="27" t="n">
        <v>0</v>
      </c>
      <c r="AL127" s="27" t="n">
        <v>0</v>
      </c>
      <c r="AM127" s="27" t="n">
        <v>0</v>
      </c>
      <c r="AN127" s="27" t="n">
        <v>0</v>
      </c>
      <c r="AO127" s="27" t="n">
        <v>0</v>
      </c>
      <c r="AP127" s="27" t="n">
        <v>0</v>
      </c>
      <c r="AQ127" s="27" t="n">
        <v>0</v>
      </c>
      <c r="AR127" s="27" t="n">
        <v>0</v>
      </c>
      <c r="AS127" s="27" t="n">
        <v>0</v>
      </c>
      <c r="AT127" s="27" t="n">
        <v>0</v>
      </c>
      <c r="AU127" s="27" t="n">
        <v>0</v>
      </c>
      <c r="AV127" s="27" t="n">
        <v>0</v>
      </c>
      <c r="AW127" s="27" t="n">
        <v>0</v>
      </c>
      <c r="AX127" s="27" t="n">
        <v>0</v>
      </c>
      <c r="AY127" s="27" t="n">
        <v>0</v>
      </c>
      <c r="AZ127" s="27" t="n">
        <v>0</v>
      </c>
      <c r="BA127" s="27" t="n">
        <v>0</v>
      </c>
      <c r="BB127" s="27" t="n">
        <v>0</v>
      </c>
      <c r="BC127" s="27" t="n">
        <v>0</v>
      </c>
      <c r="BD127" s="27" t="n">
        <v>0</v>
      </c>
      <c r="BE127" s="27" t="n">
        <v>0</v>
      </c>
      <c r="BF127" s="27" t="n">
        <v>0</v>
      </c>
      <c r="BG127" s="27" t="n">
        <v>0</v>
      </c>
      <c r="BH127" s="27" t="n">
        <v>0</v>
      </c>
      <c r="BI127" s="27" t="n">
        <v>0</v>
      </c>
      <c r="BJ127" s="27" t="n">
        <v>0</v>
      </c>
      <c r="BK127" s="27" t="n">
        <v>0</v>
      </c>
      <c r="BL127" s="27" t="n">
        <v>0</v>
      </c>
      <c r="BM127" s="27" t="n">
        <v>0</v>
      </c>
      <c r="BN127" s="27" t="n">
        <v>0</v>
      </c>
      <c r="BO127" s="27" t="n">
        <v>0</v>
      </c>
      <c r="BP127" s="27" t="n">
        <v>0</v>
      </c>
      <c r="BQ127" s="27" t="n">
        <v>0</v>
      </c>
      <c r="BR127" s="27" t="n">
        <v>0</v>
      </c>
      <c r="BS127" s="27" t="n">
        <v>0</v>
      </c>
      <c r="BT127" s="27" t="n">
        <v>0</v>
      </c>
      <c r="BU127" s="27" t="n">
        <v>0</v>
      </c>
      <c r="BV127" s="27" t="n">
        <v>0</v>
      </c>
      <c r="BW127" s="27" t="n">
        <v>0</v>
      </c>
      <c r="BX127" s="27" t="n">
        <v>0</v>
      </c>
      <c r="BY127" s="27" t="n">
        <v>0</v>
      </c>
      <c r="BZ127" s="27" t="n">
        <v>0</v>
      </c>
      <c r="CA127" s="27" t="n">
        <v>0</v>
      </c>
      <c r="CB127" s="27" t="n">
        <v>0</v>
      </c>
      <c r="CC127" s="27" t="n">
        <v>0</v>
      </c>
      <c r="CD127" s="27" t="n">
        <v>0</v>
      </c>
      <c r="CE127" s="27" t="n">
        <v>0</v>
      </c>
      <c r="CF127" s="27" t="n">
        <v>0</v>
      </c>
      <c r="CG127" s="27" t="n">
        <v>0</v>
      </c>
      <c r="CH127" s="27" t="n">
        <v>0</v>
      </c>
      <c r="CI127" s="27" t="n">
        <v>0</v>
      </c>
      <c r="CJ127" s="27" t="n">
        <v>0</v>
      </c>
      <c r="CK127" s="27" t="n">
        <v>0</v>
      </c>
      <c r="CL127" s="27" t="n">
        <v>0</v>
      </c>
      <c r="CM127" s="27" t="n">
        <v>0</v>
      </c>
      <c r="CN127" s="27" t="n">
        <v>0</v>
      </c>
      <c r="CO127" s="27" t="n">
        <v>0</v>
      </c>
      <c r="CP127" s="27" t="n">
        <v>0</v>
      </c>
      <c r="CQ127" s="27" t="n">
        <v>0</v>
      </c>
      <c r="CR127" s="27" t="n">
        <v>0</v>
      </c>
      <c r="CS127" s="27" t="n">
        <v>0</v>
      </c>
      <c r="CT127" s="27" t="n">
        <v>0</v>
      </c>
      <c r="CU127" s="27" t="n">
        <v>0</v>
      </c>
      <c r="CV127" s="27" t="n">
        <v>0</v>
      </c>
      <c r="CW127" s="27" t="n">
        <v>0</v>
      </c>
      <c r="CX127" s="27" t="n">
        <v>0</v>
      </c>
      <c r="CY127" s="27" t="n">
        <v>0</v>
      </c>
      <c r="CZ127" s="27" t="n">
        <v>0</v>
      </c>
      <c r="DA127" s="27" t="n">
        <v>0</v>
      </c>
    </row>
    <row r="128">
      <c r="A128" t="inlineStr">
        <is>
          <t>F0220</t>
        </is>
      </c>
      <c r="B128" s="27" t="n">
        <v>0</v>
      </c>
      <c r="C128" s="27" t="n">
        <v>0</v>
      </c>
      <c r="D128" s="27" t="n">
        <v>0</v>
      </c>
      <c r="E128" s="27" t="n">
        <v>0</v>
      </c>
      <c r="F128" s="27" t="n">
        <v>0</v>
      </c>
      <c r="G128" s="27" t="n">
        <v>0</v>
      </c>
      <c r="H128" s="27" t="n">
        <v>0</v>
      </c>
      <c r="I128" s="27" t="n">
        <v>0</v>
      </c>
      <c r="J128" s="27" t="n">
        <v>0</v>
      </c>
      <c r="K128" s="27" t="n">
        <v>0</v>
      </c>
      <c r="L128" s="27" t="n">
        <v>0</v>
      </c>
      <c r="M128" s="27" t="n">
        <v>0</v>
      </c>
      <c r="N128" s="27" t="n">
        <v>0</v>
      </c>
      <c r="O128" s="27" t="n">
        <v>0</v>
      </c>
      <c r="P128" s="27" t="n">
        <v>0</v>
      </c>
      <c r="Q128" s="27" t="n">
        <v>0</v>
      </c>
      <c r="R128" s="27" t="n">
        <v>0</v>
      </c>
      <c r="S128" s="27" t="n">
        <v>0</v>
      </c>
      <c r="T128" s="27" t="n">
        <v>0</v>
      </c>
      <c r="U128" s="27" t="n">
        <v>0</v>
      </c>
      <c r="V128" s="27" t="n">
        <v>0</v>
      </c>
      <c r="W128" s="27" t="n">
        <v>0</v>
      </c>
      <c r="X128" s="27" t="n">
        <v>0</v>
      </c>
      <c r="Y128" s="27" t="n">
        <v>0</v>
      </c>
      <c r="Z128" s="27" t="n">
        <v>0</v>
      </c>
      <c r="AA128" s="27" t="n">
        <v>0</v>
      </c>
      <c r="AB128" s="27" t="n">
        <v>0</v>
      </c>
      <c r="AC128" s="27" t="n">
        <v>0</v>
      </c>
      <c r="AD128" s="27" t="n">
        <v>0</v>
      </c>
      <c r="AE128" s="27" t="n">
        <v>0</v>
      </c>
      <c r="AF128" s="27" t="n">
        <v>0</v>
      </c>
      <c r="AG128" s="27" t="n">
        <v>0</v>
      </c>
      <c r="AH128" s="27" t="n">
        <v>0</v>
      </c>
      <c r="AI128" s="27" t="n">
        <v>0</v>
      </c>
      <c r="AJ128" s="27" t="n">
        <v>0</v>
      </c>
      <c r="AK128" s="27" t="n">
        <v>0</v>
      </c>
      <c r="AL128" s="27" t="n">
        <v>0</v>
      </c>
      <c r="AM128" s="27" t="n">
        <v>0</v>
      </c>
      <c r="AN128" s="27" t="n">
        <v>0</v>
      </c>
      <c r="AO128" s="27" t="n">
        <v>0</v>
      </c>
      <c r="AP128" s="27" t="n">
        <v>0</v>
      </c>
      <c r="AQ128" s="27" t="n">
        <v>0</v>
      </c>
      <c r="AR128" s="27" t="n">
        <v>0</v>
      </c>
      <c r="AS128" s="27" t="n">
        <v>0</v>
      </c>
      <c r="AT128" s="27" t="n">
        <v>0</v>
      </c>
      <c r="AU128" s="27" t="n">
        <v>0</v>
      </c>
      <c r="AV128" s="27" t="n">
        <v>0</v>
      </c>
      <c r="AW128" s="27" t="n">
        <v>0</v>
      </c>
      <c r="AX128" s="27" t="n">
        <v>0</v>
      </c>
      <c r="AY128" s="27" t="n">
        <v>0</v>
      </c>
      <c r="AZ128" s="27" t="n">
        <v>0</v>
      </c>
      <c r="BA128" s="27" t="n">
        <v>0</v>
      </c>
      <c r="BB128" s="27" t="n">
        <v>0</v>
      </c>
      <c r="BC128" s="27" t="n">
        <v>0</v>
      </c>
      <c r="BD128" s="27" t="n">
        <v>0</v>
      </c>
      <c r="BE128" s="27" t="n">
        <v>0</v>
      </c>
      <c r="BF128" s="27" t="n">
        <v>0</v>
      </c>
      <c r="BG128" s="27" t="n">
        <v>0</v>
      </c>
      <c r="BH128" s="27" t="n">
        <v>0</v>
      </c>
      <c r="BI128" s="27" t="n">
        <v>0</v>
      </c>
      <c r="BJ128" s="27" t="n">
        <v>0</v>
      </c>
      <c r="BK128" s="27" t="n">
        <v>0</v>
      </c>
      <c r="BL128" s="27" t="n">
        <v>0</v>
      </c>
      <c r="BM128" s="27" t="n">
        <v>0</v>
      </c>
      <c r="BN128" s="27" t="n">
        <v>0</v>
      </c>
      <c r="BO128" s="27" t="n">
        <v>0</v>
      </c>
      <c r="BP128" s="27" t="n">
        <v>0</v>
      </c>
      <c r="BQ128" s="27" t="n">
        <v>0</v>
      </c>
      <c r="BR128" s="27" t="n">
        <v>0</v>
      </c>
      <c r="BS128" s="27" t="n">
        <v>0</v>
      </c>
      <c r="BT128" s="27" t="n">
        <v>0</v>
      </c>
      <c r="BU128" s="27" t="n">
        <v>0</v>
      </c>
      <c r="BV128" s="27" t="n">
        <v>0</v>
      </c>
      <c r="BW128" s="27" t="n">
        <v>0</v>
      </c>
      <c r="BX128" s="27" t="n">
        <v>0</v>
      </c>
      <c r="BY128" s="27" t="n">
        <v>0</v>
      </c>
      <c r="BZ128" s="27" t="n">
        <v>0</v>
      </c>
      <c r="CA128" s="27" t="n">
        <v>0</v>
      </c>
      <c r="CB128" s="27" t="n">
        <v>0</v>
      </c>
      <c r="CC128" s="27" t="n">
        <v>0</v>
      </c>
      <c r="CD128" s="27" t="n">
        <v>0</v>
      </c>
      <c r="CE128" s="27" t="n">
        <v>0</v>
      </c>
      <c r="CF128" s="27" t="n">
        <v>0</v>
      </c>
      <c r="CG128" s="27" t="n">
        <v>0</v>
      </c>
      <c r="CH128" s="27" t="n">
        <v>0</v>
      </c>
      <c r="CI128" s="27" t="n">
        <v>0</v>
      </c>
      <c r="CJ128" s="27" t="n">
        <v>0</v>
      </c>
      <c r="CK128" s="27" t="n">
        <v>0</v>
      </c>
      <c r="CL128" s="27" t="n">
        <v>0</v>
      </c>
      <c r="CM128" s="27" t="n">
        <v>0</v>
      </c>
      <c r="CN128" s="27" t="n">
        <v>0</v>
      </c>
      <c r="CO128" s="27" t="n">
        <v>0</v>
      </c>
      <c r="CP128" s="27" t="n">
        <v>0</v>
      </c>
      <c r="CQ128" s="27" t="n">
        <v>0</v>
      </c>
      <c r="CR128" s="27" t="n">
        <v>0</v>
      </c>
      <c r="CS128" s="27" t="n">
        <v>0</v>
      </c>
      <c r="CT128" s="27" t="n">
        <v>0</v>
      </c>
      <c r="CU128" s="27" t="n">
        <v>0</v>
      </c>
      <c r="CV128" s="27" t="n">
        <v>0</v>
      </c>
      <c r="CW128" s="27" t="n">
        <v>0</v>
      </c>
      <c r="CX128" s="27" t="n">
        <v>0</v>
      </c>
      <c r="CY128" s="27" t="n">
        <v>0</v>
      </c>
      <c r="CZ128" s="27" t="n">
        <v>0</v>
      </c>
      <c r="DA128" s="27" t="n">
        <v>0</v>
      </c>
    </row>
    <row r="129">
      <c r="A129" t="inlineStr">
        <is>
          <t>F2100</t>
        </is>
      </c>
      <c r="B129" s="27" t="n">
        <v>0</v>
      </c>
      <c r="C129" s="27" t="n">
        <v>0</v>
      </c>
      <c r="D129" s="27" t="n">
        <v>0</v>
      </c>
      <c r="E129" s="27" t="n">
        <v>0</v>
      </c>
      <c r="F129" s="27" t="n">
        <v>0</v>
      </c>
      <c r="G129" s="27" t="n">
        <v>0</v>
      </c>
      <c r="H129" s="27" t="n">
        <v>0</v>
      </c>
      <c r="I129" s="27" t="n">
        <v>0</v>
      </c>
      <c r="J129" s="27" t="n">
        <v>0</v>
      </c>
      <c r="K129" s="27" t="n">
        <v>0</v>
      </c>
      <c r="L129" s="27" t="n">
        <v>0</v>
      </c>
      <c r="M129" s="27" t="n">
        <v>0</v>
      </c>
      <c r="N129" s="27" t="n">
        <v>0</v>
      </c>
      <c r="O129" s="27" t="n">
        <v>0</v>
      </c>
      <c r="P129" s="27" t="n">
        <v>0</v>
      </c>
      <c r="Q129" s="27" t="n">
        <v>0</v>
      </c>
      <c r="R129" s="27" t="n">
        <v>0</v>
      </c>
      <c r="S129" s="27" t="n">
        <v>0</v>
      </c>
      <c r="T129" s="27" t="n">
        <v>0</v>
      </c>
      <c r="U129" s="27" t="n">
        <v>0</v>
      </c>
      <c r="V129" s="27" t="n">
        <v>0</v>
      </c>
      <c r="W129" s="27" t="n">
        <v>0</v>
      </c>
      <c r="X129" s="27" t="n">
        <v>0</v>
      </c>
      <c r="Y129" s="27" t="n">
        <v>0</v>
      </c>
      <c r="Z129" s="27" t="n">
        <v>0</v>
      </c>
      <c r="AA129" s="27" t="n">
        <v>0</v>
      </c>
      <c r="AB129" s="27" t="n">
        <v>0</v>
      </c>
      <c r="AC129" s="27" t="n">
        <v>0</v>
      </c>
      <c r="AD129" s="27" t="n">
        <v>0</v>
      </c>
      <c r="AE129" s="27" t="n">
        <v>0</v>
      </c>
      <c r="AF129" s="27" t="n">
        <v>0</v>
      </c>
      <c r="AG129" s="27" t="n">
        <v>0</v>
      </c>
      <c r="AH129" s="27" t="n">
        <v>0</v>
      </c>
      <c r="AI129" s="27" t="n">
        <v>0</v>
      </c>
      <c r="AJ129" s="27" t="n">
        <v>0</v>
      </c>
      <c r="AK129" s="27" t="n">
        <v>0</v>
      </c>
      <c r="AL129" s="27" t="n">
        <v>0</v>
      </c>
      <c r="AM129" s="27" t="n">
        <v>0</v>
      </c>
      <c r="AN129" s="27" t="n">
        <v>0</v>
      </c>
      <c r="AO129" s="27" t="n">
        <v>0</v>
      </c>
      <c r="AP129" s="27" t="n">
        <v>0</v>
      </c>
      <c r="AQ129" s="27" t="n">
        <v>0</v>
      </c>
      <c r="AR129" s="27" t="n">
        <v>0</v>
      </c>
      <c r="AS129" s="27" t="n">
        <v>0</v>
      </c>
      <c r="AT129" s="27" t="n">
        <v>0</v>
      </c>
      <c r="AU129" s="27" t="n">
        <v>0</v>
      </c>
      <c r="AV129" s="27" t="n">
        <v>0</v>
      </c>
      <c r="AW129" s="27" t="n">
        <v>0</v>
      </c>
      <c r="AX129" s="27" t="n">
        <v>0</v>
      </c>
      <c r="AY129" s="27" t="n">
        <v>0</v>
      </c>
      <c r="AZ129" s="27" t="n">
        <v>0</v>
      </c>
      <c r="BA129" s="27" t="n">
        <v>0</v>
      </c>
      <c r="BB129" s="27" t="n">
        <v>0</v>
      </c>
      <c r="BC129" s="27" t="n">
        <v>0</v>
      </c>
      <c r="BD129" s="27" t="n">
        <v>0</v>
      </c>
      <c r="BE129" s="27" t="n">
        <v>0</v>
      </c>
      <c r="BF129" s="27" t="n">
        <v>0</v>
      </c>
      <c r="BG129" s="27" t="n">
        <v>0</v>
      </c>
      <c r="BH129" s="27" t="n">
        <v>0</v>
      </c>
      <c r="BI129" s="27" t="n">
        <v>0</v>
      </c>
      <c r="BJ129" s="27" t="n">
        <v>0</v>
      </c>
      <c r="BK129" s="27" t="n">
        <v>0</v>
      </c>
      <c r="BL129" s="27" t="n">
        <v>0</v>
      </c>
      <c r="BM129" s="27" t="n">
        <v>0</v>
      </c>
      <c r="BN129" s="27" t="n">
        <v>0</v>
      </c>
      <c r="BO129" s="27" t="n">
        <v>0</v>
      </c>
      <c r="BP129" s="27" t="n">
        <v>0</v>
      </c>
      <c r="BQ129" s="27" t="n">
        <v>0</v>
      </c>
      <c r="BR129" s="27" t="n">
        <v>0</v>
      </c>
      <c r="BS129" s="27" t="n">
        <v>0</v>
      </c>
      <c r="BT129" s="27" t="n">
        <v>0</v>
      </c>
      <c r="BU129" s="27" t="n">
        <v>0</v>
      </c>
      <c r="BV129" s="27" t="n">
        <v>0</v>
      </c>
      <c r="BW129" s="27" t="n">
        <v>0</v>
      </c>
      <c r="BX129" s="27" t="n">
        <v>0</v>
      </c>
      <c r="BY129" s="27" t="n">
        <v>0</v>
      </c>
      <c r="BZ129" s="27" t="n">
        <v>0</v>
      </c>
      <c r="CA129" s="27" t="n">
        <v>0</v>
      </c>
      <c r="CB129" s="27" t="n">
        <v>0</v>
      </c>
      <c r="CC129" s="27" t="n">
        <v>0</v>
      </c>
      <c r="CD129" s="27" t="n">
        <v>0</v>
      </c>
      <c r="CE129" s="27" t="n">
        <v>0</v>
      </c>
      <c r="CF129" s="27" t="n">
        <v>0</v>
      </c>
      <c r="CG129" s="27" t="n">
        <v>0</v>
      </c>
      <c r="CH129" s="27" t="n">
        <v>0</v>
      </c>
      <c r="CI129" s="27" t="n">
        <v>0</v>
      </c>
      <c r="CJ129" s="27" t="n">
        <v>0</v>
      </c>
      <c r="CK129" s="27" t="n">
        <v>0</v>
      </c>
      <c r="CL129" s="27" t="n">
        <v>0</v>
      </c>
      <c r="CM129" s="27" t="n">
        <v>0</v>
      </c>
      <c r="CN129" s="27" t="n">
        <v>0</v>
      </c>
      <c r="CO129" s="27" t="n">
        <v>0</v>
      </c>
      <c r="CP129" s="27" t="n">
        <v>0</v>
      </c>
      <c r="CQ129" s="27" t="n">
        <v>0</v>
      </c>
      <c r="CR129" s="27" t="n">
        <v>0</v>
      </c>
      <c r="CS129" s="27" t="n">
        <v>0</v>
      </c>
      <c r="CT129" s="27" t="n">
        <v>0</v>
      </c>
      <c r="CU129" s="27" t="n">
        <v>0</v>
      </c>
      <c r="CV129" s="27" t="n">
        <v>0</v>
      </c>
      <c r="CW129" s="27" t="n">
        <v>0</v>
      </c>
      <c r="CX129" s="27" t="n">
        <v>0</v>
      </c>
      <c r="CY129" s="27" t="n">
        <v>0</v>
      </c>
      <c r="CZ129" s="27" t="n">
        <v>0</v>
      </c>
      <c r="DA129" s="27" t="n">
        <v>0</v>
      </c>
    </row>
    <row r="130">
      <c r="A130" t="inlineStr">
        <is>
          <t>F2180</t>
        </is>
      </c>
      <c r="B130" s="27" t="n">
        <v>0</v>
      </c>
      <c r="C130" s="27" t="n">
        <v>0</v>
      </c>
      <c r="D130" s="27" t="n">
        <v>0</v>
      </c>
      <c r="E130" s="27" t="n">
        <v>0</v>
      </c>
      <c r="F130" s="27" t="n">
        <v>0</v>
      </c>
      <c r="G130" s="27" t="n">
        <v>0</v>
      </c>
      <c r="H130" s="27" t="n">
        <v>0</v>
      </c>
      <c r="I130" s="27" t="n">
        <v>0</v>
      </c>
      <c r="J130" s="27" t="n">
        <v>0</v>
      </c>
      <c r="K130" s="27" t="n">
        <v>0</v>
      </c>
      <c r="L130" s="27" t="n">
        <v>0</v>
      </c>
      <c r="M130" s="27" t="n">
        <v>0</v>
      </c>
      <c r="N130" s="27" t="n">
        <v>0</v>
      </c>
      <c r="O130" s="27" t="n">
        <v>0</v>
      </c>
      <c r="P130" s="27" t="n">
        <v>0</v>
      </c>
      <c r="Q130" s="27" t="n">
        <v>0</v>
      </c>
      <c r="R130" s="27" t="n">
        <v>0</v>
      </c>
      <c r="S130" s="27" t="n">
        <v>0</v>
      </c>
      <c r="T130" s="27" t="n">
        <v>0</v>
      </c>
      <c r="U130" s="27" t="n">
        <v>0</v>
      </c>
      <c r="V130" s="27" t="n">
        <v>0</v>
      </c>
      <c r="W130" s="27" t="n">
        <v>0</v>
      </c>
      <c r="X130" s="27" t="n">
        <v>0</v>
      </c>
      <c r="Y130" s="27" t="n">
        <v>0</v>
      </c>
      <c r="Z130" s="27" t="n">
        <v>0</v>
      </c>
      <c r="AA130" s="27" t="n">
        <v>0</v>
      </c>
      <c r="AB130" s="27" t="n">
        <v>0</v>
      </c>
      <c r="AC130" s="27" t="n">
        <v>0</v>
      </c>
      <c r="AD130" s="27" t="n">
        <v>0</v>
      </c>
      <c r="AE130" s="27" t="n">
        <v>0</v>
      </c>
      <c r="AF130" s="27" t="n">
        <v>0</v>
      </c>
      <c r="AG130" s="27" t="n">
        <v>0</v>
      </c>
      <c r="AH130" s="27" t="n">
        <v>0</v>
      </c>
      <c r="AI130" s="27" t="n">
        <v>0</v>
      </c>
      <c r="AJ130" s="27" t="n">
        <v>0</v>
      </c>
      <c r="AK130" s="27" t="n">
        <v>0</v>
      </c>
      <c r="AL130" s="27" t="n">
        <v>0</v>
      </c>
      <c r="AM130" s="27" t="n">
        <v>0</v>
      </c>
      <c r="AN130" s="27" t="n">
        <v>0</v>
      </c>
      <c r="AO130" s="27" t="n">
        <v>0</v>
      </c>
      <c r="AP130" s="27" t="n">
        <v>0</v>
      </c>
      <c r="AQ130" s="27" t="n">
        <v>0</v>
      </c>
      <c r="AR130" s="27" t="n">
        <v>0</v>
      </c>
      <c r="AS130" s="27" t="n">
        <v>0</v>
      </c>
      <c r="AT130" s="27" t="n">
        <v>0</v>
      </c>
      <c r="AU130" s="27" t="n">
        <v>0</v>
      </c>
      <c r="AV130" s="27" t="n">
        <v>0</v>
      </c>
      <c r="AW130" s="27" t="n">
        <v>0</v>
      </c>
      <c r="AX130" s="27" t="n">
        <v>0</v>
      </c>
      <c r="AY130" s="27" t="n">
        <v>0</v>
      </c>
      <c r="AZ130" s="27" t="n">
        <v>0</v>
      </c>
      <c r="BA130" s="27" t="n">
        <v>0</v>
      </c>
      <c r="BB130" s="27" t="n">
        <v>0</v>
      </c>
      <c r="BC130" s="27" t="n">
        <v>0</v>
      </c>
      <c r="BD130" s="27" t="n">
        <v>0</v>
      </c>
      <c r="BE130" s="27" t="n">
        <v>0</v>
      </c>
      <c r="BF130" s="27" t="n">
        <v>0</v>
      </c>
      <c r="BG130" s="27" t="n">
        <v>0</v>
      </c>
      <c r="BH130" s="27" t="n">
        <v>0</v>
      </c>
      <c r="BI130" s="27" t="n">
        <v>0</v>
      </c>
      <c r="BJ130" s="27" t="n">
        <v>0</v>
      </c>
      <c r="BK130" s="27" t="n">
        <v>0</v>
      </c>
      <c r="BL130" s="27" t="n">
        <v>0</v>
      </c>
      <c r="BM130" s="27" t="n">
        <v>0</v>
      </c>
      <c r="BN130" s="27" t="n">
        <v>0</v>
      </c>
      <c r="BO130" s="27" t="n">
        <v>0</v>
      </c>
      <c r="BP130" s="27" t="n">
        <v>0</v>
      </c>
      <c r="BQ130" s="27" t="n">
        <v>0</v>
      </c>
      <c r="BR130" s="27" t="n">
        <v>0</v>
      </c>
      <c r="BS130" s="27" t="n">
        <v>0</v>
      </c>
      <c r="BT130" s="27" t="n">
        <v>0</v>
      </c>
      <c r="BU130" s="27" t="n">
        <v>0</v>
      </c>
      <c r="BV130" s="27" t="n">
        <v>0</v>
      </c>
      <c r="BW130" s="27" t="n">
        <v>0</v>
      </c>
      <c r="BX130" s="27" t="n">
        <v>0</v>
      </c>
      <c r="BY130" s="27" t="n">
        <v>0</v>
      </c>
      <c r="BZ130" s="27" t="n">
        <v>0</v>
      </c>
      <c r="CA130" s="27" t="n">
        <v>0</v>
      </c>
      <c r="CB130" s="27" t="n">
        <v>0</v>
      </c>
      <c r="CC130" s="27" t="n">
        <v>0</v>
      </c>
      <c r="CD130" s="27" t="n">
        <v>0</v>
      </c>
      <c r="CE130" s="27" t="n">
        <v>0</v>
      </c>
      <c r="CF130" s="27" t="n">
        <v>0</v>
      </c>
      <c r="CG130" s="27" t="n">
        <v>0</v>
      </c>
      <c r="CH130" s="27" t="n">
        <v>0</v>
      </c>
      <c r="CI130" s="27" t="n">
        <v>0</v>
      </c>
      <c r="CJ130" s="27" t="n">
        <v>0</v>
      </c>
      <c r="CK130" s="27" t="n">
        <v>0</v>
      </c>
      <c r="CL130" s="27" t="n">
        <v>0</v>
      </c>
      <c r="CM130" s="27" t="n">
        <v>0</v>
      </c>
      <c r="CN130" s="27" t="n">
        <v>0</v>
      </c>
      <c r="CO130" s="27" t="n">
        <v>0</v>
      </c>
      <c r="CP130" s="27" t="n">
        <v>0</v>
      </c>
      <c r="CQ130" s="27" t="n">
        <v>0</v>
      </c>
      <c r="CR130" s="27" t="n">
        <v>0</v>
      </c>
      <c r="CS130" s="27" t="n">
        <v>0</v>
      </c>
      <c r="CT130" s="27" t="n">
        <v>0</v>
      </c>
      <c r="CU130" s="27" t="n">
        <v>0</v>
      </c>
      <c r="CV130" s="27" t="n">
        <v>0</v>
      </c>
      <c r="CW130" s="27" t="n">
        <v>0</v>
      </c>
      <c r="CX130" s="27" t="n">
        <v>0</v>
      </c>
      <c r="CY130" s="27" t="n">
        <v>0</v>
      </c>
      <c r="CZ130" s="27" t="n">
        <v>0</v>
      </c>
      <c r="DA130" s="27" t="n">
        <v>0</v>
      </c>
    </row>
    <row r="131">
      <c r="A131" t="inlineStr">
        <is>
          <t>F2210</t>
        </is>
      </c>
      <c r="B131" s="27" t="n">
        <v>0</v>
      </c>
      <c r="C131" s="27" t="n">
        <v>0</v>
      </c>
      <c r="D131" s="27" t="n">
        <v>0</v>
      </c>
      <c r="E131" s="27" t="n">
        <v>0</v>
      </c>
      <c r="F131" s="27" t="n">
        <v>0</v>
      </c>
      <c r="G131" s="27" t="n">
        <v>0</v>
      </c>
      <c r="H131" s="27" t="n">
        <v>0</v>
      </c>
      <c r="I131" s="27" t="n">
        <v>0</v>
      </c>
      <c r="J131" s="27" t="n">
        <v>0</v>
      </c>
      <c r="K131" s="27" t="n">
        <v>0</v>
      </c>
      <c r="L131" s="27" t="n">
        <v>0</v>
      </c>
      <c r="M131" s="27" t="n">
        <v>0</v>
      </c>
      <c r="N131" s="27" t="n">
        <v>0</v>
      </c>
      <c r="O131" s="27" t="n">
        <v>0</v>
      </c>
      <c r="P131" s="27" t="n">
        <v>0</v>
      </c>
      <c r="Q131" s="27" t="n">
        <v>0</v>
      </c>
      <c r="R131" s="27" t="n">
        <v>0</v>
      </c>
      <c r="S131" s="27" t="n">
        <v>0</v>
      </c>
      <c r="T131" s="27" t="n">
        <v>0</v>
      </c>
      <c r="U131" s="27" t="n">
        <v>0</v>
      </c>
      <c r="V131" s="27" t="n">
        <v>0</v>
      </c>
      <c r="W131" s="27" t="n">
        <v>0</v>
      </c>
      <c r="X131" s="27" t="n">
        <v>0</v>
      </c>
      <c r="Y131" s="27" t="n">
        <v>0</v>
      </c>
      <c r="Z131" s="27" t="n">
        <v>0</v>
      </c>
      <c r="AA131" s="27" t="n">
        <v>0</v>
      </c>
      <c r="AB131" s="27" t="n">
        <v>0</v>
      </c>
      <c r="AC131" s="27" t="n">
        <v>0</v>
      </c>
      <c r="AD131" s="27" t="n">
        <v>0</v>
      </c>
      <c r="AE131" s="27" t="n">
        <v>0</v>
      </c>
      <c r="AF131" s="27" t="n">
        <v>0</v>
      </c>
      <c r="AG131" s="27" t="n">
        <v>0</v>
      </c>
      <c r="AH131" s="27" t="n">
        <v>0</v>
      </c>
      <c r="AI131" s="27" t="n">
        <v>0</v>
      </c>
      <c r="AJ131" s="27" t="n">
        <v>0</v>
      </c>
      <c r="AK131" s="27" t="n">
        <v>0</v>
      </c>
      <c r="AL131" s="27" t="n">
        <v>0</v>
      </c>
      <c r="AM131" s="27" t="n">
        <v>0</v>
      </c>
      <c r="AN131" s="27" t="n">
        <v>0</v>
      </c>
      <c r="AO131" s="27" t="n">
        <v>0</v>
      </c>
      <c r="AP131" s="27" t="n">
        <v>0</v>
      </c>
      <c r="AQ131" s="27" t="n">
        <v>0</v>
      </c>
      <c r="AR131" s="27" t="n">
        <v>0</v>
      </c>
      <c r="AS131" s="27" t="n">
        <v>0</v>
      </c>
      <c r="AT131" s="27" t="n">
        <v>0</v>
      </c>
      <c r="AU131" s="27" t="n">
        <v>0</v>
      </c>
      <c r="AV131" s="27" t="n">
        <v>0</v>
      </c>
      <c r="AW131" s="27" t="n">
        <v>0</v>
      </c>
      <c r="AX131" s="27" t="n">
        <v>0</v>
      </c>
      <c r="AY131" s="27" t="n">
        <v>0</v>
      </c>
      <c r="AZ131" s="27" t="n">
        <v>0</v>
      </c>
      <c r="BA131" s="27" t="n">
        <v>0</v>
      </c>
      <c r="BB131" s="27" t="n">
        <v>0</v>
      </c>
      <c r="BC131" s="27" t="n">
        <v>0</v>
      </c>
      <c r="BD131" s="27" t="n">
        <v>0</v>
      </c>
      <c r="BE131" s="27" t="n">
        <v>0</v>
      </c>
      <c r="BF131" s="27" t="n">
        <v>0</v>
      </c>
      <c r="BG131" s="27" t="n">
        <v>0</v>
      </c>
      <c r="BH131" s="27" t="n">
        <v>0</v>
      </c>
      <c r="BI131" s="27" t="n">
        <v>0</v>
      </c>
      <c r="BJ131" s="27" t="n">
        <v>0</v>
      </c>
      <c r="BK131" s="27" t="n">
        <v>0</v>
      </c>
      <c r="BL131" s="27" t="n">
        <v>0</v>
      </c>
      <c r="BM131" s="27" t="n">
        <v>0</v>
      </c>
      <c r="BN131" s="27" t="n">
        <v>0</v>
      </c>
      <c r="BO131" s="27" t="n">
        <v>0</v>
      </c>
      <c r="BP131" s="27" t="n">
        <v>0</v>
      </c>
      <c r="BQ131" s="27" t="n">
        <v>0</v>
      </c>
      <c r="BR131" s="27" t="n">
        <v>0</v>
      </c>
      <c r="BS131" s="27" t="n">
        <v>0</v>
      </c>
      <c r="BT131" s="27" t="n">
        <v>0</v>
      </c>
      <c r="BU131" s="27" t="n">
        <v>0</v>
      </c>
      <c r="BV131" s="27" t="n">
        <v>0</v>
      </c>
      <c r="BW131" s="27" t="n">
        <v>0</v>
      </c>
      <c r="BX131" s="27" t="n">
        <v>0</v>
      </c>
      <c r="BY131" s="27" t="n">
        <v>0</v>
      </c>
      <c r="BZ131" s="27" t="n">
        <v>0</v>
      </c>
      <c r="CA131" s="27" t="n">
        <v>0</v>
      </c>
      <c r="CB131" s="27" t="n">
        <v>0</v>
      </c>
      <c r="CC131" s="27" t="n">
        <v>0</v>
      </c>
      <c r="CD131" s="27" t="n">
        <v>0</v>
      </c>
      <c r="CE131" s="27" t="n">
        <v>0</v>
      </c>
      <c r="CF131" s="27" t="n">
        <v>0</v>
      </c>
      <c r="CG131" s="27" t="n">
        <v>0</v>
      </c>
      <c r="CH131" s="27" t="n">
        <v>0</v>
      </c>
      <c r="CI131" s="27" t="n">
        <v>0</v>
      </c>
      <c r="CJ131" s="27" t="n">
        <v>0</v>
      </c>
      <c r="CK131" s="27" t="n">
        <v>0</v>
      </c>
      <c r="CL131" s="27" t="n">
        <v>0</v>
      </c>
      <c r="CM131" s="27" t="n">
        <v>0</v>
      </c>
      <c r="CN131" s="27" t="n">
        <v>0</v>
      </c>
      <c r="CO131" s="27" t="n">
        <v>0</v>
      </c>
      <c r="CP131" s="27" t="n">
        <v>0</v>
      </c>
      <c r="CQ131" s="27" t="n">
        <v>0</v>
      </c>
      <c r="CR131" s="27" t="n">
        <v>0</v>
      </c>
      <c r="CS131" s="27" t="n">
        <v>0</v>
      </c>
      <c r="CT131" s="27" t="n">
        <v>0</v>
      </c>
      <c r="CU131" s="27" t="n">
        <v>0</v>
      </c>
      <c r="CV131" s="27" t="n">
        <v>0</v>
      </c>
      <c r="CW131" s="27" t="n">
        <v>0</v>
      </c>
      <c r="CX131" s="27" t="n">
        <v>0</v>
      </c>
      <c r="CY131" s="27" t="n">
        <v>0</v>
      </c>
      <c r="CZ131" s="27" t="n">
        <v>0</v>
      </c>
      <c r="DA131" s="27" t="n">
        <v>0</v>
      </c>
    </row>
    <row r="132">
      <c r="A132" t="inlineStr">
        <is>
          <t>F2350</t>
        </is>
      </c>
      <c r="B132" s="27" t="n">
        <v>0</v>
      </c>
      <c r="C132" s="27" t="n">
        <v>0</v>
      </c>
      <c r="D132" s="27" t="n">
        <v>0</v>
      </c>
      <c r="E132" s="27" t="n">
        <v>0</v>
      </c>
      <c r="F132" s="27" t="n">
        <v>0</v>
      </c>
      <c r="G132" s="27" t="n">
        <v>0</v>
      </c>
      <c r="H132" s="27" t="n">
        <v>0</v>
      </c>
      <c r="I132" s="27" t="n">
        <v>0</v>
      </c>
      <c r="J132" s="27" t="n">
        <v>0</v>
      </c>
      <c r="K132" s="27" t="n">
        <v>0</v>
      </c>
      <c r="L132" s="27" t="n">
        <v>0</v>
      </c>
      <c r="M132" s="27" t="n">
        <v>0</v>
      </c>
      <c r="N132" s="27" t="n">
        <v>3240</v>
      </c>
      <c r="O132" s="27" t="n">
        <v>0</v>
      </c>
      <c r="P132" s="27" t="n">
        <v>0</v>
      </c>
      <c r="Q132" s="27" t="n">
        <v>0</v>
      </c>
      <c r="R132" s="27" t="n">
        <v>0</v>
      </c>
      <c r="S132" s="27" t="n">
        <v>0</v>
      </c>
      <c r="T132" s="27" t="n">
        <v>0</v>
      </c>
      <c r="U132" s="27" t="n">
        <v>3240</v>
      </c>
      <c r="V132" s="27" t="n">
        <v>1620</v>
      </c>
      <c r="W132" s="27" t="n">
        <v>0</v>
      </c>
      <c r="X132" s="27" t="n">
        <v>0</v>
      </c>
      <c r="Y132" s="27" t="n">
        <v>0</v>
      </c>
      <c r="Z132" s="27" t="n">
        <v>0</v>
      </c>
      <c r="AA132" s="27" t="n">
        <v>0</v>
      </c>
      <c r="AB132" s="27" t="n">
        <v>3240</v>
      </c>
      <c r="AC132" s="27" t="n">
        <v>0</v>
      </c>
      <c r="AD132" s="27" t="n">
        <v>0</v>
      </c>
      <c r="AE132" s="27" t="n">
        <v>3240</v>
      </c>
      <c r="AF132" s="27" t="n">
        <v>0</v>
      </c>
      <c r="AG132" s="27" t="n">
        <v>0</v>
      </c>
      <c r="AH132" s="27" t="n">
        <v>0</v>
      </c>
      <c r="AI132" s="27" t="n">
        <v>3240</v>
      </c>
      <c r="AJ132" s="27" t="n">
        <v>0</v>
      </c>
      <c r="AK132" s="27" t="n">
        <v>0</v>
      </c>
      <c r="AL132" s="27" t="n">
        <v>0</v>
      </c>
      <c r="AM132" s="27" t="n">
        <v>0</v>
      </c>
      <c r="AN132" s="27" t="n">
        <v>3240</v>
      </c>
      <c r="AO132" s="27" t="n">
        <v>0</v>
      </c>
      <c r="AP132" s="27" t="n">
        <v>0</v>
      </c>
      <c r="AQ132" s="27" t="n">
        <v>0</v>
      </c>
      <c r="AR132" s="27" t="n">
        <v>0</v>
      </c>
      <c r="AS132" s="27" t="n">
        <v>3240</v>
      </c>
      <c r="AT132" s="27" t="n">
        <v>3240</v>
      </c>
      <c r="AU132" s="27" t="n">
        <v>0</v>
      </c>
      <c r="AV132" s="27" t="n">
        <v>0</v>
      </c>
      <c r="AW132" s="27" t="n">
        <v>3240</v>
      </c>
      <c r="AX132" s="27" t="n">
        <v>0</v>
      </c>
      <c r="AY132" s="27" t="n">
        <v>3240</v>
      </c>
      <c r="AZ132" s="27" t="n">
        <v>0</v>
      </c>
      <c r="BA132" s="27" t="n">
        <v>0</v>
      </c>
      <c r="BB132" s="27" t="n">
        <v>0</v>
      </c>
      <c r="BC132" s="27" t="n">
        <v>0</v>
      </c>
      <c r="BD132" s="27" t="n">
        <v>3240</v>
      </c>
      <c r="BE132" s="27" t="n">
        <v>0</v>
      </c>
      <c r="BF132" s="27" t="n">
        <v>0</v>
      </c>
      <c r="BG132" s="27" t="n">
        <v>0</v>
      </c>
      <c r="BH132" s="27" t="n">
        <v>0</v>
      </c>
      <c r="BI132" s="27" t="n">
        <v>0</v>
      </c>
      <c r="BJ132" s="27" t="n">
        <v>3240</v>
      </c>
      <c r="BK132" s="27" t="n">
        <v>0</v>
      </c>
      <c r="BL132" s="27" t="n">
        <v>0</v>
      </c>
      <c r="BM132" s="27" t="n">
        <v>1620</v>
      </c>
      <c r="BN132" s="27" t="n">
        <v>0</v>
      </c>
      <c r="BO132" s="27" t="n">
        <v>0</v>
      </c>
      <c r="BP132" s="27" t="n">
        <v>0</v>
      </c>
      <c r="BQ132" s="27" t="n">
        <v>1080</v>
      </c>
      <c r="BR132" s="27" t="n">
        <v>0</v>
      </c>
      <c r="BS132" s="27" t="n">
        <v>0</v>
      </c>
      <c r="BT132" s="27" t="n">
        <v>0</v>
      </c>
      <c r="BU132" s="27" t="n">
        <v>0</v>
      </c>
      <c r="BV132" s="27" t="n">
        <v>0</v>
      </c>
      <c r="BW132" s="27" t="n">
        <v>0</v>
      </c>
      <c r="BX132" s="27" t="n">
        <v>0</v>
      </c>
      <c r="BY132" s="27" t="n">
        <v>0</v>
      </c>
      <c r="BZ132" s="27" t="n">
        <v>0</v>
      </c>
      <c r="CA132" s="27" t="n">
        <v>0</v>
      </c>
      <c r="CB132" s="27" t="n">
        <v>0</v>
      </c>
      <c r="CC132" s="27" t="n">
        <v>0</v>
      </c>
      <c r="CD132" s="27" t="n">
        <v>0</v>
      </c>
      <c r="CE132" s="27" t="n">
        <v>0</v>
      </c>
      <c r="CF132" s="27" t="n">
        <v>0</v>
      </c>
      <c r="CG132" s="27" t="n">
        <v>0</v>
      </c>
      <c r="CH132" s="27" t="n">
        <v>0</v>
      </c>
      <c r="CI132" s="27" t="n">
        <v>0</v>
      </c>
      <c r="CJ132" s="27" t="n">
        <v>0</v>
      </c>
      <c r="CK132" s="27" t="n">
        <v>0</v>
      </c>
      <c r="CL132" s="27" t="n">
        <v>0</v>
      </c>
      <c r="CM132" s="27" t="n">
        <v>0</v>
      </c>
      <c r="CN132" s="27" t="n">
        <v>0</v>
      </c>
      <c r="CO132" s="27" t="n">
        <v>0</v>
      </c>
      <c r="CP132" s="27" t="n">
        <v>0</v>
      </c>
      <c r="CQ132" s="27" t="n">
        <v>0</v>
      </c>
      <c r="CR132" s="27" t="n">
        <v>0</v>
      </c>
      <c r="CS132" s="27" t="n">
        <v>0</v>
      </c>
      <c r="CT132" s="27" t="n">
        <v>0</v>
      </c>
      <c r="CU132" s="27" t="n">
        <v>0</v>
      </c>
      <c r="CV132" s="27" t="n">
        <v>0</v>
      </c>
      <c r="CW132" s="27" t="n">
        <v>0</v>
      </c>
      <c r="CX132" s="27" t="n">
        <v>0</v>
      </c>
      <c r="CY132" s="27" t="n">
        <v>0</v>
      </c>
      <c r="CZ132" s="27" t="n">
        <v>0</v>
      </c>
      <c r="DA132" s="27" t="n">
        <v>0</v>
      </c>
    </row>
    <row r="133">
      <c r="A133" t="inlineStr">
        <is>
          <t>F3060</t>
        </is>
      </c>
      <c r="B133" s="27" t="n">
        <v>0</v>
      </c>
      <c r="C133" s="27" t="n">
        <v>11520</v>
      </c>
      <c r="D133" s="27" t="n">
        <v>11520</v>
      </c>
      <c r="E133" s="27" t="n">
        <v>11520</v>
      </c>
      <c r="F133" s="27" t="n">
        <v>11520</v>
      </c>
      <c r="G133" s="27" t="n">
        <v>11520</v>
      </c>
      <c r="H133" s="27" t="n">
        <v>11520</v>
      </c>
      <c r="I133" s="27" t="n">
        <v>11520</v>
      </c>
      <c r="J133" s="27" t="n">
        <v>11520</v>
      </c>
      <c r="K133" s="27" t="n">
        <v>11520</v>
      </c>
      <c r="L133" s="27" t="n">
        <v>11520</v>
      </c>
      <c r="M133" s="27" t="n">
        <v>5760</v>
      </c>
      <c r="N133" s="27" t="n">
        <v>11520</v>
      </c>
      <c r="O133" s="27" t="n">
        <v>11520</v>
      </c>
      <c r="P133" s="27" t="n">
        <v>11520</v>
      </c>
      <c r="Q133" s="27" t="n">
        <v>11520</v>
      </c>
      <c r="R133" s="27" t="n">
        <v>11520</v>
      </c>
      <c r="S133" s="27" t="n">
        <v>0</v>
      </c>
      <c r="T133" s="27" t="n">
        <v>11520</v>
      </c>
      <c r="U133" s="27" t="n">
        <v>11520</v>
      </c>
      <c r="V133" s="27" t="n">
        <v>11520</v>
      </c>
      <c r="W133" s="27" t="n">
        <v>11520</v>
      </c>
      <c r="X133" s="27" t="n">
        <v>11520</v>
      </c>
      <c r="Y133" s="27" t="n">
        <v>0</v>
      </c>
      <c r="Z133" s="27" t="n">
        <v>0</v>
      </c>
      <c r="AA133" s="27" t="n">
        <v>5760</v>
      </c>
      <c r="AB133" s="27" t="n">
        <v>5760</v>
      </c>
      <c r="AC133" s="27" t="n">
        <v>0</v>
      </c>
      <c r="AD133" s="27" t="n">
        <v>11520</v>
      </c>
      <c r="AE133" s="27" t="n">
        <v>11520</v>
      </c>
      <c r="AF133" s="27" t="n">
        <v>11520</v>
      </c>
      <c r="AG133" s="27" t="n">
        <v>5760</v>
      </c>
      <c r="AH133" s="27" t="n">
        <v>11520</v>
      </c>
      <c r="AI133" s="27" t="n">
        <v>11520</v>
      </c>
      <c r="AJ133" s="27" t="n">
        <v>11520</v>
      </c>
      <c r="AK133" s="27" t="n">
        <v>11520</v>
      </c>
      <c r="AL133" s="27" t="n">
        <v>11520</v>
      </c>
      <c r="AM133" s="27" t="n">
        <v>11520</v>
      </c>
      <c r="AN133" s="27" t="n">
        <v>5760</v>
      </c>
      <c r="AO133" s="27" t="n">
        <v>5760</v>
      </c>
      <c r="AP133" s="27" t="n">
        <v>11520</v>
      </c>
      <c r="AQ133" s="27" t="n">
        <v>11520</v>
      </c>
      <c r="AR133" s="27" t="n">
        <v>5760</v>
      </c>
      <c r="AS133" s="27" t="n">
        <v>11520</v>
      </c>
      <c r="AT133" s="27" t="n">
        <v>11520</v>
      </c>
      <c r="AU133" s="27" t="n">
        <v>17280</v>
      </c>
      <c r="AV133" s="27" t="n">
        <v>17280</v>
      </c>
      <c r="AW133" s="27" t="n">
        <v>11520</v>
      </c>
      <c r="AX133" s="27" t="n">
        <v>11520</v>
      </c>
      <c r="AY133" s="27" t="n">
        <v>11520</v>
      </c>
      <c r="AZ133" s="27" t="n">
        <v>5760</v>
      </c>
      <c r="BA133" s="27" t="n">
        <v>0</v>
      </c>
      <c r="BB133" s="27" t="n">
        <v>0</v>
      </c>
      <c r="BC133" s="27" t="n">
        <v>5760</v>
      </c>
      <c r="BD133" s="27" t="n">
        <v>11520</v>
      </c>
      <c r="BE133" s="27" t="n">
        <v>11520</v>
      </c>
      <c r="BF133" s="27" t="n">
        <v>11520</v>
      </c>
      <c r="BG133" s="27" t="n">
        <v>5760</v>
      </c>
      <c r="BH133" s="27" t="n">
        <v>11520</v>
      </c>
      <c r="BI133" s="27" t="n">
        <v>5760</v>
      </c>
      <c r="BJ133" s="27" t="n">
        <v>5760</v>
      </c>
      <c r="BK133" s="27" t="n">
        <v>5760</v>
      </c>
      <c r="BL133" s="27" t="n">
        <v>11520</v>
      </c>
      <c r="BM133" s="27" t="n">
        <v>5760</v>
      </c>
      <c r="BN133" s="27" t="n">
        <v>5760</v>
      </c>
      <c r="BO133" s="27" t="n">
        <v>5760</v>
      </c>
      <c r="BP133" s="27" t="n">
        <v>0</v>
      </c>
      <c r="BQ133" s="27" t="n">
        <v>5760</v>
      </c>
      <c r="BR133" s="27" t="n">
        <v>5760</v>
      </c>
      <c r="BS133" s="27" t="n">
        <v>5760</v>
      </c>
      <c r="BT133" s="27" t="n">
        <v>0</v>
      </c>
      <c r="BU133" s="27" t="n">
        <v>5760</v>
      </c>
      <c r="BV133" s="27" t="n">
        <v>4320</v>
      </c>
      <c r="BW133" s="27" t="n">
        <v>0</v>
      </c>
      <c r="BX133" s="27" t="n">
        <v>0</v>
      </c>
      <c r="BY133" s="27" t="n">
        <v>5280</v>
      </c>
      <c r="BZ133" s="27" t="n">
        <v>0</v>
      </c>
      <c r="CA133" s="27" t="n">
        <v>0</v>
      </c>
      <c r="CB133" s="27" t="n">
        <v>0</v>
      </c>
      <c r="CC133" s="27" t="n">
        <v>0</v>
      </c>
      <c r="CD133" s="27" t="n">
        <v>0</v>
      </c>
      <c r="CE133" s="27" t="n">
        <v>0</v>
      </c>
      <c r="CF133" s="27" t="n">
        <v>0</v>
      </c>
      <c r="CG133" s="27" t="n">
        <v>0</v>
      </c>
      <c r="CH133" s="27" t="n">
        <v>0</v>
      </c>
      <c r="CI133" s="27" t="n">
        <v>0</v>
      </c>
      <c r="CJ133" s="27" t="n">
        <v>0</v>
      </c>
      <c r="CK133" s="27" t="n">
        <v>0</v>
      </c>
      <c r="CL133" s="27" t="n">
        <v>0</v>
      </c>
      <c r="CM133" s="27" t="n">
        <v>0</v>
      </c>
      <c r="CN133" s="27" t="n">
        <v>0</v>
      </c>
      <c r="CO133" s="27" t="n">
        <v>0</v>
      </c>
      <c r="CP133" s="27" t="n">
        <v>0</v>
      </c>
      <c r="CQ133" s="27" t="n">
        <v>0</v>
      </c>
      <c r="CR133" s="27" t="n">
        <v>0</v>
      </c>
      <c r="CS133" s="27" t="n">
        <v>0</v>
      </c>
      <c r="CT133" s="27" t="n">
        <v>0</v>
      </c>
      <c r="CU133" s="27" t="n">
        <v>0</v>
      </c>
      <c r="CV133" s="27" t="n">
        <v>0</v>
      </c>
      <c r="CW133" s="27" t="n">
        <v>0</v>
      </c>
      <c r="CX133" s="27" t="n">
        <v>0</v>
      </c>
      <c r="CY133" s="27" t="n">
        <v>0</v>
      </c>
      <c r="CZ133" s="27" t="n">
        <v>0</v>
      </c>
      <c r="DA133" s="27" t="n">
        <v>0</v>
      </c>
    </row>
    <row r="134">
      <c r="A134" t="inlineStr">
        <is>
          <t>K0030</t>
        </is>
      </c>
      <c r="B134" s="27" t="n">
        <v>0</v>
      </c>
      <c r="C134" s="27" t="n">
        <v>2400</v>
      </c>
      <c r="D134" s="27" t="n">
        <v>0</v>
      </c>
      <c r="E134" s="27" t="n">
        <v>0</v>
      </c>
      <c r="F134" s="27" t="n">
        <v>2400</v>
      </c>
      <c r="G134" s="27" t="n">
        <v>0</v>
      </c>
      <c r="H134" s="27" t="n">
        <v>0</v>
      </c>
      <c r="I134" s="27" t="n">
        <v>2400</v>
      </c>
      <c r="J134" s="27" t="n">
        <v>0</v>
      </c>
      <c r="K134" s="27" t="n">
        <v>2400</v>
      </c>
      <c r="L134" s="27" t="n">
        <v>0</v>
      </c>
      <c r="M134" s="27" t="n">
        <v>2400</v>
      </c>
      <c r="N134" s="27" t="n">
        <v>0</v>
      </c>
      <c r="O134" s="27" t="n">
        <v>0</v>
      </c>
      <c r="P134" s="27" t="n">
        <v>2400</v>
      </c>
      <c r="Q134" s="27" t="n">
        <v>2400</v>
      </c>
      <c r="R134" s="27" t="n">
        <v>2400</v>
      </c>
      <c r="S134" s="27" t="n">
        <v>0</v>
      </c>
      <c r="T134" s="27" t="n">
        <v>0</v>
      </c>
      <c r="U134" s="27" t="n">
        <v>2400</v>
      </c>
      <c r="V134" s="27" t="n">
        <v>0</v>
      </c>
      <c r="W134" s="27" t="n">
        <v>2400</v>
      </c>
      <c r="X134" s="27" t="n">
        <v>0</v>
      </c>
      <c r="Y134" s="27" t="n">
        <v>0</v>
      </c>
      <c r="Z134" s="27" t="n">
        <v>0</v>
      </c>
      <c r="AA134" s="27" t="n">
        <v>0</v>
      </c>
      <c r="AB134" s="27" t="n">
        <v>0</v>
      </c>
      <c r="AC134" s="27" t="n">
        <v>0</v>
      </c>
      <c r="AD134" s="27" t="n">
        <v>0</v>
      </c>
      <c r="AE134" s="27" t="n">
        <v>2400</v>
      </c>
      <c r="AF134" s="27" t="n">
        <v>0</v>
      </c>
      <c r="AG134" s="27" t="n">
        <v>0</v>
      </c>
      <c r="AH134" s="27" t="n">
        <v>2400</v>
      </c>
      <c r="AI134" s="27" t="n">
        <v>0</v>
      </c>
      <c r="AJ134" s="27" t="n">
        <v>0</v>
      </c>
      <c r="AK134" s="27" t="n">
        <v>2400</v>
      </c>
      <c r="AL134" s="27" t="n">
        <v>0</v>
      </c>
      <c r="AM134" s="27" t="n">
        <v>2400</v>
      </c>
      <c r="AN134" s="27" t="n">
        <v>0</v>
      </c>
      <c r="AO134" s="27" t="n">
        <v>0</v>
      </c>
      <c r="AP134" s="27" t="n">
        <v>2400</v>
      </c>
      <c r="AQ134" s="27" t="n">
        <v>0</v>
      </c>
      <c r="AR134" s="27" t="n">
        <v>0</v>
      </c>
      <c r="AS134" s="27" t="n">
        <v>0</v>
      </c>
      <c r="AT134" s="27" t="n">
        <v>2400</v>
      </c>
      <c r="AU134" s="27" t="n">
        <v>0</v>
      </c>
      <c r="AV134" s="27" t="n">
        <v>0</v>
      </c>
      <c r="AW134" s="27" t="n">
        <v>0</v>
      </c>
      <c r="AX134" s="27" t="n">
        <v>2400</v>
      </c>
      <c r="AY134" s="27" t="n">
        <v>0</v>
      </c>
      <c r="AZ134" s="27" t="n">
        <v>0</v>
      </c>
      <c r="BA134" s="27" t="n">
        <v>0</v>
      </c>
      <c r="BB134" s="27" t="n">
        <v>0</v>
      </c>
      <c r="BC134" s="27" t="n">
        <v>0</v>
      </c>
      <c r="BD134" s="27" t="n">
        <v>0</v>
      </c>
      <c r="BE134" s="27" t="n">
        <v>960</v>
      </c>
      <c r="BF134" s="27" t="n">
        <v>0</v>
      </c>
      <c r="BG134" s="27" t="n">
        <v>0</v>
      </c>
      <c r="BH134" s="27" t="n">
        <v>0</v>
      </c>
      <c r="BI134" s="27" t="n">
        <v>0</v>
      </c>
      <c r="BJ134" s="27" t="n">
        <v>0</v>
      </c>
      <c r="BK134" s="27" t="n">
        <v>0</v>
      </c>
      <c r="BL134" s="27" t="n">
        <v>0</v>
      </c>
      <c r="BM134" s="27" t="n">
        <v>0</v>
      </c>
      <c r="BN134" s="27" t="n">
        <v>0</v>
      </c>
      <c r="BO134" s="27" t="n">
        <v>0</v>
      </c>
      <c r="BP134" s="27" t="n">
        <v>0</v>
      </c>
      <c r="BQ134" s="27" t="n">
        <v>0</v>
      </c>
      <c r="BR134" s="27" t="n">
        <v>0</v>
      </c>
      <c r="BS134" s="27" t="n">
        <v>0</v>
      </c>
      <c r="BT134" s="27" t="n">
        <v>0</v>
      </c>
      <c r="BU134" s="27" t="n">
        <v>0</v>
      </c>
      <c r="BV134" s="27" t="n">
        <v>0</v>
      </c>
      <c r="BW134" s="27" t="n">
        <v>0</v>
      </c>
      <c r="BX134" s="27" t="n">
        <v>0</v>
      </c>
      <c r="BY134" s="27" t="n">
        <v>0</v>
      </c>
      <c r="BZ134" s="27" t="n">
        <v>0</v>
      </c>
      <c r="CA134" s="27" t="n">
        <v>0</v>
      </c>
      <c r="CB134" s="27" t="n">
        <v>0</v>
      </c>
      <c r="CC134" s="27" t="n">
        <v>0</v>
      </c>
      <c r="CD134" s="27" t="n">
        <v>0</v>
      </c>
      <c r="CE134" s="27" t="n">
        <v>0</v>
      </c>
      <c r="CF134" s="27" t="n">
        <v>0</v>
      </c>
      <c r="CG134" s="27" t="n">
        <v>0</v>
      </c>
      <c r="CH134" s="27" t="n">
        <v>0</v>
      </c>
      <c r="CI134" s="27" t="n">
        <v>0</v>
      </c>
      <c r="CJ134" s="27" t="n">
        <v>0</v>
      </c>
      <c r="CK134" s="27" t="n">
        <v>0</v>
      </c>
      <c r="CL134" s="27" t="n">
        <v>0</v>
      </c>
      <c r="CM134" s="27" t="n">
        <v>0</v>
      </c>
      <c r="CN134" s="27" t="n">
        <v>0</v>
      </c>
      <c r="CO134" s="27" t="n">
        <v>0</v>
      </c>
      <c r="CP134" s="27" t="n">
        <v>0</v>
      </c>
      <c r="CQ134" s="27" t="n">
        <v>0</v>
      </c>
      <c r="CR134" s="27" t="n">
        <v>0</v>
      </c>
      <c r="CS134" s="27" t="n">
        <v>0</v>
      </c>
      <c r="CT134" s="27" t="n">
        <v>0</v>
      </c>
      <c r="CU134" s="27" t="n">
        <v>0</v>
      </c>
      <c r="CV134" s="27" t="n">
        <v>0</v>
      </c>
      <c r="CW134" s="27" t="n">
        <v>0</v>
      </c>
      <c r="CX134" s="27" t="n">
        <v>0</v>
      </c>
      <c r="CY134" s="27" t="n">
        <v>0</v>
      </c>
      <c r="CZ134" s="27" t="n">
        <v>0</v>
      </c>
      <c r="DA134" s="27" t="n">
        <v>0</v>
      </c>
    </row>
    <row r="135">
      <c r="A135" t="inlineStr">
        <is>
          <t>TSP-1555</t>
        </is>
      </c>
      <c r="B135" s="27" t="n">
        <v>0</v>
      </c>
      <c r="C135" s="27" t="n">
        <v>0</v>
      </c>
      <c r="D135" s="27" t="n">
        <v>0</v>
      </c>
      <c r="E135" s="27" t="n">
        <v>0</v>
      </c>
      <c r="F135" s="27" t="n">
        <v>0</v>
      </c>
      <c r="G135" s="27" t="n">
        <v>0</v>
      </c>
      <c r="H135" s="27" t="n">
        <v>0</v>
      </c>
      <c r="I135" s="27" t="n">
        <v>0</v>
      </c>
      <c r="J135" s="27" t="n">
        <v>0</v>
      </c>
      <c r="K135" s="27" t="n">
        <v>0</v>
      </c>
      <c r="L135" s="27" t="n">
        <v>0</v>
      </c>
      <c r="M135" s="27" t="n">
        <v>0</v>
      </c>
      <c r="N135" s="27" t="n">
        <v>0</v>
      </c>
      <c r="O135" s="27" t="n">
        <v>0</v>
      </c>
      <c r="P135" s="27" t="n">
        <v>0</v>
      </c>
      <c r="Q135" s="27" t="n">
        <v>0</v>
      </c>
      <c r="R135" s="27" t="n">
        <v>0</v>
      </c>
      <c r="S135" s="27" t="n">
        <v>0</v>
      </c>
      <c r="T135" s="27" t="n">
        <v>0</v>
      </c>
      <c r="U135" s="27" t="n">
        <v>0</v>
      </c>
      <c r="V135" s="27" t="n">
        <v>0</v>
      </c>
      <c r="W135" s="27" t="n">
        <v>0</v>
      </c>
      <c r="X135" s="27" t="n">
        <v>0</v>
      </c>
      <c r="Y135" s="27" t="n">
        <v>0</v>
      </c>
      <c r="Z135" s="27" t="n">
        <v>0</v>
      </c>
      <c r="AA135" s="27" t="n">
        <v>0</v>
      </c>
      <c r="AB135" s="27" t="n">
        <v>0</v>
      </c>
      <c r="AC135" s="27" t="n">
        <v>0</v>
      </c>
      <c r="AD135" s="27" t="n">
        <v>0</v>
      </c>
      <c r="AE135" s="27" t="n">
        <v>0</v>
      </c>
      <c r="AF135" s="27" t="n">
        <v>0</v>
      </c>
      <c r="AG135" s="27" t="n">
        <v>0</v>
      </c>
      <c r="AH135" s="27" t="n">
        <v>0</v>
      </c>
      <c r="AI135" s="27" t="n">
        <v>0</v>
      </c>
      <c r="AJ135" s="27" t="n">
        <v>0</v>
      </c>
      <c r="AK135" s="27" t="n">
        <v>0</v>
      </c>
      <c r="AL135" s="27" t="n">
        <v>0</v>
      </c>
      <c r="AM135" s="27" t="n">
        <v>0</v>
      </c>
      <c r="AN135" s="27" t="n">
        <v>0</v>
      </c>
      <c r="AO135" s="27" t="n">
        <v>0</v>
      </c>
      <c r="AP135" s="27" t="n">
        <v>0</v>
      </c>
      <c r="AQ135" s="27" t="n">
        <v>0</v>
      </c>
      <c r="AR135" s="27" t="n">
        <v>0</v>
      </c>
      <c r="AS135" s="27" t="n">
        <v>0</v>
      </c>
      <c r="AT135" s="27" t="n">
        <v>0</v>
      </c>
      <c r="AU135" s="27" t="n">
        <v>0</v>
      </c>
      <c r="AV135" s="27" t="n">
        <v>0</v>
      </c>
      <c r="AW135" s="27" t="n">
        <v>0</v>
      </c>
      <c r="AX135" s="27" t="n">
        <v>0</v>
      </c>
      <c r="AY135" s="27" t="n">
        <v>0</v>
      </c>
      <c r="AZ135" s="27" t="n">
        <v>0</v>
      </c>
      <c r="BA135" s="27" t="n">
        <v>0</v>
      </c>
      <c r="BB135" s="27" t="n">
        <v>0</v>
      </c>
      <c r="BC135" s="27" t="n">
        <v>0</v>
      </c>
      <c r="BD135" s="27" t="n">
        <v>0</v>
      </c>
      <c r="BE135" s="27" t="n">
        <v>0</v>
      </c>
      <c r="BF135" s="27" t="n">
        <v>0</v>
      </c>
      <c r="BG135" s="27" t="n">
        <v>0</v>
      </c>
      <c r="BH135" s="27" t="n">
        <v>0</v>
      </c>
      <c r="BI135" s="27" t="n">
        <v>0</v>
      </c>
      <c r="BJ135" s="27" t="n">
        <v>0</v>
      </c>
      <c r="BK135" s="27" t="n">
        <v>0</v>
      </c>
      <c r="BL135" s="27" t="n">
        <v>0</v>
      </c>
      <c r="BM135" s="27" t="n">
        <v>0</v>
      </c>
      <c r="BN135" s="27" t="n">
        <v>0</v>
      </c>
      <c r="BO135" s="27" t="n">
        <v>0</v>
      </c>
      <c r="BP135" s="27" t="n">
        <v>0</v>
      </c>
      <c r="BQ135" s="27" t="n">
        <v>0</v>
      </c>
      <c r="BR135" s="27" t="n">
        <v>0</v>
      </c>
      <c r="BS135" s="27" t="n">
        <v>0</v>
      </c>
      <c r="BT135" s="27" t="n">
        <v>0</v>
      </c>
      <c r="BU135" s="27" t="n">
        <v>0</v>
      </c>
      <c r="BV135" s="27" t="n">
        <v>0</v>
      </c>
      <c r="BW135" s="27" t="n">
        <v>0</v>
      </c>
      <c r="BX135" s="27" t="n">
        <v>0</v>
      </c>
      <c r="BY135" s="27" t="n">
        <v>0</v>
      </c>
      <c r="BZ135" s="27" t="n">
        <v>0</v>
      </c>
      <c r="CA135" s="27" t="n">
        <v>0</v>
      </c>
      <c r="CB135" s="27" t="n">
        <v>0</v>
      </c>
      <c r="CC135" s="27" t="n">
        <v>0</v>
      </c>
      <c r="CD135" s="27" t="n">
        <v>0</v>
      </c>
      <c r="CE135" s="27" t="n">
        <v>0</v>
      </c>
      <c r="CF135" s="27" t="n">
        <v>0</v>
      </c>
      <c r="CG135" s="27" t="n">
        <v>0</v>
      </c>
      <c r="CH135" s="27" t="n">
        <v>0</v>
      </c>
      <c r="CI135" s="27" t="n">
        <v>0</v>
      </c>
      <c r="CJ135" s="27" t="n">
        <v>0</v>
      </c>
      <c r="CK135" s="27" t="n">
        <v>0</v>
      </c>
      <c r="CL135" s="27" t="n">
        <v>0</v>
      </c>
      <c r="CM135" s="27" t="n">
        <v>0</v>
      </c>
      <c r="CN135" s="27" t="n">
        <v>0</v>
      </c>
      <c r="CO135" s="27" t="n">
        <v>0</v>
      </c>
      <c r="CP135" s="27" t="n">
        <v>0</v>
      </c>
      <c r="CQ135" s="27" t="n">
        <v>0</v>
      </c>
      <c r="CR135" s="27" t="n">
        <v>0</v>
      </c>
      <c r="CS135" s="27" t="n">
        <v>0</v>
      </c>
      <c r="CT135" s="27" t="n">
        <v>0</v>
      </c>
      <c r="CU135" s="27" t="n">
        <v>0</v>
      </c>
      <c r="CV135" s="27" t="n">
        <v>0</v>
      </c>
      <c r="CW135" s="27" t="n">
        <v>0</v>
      </c>
      <c r="CX135" s="27" t="n">
        <v>0</v>
      </c>
      <c r="CY135" s="27" t="n">
        <v>0</v>
      </c>
      <c r="CZ135" s="27" t="n">
        <v>0</v>
      </c>
      <c r="DA135" s="27" t="n">
        <v>0</v>
      </c>
    </row>
    <row r="136">
      <c r="A136" t="inlineStr">
        <is>
          <t>V14</t>
        </is>
      </c>
      <c r="B136" s="27" t="n">
        <v>0</v>
      </c>
      <c r="C136" s="27" t="n">
        <v>0</v>
      </c>
      <c r="D136" s="27" t="n">
        <v>0</v>
      </c>
      <c r="E136" s="27" t="n">
        <v>0</v>
      </c>
      <c r="F136" s="27" t="n">
        <v>0</v>
      </c>
      <c r="G136" s="27" t="n">
        <v>0</v>
      </c>
      <c r="H136" s="27" t="n">
        <v>0</v>
      </c>
      <c r="I136" s="27" t="n">
        <v>0</v>
      </c>
      <c r="J136" s="27" t="n">
        <v>0</v>
      </c>
      <c r="K136" s="27" t="n">
        <v>0</v>
      </c>
      <c r="L136" s="27" t="n">
        <v>0</v>
      </c>
      <c r="M136" s="27" t="n">
        <v>0</v>
      </c>
      <c r="N136" s="27" t="n">
        <v>0</v>
      </c>
      <c r="O136" s="27" t="n">
        <v>0</v>
      </c>
      <c r="P136" s="27" t="n">
        <v>0</v>
      </c>
      <c r="Q136" s="27" t="n">
        <v>0</v>
      </c>
      <c r="R136" s="27" t="n">
        <v>0</v>
      </c>
      <c r="S136" s="27" t="n">
        <v>0</v>
      </c>
      <c r="T136" s="27" t="n">
        <v>0</v>
      </c>
      <c r="U136" s="27" t="n">
        <v>0</v>
      </c>
      <c r="V136" s="27" t="n">
        <v>0</v>
      </c>
      <c r="W136" s="27" t="n">
        <v>0</v>
      </c>
      <c r="X136" s="27" t="n">
        <v>0</v>
      </c>
      <c r="Y136" s="27" t="n">
        <v>0</v>
      </c>
      <c r="Z136" s="27" t="n">
        <v>0</v>
      </c>
      <c r="AA136" s="27" t="n">
        <v>0</v>
      </c>
      <c r="AB136" s="27" t="n">
        <v>0</v>
      </c>
      <c r="AC136" s="27" t="n">
        <v>0</v>
      </c>
      <c r="AD136" s="27" t="n">
        <v>0</v>
      </c>
      <c r="AE136" s="27" t="n">
        <v>0</v>
      </c>
      <c r="AF136" s="27" t="n">
        <v>0</v>
      </c>
      <c r="AG136" s="27" t="n">
        <v>0</v>
      </c>
      <c r="AH136" s="27" t="n">
        <v>0</v>
      </c>
      <c r="AI136" s="27" t="n">
        <v>0</v>
      </c>
      <c r="AJ136" s="27" t="n">
        <v>0</v>
      </c>
      <c r="AK136" s="27" t="n">
        <v>0</v>
      </c>
      <c r="AL136" s="27" t="n">
        <v>0</v>
      </c>
      <c r="AM136" s="27" t="n">
        <v>0</v>
      </c>
      <c r="AN136" s="27" t="n">
        <v>0</v>
      </c>
      <c r="AO136" s="27" t="n">
        <v>0</v>
      </c>
      <c r="AP136" s="27" t="n">
        <v>0</v>
      </c>
      <c r="AQ136" s="27" t="n">
        <v>0</v>
      </c>
      <c r="AR136" s="27" t="n">
        <v>0</v>
      </c>
      <c r="AS136" s="27" t="n">
        <v>0</v>
      </c>
      <c r="AT136" s="27" t="n">
        <v>0</v>
      </c>
      <c r="AU136" s="27" t="n">
        <v>0</v>
      </c>
      <c r="AV136" s="27" t="n">
        <v>0</v>
      </c>
      <c r="AW136" s="27" t="n">
        <v>0</v>
      </c>
      <c r="AX136" s="27" t="n">
        <v>0</v>
      </c>
      <c r="AY136" s="27" t="n">
        <v>0</v>
      </c>
      <c r="AZ136" s="27" t="n">
        <v>0</v>
      </c>
      <c r="BA136" s="27" t="n">
        <v>0</v>
      </c>
      <c r="BB136" s="27" t="n">
        <v>0</v>
      </c>
      <c r="BC136" s="27" t="n">
        <v>0</v>
      </c>
      <c r="BD136" s="27" t="n">
        <v>0</v>
      </c>
      <c r="BE136" s="27" t="n">
        <v>0</v>
      </c>
      <c r="BF136" s="27" t="n">
        <v>0</v>
      </c>
      <c r="BG136" s="27" t="n">
        <v>0</v>
      </c>
      <c r="BH136" s="27" t="n">
        <v>0</v>
      </c>
      <c r="BI136" s="27" t="n">
        <v>0</v>
      </c>
      <c r="BJ136" s="27" t="n">
        <v>0</v>
      </c>
      <c r="BK136" s="27" t="n">
        <v>0</v>
      </c>
      <c r="BL136" s="27" t="n">
        <v>0</v>
      </c>
      <c r="BM136" s="27" t="n">
        <v>0</v>
      </c>
      <c r="BN136" s="27" t="n">
        <v>0</v>
      </c>
      <c r="BO136" s="27" t="n">
        <v>0</v>
      </c>
      <c r="BP136" s="27" t="n">
        <v>0</v>
      </c>
      <c r="BQ136" s="27" t="n">
        <v>0</v>
      </c>
      <c r="BR136" s="27" t="n">
        <v>0</v>
      </c>
      <c r="BS136" s="27" t="n">
        <v>0</v>
      </c>
      <c r="BT136" s="27" t="n">
        <v>0</v>
      </c>
      <c r="BU136" s="27" t="n">
        <v>0</v>
      </c>
      <c r="BV136" s="27" t="n">
        <v>0</v>
      </c>
      <c r="BW136" s="27" t="n">
        <v>0</v>
      </c>
      <c r="BX136" s="27" t="n">
        <v>0</v>
      </c>
      <c r="BY136" s="27" t="n">
        <v>0</v>
      </c>
      <c r="BZ136" s="27" t="n">
        <v>0</v>
      </c>
      <c r="CA136" s="27" t="n">
        <v>0</v>
      </c>
      <c r="CB136" s="27" t="n">
        <v>0</v>
      </c>
      <c r="CC136" s="27" t="n">
        <v>0</v>
      </c>
      <c r="CD136" s="27" t="n">
        <v>0</v>
      </c>
      <c r="CE136" s="27" t="n">
        <v>0</v>
      </c>
      <c r="CF136" s="27" t="n">
        <v>0</v>
      </c>
      <c r="CG136" s="27" t="n">
        <v>0</v>
      </c>
      <c r="CH136" s="27" t="n">
        <v>0</v>
      </c>
      <c r="CI136" s="27" t="n">
        <v>0</v>
      </c>
      <c r="CJ136" s="27" t="n">
        <v>0</v>
      </c>
      <c r="CK136" s="27" t="n">
        <v>0</v>
      </c>
      <c r="CL136" s="27" t="n">
        <v>0</v>
      </c>
      <c r="CM136" s="27" t="n">
        <v>0</v>
      </c>
      <c r="CN136" s="27" t="n">
        <v>0</v>
      </c>
      <c r="CO136" s="27" t="n">
        <v>0</v>
      </c>
      <c r="CP136" s="27" t="n">
        <v>0</v>
      </c>
      <c r="CQ136" s="27" t="n">
        <v>0</v>
      </c>
      <c r="CR136" s="27" t="n">
        <v>0</v>
      </c>
      <c r="CS136" s="27" t="n">
        <v>0</v>
      </c>
      <c r="CT136" s="27" t="n">
        <v>0</v>
      </c>
      <c r="CU136" s="27" t="n">
        <v>0</v>
      </c>
      <c r="CV136" s="27" t="n">
        <v>0</v>
      </c>
      <c r="CW136" s="27" t="n">
        <v>0</v>
      </c>
      <c r="CX136" s="27" t="n">
        <v>0</v>
      </c>
      <c r="CY136" s="27" t="n">
        <v>0</v>
      </c>
      <c r="CZ136" s="27" t="n">
        <v>0</v>
      </c>
      <c r="DA136" s="27" t="n">
        <v>0</v>
      </c>
    </row>
    <row r="137">
      <c r="A137" t="inlineStr">
        <is>
          <t>V17</t>
        </is>
      </c>
      <c r="B137" s="27" t="n">
        <v>0</v>
      </c>
      <c r="C137" s="27" t="n">
        <v>0</v>
      </c>
      <c r="D137" s="27" t="n">
        <v>0</v>
      </c>
      <c r="E137" s="27" t="n">
        <v>0</v>
      </c>
      <c r="F137" s="27" t="n">
        <v>0</v>
      </c>
      <c r="G137" s="27" t="n">
        <v>0</v>
      </c>
      <c r="H137" s="27" t="n">
        <v>0</v>
      </c>
      <c r="I137" s="27" t="n">
        <v>0</v>
      </c>
      <c r="J137" s="27" t="n">
        <v>0</v>
      </c>
      <c r="K137" s="27" t="n">
        <v>0</v>
      </c>
      <c r="L137" s="27" t="n">
        <v>0</v>
      </c>
      <c r="M137" s="27" t="n">
        <v>0</v>
      </c>
      <c r="N137" s="27" t="n">
        <v>0</v>
      </c>
      <c r="O137" s="27" t="n">
        <v>0</v>
      </c>
      <c r="P137" s="27" t="n">
        <v>0</v>
      </c>
      <c r="Q137" s="27" t="n">
        <v>0</v>
      </c>
      <c r="R137" s="27" t="n">
        <v>0</v>
      </c>
      <c r="S137" s="27" t="n">
        <v>0</v>
      </c>
      <c r="T137" s="27" t="n">
        <v>0</v>
      </c>
      <c r="U137" s="27" t="n">
        <v>0</v>
      </c>
      <c r="V137" s="27" t="n">
        <v>0</v>
      </c>
      <c r="W137" s="27" t="n">
        <v>0</v>
      </c>
      <c r="X137" s="27" t="n">
        <v>0</v>
      </c>
      <c r="Y137" s="27" t="n">
        <v>0</v>
      </c>
      <c r="Z137" s="27" t="n">
        <v>0</v>
      </c>
      <c r="AA137" s="27" t="n">
        <v>0</v>
      </c>
      <c r="AB137" s="27" t="n">
        <v>0</v>
      </c>
      <c r="AC137" s="27" t="n">
        <v>0</v>
      </c>
      <c r="AD137" s="27" t="n">
        <v>0</v>
      </c>
      <c r="AE137" s="27" t="n">
        <v>0</v>
      </c>
      <c r="AF137" s="27" t="n">
        <v>0</v>
      </c>
      <c r="AG137" s="27" t="n">
        <v>0</v>
      </c>
      <c r="AH137" s="27" t="n">
        <v>0</v>
      </c>
      <c r="AI137" s="27" t="n">
        <v>0</v>
      </c>
      <c r="AJ137" s="27" t="n">
        <v>0</v>
      </c>
      <c r="AK137" s="27" t="n">
        <v>0</v>
      </c>
      <c r="AL137" s="27" t="n">
        <v>0</v>
      </c>
      <c r="AM137" s="27" t="n">
        <v>0</v>
      </c>
      <c r="AN137" s="27" t="n">
        <v>0</v>
      </c>
      <c r="AO137" s="27" t="n">
        <v>0</v>
      </c>
      <c r="AP137" s="27" t="n">
        <v>0</v>
      </c>
      <c r="AQ137" s="27" t="n">
        <v>0</v>
      </c>
      <c r="AR137" s="27" t="n">
        <v>0</v>
      </c>
      <c r="AS137" s="27" t="n">
        <v>0</v>
      </c>
      <c r="AT137" s="27" t="n">
        <v>0</v>
      </c>
      <c r="AU137" s="27" t="n">
        <v>0</v>
      </c>
      <c r="AV137" s="27" t="n">
        <v>0</v>
      </c>
      <c r="AW137" s="27" t="n">
        <v>0</v>
      </c>
      <c r="AX137" s="27" t="n">
        <v>0</v>
      </c>
      <c r="AY137" s="27" t="n">
        <v>0</v>
      </c>
      <c r="AZ137" s="27" t="n">
        <v>0</v>
      </c>
      <c r="BA137" s="27" t="n">
        <v>0</v>
      </c>
      <c r="BB137" s="27" t="n">
        <v>0</v>
      </c>
      <c r="BC137" s="27" t="n">
        <v>0</v>
      </c>
      <c r="BD137" s="27" t="n">
        <v>0</v>
      </c>
      <c r="BE137" s="27" t="n">
        <v>0</v>
      </c>
      <c r="BF137" s="27" t="n">
        <v>0</v>
      </c>
      <c r="BG137" s="27" t="n">
        <v>0</v>
      </c>
      <c r="BH137" s="27" t="n">
        <v>0</v>
      </c>
      <c r="BI137" s="27" t="n">
        <v>0</v>
      </c>
      <c r="BJ137" s="27" t="n">
        <v>0</v>
      </c>
      <c r="BK137" s="27" t="n">
        <v>0</v>
      </c>
      <c r="BL137" s="27" t="n">
        <v>0</v>
      </c>
      <c r="BM137" s="27" t="n">
        <v>0</v>
      </c>
      <c r="BN137" s="27" t="n">
        <v>0</v>
      </c>
      <c r="BO137" s="27" t="n">
        <v>0</v>
      </c>
      <c r="BP137" s="27" t="n">
        <v>0</v>
      </c>
      <c r="BQ137" s="27" t="n">
        <v>0</v>
      </c>
      <c r="BR137" s="27" t="n">
        <v>0</v>
      </c>
      <c r="BS137" s="27" t="n">
        <v>0</v>
      </c>
      <c r="BT137" s="27" t="n">
        <v>0</v>
      </c>
      <c r="BU137" s="27" t="n">
        <v>0</v>
      </c>
      <c r="BV137" s="27" t="n">
        <v>0</v>
      </c>
      <c r="BW137" s="27" t="n">
        <v>0</v>
      </c>
      <c r="BX137" s="27" t="n">
        <v>0</v>
      </c>
      <c r="BY137" s="27" t="n">
        <v>0</v>
      </c>
      <c r="BZ137" s="27" t="n">
        <v>0</v>
      </c>
      <c r="CA137" s="27" t="n">
        <v>0</v>
      </c>
      <c r="CB137" s="27" t="n">
        <v>0</v>
      </c>
      <c r="CC137" s="27" t="n">
        <v>0</v>
      </c>
      <c r="CD137" s="27" t="n">
        <v>0</v>
      </c>
      <c r="CE137" s="27" t="n">
        <v>0</v>
      </c>
      <c r="CF137" s="27" t="n">
        <v>0</v>
      </c>
      <c r="CG137" s="27" t="n">
        <v>0</v>
      </c>
      <c r="CH137" s="27" t="n">
        <v>0</v>
      </c>
      <c r="CI137" s="27" t="n">
        <v>0</v>
      </c>
      <c r="CJ137" s="27" t="n">
        <v>0</v>
      </c>
      <c r="CK137" s="27" t="n">
        <v>0</v>
      </c>
      <c r="CL137" s="27" t="n">
        <v>0</v>
      </c>
      <c r="CM137" s="27" t="n">
        <v>0</v>
      </c>
      <c r="CN137" s="27" t="n">
        <v>0</v>
      </c>
      <c r="CO137" s="27" t="n">
        <v>0</v>
      </c>
      <c r="CP137" s="27" t="n">
        <v>0</v>
      </c>
      <c r="CQ137" s="27" t="n">
        <v>0</v>
      </c>
      <c r="CR137" s="27" t="n">
        <v>0</v>
      </c>
      <c r="CS137" s="27" t="n">
        <v>0</v>
      </c>
      <c r="CT137" s="27" t="n">
        <v>0</v>
      </c>
      <c r="CU137" s="27" t="n">
        <v>0</v>
      </c>
      <c r="CV137" s="27" t="n">
        <v>0</v>
      </c>
      <c r="CW137" s="27" t="n">
        <v>0</v>
      </c>
      <c r="CX137" s="27" t="n">
        <v>0</v>
      </c>
      <c r="CY137" s="27" t="n">
        <v>0</v>
      </c>
      <c r="CZ137" s="27" t="n">
        <v>0</v>
      </c>
      <c r="DA137" s="27" t="n">
        <v>0</v>
      </c>
    </row>
    <row r="138">
      <c r="A138" t="inlineStr">
        <is>
          <t>V18</t>
        </is>
      </c>
      <c r="B138" s="27" t="n">
        <v>0</v>
      </c>
      <c r="C138" s="27" t="n">
        <v>0</v>
      </c>
      <c r="D138" s="27" t="n">
        <v>0</v>
      </c>
      <c r="E138" s="27" t="n">
        <v>0</v>
      </c>
      <c r="F138" s="27" t="n">
        <v>0</v>
      </c>
      <c r="G138" s="27" t="n">
        <v>0</v>
      </c>
      <c r="H138" s="27" t="n">
        <v>0</v>
      </c>
      <c r="I138" s="27" t="n">
        <v>0</v>
      </c>
      <c r="J138" s="27" t="n">
        <v>0</v>
      </c>
      <c r="K138" s="27" t="n">
        <v>0</v>
      </c>
      <c r="L138" s="27" t="n">
        <v>0</v>
      </c>
      <c r="M138" s="27" t="n">
        <v>0</v>
      </c>
      <c r="N138" s="27" t="n">
        <v>0</v>
      </c>
      <c r="O138" s="27" t="n">
        <v>0</v>
      </c>
      <c r="P138" s="27" t="n">
        <v>0</v>
      </c>
      <c r="Q138" s="27" t="n">
        <v>0</v>
      </c>
      <c r="R138" s="27" t="n">
        <v>0</v>
      </c>
      <c r="S138" s="27" t="n">
        <v>0</v>
      </c>
      <c r="T138" s="27" t="n">
        <v>0</v>
      </c>
      <c r="U138" s="27" t="n">
        <v>0</v>
      </c>
      <c r="V138" s="27" t="n">
        <v>0</v>
      </c>
      <c r="W138" s="27" t="n">
        <v>0</v>
      </c>
      <c r="X138" s="27" t="n">
        <v>0</v>
      </c>
      <c r="Y138" s="27" t="n">
        <v>0</v>
      </c>
      <c r="Z138" s="27" t="n">
        <v>0</v>
      </c>
      <c r="AA138" s="27" t="n">
        <v>0</v>
      </c>
      <c r="AB138" s="27" t="n">
        <v>0</v>
      </c>
      <c r="AC138" s="27" t="n">
        <v>0</v>
      </c>
      <c r="AD138" s="27" t="n">
        <v>0</v>
      </c>
      <c r="AE138" s="27" t="n">
        <v>0</v>
      </c>
      <c r="AF138" s="27" t="n">
        <v>0</v>
      </c>
      <c r="AG138" s="27" t="n">
        <v>0</v>
      </c>
      <c r="AH138" s="27" t="n">
        <v>0</v>
      </c>
      <c r="AI138" s="27" t="n">
        <v>0</v>
      </c>
      <c r="AJ138" s="27" t="n">
        <v>0</v>
      </c>
      <c r="AK138" s="27" t="n">
        <v>0</v>
      </c>
      <c r="AL138" s="27" t="n">
        <v>0</v>
      </c>
      <c r="AM138" s="27" t="n">
        <v>0</v>
      </c>
      <c r="AN138" s="27" t="n">
        <v>0</v>
      </c>
      <c r="AO138" s="27" t="n">
        <v>0</v>
      </c>
      <c r="AP138" s="27" t="n">
        <v>0</v>
      </c>
      <c r="AQ138" s="27" t="n">
        <v>0</v>
      </c>
      <c r="AR138" s="27" t="n">
        <v>0</v>
      </c>
      <c r="AS138" s="27" t="n">
        <v>0</v>
      </c>
      <c r="AT138" s="27" t="n">
        <v>0</v>
      </c>
      <c r="AU138" s="27" t="n">
        <v>0</v>
      </c>
      <c r="AV138" s="27" t="n">
        <v>0</v>
      </c>
      <c r="AW138" s="27" t="n">
        <v>0</v>
      </c>
      <c r="AX138" s="27" t="n">
        <v>0</v>
      </c>
      <c r="AY138" s="27" t="n">
        <v>0</v>
      </c>
      <c r="AZ138" s="27" t="n">
        <v>0</v>
      </c>
      <c r="BA138" s="27" t="n">
        <v>0</v>
      </c>
      <c r="BB138" s="27" t="n">
        <v>0</v>
      </c>
      <c r="BC138" s="27" t="n">
        <v>0</v>
      </c>
      <c r="BD138" s="27" t="n">
        <v>0</v>
      </c>
      <c r="BE138" s="27" t="n">
        <v>0</v>
      </c>
      <c r="BF138" s="27" t="n">
        <v>0</v>
      </c>
      <c r="BG138" s="27" t="n">
        <v>0</v>
      </c>
      <c r="BH138" s="27" t="n">
        <v>0</v>
      </c>
      <c r="BI138" s="27" t="n">
        <v>0</v>
      </c>
      <c r="BJ138" s="27" t="n">
        <v>0</v>
      </c>
      <c r="BK138" s="27" t="n">
        <v>0</v>
      </c>
      <c r="BL138" s="27" t="n">
        <v>0</v>
      </c>
      <c r="BM138" s="27" t="n">
        <v>0</v>
      </c>
      <c r="BN138" s="27" t="n">
        <v>0</v>
      </c>
      <c r="BO138" s="27" t="n">
        <v>0</v>
      </c>
      <c r="BP138" s="27" t="n">
        <v>0</v>
      </c>
      <c r="BQ138" s="27" t="n">
        <v>0</v>
      </c>
      <c r="BR138" s="27" t="n">
        <v>0</v>
      </c>
      <c r="BS138" s="27" t="n">
        <v>0</v>
      </c>
      <c r="BT138" s="27" t="n">
        <v>0</v>
      </c>
      <c r="BU138" s="27" t="n">
        <v>0</v>
      </c>
      <c r="BV138" s="27" t="n">
        <v>0</v>
      </c>
      <c r="BW138" s="27" t="n">
        <v>0</v>
      </c>
      <c r="BX138" s="27" t="n">
        <v>0</v>
      </c>
      <c r="BY138" s="27" t="n">
        <v>0</v>
      </c>
      <c r="BZ138" s="27" t="n">
        <v>0</v>
      </c>
      <c r="CA138" s="27" t="n">
        <v>0</v>
      </c>
      <c r="CB138" s="27" t="n">
        <v>0</v>
      </c>
      <c r="CC138" s="27" t="n">
        <v>0</v>
      </c>
      <c r="CD138" s="27" t="n">
        <v>0</v>
      </c>
      <c r="CE138" s="27" t="n">
        <v>0</v>
      </c>
      <c r="CF138" s="27" t="n">
        <v>0</v>
      </c>
      <c r="CG138" s="27" t="n">
        <v>0</v>
      </c>
      <c r="CH138" s="27" t="n">
        <v>0</v>
      </c>
      <c r="CI138" s="27" t="n">
        <v>0</v>
      </c>
      <c r="CJ138" s="27" t="n">
        <v>0</v>
      </c>
      <c r="CK138" s="27" t="n">
        <v>0</v>
      </c>
      <c r="CL138" s="27" t="n">
        <v>0</v>
      </c>
      <c r="CM138" s="27" t="n">
        <v>0</v>
      </c>
      <c r="CN138" s="27" t="n">
        <v>0</v>
      </c>
      <c r="CO138" s="27" t="n">
        <v>0</v>
      </c>
      <c r="CP138" s="27" t="n">
        <v>0</v>
      </c>
      <c r="CQ138" s="27" t="n">
        <v>0</v>
      </c>
      <c r="CR138" s="27" t="n">
        <v>0</v>
      </c>
      <c r="CS138" s="27" t="n">
        <v>0</v>
      </c>
      <c r="CT138" s="27" t="n">
        <v>0</v>
      </c>
      <c r="CU138" s="27" t="n">
        <v>0</v>
      </c>
      <c r="CV138" s="27" t="n">
        <v>0</v>
      </c>
      <c r="CW138" s="27" t="n">
        <v>0</v>
      </c>
      <c r="CX138" s="27" t="n">
        <v>0</v>
      </c>
      <c r="CY138" s="27" t="n">
        <v>0</v>
      </c>
      <c r="CZ138" s="27" t="n">
        <v>0</v>
      </c>
      <c r="DA138" s="27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7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4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4">
        <f>B4+6</f>
        <v/>
      </c>
      <c r="G4">
        <f>TEXT(B4,"mmm-yy")</f>
        <v/>
      </c>
    </row>
    <row r="5">
      <c r="A5" t="n">
        <v>2</v>
      </c>
      <c r="B5" s="24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4">
        <f>B5+6</f>
        <v/>
      </c>
      <c r="G5">
        <f>TEXT(B5,"mmm-yy")</f>
        <v/>
      </c>
    </row>
    <row r="6">
      <c r="A6" t="n">
        <v>3</v>
      </c>
      <c r="B6" s="24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4">
        <f>B6+6</f>
        <v/>
      </c>
      <c r="G6">
        <f>TEXT(B6,"mmm-yy")</f>
        <v/>
      </c>
    </row>
    <row r="7">
      <c r="A7" t="n">
        <v>4</v>
      </c>
      <c r="B7" s="24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4">
        <f>B7+6</f>
        <v/>
      </c>
      <c r="G7">
        <f>TEXT(B7,"mmm-yy")</f>
        <v/>
      </c>
    </row>
    <row r="8">
      <c r="A8" t="n">
        <v>5</v>
      </c>
      <c r="B8" s="24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4">
        <f>B8+6</f>
        <v/>
      </c>
      <c r="G8">
        <f>TEXT(B8,"mmm-yy")</f>
        <v/>
      </c>
    </row>
    <row r="9">
      <c r="A9" t="n">
        <v>6</v>
      </c>
      <c r="B9" s="24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4">
        <f>B9+6</f>
        <v/>
      </c>
      <c r="G9">
        <f>TEXT(B9,"mmm-yy")</f>
        <v/>
      </c>
    </row>
    <row r="10">
      <c r="A10" t="n">
        <v>7</v>
      </c>
      <c r="B10" s="24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4">
        <f>B10+6</f>
        <v/>
      </c>
      <c r="G10">
        <f>TEXT(B10,"mmm-yy")</f>
        <v/>
      </c>
    </row>
    <row r="11">
      <c r="A11" t="n">
        <v>8</v>
      </c>
      <c r="B11" s="24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4">
        <f>B11+6</f>
        <v/>
      </c>
      <c r="G11">
        <f>TEXT(B11,"mmm-yy")</f>
        <v/>
      </c>
    </row>
    <row r="12">
      <c r="A12" t="n">
        <v>9</v>
      </c>
      <c r="B12" s="24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4">
        <f>B12+6</f>
        <v/>
      </c>
      <c r="G12">
        <f>TEXT(B12,"mmm-yy")</f>
        <v/>
      </c>
    </row>
    <row r="13">
      <c r="A13" t="n">
        <v>10</v>
      </c>
      <c r="B13" s="24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4">
        <f>B13+6</f>
        <v/>
      </c>
      <c r="G13">
        <f>TEXT(B13,"mmm-yy")</f>
        <v/>
      </c>
    </row>
    <row r="14">
      <c r="A14" t="n">
        <v>11</v>
      </c>
      <c r="B14" s="24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4">
        <f>B14+6</f>
        <v/>
      </c>
      <c r="G14">
        <f>TEXT(B14,"mmm-yy")</f>
        <v/>
      </c>
    </row>
    <row r="15">
      <c r="A15" t="n">
        <v>12</v>
      </c>
      <c r="B15" s="24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4">
        <f>B15+6</f>
        <v/>
      </c>
      <c r="G15">
        <f>TEXT(B15,"mmm-yy")</f>
        <v/>
      </c>
    </row>
    <row r="16">
      <c r="A16" t="n">
        <v>13</v>
      </c>
      <c r="B16" s="24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4">
        <f>B16+6</f>
        <v/>
      </c>
      <c r="G16">
        <f>TEXT(B16,"mmm-yy")</f>
        <v/>
      </c>
    </row>
    <row r="17">
      <c r="A17" t="n">
        <v>14</v>
      </c>
      <c r="B17" s="24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4">
        <f>B17+6</f>
        <v/>
      </c>
      <c r="G17">
        <f>TEXT(B17,"mmm-yy")</f>
        <v/>
      </c>
    </row>
    <row r="18">
      <c r="A18" t="n">
        <v>15</v>
      </c>
      <c r="B18" s="24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4">
        <f>B18+6</f>
        <v/>
      </c>
      <c r="G18">
        <f>TEXT(B18,"mmm-yy")</f>
        <v/>
      </c>
    </row>
    <row r="19">
      <c r="A19" t="n">
        <v>16</v>
      </c>
      <c r="B19" s="24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4">
        <f>B19+6</f>
        <v/>
      </c>
      <c r="G19">
        <f>TEXT(B19,"mmm-yy")</f>
        <v/>
      </c>
    </row>
    <row r="20">
      <c r="A20" t="n">
        <v>17</v>
      </c>
      <c r="B20" s="24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4">
        <f>B20+6</f>
        <v/>
      </c>
      <c r="G20">
        <f>TEXT(B20,"mmm-yy")</f>
        <v/>
      </c>
    </row>
    <row r="21">
      <c r="A21" t="n">
        <v>18</v>
      </c>
      <c r="B21" s="24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4">
        <f>B21+6</f>
        <v/>
      </c>
      <c r="G21">
        <f>TEXT(B21,"mmm-yy")</f>
        <v/>
      </c>
    </row>
    <row r="22">
      <c r="A22" t="n">
        <v>19</v>
      </c>
      <c r="B22" s="24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4">
        <f>B22+6</f>
        <v/>
      </c>
      <c r="G22">
        <f>TEXT(B22,"mmm-yy")</f>
        <v/>
      </c>
    </row>
    <row r="23">
      <c r="A23" t="n">
        <v>20</v>
      </c>
      <c r="B23" s="24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4">
        <f>B23+6</f>
        <v/>
      </c>
      <c r="G23">
        <f>TEXT(B23,"mmm-yy")</f>
        <v/>
      </c>
    </row>
    <row r="24">
      <c r="A24" t="n">
        <v>21</v>
      </c>
      <c r="B24" s="24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4">
        <f>B24+6</f>
        <v/>
      </c>
      <c r="G24">
        <f>TEXT(B24,"mmm-yy")</f>
        <v/>
      </c>
    </row>
    <row r="25">
      <c r="A25" t="n">
        <v>22</v>
      </c>
      <c r="B25" s="24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4">
        <f>B25+6</f>
        <v/>
      </c>
      <c r="G25">
        <f>TEXT(B25,"mmm-yy")</f>
        <v/>
      </c>
    </row>
    <row r="26">
      <c r="A26" t="n">
        <v>23</v>
      </c>
      <c r="B26" s="24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4">
        <f>B26+6</f>
        <v/>
      </c>
      <c r="G26">
        <f>TEXT(B26,"mmm-yy")</f>
        <v/>
      </c>
    </row>
    <row r="27">
      <c r="A27" t="n">
        <v>24</v>
      </c>
      <c r="B27" s="24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4">
        <f>B27+6</f>
        <v/>
      </c>
      <c r="G27">
        <f>TEXT(B27,"mmm-yy")</f>
        <v/>
      </c>
    </row>
    <row r="28">
      <c r="A28" t="n">
        <v>25</v>
      </c>
      <c r="B28" s="24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4">
        <f>B28+6</f>
        <v/>
      </c>
      <c r="G28">
        <f>TEXT(B28,"mmm-yy")</f>
        <v/>
      </c>
    </row>
    <row r="29">
      <c r="A29" t="n">
        <v>26</v>
      </c>
      <c r="B29" s="24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4">
        <f>B29+6</f>
        <v/>
      </c>
      <c r="G29">
        <f>TEXT(B29,"mmm-yy")</f>
        <v/>
      </c>
    </row>
    <row r="30">
      <c r="A30" t="n">
        <v>27</v>
      </c>
      <c r="B30" s="24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4">
        <f>B30+6</f>
        <v/>
      </c>
      <c r="G30">
        <f>TEXT(B30,"mmm-yy")</f>
        <v/>
      </c>
    </row>
    <row r="31">
      <c r="A31" t="n">
        <v>28</v>
      </c>
      <c r="B31" s="24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4">
        <f>B31+6</f>
        <v/>
      </c>
      <c r="G31">
        <f>TEXT(B31,"mmm-yy")</f>
        <v/>
      </c>
    </row>
    <row r="32">
      <c r="A32" t="n">
        <v>29</v>
      </c>
      <c r="B32" s="24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4">
        <f>B32+6</f>
        <v/>
      </c>
      <c r="G32">
        <f>TEXT(B32,"mmm-yy")</f>
        <v/>
      </c>
    </row>
    <row r="33">
      <c r="A33" t="n">
        <v>30</v>
      </c>
      <c r="B33" s="24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4">
        <f>B33+6</f>
        <v/>
      </c>
      <c r="G33">
        <f>TEXT(B33,"mmm-yy")</f>
        <v/>
      </c>
    </row>
    <row r="34">
      <c r="A34" t="n">
        <v>31</v>
      </c>
      <c r="B34" s="24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4">
        <f>B34+6</f>
        <v/>
      </c>
      <c r="G34">
        <f>TEXT(B34,"mmm-yy")</f>
        <v/>
      </c>
    </row>
    <row r="35">
      <c r="A35" t="n">
        <v>32</v>
      </c>
      <c r="B35" s="24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4">
        <f>B35+6</f>
        <v/>
      </c>
      <c r="G35">
        <f>TEXT(B35,"mmm-yy")</f>
        <v/>
      </c>
    </row>
    <row r="36">
      <c r="A36" t="n">
        <v>33</v>
      </c>
      <c r="B36" s="24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4">
        <f>B36+6</f>
        <v/>
      </c>
      <c r="G36">
        <f>TEXT(B36,"mmm-yy")</f>
        <v/>
      </c>
    </row>
    <row r="37">
      <c r="A37" t="n">
        <v>34</v>
      </c>
      <c r="B37" s="24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4">
        <f>B37+6</f>
        <v/>
      </c>
      <c r="G37">
        <f>TEXT(B37,"mmm-yy")</f>
        <v/>
      </c>
    </row>
    <row r="38">
      <c r="A38" t="n">
        <v>35</v>
      </c>
      <c r="B38" s="24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4">
        <f>B38+6</f>
        <v/>
      </c>
      <c r="G38">
        <f>TEXT(B38,"mmm-yy")</f>
        <v/>
      </c>
    </row>
    <row r="39">
      <c r="A39" t="n">
        <v>36</v>
      </c>
      <c r="B39" s="24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4">
        <f>B39+6</f>
        <v/>
      </c>
      <c r="G39">
        <f>TEXT(B39,"mmm-yy")</f>
        <v/>
      </c>
    </row>
    <row r="40">
      <c r="A40" t="n">
        <v>37</v>
      </c>
      <c r="B40" s="24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4">
        <f>B40+6</f>
        <v/>
      </c>
      <c r="G40">
        <f>TEXT(B40,"mmm-yy")</f>
        <v/>
      </c>
    </row>
    <row r="41">
      <c r="A41" t="n">
        <v>38</v>
      </c>
      <c r="B41" s="24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4">
        <f>B41+6</f>
        <v/>
      </c>
      <c r="G41">
        <f>TEXT(B41,"mmm-yy")</f>
        <v/>
      </c>
    </row>
    <row r="42">
      <c r="A42" t="n">
        <v>39</v>
      </c>
      <c r="B42" s="24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4">
        <f>B42+6</f>
        <v/>
      </c>
      <c r="G42">
        <f>TEXT(B42,"mmm-yy")</f>
        <v/>
      </c>
    </row>
    <row r="43">
      <c r="A43" t="n">
        <v>40</v>
      </c>
      <c r="B43" s="24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4">
        <f>B43+6</f>
        <v/>
      </c>
      <c r="G43">
        <f>TEXT(B43,"mmm-yy")</f>
        <v/>
      </c>
    </row>
    <row r="44">
      <c r="A44" t="n">
        <v>41</v>
      </c>
      <c r="B44" s="24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4">
        <f>B44+6</f>
        <v/>
      </c>
      <c r="G44">
        <f>TEXT(B44,"mmm-yy")</f>
        <v/>
      </c>
    </row>
    <row r="45">
      <c r="A45" t="n">
        <v>42</v>
      </c>
      <c r="B45" s="24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4">
        <f>B45+6</f>
        <v/>
      </c>
      <c r="G45">
        <f>TEXT(B45,"mmm-yy")</f>
        <v/>
      </c>
    </row>
    <row r="46">
      <c r="A46" t="n">
        <v>43</v>
      </c>
      <c r="B46" s="24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4">
        <f>B46+6</f>
        <v/>
      </c>
      <c r="G46">
        <f>TEXT(B46,"mmm-yy")</f>
        <v/>
      </c>
    </row>
    <row r="47">
      <c r="A47" t="n">
        <v>44</v>
      </c>
      <c r="B47" s="24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4">
        <f>B47+6</f>
        <v/>
      </c>
      <c r="G47">
        <f>TEXT(B47,"mmm-yy")</f>
        <v/>
      </c>
    </row>
    <row r="48">
      <c r="A48" t="n">
        <v>45</v>
      </c>
      <c r="B48" s="24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4">
        <f>B48+6</f>
        <v/>
      </c>
      <c r="G48">
        <f>TEXT(B48,"mmm-yy")</f>
        <v/>
      </c>
    </row>
    <row r="49">
      <c r="A49" t="n">
        <v>46</v>
      </c>
      <c r="B49" s="24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4">
        <f>B49+6</f>
        <v/>
      </c>
      <c r="G49">
        <f>TEXT(B49,"mmm-yy")</f>
        <v/>
      </c>
    </row>
    <row r="50">
      <c r="A50" t="n">
        <v>47</v>
      </c>
      <c r="B50" s="24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4">
        <f>B50+6</f>
        <v/>
      </c>
      <c r="G50">
        <f>TEXT(B50,"mmm-yy")</f>
        <v/>
      </c>
    </row>
    <row r="51">
      <c r="A51" t="n">
        <v>48</v>
      </c>
      <c r="B51" s="24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4">
        <f>B51+6</f>
        <v/>
      </c>
      <c r="G51">
        <f>TEXT(B51,"mmm-yy")</f>
        <v/>
      </c>
    </row>
    <row r="52">
      <c r="A52" t="n">
        <v>49</v>
      </c>
      <c r="B52" s="24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4">
        <f>B52+6</f>
        <v/>
      </c>
      <c r="G52">
        <f>TEXT(B52,"mmm-yy")</f>
        <v/>
      </c>
    </row>
    <row r="53">
      <c r="A53" t="n">
        <v>50</v>
      </c>
      <c r="B53" s="24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4">
        <f>B53+6</f>
        <v/>
      </c>
      <c r="G53">
        <f>TEXT(B53,"mmm-yy")</f>
        <v/>
      </c>
    </row>
    <row r="54">
      <c r="A54" t="n">
        <v>51</v>
      </c>
      <c r="B54" s="24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4">
        <f>B54+6</f>
        <v/>
      </c>
      <c r="G54">
        <f>TEXT(B54,"mmm-yy")</f>
        <v/>
      </c>
    </row>
    <row r="55">
      <c r="A55" t="n">
        <v>52</v>
      </c>
      <c r="B55" s="24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4">
        <f>B55+6</f>
        <v/>
      </c>
      <c r="G55">
        <f>TEXT(B55,"mmm-yy")</f>
        <v/>
      </c>
    </row>
    <row r="56">
      <c r="A56" t="n">
        <v>53</v>
      </c>
      <c r="B56" s="24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4">
        <f>B56+6</f>
        <v/>
      </c>
      <c r="G56">
        <f>TEXT(B56,"mmm-yy")</f>
        <v/>
      </c>
    </row>
    <row r="57">
      <c r="A57" t="n">
        <v>54</v>
      </c>
      <c r="B57" s="24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4">
        <f>B57+6</f>
        <v/>
      </c>
      <c r="G57">
        <f>TEXT(B57,"mmm-yy")</f>
        <v/>
      </c>
    </row>
    <row r="58">
      <c r="A58" t="n">
        <v>55</v>
      </c>
      <c r="B58" s="24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4">
        <f>B58+6</f>
        <v/>
      </c>
      <c r="G58">
        <f>TEXT(B58,"mmm-yy")</f>
        <v/>
      </c>
    </row>
    <row r="59">
      <c r="A59" t="n">
        <v>56</v>
      </c>
      <c r="B59" s="24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4">
        <f>B59+6</f>
        <v/>
      </c>
      <c r="G59">
        <f>TEXT(B59,"mmm-yy")</f>
        <v/>
      </c>
    </row>
    <row r="60">
      <c r="A60" t="n">
        <v>57</v>
      </c>
      <c r="B60" s="24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4">
        <f>B60+6</f>
        <v/>
      </c>
      <c r="G60">
        <f>TEXT(B60,"mmm-yy")</f>
        <v/>
      </c>
    </row>
    <row r="61">
      <c r="A61" t="n">
        <v>58</v>
      </c>
      <c r="B61" s="24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4">
        <f>B61+6</f>
        <v/>
      </c>
      <c r="G61">
        <f>TEXT(B61,"mmm-yy")</f>
        <v/>
      </c>
    </row>
    <row r="62">
      <c r="A62" t="n">
        <v>59</v>
      </c>
      <c r="B62" s="24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4">
        <f>B62+6</f>
        <v/>
      </c>
      <c r="G62">
        <f>TEXT(B62,"mmm-yy")</f>
        <v/>
      </c>
    </row>
    <row r="63">
      <c r="A63" t="n">
        <v>60</v>
      </c>
      <c r="B63" s="24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4">
        <f>B63+6</f>
        <v/>
      </c>
      <c r="G63">
        <f>TEXT(B63,"mmm-yy")</f>
        <v/>
      </c>
    </row>
    <row r="64">
      <c r="A64" t="n">
        <v>61</v>
      </c>
      <c r="B64" s="24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4">
        <f>B64+6</f>
        <v/>
      </c>
      <c r="G64">
        <f>TEXT(B64,"mmm-yy")</f>
        <v/>
      </c>
    </row>
    <row r="65">
      <c r="A65" t="n">
        <v>62</v>
      </c>
      <c r="B65" s="24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4">
        <f>B65+6</f>
        <v/>
      </c>
      <c r="G65">
        <f>TEXT(B65,"mmm-yy")</f>
        <v/>
      </c>
    </row>
    <row r="66">
      <c r="A66" t="n">
        <v>63</v>
      </c>
      <c r="B66" s="24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4">
        <f>B66+6</f>
        <v/>
      </c>
      <c r="G66">
        <f>TEXT(B66,"mmm-yy")</f>
        <v/>
      </c>
    </row>
    <row r="67">
      <c r="A67" t="n">
        <v>64</v>
      </c>
      <c r="B67" s="24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4">
        <f>B67+6</f>
        <v/>
      </c>
      <c r="G67">
        <f>TEXT(B67,"mmm-yy")</f>
        <v/>
      </c>
    </row>
    <row r="68">
      <c r="A68" t="n">
        <v>65</v>
      </c>
      <c r="B68" s="24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4">
        <f>B68+6</f>
        <v/>
      </c>
      <c r="G68">
        <f>TEXT(B68,"mmm-yy")</f>
        <v/>
      </c>
    </row>
    <row r="69">
      <c r="A69" t="n">
        <v>66</v>
      </c>
      <c r="B69" s="24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4">
        <f>B69+6</f>
        <v/>
      </c>
      <c r="G69">
        <f>TEXT(B69,"mmm-yy")</f>
        <v/>
      </c>
    </row>
    <row r="70">
      <c r="A70" t="n">
        <v>67</v>
      </c>
      <c r="B70" s="24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4">
        <f>B70+6</f>
        <v/>
      </c>
      <c r="G70">
        <f>TEXT(B70,"mmm-yy")</f>
        <v/>
      </c>
    </row>
    <row r="71">
      <c r="A71" t="n">
        <v>68</v>
      </c>
      <c r="B71" s="24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4">
        <f>B71+6</f>
        <v/>
      </c>
      <c r="G71">
        <f>TEXT(B71,"mmm-yy")</f>
        <v/>
      </c>
    </row>
    <row r="72">
      <c r="A72" t="n">
        <v>69</v>
      </c>
      <c r="B72" s="24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4">
        <f>B72+6</f>
        <v/>
      </c>
      <c r="G72">
        <f>TEXT(B72,"mmm-yy")</f>
        <v/>
      </c>
    </row>
    <row r="73">
      <c r="A73" t="n">
        <v>70</v>
      </c>
      <c r="B73" s="24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4">
        <f>B73+6</f>
        <v/>
      </c>
      <c r="G73">
        <f>TEXT(B73,"mmm-yy")</f>
        <v/>
      </c>
    </row>
    <row r="74">
      <c r="A74" t="n">
        <v>71</v>
      </c>
      <c r="B74" s="24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4">
        <f>B74+6</f>
        <v/>
      </c>
      <c r="G74">
        <f>TEXT(B74,"mmm-yy")</f>
        <v/>
      </c>
    </row>
    <row r="75">
      <c r="A75" t="n">
        <v>72</v>
      </c>
      <c r="B75" s="24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4">
        <f>B75+6</f>
        <v/>
      </c>
      <c r="G75">
        <f>TEXT(B75,"mmm-yy")</f>
        <v/>
      </c>
    </row>
    <row r="76">
      <c r="A76" t="n">
        <v>73</v>
      </c>
      <c r="B76" s="24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4">
        <f>B76+6</f>
        <v/>
      </c>
      <c r="G76">
        <f>TEXT(B76,"mmm-yy")</f>
        <v/>
      </c>
    </row>
    <row r="77">
      <c r="A77" t="n">
        <v>74</v>
      </c>
      <c r="B77" s="24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4">
        <f>B77+6</f>
        <v/>
      </c>
      <c r="G77">
        <f>TEXT(B77,"mmm-yy")</f>
        <v/>
      </c>
    </row>
    <row r="78">
      <c r="A78" t="n">
        <v>75</v>
      </c>
      <c r="B78" s="24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4">
        <f>B78+6</f>
        <v/>
      </c>
      <c r="G78">
        <f>TEXT(B78,"mmm-yy")</f>
        <v/>
      </c>
    </row>
    <row r="79">
      <c r="A79" t="n">
        <v>76</v>
      </c>
      <c r="B79" s="24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4">
        <f>B79+6</f>
        <v/>
      </c>
      <c r="G79">
        <f>TEXT(B79,"mmm-yy")</f>
        <v/>
      </c>
    </row>
    <row r="80">
      <c r="A80" t="n">
        <v>77</v>
      </c>
      <c r="B80" s="24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4">
        <f>B80+6</f>
        <v/>
      </c>
      <c r="G80">
        <f>TEXT(B80,"mmm-yy")</f>
        <v/>
      </c>
    </row>
    <row r="81">
      <c r="A81" t="n">
        <v>78</v>
      </c>
      <c r="B81" s="24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4">
        <f>B81+6</f>
        <v/>
      </c>
      <c r="G81">
        <f>TEXT(B81,"mmm-yy")</f>
        <v/>
      </c>
    </row>
    <row r="82">
      <c r="A82" t="n">
        <v>79</v>
      </c>
      <c r="B82" s="24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4">
        <f>B82+6</f>
        <v/>
      </c>
      <c r="G82">
        <f>TEXT(B82,"mmm-yy")</f>
        <v/>
      </c>
    </row>
    <row r="83">
      <c r="A83" t="n">
        <v>80</v>
      </c>
      <c r="B83" s="24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4">
        <f>B83+6</f>
        <v/>
      </c>
      <c r="G83">
        <f>TEXT(B83,"mmm-yy")</f>
        <v/>
      </c>
    </row>
    <row r="84">
      <c r="A84" t="n">
        <v>81</v>
      </c>
      <c r="B84" s="24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4">
        <f>B84+6</f>
        <v/>
      </c>
      <c r="G84">
        <f>TEXT(B84,"mmm-yy")</f>
        <v/>
      </c>
    </row>
    <row r="85">
      <c r="A85" t="n">
        <v>82</v>
      </c>
      <c r="B85" s="24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4">
        <f>B85+6</f>
        <v/>
      </c>
      <c r="G85">
        <f>TEXT(B85,"mmm-yy")</f>
        <v/>
      </c>
    </row>
    <row r="86">
      <c r="A86" t="n">
        <v>83</v>
      </c>
      <c r="B86" s="24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4">
        <f>B86+6</f>
        <v/>
      </c>
      <c r="G86">
        <f>TEXT(B86,"mmm-yy")</f>
        <v/>
      </c>
    </row>
    <row r="87">
      <c r="A87" t="n">
        <v>84</v>
      </c>
      <c r="B87" s="24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4">
        <f>B87+6</f>
        <v/>
      </c>
      <c r="G87">
        <f>TEXT(B87,"mmm-yy")</f>
        <v/>
      </c>
    </row>
    <row r="88">
      <c r="A88" t="n">
        <v>85</v>
      </c>
      <c r="B88" s="24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4">
        <f>B88+6</f>
        <v/>
      </c>
      <c r="G88">
        <f>TEXT(B88,"mmm-yy")</f>
        <v/>
      </c>
    </row>
    <row r="89">
      <c r="A89" t="n">
        <v>86</v>
      </c>
      <c r="B89" s="24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4">
        <f>B89+6</f>
        <v/>
      </c>
      <c r="G89">
        <f>TEXT(B89,"mmm-yy")</f>
        <v/>
      </c>
    </row>
    <row r="90">
      <c r="A90" t="n">
        <v>87</v>
      </c>
      <c r="B90" s="24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4">
        <f>B90+6</f>
        <v/>
      </c>
      <c r="G90">
        <f>TEXT(B90,"mmm-yy")</f>
        <v/>
      </c>
    </row>
    <row r="91">
      <c r="A91" t="n">
        <v>88</v>
      </c>
      <c r="B91" s="24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4">
        <f>B91+6</f>
        <v/>
      </c>
      <c r="G91">
        <f>TEXT(B91,"mmm-yy")</f>
        <v/>
      </c>
    </row>
    <row r="92">
      <c r="A92" t="n">
        <v>89</v>
      </c>
      <c r="B92" s="24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4">
        <f>B92+6</f>
        <v/>
      </c>
      <c r="G92">
        <f>TEXT(B92,"mmm-yy")</f>
        <v/>
      </c>
    </row>
    <row r="93">
      <c r="A93" t="n">
        <v>90</v>
      </c>
      <c r="B93" s="24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4">
        <f>B93+6</f>
        <v/>
      </c>
      <c r="G93">
        <f>TEXT(B93,"mmm-yy")</f>
        <v/>
      </c>
    </row>
    <row r="94">
      <c r="A94" t="n">
        <v>91</v>
      </c>
      <c r="B94" s="24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4">
        <f>B94+6</f>
        <v/>
      </c>
      <c r="G94">
        <f>TEXT(B94,"mmm-yy")</f>
        <v/>
      </c>
    </row>
    <row r="95">
      <c r="A95" t="n">
        <v>92</v>
      </c>
      <c r="B95" s="24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4">
        <f>B95+6</f>
        <v/>
      </c>
      <c r="G95">
        <f>TEXT(B95,"mmm-yy")</f>
        <v/>
      </c>
    </row>
    <row r="96">
      <c r="A96" t="n">
        <v>93</v>
      </c>
      <c r="B96" s="24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4">
        <f>B96+6</f>
        <v/>
      </c>
      <c r="G96">
        <f>TEXT(B96,"mmm-yy")</f>
        <v/>
      </c>
    </row>
    <row r="97">
      <c r="A97" t="n">
        <v>94</v>
      </c>
      <c r="B97" s="24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4">
        <f>B97+6</f>
        <v/>
      </c>
      <c r="G97">
        <f>TEXT(B97,"mmm-yy")</f>
        <v/>
      </c>
    </row>
    <row r="98">
      <c r="A98" t="n">
        <v>95</v>
      </c>
      <c r="B98" s="24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4">
        <f>B98+6</f>
        <v/>
      </c>
      <c r="G98">
        <f>TEXT(B98,"mmm-yy")</f>
        <v/>
      </c>
    </row>
    <row r="99">
      <c r="A99" t="n">
        <v>96</v>
      </c>
      <c r="B99" s="24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4">
        <f>B99+6</f>
        <v/>
      </c>
      <c r="G99">
        <f>TEXT(B99,"mmm-yy")</f>
        <v/>
      </c>
    </row>
    <row r="100">
      <c r="A100" t="n">
        <v>97</v>
      </c>
      <c r="B100" s="24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4">
        <f>B100+6</f>
        <v/>
      </c>
      <c r="G100">
        <f>TEXT(B100,"mmm-yy")</f>
        <v/>
      </c>
    </row>
    <row r="101">
      <c r="A101" t="n">
        <v>98</v>
      </c>
      <c r="B101" s="24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4">
        <f>B101+6</f>
        <v/>
      </c>
      <c r="G101">
        <f>TEXT(B101,"mmm-yy")</f>
        <v/>
      </c>
    </row>
    <row r="102">
      <c r="A102" t="n">
        <v>99</v>
      </c>
      <c r="B102" s="24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4">
        <f>B102+6</f>
        <v/>
      </c>
      <c r="G102">
        <f>TEXT(B102,"mmm-yy")</f>
        <v/>
      </c>
    </row>
    <row r="103">
      <c r="A103" t="n">
        <v>100</v>
      </c>
      <c r="B103" s="24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4">
        <f>B103+6</f>
        <v/>
      </c>
      <c r="G103">
        <f>TEXT(B103,"mmm-yy")</f>
        <v/>
      </c>
    </row>
    <row r="104">
      <c r="A104" t="n">
        <v>101</v>
      </c>
      <c r="B104" s="24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4">
        <f>B104+6</f>
        <v/>
      </c>
      <c r="G104">
        <f>TEXT(B104,"mmm-yy")</f>
        <v/>
      </c>
    </row>
    <row r="105">
      <c r="A105" t="n">
        <v>102</v>
      </c>
      <c r="B105" s="24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4">
        <f>B105+6</f>
        <v/>
      </c>
      <c r="G105">
        <f>TEXT(B105,"mmm-yy")</f>
        <v/>
      </c>
    </row>
    <row r="106">
      <c r="A106" t="n">
        <v>103</v>
      </c>
      <c r="B106" s="24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4">
        <f>B106+6</f>
        <v/>
      </c>
      <c r="G106">
        <f>TEXT(B106,"mmm-yy")</f>
        <v/>
      </c>
    </row>
    <row r="107">
      <c r="A107" t="n">
        <v>104</v>
      </c>
      <c r="B107" s="24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4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Ester Film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F2090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F2290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K0050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PP Film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0T150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0T160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0T410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0T420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0T470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0T480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0T490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0T500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0T690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0T720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0T740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0T750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0T860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0T870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0T880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0TA40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0W750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0W780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0Y460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F0220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F2100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F2180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F2210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F2350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F3060</t>
        </is>
      </c>
      <c r="B133" t="inlineStr">
        <is>
          <t>Cat</t>
        </is>
      </c>
      <c r="C133" t="inlineStr"/>
      <c r="D133" t="n">
        <v>1</v>
      </c>
    </row>
    <row r="134">
      <c r="A134" t="inlineStr">
        <is>
          <t>K0030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TSP-1555</t>
        </is>
      </c>
      <c r="B135" t="inlineStr">
        <is>
          <t>Slurry</t>
        </is>
      </c>
      <c r="C135" t="inlineStr"/>
      <c r="D135" t="n">
        <v>121.5</v>
      </c>
    </row>
    <row r="136">
      <c r="A136" t="inlineStr">
        <is>
          <t>V14</t>
        </is>
      </c>
      <c r="B136" t="inlineStr">
        <is>
          <t>Cat</t>
        </is>
      </c>
      <c r="C136" t="inlineStr"/>
      <c r="D136" t="n">
        <v>1</v>
      </c>
    </row>
    <row r="137">
      <c r="A137" t="inlineStr">
        <is>
          <t>V17</t>
        </is>
      </c>
      <c r="B137" t="inlineStr">
        <is>
          <t>Cat</t>
        </is>
      </c>
      <c r="C137" t="inlineStr"/>
      <c r="D137" t="n">
        <v>1</v>
      </c>
    </row>
    <row r="138">
      <c r="A138" t="inlineStr">
        <is>
          <t>V18</t>
        </is>
      </c>
      <c r="B138" t="inlineStr">
        <is>
          <t>Cat</t>
        </is>
      </c>
      <c r="C138" t="inlineStr"/>
      <c r="D138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CHEM-1530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CHEM-1480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CHEM-1540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CHEM-1680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CHEM-1730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CHEM-1280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CHEM-1570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CHEM-1450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CHEM-1770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CHEM-1430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CHEM-1470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CHEM-1010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CHEM-1760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CHEM-1700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CHEM-1850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Original Towel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Ester Film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PP Film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CHEM-1560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CHEM-1690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CHEM-1720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1EK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4HL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9RN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7CL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OJN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TDJ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3TP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KEJ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JEJ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YAN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ABN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OLJ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5SN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8EN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9RJ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5JK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26F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73K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1JN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CHEM-1670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CHEM-1110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CHEM-1240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CHEM-1510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CHEM-1580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CHEM-1250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CHEM-1600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CHEM-1120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CHEM-1550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CHEM-1440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CHEM-1780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CHEM-1400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CHEM-1650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CHEM-1660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CHEM-1420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CHEM-1530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CHEM-1480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CHEM-1540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CHEM-1680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CHEM-1730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CHEM-1280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CHEM-1570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CHEM-1450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CHEM-1770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  <row r="46">
      <c r="A46" t="inlineStr">
        <is>
          <t>CHEM-1430</t>
        </is>
      </c>
      <c r="B46">
        <f>SUMIFS(T_Shipments[Confirmed_Qty],T_Shipments[Part Name],$A46,T_Shipments[Effective_Week],1)</f>
        <v/>
      </c>
      <c r="C46">
        <f>SUMIFS(T_Shipments[Confirmed_Qty],T_Shipments[Part Name],$A46,T_Shipments[Effective_Week],2)</f>
        <v/>
      </c>
      <c r="D46">
        <f>SUMIFS(T_Shipments[Confirmed_Qty],T_Shipments[Part Name],$A46,T_Shipments[Effective_Week],3)</f>
        <v/>
      </c>
      <c r="E46">
        <f>SUMIFS(T_Shipments[Confirmed_Qty],T_Shipments[Part Name],$A46,T_Shipments[Effective_Week],4)</f>
        <v/>
      </c>
      <c r="F46">
        <f>SUMIFS(T_Shipments[Confirmed_Qty],T_Shipments[Part Name],$A46,T_Shipments[Effective_Week],5)</f>
        <v/>
      </c>
      <c r="G46">
        <f>SUMIFS(T_Shipments[Confirmed_Qty],T_Shipments[Part Name],$A46,T_Shipments[Effective_Week],6)</f>
        <v/>
      </c>
      <c r="H46">
        <f>SUMIFS(T_Shipments[Confirmed_Qty],T_Shipments[Part Name],$A46,T_Shipments[Effective_Week],7)</f>
        <v/>
      </c>
      <c r="I46">
        <f>SUMIFS(T_Shipments[Confirmed_Qty],T_Shipments[Part Name],$A46,T_Shipments[Effective_Week],8)</f>
        <v/>
      </c>
      <c r="J46">
        <f>SUMIFS(T_Shipments[Confirmed_Qty],T_Shipments[Part Name],$A46,T_Shipments[Effective_Week],9)</f>
        <v/>
      </c>
      <c r="K46">
        <f>SUMIFS(T_Shipments[Confirmed_Qty],T_Shipments[Part Name],$A46,T_Shipments[Effective_Week],10)</f>
        <v/>
      </c>
      <c r="L46">
        <f>SUMIFS(T_Shipments[Confirmed_Qty],T_Shipments[Part Name],$A46,T_Shipments[Effective_Week],11)</f>
        <v/>
      </c>
      <c r="M46">
        <f>SUMIFS(T_Shipments[Confirmed_Qty],T_Shipments[Part Name],$A46,T_Shipments[Effective_Week],12)</f>
        <v/>
      </c>
      <c r="N46">
        <f>SUMIFS(T_Shipments[Confirmed_Qty],T_Shipments[Part Name],$A46,T_Shipments[Effective_Week],13)</f>
        <v/>
      </c>
      <c r="O46">
        <f>SUMIFS(T_Shipments[Confirmed_Qty],T_Shipments[Part Name],$A46,T_Shipments[Effective_Week],14)</f>
        <v/>
      </c>
      <c r="P46">
        <f>SUMIFS(T_Shipments[Confirmed_Qty],T_Shipments[Part Name],$A46,T_Shipments[Effective_Week],15)</f>
        <v/>
      </c>
      <c r="Q46">
        <f>SUMIFS(T_Shipments[Confirmed_Qty],T_Shipments[Part Name],$A46,T_Shipments[Effective_Week],16)</f>
        <v/>
      </c>
      <c r="R46">
        <f>SUMIFS(T_Shipments[Confirmed_Qty],T_Shipments[Part Name],$A46,T_Shipments[Effective_Week],17)</f>
        <v/>
      </c>
      <c r="S46">
        <f>SUMIFS(T_Shipments[Confirmed_Qty],T_Shipments[Part Name],$A46,T_Shipments[Effective_Week],18)</f>
        <v/>
      </c>
      <c r="T46">
        <f>SUMIFS(T_Shipments[Confirmed_Qty],T_Shipments[Part Name],$A46,T_Shipments[Effective_Week],19)</f>
        <v/>
      </c>
      <c r="U46">
        <f>SUMIFS(T_Shipments[Confirmed_Qty],T_Shipments[Part Name],$A46,T_Shipments[Effective_Week],20)</f>
        <v/>
      </c>
      <c r="V46">
        <f>SUMIFS(T_Shipments[Confirmed_Qty],T_Shipments[Part Name],$A46,T_Shipments[Effective_Week],21)</f>
        <v/>
      </c>
      <c r="W46">
        <f>SUMIFS(T_Shipments[Confirmed_Qty],T_Shipments[Part Name],$A46,T_Shipments[Effective_Week],22)</f>
        <v/>
      </c>
      <c r="X46">
        <f>SUMIFS(T_Shipments[Confirmed_Qty],T_Shipments[Part Name],$A46,T_Shipments[Effective_Week],23)</f>
        <v/>
      </c>
      <c r="Y46">
        <f>SUMIFS(T_Shipments[Confirmed_Qty],T_Shipments[Part Name],$A46,T_Shipments[Effective_Week],24)</f>
        <v/>
      </c>
      <c r="Z46">
        <f>SUMIFS(T_Shipments[Confirmed_Qty],T_Shipments[Part Name],$A46,T_Shipments[Effective_Week],25)</f>
        <v/>
      </c>
      <c r="AA46">
        <f>SUMIFS(T_Shipments[Confirmed_Qty],T_Shipments[Part Name],$A46,T_Shipments[Effective_Week],26)</f>
        <v/>
      </c>
      <c r="AB46">
        <f>SUMIFS(T_Shipments[Confirmed_Qty],T_Shipments[Part Name],$A46,T_Shipments[Effective_Week],27)</f>
        <v/>
      </c>
      <c r="AC46">
        <f>SUMIFS(T_Shipments[Confirmed_Qty],T_Shipments[Part Name],$A46,T_Shipments[Effective_Week],28)</f>
        <v/>
      </c>
      <c r="AD46">
        <f>SUMIFS(T_Shipments[Confirmed_Qty],T_Shipments[Part Name],$A46,T_Shipments[Effective_Week],29)</f>
        <v/>
      </c>
      <c r="AE46">
        <f>SUMIFS(T_Shipments[Confirmed_Qty],T_Shipments[Part Name],$A46,T_Shipments[Effective_Week],30)</f>
        <v/>
      </c>
      <c r="AF46">
        <f>SUMIFS(T_Shipments[Confirmed_Qty],T_Shipments[Part Name],$A46,T_Shipments[Effective_Week],31)</f>
        <v/>
      </c>
      <c r="AG46">
        <f>SUMIFS(T_Shipments[Confirmed_Qty],T_Shipments[Part Name],$A46,T_Shipments[Effective_Week],32)</f>
        <v/>
      </c>
      <c r="AH46">
        <f>SUMIFS(T_Shipments[Confirmed_Qty],T_Shipments[Part Name],$A46,T_Shipments[Effective_Week],33)</f>
        <v/>
      </c>
      <c r="AI46">
        <f>SUMIFS(T_Shipments[Confirmed_Qty],T_Shipments[Part Name],$A46,T_Shipments[Effective_Week],34)</f>
        <v/>
      </c>
      <c r="AJ46">
        <f>SUMIFS(T_Shipments[Confirmed_Qty],T_Shipments[Part Name],$A46,T_Shipments[Effective_Week],35)</f>
        <v/>
      </c>
      <c r="AK46">
        <f>SUMIFS(T_Shipments[Confirmed_Qty],T_Shipments[Part Name],$A46,T_Shipments[Effective_Week],36)</f>
        <v/>
      </c>
      <c r="AL46">
        <f>SUMIFS(T_Shipments[Confirmed_Qty],T_Shipments[Part Name],$A46,T_Shipments[Effective_Week],37)</f>
        <v/>
      </c>
      <c r="AM46">
        <f>SUMIFS(T_Shipments[Confirmed_Qty],T_Shipments[Part Name],$A46,T_Shipments[Effective_Week],38)</f>
        <v/>
      </c>
      <c r="AN46">
        <f>SUMIFS(T_Shipments[Confirmed_Qty],T_Shipments[Part Name],$A46,T_Shipments[Effective_Week],39)</f>
        <v/>
      </c>
      <c r="AO46">
        <f>SUMIFS(T_Shipments[Confirmed_Qty],T_Shipments[Part Name],$A46,T_Shipments[Effective_Week],40)</f>
        <v/>
      </c>
      <c r="AP46">
        <f>SUMIFS(T_Shipments[Confirmed_Qty],T_Shipments[Part Name],$A46,T_Shipments[Effective_Week],41)</f>
        <v/>
      </c>
      <c r="AQ46">
        <f>SUMIFS(T_Shipments[Confirmed_Qty],T_Shipments[Part Name],$A46,T_Shipments[Effective_Week],42)</f>
        <v/>
      </c>
      <c r="AR46">
        <f>SUMIFS(T_Shipments[Confirmed_Qty],T_Shipments[Part Name],$A46,T_Shipments[Effective_Week],43)</f>
        <v/>
      </c>
      <c r="AS46">
        <f>SUMIFS(T_Shipments[Confirmed_Qty],T_Shipments[Part Name],$A46,T_Shipments[Effective_Week],44)</f>
        <v/>
      </c>
      <c r="AT46">
        <f>SUMIFS(T_Shipments[Confirmed_Qty],T_Shipments[Part Name],$A46,T_Shipments[Effective_Week],45)</f>
        <v/>
      </c>
      <c r="AU46">
        <f>SUMIFS(T_Shipments[Confirmed_Qty],T_Shipments[Part Name],$A46,T_Shipments[Effective_Week],46)</f>
        <v/>
      </c>
      <c r="AV46">
        <f>SUMIFS(T_Shipments[Confirmed_Qty],T_Shipments[Part Name],$A46,T_Shipments[Effective_Week],47)</f>
        <v/>
      </c>
      <c r="AW46">
        <f>SUMIFS(T_Shipments[Confirmed_Qty],T_Shipments[Part Name],$A46,T_Shipments[Effective_Week],48)</f>
        <v/>
      </c>
      <c r="AX46">
        <f>SUMIFS(T_Shipments[Confirmed_Qty],T_Shipments[Part Name],$A46,T_Shipments[Effective_Week],49)</f>
        <v/>
      </c>
      <c r="AY46">
        <f>SUMIFS(T_Shipments[Confirmed_Qty],T_Shipments[Part Name],$A46,T_Shipments[Effective_Week],50)</f>
        <v/>
      </c>
      <c r="AZ46">
        <f>SUMIFS(T_Shipments[Confirmed_Qty],T_Shipments[Part Name],$A46,T_Shipments[Effective_Week],51)</f>
        <v/>
      </c>
      <c r="BA46">
        <f>SUMIFS(T_Shipments[Confirmed_Qty],T_Shipments[Part Name],$A46,T_Shipments[Effective_Week],52)</f>
        <v/>
      </c>
      <c r="BB46">
        <f>SUMIFS(T_Shipments[Confirmed_Qty],T_Shipments[Part Name],$A46,T_Shipments[Effective_Week],53)</f>
        <v/>
      </c>
      <c r="BC46">
        <f>SUMIFS(T_Shipments[Confirmed_Qty],T_Shipments[Part Name],$A46,T_Shipments[Effective_Week],54)</f>
        <v/>
      </c>
      <c r="BD46">
        <f>SUMIFS(T_Shipments[Confirmed_Qty],T_Shipments[Part Name],$A46,T_Shipments[Effective_Week],55)</f>
        <v/>
      </c>
      <c r="BE46">
        <f>SUMIFS(T_Shipments[Confirmed_Qty],T_Shipments[Part Name],$A46,T_Shipments[Effective_Week],56)</f>
        <v/>
      </c>
      <c r="BF46">
        <f>SUMIFS(T_Shipments[Confirmed_Qty],T_Shipments[Part Name],$A46,T_Shipments[Effective_Week],57)</f>
        <v/>
      </c>
      <c r="BG46">
        <f>SUMIFS(T_Shipments[Confirmed_Qty],T_Shipments[Part Name],$A46,T_Shipments[Effective_Week],58)</f>
        <v/>
      </c>
      <c r="BH46">
        <f>SUMIFS(T_Shipments[Confirmed_Qty],T_Shipments[Part Name],$A46,T_Shipments[Effective_Week],59)</f>
        <v/>
      </c>
      <c r="BI46">
        <f>SUMIFS(T_Shipments[Confirmed_Qty],T_Shipments[Part Name],$A46,T_Shipments[Effective_Week],60)</f>
        <v/>
      </c>
      <c r="BJ46">
        <f>SUMIFS(T_Shipments[Confirmed_Qty],T_Shipments[Part Name],$A46,T_Shipments[Effective_Week],61)</f>
        <v/>
      </c>
      <c r="BK46">
        <f>SUMIFS(T_Shipments[Confirmed_Qty],T_Shipments[Part Name],$A46,T_Shipments[Effective_Week],62)</f>
        <v/>
      </c>
      <c r="BL46">
        <f>SUMIFS(T_Shipments[Confirmed_Qty],T_Shipments[Part Name],$A46,T_Shipments[Effective_Week],63)</f>
        <v/>
      </c>
      <c r="BM46">
        <f>SUMIFS(T_Shipments[Confirmed_Qty],T_Shipments[Part Name],$A46,T_Shipments[Effective_Week],64)</f>
        <v/>
      </c>
      <c r="BN46">
        <f>SUMIFS(T_Shipments[Confirmed_Qty],T_Shipments[Part Name],$A46,T_Shipments[Effective_Week],65)</f>
        <v/>
      </c>
      <c r="BO46">
        <f>SUMIFS(T_Shipments[Confirmed_Qty],T_Shipments[Part Name],$A46,T_Shipments[Effective_Week],66)</f>
        <v/>
      </c>
      <c r="BP46">
        <f>SUMIFS(T_Shipments[Confirmed_Qty],T_Shipments[Part Name],$A46,T_Shipments[Effective_Week],67)</f>
        <v/>
      </c>
      <c r="BQ46">
        <f>SUMIFS(T_Shipments[Confirmed_Qty],T_Shipments[Part Name],$A46,T_Shipments[Effective_Week],68)</f>
        <v/>
      </c>
      <c r="BR46">
        <f>SUMIFS(T_Shipments[Confirmed_Qty],T_Shipments[Part Name],$A46,T_Shipments[Effective_Week],69)</f>
        <v/>
      </c>
      <c r="BS46">
        <f>SUMIFS(T_Shipments[Confirmed_Qty],T_Shipments[Part Name],$A46,T_Shipments[Effective_Week],70)</f>
        <v/>
      </c>
      <c r="BT46">
        <f>SUMIFS(T_Shipments[Confirmed_Qty],T_Shipments[Part Name],$A46,T_Shipments[Effective_Week],71)</f>
        <v/>
      </c>
      <c r="BU46">
        <f>SUMIFS(T_Shipments[Confirmed_Qty],T_Shipments[Part Name],$A46,T_Shipments[Effective_Week],72)</f>
        <v/>
      </c>
      <c r="BV46">
        <f>SUMIFS(T_Shipments[Confirmed_Qty],T_Shipments[Part Name],$A46,T_Shipments[Effective_Week],73)</f>
        <v/>
      </c>
      <c r="BW46">
        <f>SUMIFS(T_Shipments[Confirmed_Qty],T_Shipments[Part Name],$A46,T_Shipments[Effective_Week],74)</f>
        <v/>
      </c>
      <c r="BX46">
        <f>SUMIFS(T_Shipments[Confirmed_Qty],T_Shipments[Part Name],$A46,T_Shipments[Effective_Week],75)</f>
        <v/>
      </c>
      <c r="BY46">
        <f>SUMIFS(T_Shipments[Confirmed_Qty],T_Shipments[Part Name],$A46,T_Shipments[Effective_Week],76)</f>
        <v/>
      </c>
      <c r="BZ46">
        <f>SUMIFS(T_Shipments[Confirmed_Qty],T_Shipments[Part Name],$A46,T_Shipments[Effective_Week],77)</f>
        <v/>
      </c>
      <c r="CA46">
        <f>SUMIFS(T_Shipments[Confirmed_Qty],T_Shipments[Part Name],$A46,T_Shipments[Effective_Week],78)</f>
        <v/>
      </c>
      <c r="CB46">
        <f>SUMIFS(T_Shipments[Confirmed_Qty],T_Shipments[Part Name],$A46,T_Shipments[Effective_Week],79)</f>
        <v/>
      </c>
      <c r="CC46">
        <f>SUMIFS(T_Shipments[Confirmed_Qty],T_Shipments[Part Name],$A46,T_Shipments[Effective_Week],80)</f>
        <v/>
      </c>
      <c r="CD46">
        <f>SUMIFS(T_Shipments[Confirmed_Qty],T_Shipments[Part Name],$A46,T_Shipments[Effective_Week],81)</f>
        <v/>
      </c>
      <c r="CE46">
        <f>SUMIFS(T_Shipments[Confirmed_Qty],T_Shipments[Part Name],$A46,T_Shipments[Effective_Week],82)</f>
        <v/>
      </c>
      <c r="CF46">
        <f>SUMIFS(T_Shipments[Confirmed_Qty],T_Shipments[Part Name],$A46,T_Shipments[Effective_Week],83)</f>
        <v/>
      </c>
      <c r="CG46">
        <f>SUMIFS(T_Shipments[Confirmed_Qty],T_Shipments[Part Name],$A46,T_Shipments[Effective_Week],84)</f>
        <v/>
      </c>
      <c r="CH46">
        <f>SUMIFS(T_Shipments[Confirmed_Qty],T_Shipments[Part Name],$A46,T_Shipments[Effective_Week],85)</f>
        <v/>
      </c>
      <c r="CI46">
        <f>SUMIFS(T_Shipments[Confirmed_Qty],T_Shipments[Part Name],$A46,T_Shipments[Effective_Week],86)</f>
        <v/>
      </c>
      <c r="CJ46">
        <f>SUMIFS(T_Shipments[Confirmed_Qty],T_Shipments[Part Name],$A46,T_Shipments[Effective_Week],87)</f>
        <v/>
      </c>
      <c r="CK46">
        <f>SUMIFS(T_Shipments[Confirmed_Qty],T_Shipments[Part Name],$A46,T_Shipments[Effective_Week],88)</f>
        <v/>
      </c>
      <c r="CL46">
        <f>SUMIFS(T_Shipments[Confirmed_Qty],T_Shipments[Part Name],$A46,T_Shipments[Effective_Week],89)</f>
        <v/>
      </c>
      <c r="CM46">
        <f>SUMIFS(T_Shipments[Confirmed_Qty],T_Shipments[Part Name],$A46,T_Shipments[Effective_Week],90)</f>
        <v/>
      </c>
      <c r="CN46">
        <f>SUMIFS(T_Shipments[Confirmed_Qty],T_Shipments[Part Name],$A46,T_Shipments[Effective_Week],91)</f>
        <v/>
      </c>
      <c r="CO46">
        <f>SUMIFS(T_Shipments[Confirmed_Qty],T_Shipments[Part Name],$A46,T_Shipments[Effective_Week],92)</f>
        <v/>
      </c>
      <c r="CP46">
        <f>SUMIFS(T_Shipments[Confirmed_Qty],T_Shipments[Part Name],$A46,T_Shipments[Effective_Week],93)</f>
        <v/>
      </c>
      <c r="CQ46">
        <f>SUMIFS(T_Shipments[Confirmed_Qty],T_Shipments[Part Name],$A46,T_Shipments[Effective_Week],94)</f>
        <v/>
      </c>
      <c r="CR46">
        <f>SUMIFS(T_Shipments[Confirmed_Qty],T_Shipments[Part Name],$A46,T_Shipments[Effective_Week],95)</f>
        <v/>
      </c>
      <c r="CS46">
        <f>SUMIFS(T_Shipments[Confirmed_Qty],T_Shipments[Part Name],$A46,T_Shipments[Effective_Week],96)</f>
        <v/>
      </c>
      <c r="CT46">
        <f>SUMIFS(T_Shipments[Confirmed_Qty],T_Shipments[Part Name],$A46,T_Shipments[Effective_Week],97)</f>
        <v/>
      </c>
      <c r="CU46">
        <f>SUMIFS(T_Shipments[Confirmed_Qty],T_Shipments[Part Name],$A46,T_Shipments[Effective_Week],98)</f>
        <v/>
      </c>
      <c r="CV46">
        <f>SUMIFS(T_Shipments[Confirmed_Qty],T_Shipments[Part Name],$A46,T_Shipments[Effective_Week],99)</f>
        <v/>
      </c>
      <c r="CW46">
        <f>SUMIFS(T_Shipments[Confirmed_Qty],T_Shipments[Part Name],$A46,T_Shipments[Effective_Week],100)</f>
        <v/>
      </c>
      <c r="CX46">
        <f>SUMIFS(T_Shipments[Confirmed_Qty],T_Shipments[Part Name],$A46,T_Shipments[Effective_Week],101)</f>
        <v/>
      </c>
      <c r="CY46">
        <f>SUMIFS(T_Shipments[Confirmed_Qty],T_Shipments[Part Name],$A46,T_Shipments[Effective_Week],102)</f>
        <v/>
      </c>
      <c r="CZ46">
        <f>SUMIFS(T_Shipments[Confirmed_Qty],T_Shipments[Part Name],$A46,T_Shipments[Effective_Week],103)</f>
        <v/>
      </c>
      <c r="DA46">
        <f>SUMIFS(T_Shipments[Confirmed_Qty],T_Shipments[Part Name],$A46,T_Shipments[Effective_Week],104)</f>
        <v/>
      </c>
    </row>
    <row r="47">
      <c r="A47" t="inlineStr">
        <is>
          <t>CHEM-1470</t>
        </is>
      </c>
      <c r="B47">
        <f>SUMIFS(T_Shipments[Confirmed_Qty],T_Shipments[Part Name],$A47,T_Shipments[Effective_Week],1)</f>
        <v/>
      </c>
      <c r="C47">
        <f>SUMIFS(T_Shipments[Confirmed_Qty],T_Shipments[Part Name],$A47,T_Shipments[Effective_Week],2)</f>
        <v/>
      </c>
      <c r="D47">
        <f>SUMIFS(T_Shipments[Confirmed_Qty],T_Shipments[Part Name],$A47,T_Shipments[Effective_Week],3)</f>
        <v/>
      </c>
      <c r="E47">
        <f>SUMIFS(T_Shipments[Confirmed_Qty],T_Shipments[Part Name],$A47,T_Shipments[Effective_Week],4)</f>
        <v/>
      </c>
      <c r="F47">
        <f>SUMIFS(T_Shipments[Confirmed_Qty],T_Shipments[Part Name],$A47,T_Shipments[Effective_Week],5)</f>
        <v/>
      </c>
      <c r="G47">
        <f>SUMIFS(T_Shipments[Confirmed_Qty],T_Shipments[Part Name],$A47,T_Shipments[Effective_Week],6)</f>
        <v/>
      </c>
      <c r="H47">
        <f>SUMIFS(T_Shipments[Confirmed_Qty],T_Shipments[Part Name],$A47,T_Shipments[Effective_Week],7)</f>
        <v/>
      </c>
      <c r="I47">
        <f>SUMIFS(T_Shipments[Confirmed_Qty],T_Shipments[Part Name],$A47,T_Shipments[Effective_Week],8)</f>
        <v/>
      </c>
      <c r="J47">
        <f>SUMIFS(T_Shipments[Confirmed_Qty],T_Shipments[Part Name],$A47,T_Shipments[Effective_Week],9)</f>
        <v/>
      </c>
      <c r="K47">
        <f>SUMIFS(T_Shipments[Confirmed_Qty],T_Shipments[Part Name],$A47,T_Shipments[Effective_Week],10)</f>
        <v/>
      </c>
      <c r="L47">
        <f>SUMIFS(T_Shipments[Confirmed_Qty],T_Shipments[Part Name],$A47,T_Shipments[Effective_Week],11)</f>
        <v/>
      </c>
      <c r="M47">
        <f>SUMIFS(T_Shipments[Confirmed_Qty],T_Shipments[Part Name],$A47,T_Shipments[Effective_Week],12)</f>
        <v/>
      </c>
      <c r="N47">
        <f>SUMIFS(T_Shipments[Confirmed_Qty],T_Shipments[Part Name],$A47,T_Shipments[Effective_Week],13)</f>
        <v/>
      </c>
      <c r="O47">
        <f>SUMIFS(T_Shipments[Confirmed_Qty],T_Shipments[Part Name],$A47,T_Shipments[Effective_Week],14)</f>
        <v/>
      </c>
      <c r="P47">
        <f>SUMIFS(T_Shipments[Confirmed_Qty],T_Shipments[Part Name],$A47,T_Shipments[Effective_Week],15)</f>
        <v/>
      </c>
      <c r="Q47">
        <f>SUMIFS(T_Shipments[Confirmed_Qty],T_Shipments[Part Name],$A47,T_Shipments[Effective_Week],16)</f>
        <v/>
      </c>
      <c r="R47">
        <f>SUMIFS(T_Shipments[Confirmed_Qty],T_Shipments[Part Name],$A47,T_Shipments[Effective_Week],17)</f>
        <v/>
      </c>
      <c r="S47">
        <f>SUMIFS(T_Shipments[Confirmed_Qty],T_Shipments[Part Name],$A47,T_Shipments[Effective_Week],18)</f>
        <v/>
      </c>
      <c r="T47">
        <f>SUMIFS(T_Shipments[Confirmed_Qty],T_Shipments[Part Name],$A47,T_Shipments[Effective_Week],19)</f>
        <v/>
      </c>
      <c r="U47">
        <f>SUMIFS(T_Shipments[Confirmed_Qty],T_Shipments[Part Name],$A47,T_Shipments[Effective_Week],20)</f>
        <v/>
      </c>
      <c r="V47">
        <f>SUMIFS(T_Shipments[Confirmed_Qty],T_Shipments[Part Name],$A47,T_Shipments[Effective_Week],21)</f>
        <v/>
      </c>
      <c r="W47">
        <f>SUMIFS(T_Shipments[Confirmed_Qty],T_Shipments[Part Name],$A47,T_Shipments[Effective_Week],22)</f>
        <v/>
      </c>
      <c r="X47">
        <f>SUMIFS(T_Shipments[Confirmed_Qty],T_Shipments[Part Name],$A47,T_Shipments[Effective_Week],23)</f>
        <v/>
      </c>
      <c r="Y47">
        <f>SUMIFS(T_Shipments[Confirmed_Qty],T_Shipments[Part Name],$A47,T_Shipments[Effective_Week],24)</f>
        <v/>
      </c>
      <c r="Z47">
        <f>SUMIFS(T_Shipments[Confirmed_Qty],T_Shipments[Part Name],$A47,T_Shipments[Effective_Week],25)</f>
        <v/>
      </c>
      <c r="AA47">
        <f>SUMIFS(T_Shipments[Confirmed_Qty],T_Shipments[Part Name],$A47,T_Shipments[Effective_Week],26)</f>
        <v/>
      </c>
      <c r="AB47">
        <f>SUMIFS(T_Shipments[Confirmed_Qty],T_Shipments[Part Name],$A47,T_Shipments[Effective_Week],27)</f>
        <v/>
      </c>
      <c r="AC47">
        <f>SUMIFS(T_Shipments[Confirmed_Qty],T_Shipments[Part Name],$A47,T_Shipments[Effective_Week],28)</f>
        <v/>
      </c>
      <c r="AD47">
        <f>SUMIFS(T_Shipments[Confirmed_Qty],T_Shipments[Part Name],$A47,T_Shipments[Effective_Week],29)</f>
        <v/>
      </c>
      <c r="AE47">
        <f>SUMIFS(T_Shipments[Confirmed_Qty],T_Shipments[Part Name],$A47,T_Shipments[Effective_Week],30)</f>
        <v/>
      </c>
      <c r="AF47">
        <f>SUMIFS(T_Shipments[Confirmed_Qty],T_Shipments[Part Name],$A47,T_Shipments[Effective_Week],31)</f>
        <v/>
      </c>
      <c r="AG47">
        <f>SUMIFS(T_Shipments[Confirmed_Qty],T_Shipments[Part Name],$A47,T_Shipments[Effective_Week],32)</f>
        <v/>
      </c>
      <c r="AH47">
        <f>SUMIFS(T_Shipments[Confirmed_Qty],T_Shipments[Part Name],$A47,T_Shipments[Effective_Week],33)</f>
        <v/>
      </c>
      <c r="AI47">
        <f>SUMIFS(T_Shipments[Confirmed_Qty],T_Shipments[Part Name],$A47,T_Shipments[Effective_Week],34)</f>
        <v/>
      </c>
      <c r="AJ47">
        <f>SUMIFS(T_Shipments[Confirmed_Qty],T_Shipments[Part Name],$A47,T_Shipments[Effective_Week],35)</f>
        <v/>
      </c>
      <c r="AK47">
        <f>SUMIFS(T_Shipments[Confirmed_Qty],T_Shipments[Part Name],$A47,T_Shipments[Effective_Week],36)</f>
        <v/>
      </c>
      <c r="AL47">
        <f>SUMIFS(T_Shipments[Confirmed_Qty],T_Shipments[Part Name],$A47,T_Shipments[Effective_Week],37)</f>
        <v/>
      </c>
      <c r="AM47">
        <f>SUMIFS(T_Shipments[Confirmed_Qty],T_Shipments[Part Name],$A47,T_Shipments[Effective_Week],38)</f>
        <v/>
      </c>
      <c r="AN47">
        <f>SUMIFS(T_Shipments[Confirmed_Qty],T_Shipments[Part Name],$A47,T_Shipments[Effective_Week],39)</f>
        <v/>
      </c>
      <c r="AO47">
        <f>SUMIFS(T_Shipments[Confirmed_Qty],T_Shipments[Part Name],$A47,T_Shipments[Effective_Week],40)</f>
        <v/>
      </c>
      <c r="AP47">
        <f>SUMIFS(T_Shipments[Confirmed_Qty],T_Shipments[Part Name],$A47,T_Shipments[Effective_Week],41)</f>
        <v/>
      </c>
      <c r="AQ47">
        <f>SUMIFS(T_Shipments[Confirmed_Qty],T_Shipments[Part Name],$A47,T_Shipments[Effective_Week],42)</f>
        <v/>
      </c>
      <c r="AR47">
        <f>SUMIFS(T_Shipments[Confirmed_Qty],T_Shipments[Part Name],$A47,T_Shipments[Effective_Week],43)</f>
        <v/>
      </c>
      <c r="AS47">
        <f>SUMIFS(T_Shipments[Confirmed_Qty],T_Shipments[Part Name],$A47,T_Shipments[Effective_Week],44)</f>
        <v/>
      </c>
      <c r="AT47">
        <f>SUMIFS(T_Shipments[Confirmed_Qty],T_Shipments[Part Name],$A47,T_Shipments[Effective_Week],45)</f>
        <v/>
      </c>
      <c r="AU47">
        <f>SUMIFS(T_Shipments[Confirmed_Qty],T_Shipments[Part Name],$A47,T_Shipments[Effective_Week],46)</f>
        <v/>
      </c>
      <c r="AV47">
        <f>SUMIFS(T_Shipments[Confirmed_Qty],T_Shipments[Part Name],$A47,T_Shipments[Effective_Week],47)</f>
        <v/>
      </c>
      <c r="AW47">
        <f>SUMIFS(T_Shipments[Confirmed_Qty],T_Shipments[Part Name],$A47,T_Shipments[Effective_Week],48)</f>
        <v/>
      </c>
      <c r="AX47">
        <f>SUMIFS(T_Shipments[Confirmed_Qty],T_Shipments[Part Name],$A47,T_Shipments[Effective_Week],49)</f>
        <v/>
      </c>
      <c r="AY47">
        <f>SUMIFS(T_Shipments[Confirmed_Qty],T_Shipments[Part Name],$A47,T_Shipments[Effective_Week],50)</f>
        <v/>
      </c>
      <c r="AZ47">
        <f>SUMIFS(T_Shipments[Confirmed_Qty],T_Shipments[Part Name],$A47,T_Shipments[Effective_Week],51)</f>
        <v/>
      </c>
      <c r="BA47">
        <f>SUMIFS(T_Shipments[Confirmed_Qty],T_Shipments[Part Name],$A47,T_Shipments[Effective_Week],52)</f>
        <v/>
      </c>
      <c r="BB47">
        <f>SUMIFS(T_Shipments[Confirmed_Qty],T_Shipments[Part Name],$A47,T_Shipments[Effective_Week],53)</f>
        <v/>
      </c>
      <c r="BC47">
        <f>SUMIFS(T_Shipments[Confirmed_Qty],T_Shipments[Part Name],$A47,T_Shipments[Effective_Week],54)</f>
        <v/>
      </c>
      <c r="BD47">
        <f>SUMIFS(T_Shipments[Confirmed_Qty],T_Shipments[Part Name],$A47,T_Shipments[Effective_Week],55)</f>
        <v/>
      </c>
      <c r="BE47">
        <f>SUMIFS(T_Shipments[Confirmed_Qty],T_Shipments[Part Name],$A47,T_Shipments[Effective_Week],56)</f>
        <v/>
      </c>
      <c r="BF47">
        <f>SUMIFS(T_Shipments[Confirmed_Qty],T_Shipments[Part Name],$A47,T_Shipments[Effective_Week],57)</f>
        <v/>
      </c>
      <c r="BG47">
        <f>SUMIFS(T_Shipments[Confirmed_Qty],T_Shipments[Part Name],$A47,T_Shipments[Effective_Week],58)</f>
        <v/>
      </c>
      <c r="BH47">
        <f>SUMIFS(T_Shipments[Confirmed_Qty],T_Shipments[Part Name],$A47,T_Shipments[Effective_Week],59)</f>
        <v/>
      </c>
      <c r="BI47">
        <f>SUMIFS(T_Shipments[Confirmed_Qty],T_Shipments[Part Name],$A47,T_Shipments[Effective_Week],60)</f>
        <v/>
      </c>
      <c r="BJ47">
        <f>SUMIFS(T_Shipments[Confirmed_Qty],T_Shipments[Part Name],$A47,T_Shipments[Effective_Week],61)</f>
        <v/>
      </c>
      <c r="BK47">
        <f>SUMIFS(T_Shipments[Confirmed_Qty],T_Shipments[Part Name],$A47,T_Shipments[Effective_Week],62)</f>
        <v/>
      </c>
      <c r="BL47">
        <f>SUMIFS(T_Shipments[Confirmed_Qty],T_Shipments[Part Name],$A47,T_Shipments[Effective_Week],63)</f>
        <v/>
      </c>
      <c r="BM47">
        <f>SUMIFS(T_Shipments[Confirmed_Qty],T_Shipments[Part Name],$A47,T_Shipments[Effective_Week],64)</f>
        <v/>
      </c>
      <c r="BN47">
        <f>SUMIFS(T_Shipments[Confirmed_Qty],T_Shipments[Part Name],$A47,T_Shipments[Effective_Week],65)</f>
        <v/>
      </c>
      <c r="BO47">
        <f>SUMIFS(T_Shipments[Confirmed_Qty],T_Shipments[Part Name],$A47,T_Shipments[Effective_Week],66)</f>
        <v/>
      </c>
      <c r="BP47">
        <f>SUMIFS(T_Shipments[Confirmed_Qty],T_Shipments[Part Name],$A47,T_Shipments[Effective_Week],67)</f>
        <v/>
      </c>
      <c r="BQ47">
        <f>SUMIFS(T_Shipments[Confirmed_Qty],T_Shipments[Part Name],$A47,T_Shipments[Effective_Week],68)</f>
        <v/>
      </c>
      <c r="BR47">
        <f>SUMIFS(T_Shipments[Confirmed_Qty],T_Shipments[Part Name],$A47,T_Shipments[Effective_Week],69)</f>
        <v/>
      </c>
      <c r="BS47">
        <f>SUMIFS(T_Shipments[Confirmed_Qty],T_Shipments[Part Name],$A47,T_Shipments[Effective_Week],70)</f>
        <v/>
      </c>
      <c r="BT47">
        <f>SUMIFS(T_Shipments[Confirmed_Qty],T_Shipments[Part Name],$A47,T_Shipments[Effective_Week],71)</f>
        <v/>
      </c>
      <c r="BU47">
        <f>SUMIFS(T_Shipments[Confirmed_Qty],T_Shipments[Part Name],$A47,T_Shipments[Effective_Week],72)</f>
        <v/>
      </c>
      <c r="BV47">
        <f>SUMIFS(T_Shipments[Confirmed_Qty],T_Shipments[Part Name],$A47,T_Shipments[Effective_Week],73)</f>
        <v/>
      </c>
      <c r="BW47">
        <f>SUMIFS(T_Shipments[Confirmed_Qty],T_Shipments[Part Name],$A47,T_Shipments[Effective_Week],74)</f>
        <v/>
      </c>
      <c r="BX47">
        <f>SUMIFS(T_Shipments[Confirmed_Qty],T_Shipments[Part Name],$A47,T_Shipments[Effective_Week],75)</f>
        <v/>
      </c>
      <c r="BY47">
        <f>SUMIFS(T_Shipments[Confirmed_Qty],T_Shipments[Part Name],$A47,T_Shipments[Effective_Week],76)</f>
        <v/>
      </c>
      <c r="BZ47">
        <f>SUMIFS(T_Shipments[Confirmed_Qty],T_Shipments[Part Name],$A47,T_Shipments[Effective_Week],77)</f>
        <v/>
      </c>
      <c r="CA47">
        <f>SUMIFS(T_Shipments[Confirmed_Qty],T_Shipments[Part Name],$A47,T_Shipments[Effective_Week],78)</f>
        <v/>
      </c>
      <c r="CB47">
        <f>SUMIFS(T_Shipments[Confirmed_Qty],T_Shipments[Part Name],$A47,T_Shipments[Effective_Week],79)</f>
        <v/>
      </c>
      <c r="CC47">
        <f>SUMIFS(T_Shipments[Confirmed_Qty],T_Shipments[Part Name],$A47,T_Shipments[Effective_Week],80)</f>
        <v/>
      </c>
      <c r="CD47">
        <f>SUMIFS(T_Shipments[Confirmed_Qty],T_Shipments[Part Name],$A47,T_Shipments[Effective_Week],81)</f>
        <v/>
      </c>
      <c r="CE47">
        <f>SUMIFS(T_Shipments[Confirmed_Qty],T_Shipments[Part Name],$A47,T_Shipments[Effective_Week],82)</f>
        <v/>
      </c>
      <c r="CF47">
        <f>SUMIFS(T_Shipments[Confirmed_Qty],T_Shipments[Part Name],$A47,T_Shipments[Effective_Week],83)</f>
        <v/>
      </c>
      <c r="CG47">
        <f>SUMIFS(T_Shipments[Confirmed_Qty],T_Shipments[Part Name],$A47,T_Shipments[Effective_Week],84)</f>
        <v/>
      </c>
      <c r="CH47">
        <f>SUMIFS(T_Shipments[Confirmed_Qty],T_Shipments[Part Name],$A47,T_Shipments[Effective_Week],85)</f>
        <v/>
      </c>
      <c r="CI47">
        <f>SUMIFS(T_Shipments[Confirmed_Qty],T_Shipments[Part Name],$A47,T_Shipments[Effective_Week],86)</f>
        <v/>
      </c>
      <c r="CJ47">
        <f>SUMIFS(T_Shipments[Confirmed_Qty],T_Shipments[Part Name],$A47,T_Shipments[Effective_Week],87)</f>
        <v/>
      </c>
      <c r="CK47">
        <f>SUMIFS(T_Shipments[Confirmed_Qty],T_Shipments[Part Name],$A47,T_Shipments[Effective_Week],88)</f>
        <v/>
      </c>
      <c r="CL47">
        <f>SUMIFS(T_Shipments[Confirmed_Qty],T_Shipments[Part Name],$A47,T_Shipments[Effective_Week],89)</f>
        <v/>
      </c>
      <c r="CM47">
        <f>SUMIFS(T_Shipments[Confirmed_Qty],T_Shipments[Part Name],$A47,T_Shipments[Effective_Week],90)</f>
        <v/>
      </c>
      <c r="CN47">
        <f>SUMIFS(T_Shipments[Confirmed_Qty],T_Shipments[Part Name],$A47,T_Shipments[Effective_Week],91)</f>
        <v/>
      </c>
      <c r="CO47">
        <f>SUMIFS(T_Shipments[Confirmed_Qty],T_Shipments[Part Name],$A47,T_Shipments[Effective_Week],92)</f>
        <v/>
      </c>
      <c r="CP47">
        <f>SUMIFS(T_Shipments[Confirmed_Qty],T_Shipments[Part Name],$A47,T_Shipments[Effective_Week],93)</f>
        <v/>
      </c>
      <c r="CQ47">
        <f>SUMIFS(T_Shipments[Confirmed_Qty],T_Shipments[Part Name],$A47,T_Shipments[Effective_Week],94)</f>
        <v/>
      </c>
      <c r="CR47">
        <f>SUMIFS(T_Shipments[Confirmed_Qty],T_Shipments[Part Name],$A47,T_Shipments[Effective_Week],95)</f>
        <v/>
      </c>
      <c r="CS47">
        <f>SUMIFS(T_Shipments[Confirmed_Qty],T_Shipments[Part Name],$A47,T_Shipments[Effective_Week],96)</f>
        <v/>
      </c>
      <c r="CT47">
        <f>SUMIFS(T_Shipments[Confirmed_Qty],T_Shipments[Part Name],$A47,T_Shipments[Effective_Week],97)</f>
        <v/>
      </c>
      <c r="CU47">
        <f>SUMIFS(T_Shipments[Confirmed_Qty],T_Shipments[Part Name],$A47,T_Shipments[Effective_Week],98)</f>
        <v/>
      </c>
      <c r="CV47">
        <f>SUMIFS(T_Shipments[Confirmed_Qty],T_Shipments[Part Name],$A47,T_Shipments[Effective_Week],99)</f>
        <v/>
      </c>
      <c r="CW47">
        <f>SUMIFS(T_Shipments[Confirmed_Qty],T_Shipments[Part Name],$A47,T_Shipments[Effective_Week],100)</f>
        <v/>
      </c>
      <c r="CX47">
        <f>SUMIFS(T_Shipments[Confirmed_Qty],T_Shipments[Part Name],$A47,T_Shipments[Effective_Week],101)</f>
        <v/>
      </c>
      <c r="CY47">
        <f>SUMIFS(T_Shipments[Confirmed_Qty],T_Shipments[Part Name],$A47,T_Shipments[Effective_Week],102)</f>
        <v/>
      </c>
      <c r="CZ47">
        <f>SUMIFS(T_Shipments[Confirmed_Qty],T_Shipments[Part Name],$A47,T_Shipments[Effective_Week],103)</f>
        <v/>
      </c>
      <c r="DA47">
        <f>SUMIFS(T_Shipments[Confirmed_Qty],T_Shipments[Part Name],$A47,T_Shipments[Effective_Week],104)</f>
        <v/>
      </c>
    </row>
    <row r="48">
      <c r="A48" t="inlineStr">
        <is>
          <t>CHEM-1010</t>
        </is>
      </c>
      <c r="B48">
        <f>SUMIFS(T_Shipments[Confirmed_Qty],T_Shipments[Part Name],$A48,T_Shipments[Effective_Week],1)</f>
        <v/>
      </c>
      <c r="C48">
        <f>SUMIFS(T_Shipments[Confirmed_Qty],T_Shipments[Part Name],$A48,T_Shipments[Effective_Week],2)</f>
        <v/>
      </c>
      <c r="D48">
        <f>SUMIFS(T_Shipments[Confirmed_Qty],T_Shipments[Part Name],$A48,T_Shipments[Effective_Week],3)</f>
        <v/>
      </c>
      <c r="E48">
        <f>SUMIFS(T_Shipments[Confirmed_Qty],T_Shipments[Part Name],$A48,T_Shipments[Effective_Week],4)</f>
        <v/>
      </c>
      <c r="F48">
        <f>SUMIFS(T_Shipments[Confirmed_Qty],T_Shipments[Part Name],$A48,T_Shipments[Effective_Week],5)</f>
        <v/>
      </c>
      <c r="G48">
        <f>SUMIFS(T_Shipments[Confirmed_Qty],T_Shipments[Part Name],$A48,T_Shipments[Effective_Week],6)</f>
        <v/>
      </c>
      <c r="H48">
        <f>SUMIFS(T_Shipments[Confirmed_Qty],T_Shipments[Part Name],$A48,T_Shipments[Effective_Week],7)</f>
        <v/>
      </c>
      <c r="I48">
        <f>SUMIFS(T_Shipments[Confirmed_Qty],T_Shipments[Part Name],$A48,T_Shipments[Effective_Week],8)</f>
        <v/>
      </c>
      <c r="J48">
        <f>SUMIFS(T_Shipments[Confirmed_Qty],T_Shipments[Part Name],$A48,T_Shipments[Effective_Week],9)</f>
        <v/>
      </c>
      <c r="K48">
        <f>SUMIFS(T_Shipments[Confirmed_Qty],T_Shipments[Part Name],$A48,T_Shipments[Effective_Week],10)</f>
        <v/>
      </c>
      <c r="L48">
        <f>SUMIFS(T_Shipments[Confirmed_Qty],T_Shipments[Part Name],$A48,T_Shipments[Effective_Week],11)</f>
        <v/>
      </c>
      <c r="M48">
        <f>SUMIFS(T_Shipments[Confirmed_Qty],T_Shipments[Part Name],$A48,T_Shipments[Effective_Week],12)</f>
        <v/>
      </c>
      <c r="N48">
        <f>SUMIFS(T_Shipments[Confirmed_Qty],T_Shipments[Part Name],$A48,T_Shipments[Effective_Week],13)</f>
        <v/>
      </c>
      <c r="O48">
        <f>SUMIFS(T_Shipments[Confirmed_Qty],T_Shipments[Part Name],$A48,T_Shipments[Effective_Week],14)</f>
        <v/>
      </c>
      <c r="P48">
        <f>SUMIFS(T_Shipments[Confirmed_Qty],T_Shipments[Part Name],$A48,T_Shipments[Effective_Week],15)</f>
        <v/>
      </c>
      <c r="Q48">
        <f>SUMIFS(T_Shipments[Confirmed_Qty],T_Shipments[Part Name],$A48,T_Shipments[Effective_Week],16)</f>
        <v/>
      </c>
      <c r="R48">
        <f>SUMIFS(T_Shipments[Confirmed_Qty],T_Shipments[Part Name],$A48,T_Shipments[Effective_Week],17)</f>
        <v/>
      </c>
      <c r="S48">
        <f>SUMIFS(T_Shipments[Confirmed_Qty],T_Shipments[Part Name],$A48,T_Shipments[Effective_Week],18)</f>
        <v/>
      </c>
      <c r="T48">
        <f>SUMIFS(T_Shipments[Confirmed_Qty],T_Shipments[Part Name],$A48,T_Shipments[Effective_Week],19)</f>
        <v/>
      </c>
      <c r="U48">
        <f>SUMIFS(T_Shipments[Confirmed_Qty],T_Shipments[Part Name],$A48,T_Shipments[Effective_Week],20)</f>
        <v/>
      </c>
      <c r="V48">
        <f>SUMIFS(T_Shipments[Confirmed_Qty],T_Shipments[Part Name],$A48,T_Shipments[Effective_Week],21)</f>
        <v/>
      </c>
      <c r="W48">
        <f>SUMIFS(T_Shipments[Confirmed_Qty],T_Shipments[Part Name],$A48,T_Shipments[Effective_Week],22)</f>
        <v/>
      </c>
      <c r="X48">
        <f>SUMIFS(T_Shipments[Confirmed_Qty],T_Shipments[Part Name],$A48,T_Shipments[Effective_Week],23)</f>
        <v/>
      </c>
      <c r="Y48">
        <f>SUMIFS(T_Shipments[Confirmed_Qty],T_Shipments[Part Name],$A48,T_Shipments[Effective_Week],24)</f>
        <v/>
      </c>
      <c r="Z48">
        <f>SUMIFS(T_Shipments[Confirmed_Qty],T_Shipments[Part Name],$A48,T_Shipments[Effective_Week],25)</f>
        <v/>
      </c>
      <c r="AA48">
        <f>SUMIFS(T_Shipments[Confirmed_Qty],T_Shipments[Part Name],$A48,T_Shipments[Effective_Week],26)</f>
        <v/>
      </c>
      <c r="AB48">
        <f>SUMIFS(T_Shipments[Confirmed_Qty],T_Shipments[Part Name],$A48,T_Shipments[Effective_Week],27)</f>
        <v/>
      </c>
      <c r="AC48">
        <f>SUMIFS(T_Shipments[Confirmed_Qty],T_Shipments[Part Name],$A48,T_Shipments[Effective_Week],28)</f>
        <v/>
      </c>
      <c r="AD48">
        <f>SUMIFS(T_Shipments[Confirmed_Qty],T_Shipments[Part Name],$A48,T_Shipments[Effective_Week],29)</f>
        <v/>
      </c>
      <c r="AE48">
        <f>SUMIFS(T_Shipments[Confirmed_Qty],T_Shipments[Part Name],$A48,T_Shipments[Effective_Week],30)</f>
        <v/>
      </c>
      <c r="AF48">
        <f>SUMIFS(T_Shipments[Confirmed_Qty],T_Shipments[Part Name],$A48,T_Shipments[Effective_Week],31)</f>
        <v/>
      </c>
      <c r="AG48">
        <f>SUMIFS(T_Shipments[Confirmed_Qty],T_Shipments[Part Name],$A48,T_Shipments[Effective_Week],32)</f>
        <v/>
      </c>
      <c r="AH48">
        <f>SUMIFS(T_Shipments[Confirmed_Qty],T_Shipments[Part Name],$A48,T_Shipments[Effective_Week],33)</f>
        <v/>
      </c>
      <c r="AI48">
        <f>SUMIFS(T_Shipments[Confirmed_Qty],T_Shipments[Part Name],$A48,T_Shipments[Effective_Week],34)</f>
        <v/>
      </c>
      <c r="AJ48">
        <f>SUMIFS(T_Shipments[Confirmed_Qty],T_Shipments[Part Name],$A48,T_Shipments[Effective_Week],35)</f>
        <v/>
      </c>
      <c r="AK48">
        <f>SUMIFS(T_Shipments[Confirmed_Qty],T_Shipments[Part Name],$A48,T_Shipments[Effective_Week],36)</f>
        <v/>
      </c>
      <c r="AL48">
        <f>SUMIFS(T_Shipments[Confirmed_Qty],T_Shipments[Part Name],$A48,T_Shipments[Effective_Week],37)</f>
        <v/>
      </c>
      <c r="AM48">
        <f>SUMIFS(T_Shipments[Confirmed_Qty],T_Shipments[Part Name],$A48,T_Shipments[Effective_Week],38)</f>
        <v/>
      </c>
      <c r="AN48">
        <f>SUMIFS(T_Shipments[Confirmed_Qty],T_Shipments[Part Name],$A48,T_Shipments[Effective_Week],39)</f>
        <v/>
      </c>
      <c r="AO48">
        <f>SUMIFS(T_Shipments[Confirmed_Qty],T_Shipments[Part Name],$A48,T_Shipments[Effective_Week],40)</f>
        <v/>
      </c>
      <c r="AP48">
        <f>SUMIFS(T_Shipments[Confirmed_Qty],T_Shipments[Part Name],$A48,T_Shipments[Effective_Week],41)</f>
        <v/>
      </c>
      <c r="AQ48">
        <f>SUMIFS(T_Shipments[Confirmed_Qty],T_Shipments[Part Name],$A48,T_Shipments[Effective_Week],42)</f>
        <v/>
      </c>
      <c r="AR48">
        <f>SUMIFS(T_Shipments[Confirmed_Qty],T_Shipments[Part Name],$A48,T_Shipments[Effective_Week],43)</f>
        <v/>
      </c>
      <c r="AS48">
        <f>SUMIFS(T_Shipments[Confirmed_Qty],T_Shipments[Part Name],$A48,T_Shipments[Effective_Week],44)</f>
        <v/>
      </c>
      <c r="AT48">
        <f>SUMIFS(T_Shipments[Confirmed_Qty],T_Shipments[Part Name],$A48,T_Shipments[Effective_Week],45)</f>
        <v/>
      </c>
      <c r="AU48">
        <f>SUMIFS(T_Shipments[Confirmed_Qty],T_Shipments[Part Name],$A48,T_Shipments[Effective_Week],46)</f>
        <v/>
      </c>
      <c r="AV48">
        <f>SUMIFS(T_Shipments[Confirmed_Qty],T_Shipments[Part Name],$A48,T_Shipments[Effective_Week],47)</f>
        <v/>
      </c>
      <c r="AW48">
        <f>SUMIFS(T_Shipments[Confirmed_Qty],T_Shipments[Part Name],$A48,T_Shipments[Effective_Week],48)</f>
        <v/>
      </c>
      <c r="AX48">
        <f>SUMIFS(T_Shipments[Confirmed_Qty],T_Shipments[Part Name],$A48,T_Shipments[Effective_Week],49)</f>
        <v/>
      </c>
      <c r="AY48">
        <f>SUMIFS(T_Shipments[Confirmed_Qty],T_Shipments[Part Name],$A48,T_Shipments[Effective_Week],50)</f>
        <v/>
      </c>
      <c r="AZ48">
        <f>SUMIFS(T_Shipments[Confirmed_Qty],T_Shipments[Part Name],$A48,T_Shipments[Effective_Week],51)</f>
        <v/>
      </c>
      <c r="BA48">
        <f>SUMIFS(T_Shipments[Confirmed_Qty],T_Shipments[Part Name],$A48,T_Shipments[Effective_Week],52)</f>
        <v/>
      </c>
      <c r="BB48">
        <f>SUMIFS(T_Shipments[Confirmed_Qty],T_Shipments[Part Name],$A48,T_Shipments[Effective_Week],53)</f>
        <v/>
      </c>
      <c r="BC48">
        <f>SUMIFS(T_Shipments[Confirmed_Qty],T_Shipments[Part Name],$A48,T_Shipments[Effective_Week],54)</f>
        <v/>
      </c>
      <c r="BD48">
        <f>SUMIFS(T_Shipments[Confirmed_Qty],T_Shipments[Part Name],$A48,T_Shipments[Effective_Week],55)</f>
        <v/>
      </c>
      <c r="BE48">
        <f>SUMIFS(T_Shipments[Confirmed_Qty],T_Shipments[Part Name],$A48,T_Shipments[Effective_Week],56)</f>
        <v/>
      </c>
      <c r="BF48">
        <f>SUMIFS(T_Shipments[Confirmed_Qty],T_Shipments[Part Name],$A48,T_Shipments[Effective_Week],57)</f>
        <v/>
      </c>
      <c r="BG48">
        <f>SUMIFS(T_Shipments[Confirmed_Qty],T_Shipments[Part Name],$A48,T_Shipments[Effective_Week],58)</f>
        <v/>
      </c>
      <c r="BH48">
        <f>SUMIFS(T_Shipments[Confirmed_Qty],T_Shipments[Part Name],$A48,T_Shipments[Effective_Week],59)</f>
        <v/>
      </c>
      <c r="BI48">
        <f>SUMIFS(T_Shipments[Confirmed_Qty],T_Shipments[Part Name],$A48,T_Shipments[Effective_Week],60)</f>
        <v/>
      </c>
      <c r="BJ48">
        <f>SUMIFS(T_Shipments[Confirmed_Qty],T_Shipments[Part Name],$A48,T_Shipments[Effective_Week],61)</f>
        <v/>
      </c>
      <c r="BK48">
        <f>SUMIFS(T_Shipments[Confirmed_Qty],T_Shipments[Part Name],$A48,T_Shipments[Effective_Week],62)</f>
        <v/>
      </c>
      <c r="BL48">
        <f>SUMIFS(T_Shipments[Confirmed_Qty],T_Shipments[Part Name],$A48,T_Shipments[Effective_Week],63)</f>
        <v/>
      </c>
      <c r="BM48">
        <f>SUMIFS(T_Shipments[Confirmed_Qty],T_Shipments[Part Name],$A48,T_Shipments[Effective_Week],64)</f>
        <v/>
      </c>
      <c r="BN48">
        <f>SUMIFS(T_Shipments[Confirmed_Qty],T_Shipments[Part Name],$A48,T_Shipments[Effective_Week],65)</f>
        <v/>
      </c>
      <c r="BO48">
        <f>SUMIFS(T_Shipments[Confirmed_Qty],T_Shipments[Part Name],$A48,T_Shipments[Effective_Week],66)</f>
        <v/>
      </c>
      <c r="BP48">
        <f>SUMIFS(T_Shipments[Confirmed_Qty],T_Shipments[Part Name],$A48,T_Shipments[Effective_Week],67)</f>
        <v/>
      </c>
      <c r="BQ48">
        <f>SUMIFS(T_Shipments[Confirmed_Qty],T_Shipments[Part Name],$A48,T_Shipments[Effective_Week],68)</f>
        <v/>
      </c>
      <c r="BR48">
        <f>SUMIFS(T_Shipments[Confirmed_Qty],T_Shipments[Part Name],$A48,T_Shipments[Effective_Week],69)</f>
        <v/>
      </c>
      <c r="BS48">
        <f>SUMIFS(T_Shipments[Confirmed_Qty],T_Shipments[Part Name],$A48,T_Shipments[Effective_Week],70)</f>
        <v/>
      </c>
      <c r="BT48">
        <f>SUMIFS(T_Shipments[Confirmed_Qty],T_Shipments[Part Name],$A48,T_Shipments[Effective_Week],71)</f>
        <v/>
      </c>
      <c r="BU48">
        <f>SUMIFS(T_Shipments[Confirmed_Qty],T_Shipments[Part Name],$A48,T_Shipments[Effective_Week],72)</f>
        <v/>
      </c>
      <c r="BV48">
        <f>SUMIFS(T_Shipments[Confirmed_Qty],T_Shipments[Part Name],$A48,T_Shipments[Effective_Week],73)</f>
        <v/>
      </c>
      <c r="BW48">
        <f>SUMIFS(T_Shipments[Confirmed_Qty],T_Shipments[Part Name],$A48,T_Shipments[Effective_Week],74)</f>
        <v/>
      </c>
      <c r="BX48">
        <f>SUMIFS(T_Shipments[Confirmed_Qty],T_Shipments[Part Name],$A48,T_Shipments[Effective_Week],75)</f>
        <v/>
      </c>
      <c r="BY48">
        <f>SUMIFS(T_Shipments[Confirmed_Qty],T_Shipments[Part Name],$A48,T_Shipments[Effective_Week],76)</f>
        <v/>
      </c>
      <c r="BZ48">
        <f>SUMIFS(T_Shipments[Confirmed_Qty],T_Shipments[Part Name],$A48,T_Shipments[Effective_Week],77)</f>
        <v/>
      </c>
      <c r="CA48">
        <f>SUMIFS(T_Shipments[Confirmed_Qty],T_Shipments[Part Name],$A48,T_Shipments[Effective_Week],78)</f>
        <v/>
      </c>
      <c r="CB48">
        <f>SUMIFS(T_Shipments[Confirmed_Qty],T_Shipments[Part Name],$A48,T_Shipments[Effective_Week],79)</f>
        <v/>
      </c>
      <c r="CC48">
        <f>SUMIFS(T_Shipments[Confirmed_Qty],T_Shipments[Part Name],$A48,T_Shipments[Effective_Week],80)</f>
        <v/>
      </c>
      <c r="CD48">
        <f>SUMIFS(T_Shipments[Confirmed_Qty],T_Shipments[Part Name],$A48,T_Shipments[Effective_Week],81)</f>
        <v/>
      </c>
      <c r="CE48">
        <f>SUMIFS(T_Shipments[Confirmed_Qty],T_Shipments[Part Name],$A48,T_Shipments[Effective_Week],82)</f>
        <v/>
      </c>
      <c r="CF48">
        <f>SUMIFS(T_Shipments[Confirmed_Qty],T_Shipments[Part Name],$A48,T_Shipments[Effective_Week],83)</f>
        <v/>
      </c>
      <c r="CG48">
        <f>SUMIFS(T_Shipments[Confirmed_Qty],T_Shipments[Part Name],$A48,T_Shipments[Effective_Week],84)</f>
        <v/>
      </c>
      <c r="CH48">
        <f>SUMIFS(T_Shipments[Confirmed_Qty],T_Shipments[Part Name],$A48,T_Shipments[Effective_Week],85)</f>
        <v/>
      </c>
      <c r="CI48">
        <f>SUMIFS(T_Shipments[Confirmed_Qty],T_Shipments[Part Name],$A48,T_Shipments[Effective_Week],86)</f>
        <v/>
      </c>
      <c r="CJ48">
        <f>SUMIFS(T_Shipments[Confirmed_Qty],T_Shipments[Part Name],$A48,T_Shipments[Effective_Week],87)</f>
        <v/>
      </c>
      <c r="CK48">
        <f>SUMIFS(T_Shipments[Confirmed_Qty],T_Shipments[Part Name],$A48,T_Shipments[Effective_Week],88)</f>
        <v/>
      </c>
      <c r="CL48">
        <f>SUMIFS(T_Shipments[Confirmed_Qty],T_Shipments[Part Name],$A48,T_Shipments[Effective_Week],89)</f>
        <v/>
      </c>
      <c r="CM48">
        <f>SUMIFS(T_Shipments[Confirmed_Qty],T_Shipments[Part Name],$A48,T_Shipments[Effective_Week],90)</f>
        <v/>
      </c>
      <c r="CN48">
        <f>SUMIFS(T_Shipments[Confirmed_Qty],T_Shipments[Part Name],$A48,T_Shipments[Effective_Week],91)</f>
        <v/>
      </c>
      <c r="CO48">
        <f>SUMIFS(T_Shipments[Confirmed_Qty],T_Shipments[Part Name],$A48,T_Shipments[Effective_Week],92)</f>
        <v/>
      </c>
      <c r="CP48">
        <f>SUMIFS(T_Shipments[Confirmed_Qty],T_Shipments[Part Name],$A48,T_Shipments[Effective_Week],93)</f>
        <v/>
      </c>
      <c r="CQ48">
        <f>SUMIFS(T_Shipments[Confirmed_Qty],T_Shipments[Part Name],$A48,T_Shipments[Effective_Week],94)</f>
        <v/>
      </c>
      <c r="CR48">
        <f>SUMIFS(T_Shipments[Confirmed_Qty],T_Shipments[Part Name],$A48,T_Shipments[Effective_Week],95)</f>
        <v/>
      </c>
      <c r="CS48">
        <f>SUMIFS(T_Shipments[Confirmed_Qty],T_Shipments[Part Name],$A48,T_Shipments[Effective_Week],96)</f>
        <v/>
      </c>
      <c r="CT48">
        <f>SUMIFS(T_Shipments[Confirmed_Qty],T_Shipments[Part Name],$A48,T_Shipments[Effective_Week],97)</f>
        <v/>
      </c>
      <c r="CU48">
        <f>SUMIFS(T_Shipments[Confirmed_Qty],T_Shipments[Part Name],$A48,T_Shipments[Effective_Week],98)</f>
        <v/>
      </c>
      <c r="CV48">
        <f>SUMIFS(T_Shipments[Confirmed_Qty],T_Shipments[Part Name],$A48,T_Shipments[Effective_Week],99)</f>
        <v/>
      </c>
      <c r="CW48">
        <f>SUMIFS(T_Shipments[Confirmed_Qty],T_Shipments[Part Name],$A48,T_Shipments[Effective_Week],100)</f>
        <v/>
      </c>
      <c r="CX48">
        <f>SUMIFS(T_Shipments[Confirmed_Qty],T_Shipments[Part Name],$A48,T_Shipments[Effective_Week],101)</f>
        <v/>
      </c>
      <c r="CY48">
        <f>SUMIFS(T_Shipments[Confirmed_Qty],T_Shipments[Part Name],$A48,T_Shipments[Effective_Week],102)</f>
        <v/>
      </c>
      <c r="CZ48">
        <f>SUMIFS(T_Shipments[Confirmed_Qty],T_Shipments[Part Name],$A48,T_Shipments[Effective_Week],103)</f>
        <v/>
      </c>
      <c r="DA48">
        <f>SUMIFS(T_Shipments[Confirmed_Qty],T_Shipments[Part Name],$A48,T_Shipments[Effective_Week],104)</f>
        <v/>
      </c>
    </row>
    <row r="49">
      <c r="A49" t="inlineStr">
        <is>
          <t>CHEM-1760</t>
        </is>
      </c>
      <c r="B49">
        <f>SUMIFS(T_Shipments[Confirmed_Qty],T_Shipments[Part Name],$A49,T_Shipments[Effective_Week],1)</f>
        <v/>
      </c>
      <c r="C49">
        <f>SUMIFS(T_Shipments[Confirmed_Qty],T_Shipments[Part Name],$A49,T_Shipments[Effective_Week],2)</f>
        <v/>
      </c>
      <c r="D49">
        <f>SUMIFS(T_Shipments[Confirmed_Qty],T_Shipments[Part Name],$A49,T_Shipments[Effective_Week],3)</f>
        <v/>
      </c>
      <c r="E49">
        <f>SUMIFS(T_Shipments[Confirmed_Qty],T_Shipments[Part Name],$A49,T_Shipments[Effective_Week],4)</f>
        <v/>
      </c>
      <c r="F49">
        <f>SUMIFS(T_Shipments[Confirmed_Qty],T_Shipments[Part Name],$A49,T_Shipments[Effective_Week],5)</f>
        <v/>
      </c>
      <c r="G49">
        <f>SUMIFS(T_Shipments[Confirmed_Qty],T_Shipments[Part Name],$A49,T_Shipments[Effective_Week],6)</f>
        <v/>
      </c>
      <c r="H49">
        <f>SUMIFS(T_Shipments[Confirmed_Qty],T_Shipments[Part Name],$A49,T_Shipments[Effective_Week],7)</f>
        <v/>
      </c>
      <c r="I49">
        <f>SUMIFS(T_Shipments[Confirmed_Qty],T_Shipments[Part Name],$A49,T_Shipments[Effective_Week],8)</f>
        <v/>
      </c>
      <c r="J49">
        <f>SUMIFS(T_Shipments[Confirmed_Qty],T_Shipments[Part Name],$A49,T_Shipments[Effective_Week],9)</f>
        <v/>
      </c>
      <c r="K49">
        <f>SUMIFS(T_Shipments[Confirmed_Qty],T_Shipments[Part Name],$A49,T_Shipments[Effective_Week],10)</f>
        <v/>
      </c>
      <c r="L49">
        <f>SUMIFS(T_Shipments[Confirmed_Qty],T_Shipments[Part Name],$A49,T_Shipments[Effective_Week],11)</f>
        <v/>
      </c>
      <c r="M49">
        <f>SUMIFS(T_Shipments[Confirmed_Qty],T_Shipments[Part Name],$A49,T_Shipments[Effective_Week],12)</f>
        <v/>
      </c>
      <c r="N49">
        <f>SUMIFS(T_Shipments[Confirmed_Qty],T_Shipments[Part Name],$A49,T_Shipments[Effective_Week],13)</f>
        <v/>
      </c>
      <c r="O49">
        <f>SUMIFS(T_Shipments[Confirmed_Qty],T_Shipments[Part Name],$A49,T_Shipments[Effective_Week],14)</f>
        <v/>
      </c>
      <c r="P49">
        <f>SUMIFS(T_Shipments[Confirmed_Qty],T_Shipments[Part Name],$A49,T_Shipments[Effective_Week],15)</f>
        <v/>
      </c>
      <c r="Q49">
        <f>SUMIFS(T_Shipments[Confirmed_Qty],T_Shipments[Part Name],$A49,T_Shipments[Effective_Week],16)</f>
        <v/>
      </c>
      <c r="R49">
        <f>SUMIFS(T_Shipments[Confirmed_Qty],T_Shipments[Part Name],$A49,T_Shipments[Effective_Week],17)</f>
        <v/>
      </c>
      <c r="S49">
        <f>SUMIFS(T_Shipments[Confirmed_Qty],T_Shipments[Part Name],$A49,T_Shipments[Effective_Week],18)</f>
        <v/>
      </c>
      <c r="T49">
        <f>SUMIFS(T_Shipments[Confirmed_Qty],T_Shipments[Part Name],$A49,T_Shipments[Effective_Week],19)</f>
        <v/>
      </c>
      <c r="U49">
        <f>SUMIFS(T_Shipments[Confirmed_Qty],T_Shipments[Part Name],$A49,T_Shipments[Effective_Week],20)</f>
        <v/>
      </c>
      <c r="V49">
        <f>SUMIFS(T_Shipments[Confirmed_Qty],T_Shipments[Part Name],$A49,T_Shipments[Effective_Week],21)</f>
        <v/>
      </c>
      <c r="W49">
        <f>SUMIFS(T_Shipments[Confirmed_Qty],T_Shipments[Part Name],$A49,T_Shipments[Effective_Week],22)</f>
        <v/>
      </c>
      <c r="X49">
        <f>SUMIFS(T_Shipments[Confirmed_Qty],T_Shipments[Part Name],$A49,T_Shipments[Effective_Week],23)</f>
        <v/>
      </c>
      <c r="Y49">
        <f>SUMIFS(T_Shipments[Confirmed_Qty],T_Shipments[Part Name],$A49,T_Shipments[Effective_Week],24)</f>
        <v/>
      </c>
      <c r="Z49">
        <f>SUMIFS(T_Shipments[Confirmed_Qty],T_Shipments[Part Name],$A49,T_Shipments[Effective_Week],25)</f>
        <v/>
      </c>
      <c r="AA49">
        <f>SUMIFS(T_Shipments[Confirmed_Qty],T_Shipments[Part Name],$A49,T_Shipments[Effective_Week],26)</f>
        <v/>
      </c>
      <c r="AB49">
        <f>SUMIFS(T_Shipments[Confirmed_Qty],T_Shipments[Part Name],$A49,T_Shipments[Effective_Week],27)</f>
        <v/>
      </c>
      <c r="AC49">
        <f>SUMIFS(T_Shipments[Confirmed_Qty],T_Shipments[Part Name],$A49,T_Shipments[Effective_Week],28)</f>
        <v/>
      </c>
      <c r="AD49">
        <f>SUMIFS(T_Shipments[Confirmed_Qty],T_Shipments[Part Name],$A49,T_Shipments[Effective_Week],29)</f>
        <v/>
      </c>
      <c r="AE49">
        <f>SUMIFS(T_Shipments[Confirmed_Qty],T_Shipments[Part Name],$A49,T_Shipments[Effective_Week],30)</f>
        <v/>
      </c>
      <c r="AF49">
        <f>SUMIFS(T_Shipments[Confirmed_Qty],T_Shipments[Part Name],$A49,T_Shipments[Effective_Week],31)</f>
        <v/>
      </c>
      <c r="AG49">
        <f>SUMIFS(T_Shipments[Confirmed_Qty],T_Shipments[Part Name],$A49,T_Shipments[Effective_Week],32)</f>
        <v/>
      </c>
      <c r="AH49">
        <f>SUMIFS(T_Shipments[Confirmed_Qty],T_Shipments[Part Name],$A49,T_Shipments[Effective_Week],33)</f>
        <v/>
      </c>
      <c r="AI49">
        <f>SUMIFS(T_Shipments[Confirmed_Qty],T_Shipments[Part Name],$A49,T_Shipments[Effective_Week],34)</f>
        <v/>
      </c>
      <c r="AJ49">
        <f>SUMIFS(T_Shipments[Confirmed_Qty],T_Shipments[Part Name],$A49,T_Shipments[Effective_Week],35)</f>
        <v/>
      </c>
      <c r="AK49">
        <f>SUMIFS(T_Shipments[Confirmed_Qty],T_Shipments[Part Name],$A49,T_Shipments[Effective_Week],36)</f>
        <v/>
      </c>
      <c r="AL49">
        <f>SUMIFS(T_Shipments[Confirmed_Qty],T_Shipments[Part Name],$A49,T_Shipments[Effective_Week],37)</f>
        <v/>
      </c>
      <c r="AM49">
        <f>SUMIFS(T_Shipments[Confirmed_Qty],T_Shipments[Part Name],$A49,T_Shipments[Effective_Week],38)</f>
        <v/>
      </c>
      <c r="AN49">
        <f>SUMIFS(T_Shipments[Confirmed_Qty],T_Shipments[Part Name],$A49,T_Shipments[Effective_Week],39)</f>
        <v/>
      </c>
      <c r="AO49">
        <f>SUMIFS(T_Shipments[Confirmed_Qty],T_Shipments[Part Name],$A49,T_Shipments[Effective_Week],40)</f>
        <v/>
      </c>
      <c r="AP49">
        <f>SUMIFS(T_Shipments[Confirmed_Qty],T_Shipments[Part Name],$A49,T_Shipments[Effective_Week],41)</f>
        <v/>
      </c>
      <c r="AQ49">
        <f>SUMIFS(T_Shipments[Confirmed_Qty],T_Shipments[Part Name],$A49,T_Shipments[Effective_Week],42)</f>
        <v/>
      </c>
      <c r="AR49">
        <f>SUMIFS(T_Shipments[Confirmed_Qty],T_Shipments[Part Name],$A49,T_Shipments[Effective_Week],43)</f>
        <v/>
      </c>
      <c r="AS49">
        <f>SUMIFS(T_Shipments[Confirmed_Qty],T_Shipments[Part Name],$A49,T_Shipments[Effective_Week],44)</f>
        <v/>
      </c>
      <c r="AT49">
        <f>SUMIFS(T_Shipments[Confirmed_Qty],T_Shipments[Part Name],$A49,T_Shipments[Effective_Week],45)</f>
        <v/>
      </c>
      <c r="AU49">
        <f>SUMIFS(T_Shipments[Confirmed_Qty],T_Shipments[Part Name],$A49,T_Shipments[Effective_Week],46)</f>
        <v/>
      </c>
      <c r="AV49">
        <f>SUMIFS(T_Shipments[Confirmed_Qty],T_Shipments[Part Name],$A49,T_Shipments[Effective_Week],47)</f>
        <v/>
      </c>
      <c r="AW49">
        <f>SUMIFS(T_Shipments[Confirmed_Qty],T_Shipments[Part Name],$A49,T_Shipments[Effective_Week],48)</f>
        <v/>
      </c>
      <c r="AX49">
        <f>SUMIFS(T_Shipments[Confirmed_Qty],T_Shipments[Part Name],$A49,T_Shipments[Effective_Week],49)</f>
        <v/>
      </c>
      <c r="AY49">
        <f>SUMIFS(T_Shipments[Confirmed_Qty],T_Shipments[Part Name],$A49,T_Shipments[Effective_Week],50)</f>
        <v/>
      </c>
      <c r="AZ49">
        <f>SUMIFS(T_Shipments[Confirmed_Qty],T_Shipments[Part Name],$A49,T_Shipments[Effective_Week],51)</f>
        <v/>
      </c>
      <c r="BA49">
        <f>SUMIFS(T_Shipments[Confirmed_Qty],T_Shipments[Part Name],$A49,T_Shipments[Effective_Week],52)</f>
        <v/>
      </c>
      <c r="BB49">
        <f>SUMIFS(T_Shipments[Confirmed_Qty],T_Shipments[Part Name],$A49,T_Shipments[Effective_Week],53)</f>
        <v/>
      </c>
      <c r="BC49">
        <f>SUMIFS(T_Shipments[Confirmed_Qty],T_Shipments[Part Name],$A49,T_Shipments[Effective_Week],54)</f>
        <v/>
      </c>
      <c r="BD49">
        <f>SUMIFS(T_Shipments[Confirmed_Qty],T_Shipments[Part Name],$A49,T_Shipments[Effective_Week],55)</f>
        <v/>
      </c>
      <c r="BE49">
        <f>SUMIFS(T_Shipments[Confirmed_Qty],T_Shipments[Part Name],$A49,T_Shipments[Effective_Week],56)</f>
        <v/>
      </c>
      <c r="BF49">
        <f>SUMIFS(T_Shipments[Confirmed_Qty],T_Shipments[Part Name],$A49,T_Shipments[Effective_Week],57)</f>
        <v/>
      </c>
      <c r="BG49">
        <f>SUMIFS(T_Shipments[Confirmed_Qty],T_Shipments[Part Name],$A49,T_Shipments[Effective_Week],58)</f>
        <v/>
      </c>
      <c r="BH49">
        <f>SUMIFS(T_Shipments[Confirmed_Qty],T_Shipments[Part Name],$A49,T_Shipments[Effective_Week],59)</f>
        <v/>
      </c>
      <c r="BI49">
        <f>SUMIFS(T_Shipments[Confirmed_Qty],T_Shipments[Part Name],$A49,T_Shipments[Effective_Week],60)</f>
        <v/>
      </c>
      <c r="BJ49">
        <f>SUMIFS(T_Shipments[Confirmed_Qty],T_Shipments[Part Name],$A49,T_Shipments[Effective_Week],61)</f>
        <v/>
      </c>
      <c r="BK49">
        <f>SUMIFS(T_Shipments[Confirmed_Qty],T_Shipments[Part Name],$A49,T_Shipments[Effective_Week],62)</f>
        <v/>
      </c>
      <c r="BL49">
        <f>SUMIFS(T_Shipments[Confirmed_Qty],T_Shipments[Part Name],$A49,T_Shipments[Effective_Week],63)</f>
        <v/>
      </c>
      <c r="BM49">
        <f>SUMIFS(T_Shipments[Confirmed_Qty],T_Shipments[Part Name],$A49,T_Shipments[Effective_Week],64)</f>
        <v/>
      </c>
      <c r="BN49">
        <f>SUMIFS(T_Shipments[Confirmed_Qty],T_Shipments[Part Name],$A49,T_Shipments[Effective_Week],65)</f>
        <v/>
      </c>
      <c r="BO49">
        <f>SUMIFS(T_Shipments[Confirmed_Qty],T_Shipments[Part Name],$A49,T_Shipments[Effective_Week],66)</f>
        <v/>
      </c>
      <c r="BP49">
        <f>SUMIFS(T_Shipments[Confirmed_Qty],T_Shipments[Part Name],$A49,T_Shipments[Effective_Week],67)</f>
        <v/>
      </c>
      <c r="BQ49">
        <f>SUMIFS(T_Shipments[Confirmed_Qty],T_Shipments[Part Name],$A49,T_Shipments[Effective_Week],68)</f>
        <v/>
      </c>
      <c r="BR49">
        <f>SUMIFS(T_Shipments[Confirmed_Qty],T_Shipments[Part Name],$A49,T_Shipments[Effective_Week],69)</f>
        <v/>
      </c>
      <c r="BS49">
        <f>SUMIFS(T_Shipments[Confirmed_Qty],T_Shipments[Part Name],$A49,T_Shipments[Effective_Week],70)</f>
        <v/>
      </c>
      <c r="BT49">
        <f>SUMIFS(T_Shipments[Confirmed_Qty],T_Shipments[Part Name],$A49,T_Shipments[Effective_Week],71)</f>
        <v/>
      </c>
      <c r="BU49">
        <f>SUMIFS(T_Shipments[Confirmed_Qty],T_Shipments[Part Name],$A49,T_Shipments[Effective_Week],72)</f>
        <v/>
      </c>
      <c r="BV49">
        <f>SUMIFS(T_Shipments[Confirmed_Qty],T_Shipments[Part Name],$A49,T_Shipments[Effective_Week],73)</f>
        <v/>
      </c>
      <c r="BW49">
        <f>SUMIFS(T_Shipments[Confirmed_Qty],T_Shipments[Part Name],$A49,T_Shipments[Effective_Week],74)</f>
        <v/>
      </c>
      <c r="BX49">
        <f>SUMIFS(T_Shipments[Confirmed_Qty],T_Shipments[Part Name],$A49,T_Shipments[Effective_Week],75)</f>
        <v/>
      </c>
      <c r="BY49">
        <f>SUMIFS(T_Shipments[Confirmed_Qty],T_Shipments[Part Name],$A49,T_Shipments[Effective_Week],76)</f>
        <v/>
      </c>
      <c r="BZ49">
        <f>SUMIFS(T_Shipments[Confirmed_Qty],T_Shipments[Part Name],$A49,T_Shipments[Effective_Week],77)</f>
        <v/>
      </c>
      <c r="CA49">
        <f>SUMIFS(T_Shipments[Confirmed_Qty],T_Shipments[Part Name],$A49,T_Shipments[Effective_Week],78)</f>
        <v/>
      </c>
      <c r="CB49">
        <f>SUMIFS(T_Shipments[Confirmed_Qty],T_Shipments[Part Name],$A49,T_Shipments[Effective_Week],79)</f>
        <v/>
      </c>
      <c r="CC49">
        <f>SUMIFS(T_Shipments[Confirmed_Qty],T_Shipments[Part Name],$A49,T_Shipments[Effective_Week],80)</f>
        <v/>
      </c>
      <c r="CD49">
        <f>SUMIFS(T_Shipments[Confirmed_Qty],T_Shipments[Part Name],$A49,T_Shipments[Effective_Week],81)</f>
        <v/>
      </c>
      <c r="CE49">
        <f>SUMIFS(T_Shipments[Confirmed_Qty],T_Shipments[Part Name],$A49,T_Shipments[Effective_Week],82)</f>
        <v/>
      </c>
      <c r="CF49">
        <f>SUMIFS(T_Shipments[Confirmed_Qty],T_Shipments[Part Name],$A49,T_Shipments[Effective_Week],83)</f>
        <v/>
      </c>
      <c r="CG49">
        <f>SUMIFS(T_Shipments[Confirmed_Qty],T_Shipments[Part Name],$A49,T_Shipments[Effective_Week],84)</f>
        <v/>
      </c>
      <c r="CH49">
        <f>SUMIFS(T_Shipments[Confirmed_Qty],T_Shipments[Part Name],$A49,T_Shipments[Effective_Week],85)</f>
        <v/>
      </c>
      <c r="CI49">
        <f>SUMIFS(T_Shipments[Confirmed_Qty],T_Shipments[Part Name],$A49,T_Shipments[Effective_Week],86)</f>
        <v/>
      </c>
      <c r="CJ49">
        <f>SUMIFS(T_Shipments[Confirmed_Qty],T_Shipments[Part Name],$A49,T_Shipments[Effective_Week],87)</f>
        <v/>
      </c>
      <c r="CK49">
        <f>SUMIFS(T_Shipments[Confirmed_Qty],T_Shipments[Part Name],$A49,T_Shipments[Effective_Week],88)</f>
        <v/>
      </c>
      <c r="CL49">
        <f>SUMIFS(T_Shipments[Confirmed_Qty],T_Shipments[Part Name],$A49,T_Shipments[Effective_Week],89)</f>
        <v/>
      </c>
      <c r="CM49">
        <f>SUMIFS(T_Shipments[Confirmed_Qty],T_Shipments[Part Name],$A49,T_Shipments[Effective_Week],90)</f>
        <v/>
      </c>
      <c r="CN49">
        <f>SUMIFS(T_Shipments[Confirmed_Qty],T_Shipments[Part Name],$A49,T_Shipments[Effective_Week],91)</f>
        <v/>
      </c>
      <c r="CO49">
        <f>SUMIFS(T_Shipments[Confirmed_Qty],T_Shipments[Part Name],$A49,T_Shipments[Effective_Week],92)</f>
        <v/>
      </c>
      <c r="CP49">
        <f>SUMIFS(T_Shipments[Confirmed_Qty],T_Shipments[Part Name],$A49,T_Shipments[Effective_Week],93)</f>
        <v/>
      </c>
      <c r="CQ49">
        <f>SUMIFS(T_Shipments[Confirmed_Qty],T_Shipments[Part Name],$A49,T_Shipments[Effective_Week],94)</f>
        <v/>
      </c>
      <c r="CR49">
        <f>SUMIFS(T_Shipments[Confirmed_Qty],T_Shipments[Part Name],$A49,T_Shipments[Effective_Week],95)</f>
        <v/>
      </c>
      <c r="CS49">
        <f>SUMIFS(T_Shipments[Confirmed_Qty],T_Shipments[Part Name],$A49,T_Shipments[Effective_Week],96)</f>
        <v/>
      </c>
      <c r="CT49">
        <f>SUMIFS(T_Shipments[Confirmed_Qty],T_Shipments[Part Name],$A49,T_Shipments[Effective_Week],97)</f>
        <v/>
      </c>
      <c r="CU49">
        <f>SUMIFS(T_Shipments[Confirmed_Qty],T_Shipments[Part Name],$A49,T_Shipments[Effective_Week],98)</f>
        <v/>
      </c>
      <c r="CV49">
        <f>SUMIFS(T_Shipments[Confirmed_Qty],T_Shipments[Part Name],$A49,T_Shipments[Effective_Week],99)</f>
        <v/>
      </c>
      <c r="CW49">
        <f>SUMIFS(T_Shipments[Confirmed_Qty],T_Shipments[Part Name],$A49,T_Shipments[Effective_Week],100)</f>
        <v/>
      </c>
      <c r="CX49">
        <f>SUMIFS(T_Shipments[Confirmed_Qty],T_Shipments[Part Name],$A49,T_Shipments[Effective_Week],101)</f>
        <v/>
      </c>
      <c r="CY49">
        <f>SUMIFS(T_Shipments[Confirmed_Qty],T_Shipments[Part Name],$A49,T_Shipments[Effective_Week],102)</f>
        <v/>
      </c>
      <c r="CZ49">
        <f>SUMIFS(T_Shipments[Confirmed_Qty],T_Shipments[Part Name],$A49,T_Shipments[Effective_Week],103)</f>
        <v/>
      </c>
      <c r="DA49">
        <f>SUMIFS(T_Shipments[Confirmed_Qty],T_Shipments[Part Name],$A49,T_Shipments[Effective_Week],104)</f>
        <v/>
      </c>
    </row>
    <row r="50">
      <c r="A50" t="inlineStr">
        <is>
          <t>CHEM-1700</t>
        </is>
      </c>
      <c r="B50">
        <f>SUMIFS(T_Shipments[Confirmed_Qty],T_Shipments[Part Name],$A50,T_Shipments[Effective_Week],1)</f>
        <v/>
      </c>
      <c r="C50">
        <f>SUMIFS(T_Shipments[Confirmed_Qty],T_Shipments[Part Name],$A50,T_Shipments[Effective_Week],2)</f>
        <v/>
      </c>
      <c r="D50">
        <f>SUMIFS(T_Shipments[Confirmed_Qty],T_Shipments[Part Name],$A50,T_Shipments[Effective_Week],3)</f>
        <v/>
      </c>
      <c r="E50">
        <f>SUMIFS(T_Shipments[Confirmed_Qty],T_Shipments[Part Name],$A50,T_Shipments[Effective_Week],4)</f>
        <v/>
      </c>
      <c r="F50">
        <f>SUMIFS(T_Shipments[Confirmed_Qty],T_Shipments[Part Name],$A50,T_Shipments[Effective_Week],5)</f>
        <v/>
      </c>
      <c r="G50">
        <f>SUMIFS(T_Shipments[Confirmed_Qty],T_Shipments[Part Name],$A50,T_Shipments[Effective_Week],6)</f>
        <v/>
      </c>
      <c r="H50">
        <f>SUMIFS(T_Shipments[Confirmed_Qty],T_Shipments[Part Name],$A50,T_Shipments[Effective_Week],7)</f>
        <v/>
      </c>
      <c r="I50">
        <f>SUMIFS(T_Shipments[Confirmed_Qty],T_Shipments[Part Name],$A50,T_Shipments[Effective_Week],8)</f>
        <v/>
      </c>
      <c r="J50">
        <f>SUMIFS(T_Shipments[Confirmed_Qty],T_Shipments[Part Name],$A50,T_Shipments[Effective_Week],9)</f>
        <v/>
      </c>
      <c r="K50">
        <f>SUMIFS(T_Shipments[Confirmed_Qty],T_Shipments[Part Name],$A50,T_Shipments[Effective_Week],10)</f>
        <v/>
      </c>
      <c r="L50">
        <f>SUMIFS(T_Shipments[Confirmed_Qty],T_Shipments[Part Name],$A50,T_Shipments[Effective_Week],11)</f>
        <v/>
      </c>
      <c r="M50">
        <f>SUMIFS(T_Shipments[Confirmed_Qty],T_Shipments[Part Name],$A50,T_Shipments[Effective_Week],12)</f>
        <v/>
      </c>
      <c r="N50">
        <f>SUMIFS(T_Shipments[Confirmed_Qty],T_Shipments[Part Name],$A50,T_Shipments[Effective_Week],13)</f>
        <v/>
      </c>
      <c r="O50">
        <f>SUMIFS(T_Shipments[Confirmed_Qty],T_Shipments[Part Name],$A50,T_Shipments[Effective_Week],14)</f>
        <v/>
      </c>
      <c r="P50">
        <f>SUMIFS(T_Shipments[Confirmed_Qty],T_Shipments[Part Name],$A50,T_Shipments[Effective_Week],15)</f>
        <v/>
      </c>
      <c r="Q50">
        <f>SUMIFS(T_Shipments[Confirmed_Qty],T_Shipments[Part Name],$A50,T_Shipments[Effective_Week],16)</f>
        <v/>
      </c>
      <c r="R50">
        <f>SUMIFS(T_Shipments[Confirmed_Qty],T_Shipments[Part Name],$A50,T_Shipments[Effective_Week],17)</f>
        <v/>
      </c>
      <c r="S50">
        <f>SUMIFS(T_Shipments[Confirmed_Qty],T_Shipments[Part Name],$A50,T_Shipments[Effective_Week],18)</f>
        <v/>
      </c>
      <c r="T50">
        <f>SUMIFS(T_Shipments[Confirmed_Qty],T_Shipments[Part Name],$A50,T_Shipments[Effective_Week],19)</f>
        <v/>
      </c>
      <c r="U50">
        <f>SUMIFS(T_Shipments[Confirmed_Qty],T_Shipments[Part Name],$A50,T_Shipments[Effective_Week],20)</f>
        <v/>
      </c>
      <c r="V50">
        <f>SUMIFS(T_Shipments[Confirmed_Qty],T_Shipments[Part Name],$A50,T_Shipments[Effective_Week],21)</f>
        <v/>
      </c>
      <c r="W50">
        <f>SUMIFS(T_Shipments[Confirmed_Qty],T_Shipments[Part Name],$A50,T_Shipments[Effective_Week],22)</f>
        <v/>
      </c>
      <c r="X50">
        <f>SUMIFS(T_Shipments[Confirmed_Qty],T_Shipments[Part Name],$A50,T_Shipments[Effective_Week],23)</f>
        <v/>
      </c>
      <c r="Y50">
        <f>SUMIFS(T_Shipments[Confirmed_Qty],T_Shipments[Part Name],$A50,T_Shipments[Effective_Week],24)</f>
        <v/>
      </c>
      <c r="Z50">
        <f>SUMIFS(T_Shipments[Confirmed_Qty],T_Shipments[Part Name],$A50,T_Shipments[Effective_Week],25)</f>
        <v/>
      </c>
      <c r="AA50">
        <f>SUMIFS(T_Shipments[Confirmed_Qty],T_Shipments[Part Name],$A50,T_Shipments[Effective_Week],26)</f>
        <v/>
      </c>
      <c r="AB50">
        <f>SUMIFS(T_Shipments[Confirmed_Qty],T_Shipments[Part Name],$A50,T_Shipments[Effective_Week],27)</f>
        <v/>
      </c>
      <c r="AC50">
        <f>SUMIFS(T_Shipments[Confirmed_Qty],T_Shipments[Part Name],$A50,T_Shipments[Effective_Week],28)</f>
        <v/>
      </c>
      <c r="AD50">
        <f>SUMIFS(T_Shipments[Confirmed_Qty],T_Shipments[Part Name],$A50,T_Shipments[Effective_Week],29)</f>
        <v/>
      </c>
      <c r="AE50">
        <f>SUMIFS(T_Shipments[Confirmed_Qty],T_Shipments[Part Name],$A50,T_Shipments[Effective_Week],30)</f>
        <v/>
      </c>
      <c r="AF50">
        <f>SUMIFS(T_Shipments[Confirmed_Qty],T_Shipments[Part Name],$A50,T_Shipments[Effective_Week],31)</f>
        <v/>
      </c>
      <c r="AG50">
        <f>SUMIFS(T_Shipments[Confirmed_Qty],T_Shipments[Part Name],$A50,T_Shipments[Effective_Week],32)</f>
        <v/>
      </c>
      <c r="AH50">
        <f>SUMIFS(T_Shipments[Confirmed_Qty],T_Shipments[Part Name],$A50,T_Shipments[Effective_Week],33)</f>
        <v/>
      </c>
      <c r="AI50">
        <f>SUMIFS(T_Shipments[Confirmed_Qty],T_Shipments[Part Name],$A50,T_Shipments[Effective_Week],34)</f>
        <v/>
      </c>
      <c r="AJ50">
        <f>SUMIFS(T_Shipments[Confirmed_Qty],T_Shipments[Part Name],$A50,T_Shipments[Effective_Week],35)</f>
        <v/>
      </c>
      <c r="AK50">
        <f>SUMIFS(T_Shipments[Confirmed_Qty],T_Shipments[Part Name],$A50,T_Shipments[Effective_Week],36)</f>
        <v/>
      </c>
      <c r="AL50">
        <f>SUMIFS(T_Shipments[Confirmed_Qty],T_Shipments[Part Name],$A50,T_Shipments[Effective_Week],37)</f>
        <v/>
      </c>
      <c r="AM50">
        <f>SUMIFS(T_Shipments[Confirmed_Qty],T_Shipments[Part Name],$A50,T_Shipments[Effective_Week],38)</f>
        <v/>
      </c>
      <c r="AN50">
        <f>SUMIFS(T_Shipments[Confirmed_Qty],T_Shipments[Part Name],$A50,T_Shipments[Effective_Week],39)</f>
        <v/>
      </c>
      <c r="AO50">
        <f>SUMIFS(T_Shipments[Confirmed_Qty],T_Shipments[Part Name],$A50,T_Shipments[Effective_Week],40)</f>
        <v/>
      </c>
      <c r="AP50">
        <f>SUMIFS(T_Shipments[Confirmed_Qty],T_Shipments[Part Name],$A50,T_Shipments[Effective_Week],41)</f>
        <v/>
      </c>
      <c r="AQ50">
        <f>SUMIFS(T_Shipments[Confirmed_Qty],T_Shipments[Part Name],$A50,T_Shipments[Effective_Week],42)</f>
        <v/>
      </c>
      <c r="AR50">
        <f>SUMIFS(T_Shipments[Confirmed_Qty],T_Shipments[Part Name],$A50,T_Shipments[Effective_Week],43)</f>
        <v/>
      </c>
      <c r="AS50">
        <f>SUMIFS(T_Shipments[Confirmed_Qty],T_Shipments[Part Name],$A50,T_Shipments[Effective_Week],44)</f>
        <v/>
      </c>
      <c r="AT50">
        <f>SUMIFS(T_Shipments[Confirmed_Qty],T_Shipments[Part Name],$A50,T_Shipments[Effective_Week],45)</f>
        <v/>
      </c>
      <c r="AU50">
        <f>SUMIFS(T_Shipments[Confirmed_Qty],T_Shipments[Part Name],$A50,T_Shipments[Effective_Week],46)</f>
        <v/>
      </c>
      <c r="AV50">
        <f>SUMIFS(T_Shipments[Confirmed_Qty],T_Shipments[Part Name],$A50,T_Shipments[Effective_Week],47)</f>
        <v/>
      </c>
      <c r="AW50">
        <f>SUMIFS(T_Shipments[Confirmed_Qty],T_Shipments[Part Name],$A50,T_Shipments[Effective_Week],48)</f>
        <v/>
      </c>
      <c r="AX50">
        <f>SUMIFS(T_Shipments[Confirmed_Qty],T_Shipments[Part Name],$A50,T_Shipments[Effective_Week],49)</f>
        <v/>
      </c>
      <c r="AY50">
        <f>SUMIFS(T_Shipments[Confirmed_Qty],T_Shipments[Part Name],$A50,T_Shipments[Effective_Week],50)</f>
        <v/>
      </c>
      <c r="AZ50">
        <f>SUMIFS(T_Shipments[Confirmed_Qty],T_Shipments[Part Name],$A50,T_Shipments[Effective_Week],51)</f>
        <v/>
      </c>
      <c r="BA50">
        <f>SUMIFS(T_Shipments[Confirmed_Qty],T_Shipments[Part Name],$A50,T_Shipments[Effective_Week],52)</f>
        <v/>
      </c>
      <c r="BB50">
        <f>SUMIFS(T_Shipments[Confirmed_Qty],T_Shipments[Part Name],$A50,T_Shipments[Effective_Week],53)</f>
        <v/>
      </c>
      <c r="BC50">
        <f>SUMIFS(T_Shipments[Confirmed_Qty],T_Shipments[Part Name],$A50,T_Shipments[Effective_Week],54)</f>
        <v/>
      </c>
      <c r="BD50">
        <f>SUMIFS(T_Shipments[Confirmed_Qty],T_Shipments[Part Name],$A50,T_Shipments[Effective_Week],55)</f>
        <v/>
      </c>
      <c r="BE50">
        <f>SUMIFS(T_Shipments[Confirmed_Qty],T_Shipments[Part Name],$A50,T_Shipments[Effective_Week],56)</f>
        <v/>
      </c>
      <c r="BF50">
        <f>SUMIFS(T_Shipments[Confirmed_Qty],T_Shipments[Part Name],$A50,T_Shipments[Effective_Week],57)</f>
        <v/>
      </c>
      <c r="BG50">
        <f>SUMIFS(T_Shipments[Confirmed_Qty],T_Shipments[Part Name],$A50,T_Shipments[Effective_Week],58)</f>
        <v/>
      </c>
      <c r="BH50">
        <f>SUMIFS(T_Shipments[Confirmed_Qty],T_Shipments[Part Name],$A50,T_Shipments[Effective_Week],59)</f>
        <v/>
      </c>
      <c r="BI50">
        <f>SUMIFS(T_Shipments[Confirmed_Qty],T_Shipments[Part Name],$A50,T_Shipments[Effective_Week],60)</f>
        <v/>
      </c>
      <c r="BJ50">
        <f>SUMIFS(T_Shipments[Confirmed_Qty],T_Shipments[Part Name],$A50,T_Shipments[Effective_Week],61)</f>
        <v/>
      </c>
      <c r="BK50">
        <f>SUMIFS(T_Shipments[Confirmed_Qty],T_Shipments[Part Name],$A50,T_Shipments[Effective_Week],62)</f>
        <v/>
      </c>
      <c r="BL50">
        <f>SUMIFS(T_Shipments[Confirmed_Qty],T_Shipments[Part Name],$A50,T_Shipments[Effective_Week],63)</f>
        <v/>
      </c>
      <c r="BM50">
        <f>SUMIFS(T_Shipments[Confirmed_Qty],T_Shipments[Part Name],$A50,T_Shipments[Effective_Week],64)</f>
        <v/>
      </c>
      <c r="BN50">
        <f>SUMIFS(T_Shipments[Confirmed_Qty],T_Shipments[Part Name],$A50,T_Shipments[Effective_Week],65)</f>
        <v/>
      </c>
      <c r="BO50">
        <f>SUMIFS(T_Shipments[Confirmed_Qty],T_Shipments[Part Name],$A50,T_Shipments[Effective_Week],66)</f>
        <v/>
      </c>
      <c r="BP50">
        <f>SUMIFS(T_Shipments[Confirmed_Qty],T_Shipments[Part Name],$A50,T_Shipments[Effective_Week],67)</f>
        <v/>
      </c>
      <c r="BQ50">
        <f>SUMIFS(T_Shipments[Confirmed_Qty],T_Shipments[Part Name],$A50,T_Shipments[Effective_Week],68)</f>
        <v/>
      </c>
      <c r="BR50">
        <f>SUMIFS(T_Shipments[Confirmed_Qty],T_Shipments[Part Name],$A50,T_Shipments[Effective_Week],69)</f>
        <v/>
      </c>
      <c r="BS50">
        <f>SUMIFS(T_Shipments[Confirmed_Qty],T_Shipments[Part Name],$A50,T_Shipments[Effective_Week],70)</f>
        <v/>
      </c>
      <c r="BT50">
        <f>SUMIFS(T_Shipments[Confirmed_Qty],T_Shipments[Part Name],$A50,T_Shipments[Effective_Week],71)</f>
        <v/>
      </c>
      <c r="BU50">
        <f>SUMIFS(T_Shipments[Confirmed_Qty],T_Shipments[Part Name],$A50,T_Shipments[Effective_Week],72)</f>
        <v/>
      </c>
      <c r="BV50">
        <f>SUMIFS(T_Shipments[Confirmed_Qty],T_Shipments[Part Name],$A50,T_Shipments[Effective_Week],73)</f>
        <v/>
      </c>
      <c r="BW50">
        <f>SUMIFS(T_Shipments[Confirmed_Qty],T_Shipments[Part Name],$A50,T_Shipments[Effective_Week],74)</f>
        <v/>
      </c>
      <c r="BX50">
        <f>SUMIFS(T_Shipments[Confirmed_Qty],T_Shipments[Part Name],$A50,T_Shipments[Effective_Week],75)</f>
        <v/>
      </c>
      <c r="BY50">
        <f>SUMIFS(T_Shipments[Confirmed_Qty],T_Shipments[Part Name],$A50,T_Shipments[Effective_Week],76)</f>
        <v/>
      </c>
      <c r="BZ50">
        <f>SUMIFS(T_Shipments[Confirmed_Qty],T_Shipments[Part Name],$A50,T_Shipments[Effective_Week],77)</f>
        <v/>
      </c>
      <c r="CA50">
        <f>SUMIFS(T_Shipments[Confirmed_Qty],T_Shipments[Part Name],$A50,T_Shipments[Effective_Week],78)</f>
        <v/>
      </c>
      <c r="CB50">
        <f>SUMIFS(T_Shipments[Confirmed_Qty],T_Shipments[Part Name],$A50,T_Shipments[Effective_Week],79)</f>
        <v/>
      </c>
      <c r="CC50">
        <f>SUMIFS(T_Shipments[Confirmed_Qty],T_Shipments[Part Name],$A50,T_Shipments[Effective_Week],80)</f>
        <v/>
      </c>
      <c r="CD50">
        <f>SUMIFS(T_Shipments[Confirmed_Qty],T_Shipments[Part Name],$A50,T_Shipments[Effective_Week],81)</f>
        <v/>
      </c>
      <c r="CE50">
        <f>SUMIFS(T_Shipments[Confirmed_Qty],T_Shipments[Part Name],$A50,T_Shipments[Effective_Week],82)</f>
        <v/>
      </c>
      <c r="CF50">
        <f>SUMIFS(T_Shipments[Confirmed_Qty],T_Shipments[Part Name],$A50,T_Shipments[Effective_Week],83)</f>
        <v/>
      </c>
      <c r="CG50">
        <f>SUMIFS(T_Shipments[Confirmed_Qty],T_Shipments[Part Name],$A50,T_Shipments[Effective_Week],84)</f>
        <v/>
      </c>
      <c r="CH50">
        <f>SUMIFS(T_Shipments[Confirmed_Qty],T_Shipments[Part Name],$A50,T_Shipments[Effective_Week],85)</f>
        <v/>
      </c>
      <c r="CI50">
        <f>SUMIFS(T_Shipments[Confirmed_Qty],T_Shipments[Part Name],$A50,T_Shipments[Effective_Week],86)</f>
        <v/>
      </c>
      <c r="CJ50">
        <f>SUMIFS(T_Shipments[Confirmed_Qty],T_Shipments[Part Name],$A50,T_Shipments[Effective_Week],87)</f>
        <v/>
      </c>
      <c r="CK50">
        <f>SUMIFS(T_Shipments[Confirmed_Qty],T_Shipments[Part Name],$A50,T_Shipments[Effective_Week],88)</f>
        <v/>
      </c>
      <c r="CL50">
        <f>SUMIFS(T_Shipments[Confirmed_Qty],T_Shipments[Part Name],$A50,T_Shipments[Effective_Week],89)</f>
        <v/>
      </c>
      <c r="CM50">
        <f>SUMIFS(T_Shipments[Confirmed_Qty],T_Shipments[Part Name],$A50,T_Shipments[Effective_Week],90)</f>
        <v/>
      </c>
      <c r="CN50">
        <f>SUMIFS(T_Shipments[Confirmed_Qty],T_Shipments[Part Name],$A50,T_Shipments[Effective_Week],91)</f>
        <v/>
      </c>
      <c r="CO50">
        <f>SUMIFS(T_Shipments[Confirmed_Qty],T_Shipments[Part Name],$A50,T_Shipments[Effective_Week],92)</f>
        <v/>
      </c>
      <c r="CP50">
        <f>SUMIFS(T_Shipments[Confirmed_Qty],T_Shipments[Part Name],$A50,T_Shipments[Effective_Week],93)</f>
        <v/>
      </c>
      <c r="CQ50">
        <f>SUMIFS(T_Shipments[Confirmed_Qty],T_Shipments[Part Name],$A50,T_Shipments[Effective_Week],94)</f>
        <v/>
      </c>
      <c r="CR50">
        <f>SUMIFS(T_Shipments[Confirmed_Qty],T_Shipments[Part Name],$A50,T_Shipments[Effective_Week],95)</f>
        <v/>
      </c>
      <c r="CS50">
        <f>SUMIFS(T_Shipments[Confirmed_Qty],T_Shipments[Part Name],$A50,T_Shipments[Effective_Week],96)</f>
        <v/>
      </c>
      <c r="CT50">
        <f>SUMIFS(T_Shipments[Confirmed_Qty],T_Shipments[Part Name],$A50,T_Shipments[Effective_Week],97)</f>
        <v/>
      </c>
      <c r="CU50">
        <f>SUMIFS(T_Shipments[Confirmed_Qty],T_Shipments[Part Name],$A50,T_Shipments[Effective_Week],98)</f>
        <v/>
      </c>
      <c r="CV50">
        <f>SUMIFS(T_Shipments[Confirmed_Qty],T_Shipments[Part Name],$A50,T_Shipments[Effective_Week],99)</f>
        <v/>
      </c>
      <c r="CW50">
        <f>SUMIFS(T_Shipments[Confirmed_Qty],T_Shipments[Part Name],$A50,T_Shipments[Effective_Week],100)</f>
        <v/>
      </c>
      <c r="CX50">
        <f>SUMIFS(T_Shipments[Confirmed_Qty],T_Shipments[Part Name],$A50,T_Shipments[Effective_Week],101)</f>
        <v/>
      </c>
      <c r="CY50">
        <f>SUMIFS(T_Shipments[Confirmed_Qty],T_Shipments[Part Name],$A50,T_Shipments[Effective_Week],102)</f>
        <v/>
      </c>
      <c r="CZ50">
        <f>SUMIFS(T_Shipments[Confirmed_Qty],T_Shipments[Part Name],$A50,T_Shipments[Effective_Week],103)</f>
        <v/>
      </c>
      <c r="DA50">
        <f>SUMIFS(T_Shipments[Confirmed_Qty],T_Shipments[Part Name],$A50,T_Shipments[Effective_Week],104)</f>
        <v/>
      </c>
    </row>
    <row r="51">
      <c r="A51" t="inlineStr">
        <is>
          <t>CHEM-1850</t>
        </is>
      </c>
      <c r="B51">
        <f>SUMIFS(T_Shipments[Confirmed_Qty],T_Shipments[Part Name],$A51,T_Shipments[Effective_Week],1)</f>
        <v/>
      </c>
      <c r="C51">
        <f>SUMIFS(T_Shipments[Confirmed_Qty],T_Shipments[Part Name],$A51,T_Shipments[Effective_Week],2)</f>
        <v/>
      </c>
      <c r="D51">
        <f>SUMIFS(T_Shipments[Confirmed_Qty],T_Shipments[Part Name],$A51,T_Shipments[Effective_Week],3)</f>
        <v/>
      </c>
      <c r="E51">
        <f>SUMIFS(T_Shipments[Confirmed_Qty],T_Shipments[Part Name],$A51,T_Shipments[Effective_Week],4)</f>
        <v/>
      </c>
      <c r="F51">
        <f>SUMIFS(T_Shipments[Confirmed_Qty],T_Shipments[Part Name],$A51,T_Shipments[Effective_Week],5)</f>
        <v/>
      </c>
      <c r="G51">
        <f>SUMIFS(T_Shipments[Confirmed_Qty],T_Shipments[Part Name],$A51,T_Shipments[Effective_Week],6)</f>
        <v/>
      </c>
      <c r="H51">
        <f>SUMIFS(T_Shipments[Confirmed_Qty],T_Shipments[Part Name],$A51,T_Shipments[Effective_Week],7)</f>
        <v/>
      </c>
      <c r="I51">
        <f>SUMIFS(T_Shipments[Confirmed_Qty],T_Shipments[Part Name],$A51,T_Shipments[Effective_Week],8)</f>
        <v/>
      </c>
      <c r="J51">
        <f>SUMIFS(T_Shipments[Confirmed_Qty],T_Shipments[Part Name],$A51,T_Shipments[Effective_Week],9)</f>
        <v/>
      </c>
      <c r="K51">
        <f>SUMIFS(T_Shipments[Confirmed_Qty],T_Shipments[Part Name],$A51,T_Shipments[Effective_Week],10)</f>
        <v/>
      </c>
      <c r="L51">
        <f>SUMIFS(T_Shipments[Confirmed_Qty],T_Shipments[Part Name],$A51,T_Shipments[Effective_Week],11)</f>
        <v/>
      </c>
      <c r="M51">
        <f>SUMIFS(T_Shipments[Confirmed_Qty],T_Shipments[Part Name],$A51,T_Shipments[Effective_Week],12)</f>
        <v/>
      </c>
      <c r="N51">
        <f>SUMIFS(T_Shipments[Confirmed_Qty],T_Shipments[Part Name],$A51,T_Shipments[Effective_Week],13)</f>
        <v/>
      </c>
      <c r="O51">
        <f>SUMIFS(T_Shipments[Confirmed_Qty],T_Shipments[Part Name],$A51,T_Shipments[Effective_Week],14)</f>
        <v/>
      </c>
      <c r="P51">
        <f>SUMIFS(T_Shipments[Confirmed_Qty],T_Shipments[Part Name],$A51,T_Shipments[Effective_Week],15)</f>
        <v/>
      </c>
      <c r="Q51">
        <f>SUMIFS(T_Shipments[Confirmed_Qty],T_Shipments[Part Name],$A51,T_Shipments[Effective_Week],16)</f>
        <v/>
      </c>
      <c r="R51">
        <f>SUMIFS(T_Shipments[Confirmed_Qty],T_Shipments[Part Name],$A51,T_Shipments[Effective_Week],17)</f>
        <v/>
      </c>
      <c r="S51">
        <f>SUMIFS(T_Shipments[Confirmed_Qty],T_Shipments[Part Name],$A51,T_Shipments[Effective_Week],18)</f>
        <v/>
      </c>
      <c r="T51">
        <f>SUMIFS(T_Shipments[Confirmed_Qty],T_Shipments[Part Name],$A51,T_Shipments[Effective_Week],19)</f>
        <v/>
      </c>
      <c r="U51">
        <f>SUMIFS(T_Shipments[Confirmed_Qty],T_Shipments[Part Name],$A51,T_Shipments[Effective_Week],20)</f>
        <v/>
      </c>
      <c r="V51">
        <f>SUMIFS(T_Shipments[Confirmed_Qty],T_Shipments[Part Name],$A51,T_Shipments[Effective_Week],21)</f>
        <v/>
      </c>
      <c r="W51">
        <f>SUMIFS(T_Shipments[Confirmed_Qty],T_Shipments[Part Name],$A51,T_Shipments[Effective_Week],22)</f>
        <v/>
      </c>
      <c r="X51">
        <f>SUMIFS(T_Shipments[Confirmed_Qty],T_Shipments[Part Name],$A51,T_Shipments[Effective_Week],23)</f>
        <v/>
      </c>
      <c r="Y51">
        <f>SUMIFS(T_Shipments[Confirmed_Qty],T_Shipments[Part Name],$A51,T_Shipments[Effective_Week],24)</f>
        <v/>
      </c>
      <c r="Z51">
        <f>SUMIFS(T_Shipments[Confirmed_Qty],T_Shipments[Part Name],$A51,T_Shipments[Effective_Week],25)</f>
        <v/>
      </c>
      <c r="AA51">
        <f>SUMIFS(T_Shipments[Confirmed_Qty],T_Shipments[Part Name],$A51,T_Shipments[Effective_Week],26)</f>
        <v/>
      </c>
      <c r="AB51">
        <f>SUMIFS(T_Shipments[Confirmed_Qty],T_Shipments[Part Name],$A51,T_Shipments[Effective_Week],27)</f>
        <v/>
      </c>
      <c r="AC51">
        <f>SUMIFS(T_Shipments[Confirmed_Qty],T_Shipments[Part Name],$A51,T_Shipments[Effective_Week],28)</f>
        <v/>
      </c>
      <c r="AD51">
        <f>SUMIFS(T_Shipments[Confirmed_Qty],T_Shipments[Part Name],$A51,T_Shipments[Effective_Week],29)</f>
        <v/>
      </c>
      <c r="AE51">
        <f>SUMIFS(T_Shipments[Confirmed_Qty],T_Shipments[Part Name],$A51,T_Shipments[Effective_Week],30)</f>
        <v/>
      </c>
      <c r="AF51">
        <f>SUMIFS(T_Shipments[Confirmed_Qty],T_Shipments[Part Name],$A51,T_Shipments[Effective_Week],31)</f>
        <v/>
      </c>
      <c r="AG51">
        <f>SUMIFS(T_Shipments[Confirmed_Qty],T_Shipments[Part Name],$A51,T_Shipments[Effective_Week],32)</f>
        <v/>
      </c>
      <c r="AH51">
        <f>SUMIFS(T_Shipments[Confirmed_Qty],T_Shipments[Part Name],$A51,T_Shipments[Effective_Week],33)</f>
        <v/>
      </c>
      <c r="AI51">
        <f>SUMIFS(T_Shipments[Confirmed_Qty],T_Shipments[Part Name],$A51,T_Shipments[Effective_Week],34)</f>
        <v/>
      </c>
      <c r="AJ51">
        <f>SUMIFS(T_Shipments[Confirmed_Qty],T_Shipments[Part Name],$A51,T_Shipments[Effective_Week],35)</f>
        <v/>
      </c>
      <c r="AK51">
        <f>SUMIFS(T_Shipments[Confirmed_Qty],T_Shipments[Part Name],$A51,T_Shipments[Effective_Week],36)</f>
        <v/>
      </c>
      <c r="AL51">
        <f>SUMIFS(T_Shipments[Confirmed_Qty],T_Shipments[Part Name],$A51,T_Shipments[Effective_Week],37)</f>
        <v/>
      </c>
      <c r="AM51">
        <f>SUMIFS(T_Shipments[Confirmed_Qty],T_Shipments[Part Name],$A51,T_Shipments[Effective_Week],38)</f>
        <v/>
      </c>
      <c r="AN51">
        <f>SUMIFS(T_Shipments[Confirmed_Qty],T_Shipments[Part Name],$A51,T_Shipments[Effective_Week],39)</f>
        <v/>
      </c>
      <c r="AO51">
        <f>SUMIFS(T_Shipments[Confirmed_Qty],T_Shipments[Part Name],$A51,T_Shipments[Effective_Week],40)</f>
        <v/>
      </c>
      <c r="AP51">
        <f>SUMIFS(T_Shipments[Confirmed_Qty],T_Shipments[Part Name],$A51,T_Shipments[Effective_Week],41)</f>
        <v/>
      </c>
      <c r="AQ51">
        <f>SUMIFS(T_Shipments[Confirmed_Qty],T_Shipments[Part Name],$A51,T_Shipments[Effective_Week],42)</f>
        <v/>
      </c>
      <c r="AR51">
        <f>SUMIFS(T_Shipments[Confirmed_Qty],T_Shipments[Part Name],$A51,T_Shipments[Effective_Week],43)</f>
        <v/>
      </c>
      <c r="AS51">
        <f>SUMIFS(T_Shipments[Confirmed_Qty],T_Shipments[Part Name],$A51,T_Shipments[Effective_Week],44)</f>
        <v/>
      </c>
      <c r="AT51">
        <f>SUMIFS(T_Shipments[Confirmed_Qty],T_Shipments[Part Name],$A51,T_Shipments[Effective_Week],45)</f>
        <v/>
      </c>
      <c r="AU51">
        <f>SUMIFS(T_Shipments[Confirmed_Qty],T_Shipments[Part Name],$A51,T_Shipments[Effective_Week],46)</f>
        <v/>
      </c>
      <c r="AV51">
        <f>SUMIFS(T_Shipments[Confirmed_Qty],T_Shipments[Part Name],$A51,T_Shipments[Effective_Week],47)</f>
        <v/>
      </c>
      <c r="AW51">
        <f>SUMIFS(T_Shipments[Confirmed_Qty],T_Shipments[Part Name],$A51,T_Shipments[Effective_Week],48)</f>
        <v/>
      </c>
      <c r="AX51">
        <f>SUMIFS(T_Shipments[Confirmed_Qty],T_Shipments[Part Name],$A51,T_Shipments[Effective_Week],49)</f>
        <v/>
      </c>
      <c r="AY51">
        <f>SUMIFS(T_Shipments[Confirmed_Qty],T_Shipments[Part Name],$A51,T_Shipments[Effective_Week],50)</f>
        <v/>
      </c>
      <c r="AZ51">
        <f>SUMIFS(T_Shipments[Confirmed_Qty],T_Shipments[Part Name],$A51,T_Shipments[Effective_Week],51)</f>
        <v/>
      </c>
      <c r="BA51">
        <f>SUMIFS(T_Shipments[Confirmed_Qty],T_Shipments[Part Name],$A51,T_Shipments[Effective_Week],52)</f>
        <v/>
      </c>
      <c r="BB51">
        <f>SUMIFS(T_Shipments[Confirmed_Qty],T_Shipments[Part Name],$A51,T_Shipments[Effective_Week],53)</f>
        <v/>
      </c>
      <c r="BC51">
        <f>SUMIFS(T_Shipments[Confirmed_Qty],T_Shipments[Part Name],$A51,T_Shipments[Effective_Week],54)</f>
        <v/>
      </c>
      <c r="BD51">
        <f>SUMIFS(T_Shipments[Confirmed_Qty],T_Shipments[Part Name],$A51,T_Shipments[Effective_Week],55)</f>
        <v/>
      </c>
      <c r="BE51">
        <f>SUMIFS(T_Shipments[Confirmed_Qty],T_Shipments[Part Name],$A51,T_Shipments[Effective_Week],56)</f>
        <v/>
      </c>
      <c r="BF51">
        <f>SUMIFS(T_Shipments[Confirmed_Qty],T_Shipments[Part Name],$A51,T_Shipments[Effective_Week],57)</f>
        <v/>
      </c>
      <c r="BG51">
        <f>SUMIFS(T_Shipments[Confirmed_Qty],T_Shipments[Part Name],$A51,T_Shipments[Effective_Week],58)</f>
        <v/>
      </c>
      <c r="BH51">
        <f>SUMIFS(T_Shipments[Confirmed_Qty],T_Shipments[Part Name],$A51,T_Shipments[Effective_Week],59)</f>
        <v/>
      </c>
      <c r="BI51">
        <f>SUMIFS(T_Shipments[Confirmed_Qty],T_Shipments[Part Name],$A51,T_Shipments[Effective_Week],60)</f>
        <v/>
      </c>
      <c r="BJ51">
        <f>SUMIFS(T_Shipments[Confirmed_Qty],T_Shipments[Part Name],$A51,T_Shipments[Effective_Week],61)</f>
        <v/>
      </c>
      <c r="BK51">
        <f>SUMIFS(T_Shipments[Confirmed_Qty],T_Shipments[Part Name],$A51,T_Shipments[Effective_Week],62)</f>
        <v/>
      </c>
      <c r="BL51">
        <f>SUMIFS(T_Shipments[Confirmed_Qty],T_Shipments[Part Name],$A51,T_Shipments[Effective_Week],63)</f>
        <v/>
      </c>
      <c r="BM51">
        <f>SUMIFS(T_Shipments[Confirmed_Qty],T_Shipments[Part Name],$A51,T_Shipments[Effective_Week],64)</f>
        <v/>
      </c>
      <c r="BN51">
        <f>SUMIFS(T_Shipments[Confirmed_Qty],T_Shipments[Part Name],$A51,T_Shipments[Effective_Week],65)</f>
        <v/>
      </c>
      <c r="BO51">
        <f>SUMIFS(T_Shipments[Confirmed_Qty],T_Shipments[Part Name],$A51,T_Shipments[Effective_Week],66)</f>
        <v/>
      </c>
      <c r="BP51">
        <f>SUMIFS(T_Shipments[Confirmed_Qty],T_Shipments[Part Name],$A51,T_Shipments[Effective_Week],67)</f>
        <v/>
      </c>
      <c r="BQ51">
        <f>SUMIFS(T_Shipments[Confirmed_Qty],T_Shipments[Part Name],$A51,T_Shipments[Effective_Week],68)</f>
        <v/>
      </c>
      <c r="BR51">
        <f>SUMIFS(T_Shipments[Confirmed_Qty],T_Shipments[Part Name],$A51,T_Shipments[Effective_Week],69)</f>
        <v/>
      </c>
      <c r="BS51">
        <f>SUMIFS(T_Shipments[Confirmed_Qty],T_Shipments[Part Name],$A51,T_Shipments[Effective_Week],70)</f>
        <v/>
      </c>
      <c r="BT51">
        <f>SUMIFS(T_Shipments[Confirmed_Qty],T_Shipments[Part Name],$A51,T_Shipments[Effective_Week],71)</f>
        <v/>
      </c>
      <c r="BU51">
        <f>SUMIFS(T_Shipments[Confirmed_Qty],T_Shipments[Part Name],$A51,T_Shipments[Effective_Week],72)</f>
        <v/>
      </c>
      <c r="BV51">
        <f>SUMIFS(T_Shipments[Confirmed_Qty],T_Shipments[Part Name],$A51,T_Shipments[Effective_Week],73)</f>
        <v/>
      </c>
      <c r="BW51">
        <f>SUMIFS(T_Shipments[Confirmed_Qty],T_Shipments[Part Name],$A51,T_Shipments[Effective_Week],74)</f>
        <v/>
      </c>
      <c r="BX51">
        <f>SUMIFS(T_Shipments[Confirmed_Qty],T_Shipments[Part Name],$A51,T_Shipments[Effective_Week],75)</f>
        <v/>
      </c>
      <c r="BY51">
        <f>SUMIFS(T_Shipments[Confirmed_Qty],T_Shipments[Part Name],$A51,T_Shipments[Effective_Week],76)</f>
        <v/>
      </c>
      <c r="BZ51">
        <f>SUMIFS(T_Shipments[Confirmed_Qty],T_Shipments[Part Name],$A51,T_Shipments[Effective_Week],77)</f>
        <v/>
      </c>
      <c r="CA51">
        <f>SUMIFS(T_Shipments[Confirmed_Qty],T_Shipments[Part Name],$A51,T_Shipments[Effective_Week],78)</f>
        <v/>
      </c>
      <c r="CB51">
        <f>SUMIFS(T_Shipments[Confirmed_Qty],T_Shipments[Part Name],$A51,T_Shipments[Effective_Week],79)</f>
        <v/>
      </c>
      <c r="CC51">
        <f>SUMIFS(T_Shipments[Confirmed_Qty],T_Shipments[Part Name],$A51,T_Shipments[Effective_Week],80)</f>
        <v/>
      </c>
      <c r="CD51">
        <f>SUMIFS(T_Shipments[Confirmed_Qty],T_Shipments[Part Name],$A51,T_Shipments[Effective_Week],81)</f>
        <v/>
      </c>
      <c r="CE51">
        <f>SUMIFS(T_Shipments[Confirmed_Qty],T_Shipments[Part Name],$A51,T_Shipments[Effective_Week],82)</f>
        <v/>
      </c>
      <c r="CF51">
        <f>SUMIFS(T_Shipments[Confirmed_Qty],T_Shipments[Part Name],$A51,T_Shipments[Effective_Week],83)</f>
        <v/>
      </c>
      <c r="CG51">
        <f>SUMIFS(T_Shipments[Confirmed_Qty],T_Shipments[Part Name],$A51,T_Shipments[Effective_Week],84)</f>
        <v/>
      </c>
      <c r="CH51">
        <f>SUMIFS(T_Shipments[Confirmed_Qty],T_Shipments[Part Name],$A51,T_Shipments[Effective_Week],85)</f>
        <v/>
      </c>
      <c r="CI51">
        <f>SUMIFS(T_Shipments[Confirmed_Qty],T_Shipments[Part Name],$A51,T_Shipments[Effective_Week],86)</f>
        <v/>
      </c>
      <c r="CJ51">
        <f>SUMIFS(T_Shipments[Confirmed_Qty],T_Shipments[Part Name],$A51,T_Shipments[Effective_Week],87)</f>
        <v/>
      </c>
      <c r="CK51">
        <f>SUMIFS(T_Shipments[Confirmed_Qty],T_Shipments[Part Name],$A51,T_Shipments[Effective_Week],88)</f>
        <v/>
      </c>
      <c r="CL51">
        <f>SUMIFS(T_Shipments[Confirmed_Qty],T_Shipments[Part Name],$A51,T_Shipments[Effective_Week],89)</f>
        <v/>
      </c>
      <c r="CM51">
        <f>SUMIFS(T_Shipments[Confirmed_Qty],T_Shipments[Part Name],$A51,T_Shipments[Effective_Week],90)</f>
        <v/>
      </c>
      <c r="CN51">
        <f>SUMIFS(T_Shipments[Confirmed_Qty],T_Shipments[Part Name],$A51,T_Shipments[Effective_Week],91)</f>
        <v/>
      </c>
      <c r="CO51">
        <f>SUMIFS(T_Shipments[Confirmed_Qty],T_Shipments[Part Name],$A51,T_Shipments[Effective_Week],92)</f>
        <v/>
      </c>
      <c r="CP51">
        <f>SUMIFS(T_Shipments[Confirmed_Qty],T_Shipments[Part Name],$A51,T_Shipments[Effective_Week],93)</f>
        <v/>
      </c>
      <c r="CQ51">
        <f>SUMIFS(T_Shipments[Confirmed_Qty],T_Shipments[Part Name],$A51,T_Shipments[Effective_Week],94)</f>
        <v/>
      </c>
      <c r="CR51">
        <f>SUMIFS(T_Shipments[Confirmed_Qty],T_Shipments[Part Name],$A51,T_Shipments[Effective_Week],95)</f>
        <v/>
      </c>
      <c r="CS51">
        <f>SUMIFS(T_Shipments[Confirmed_Qty],T_Shipments[Part Name],$A51,T_Shipments[Effective_Week],96)</f>
        <v/>
      </c>
      <c r="CT51">
        <f>SUMIFS(T_Shipments[Confirmed_Qty],T_Shipments[Part Name],$A51,T_Shipments[Effective_Week],97)</f>
        <v/>
      </c>
      <c r="CU51">
        <f>SUMIFS(T_Shipments[Confirmed_Qty],T_Shipments[Part Name],$A51,T_Shipments[Effective_Week],98)</f>
        <v/>
      </c>
      <c r="CV51">
        <f>SUMIFS(T_Shipments[Confirmed_Qty],T_Shipments[Part Name],$A51,T_Shipments[Effective_Week],99)</f>
        <v/>
      </c>
      <c r="CW51">
        <f>SUMIFS(T_Shipments[Confirmed_Qty],T_Shipments[Part Name],$A51,T_Shipments[Effective_Week],100)</f>
        <v/>
      </c>
      <c r="CX51">
        <f>SUMIFS(T_Shipments[Confirmed_Qty],T_Shipments[Part Name],$A51,T_Shipments[Effective_Week],101)</f>
        <v/>
      </c>
      <c r="CY51">
        <f>SUMIFS(T_Shipments[Confirmed_Qty],T_Shipments[Part Name],$A51,T_Shipments[Effective_Week],102)</f>
        <v/>
      </c>
      <c r="CZ51">
        <f>SUMIFS(T_Shipments[Confirmed_Qty],T_Shipments[Part Name],$A51,T_Shipments[Effective_Week],103)</f>
        <v/>
      </c>
      <c r="DA51">
        <f>SUMIFS(T_Shipments[Confirmed_Qty],T_Shipments[Part Name],$A51,T_Shipments[Effective_Week],104)</f>
        <v/>
      </c>
    </row>
    <row r="52">
      <c r="A52" t="inlineStr">
        <is>
          <t>Original Towel</t>
        </is>
      </c>
      <c r="B52">
        <f>SUMIFS(T_Shipments[Confirmed_Qty],T_Shipments[Part Name],$A52,T_Shipments[Effective_Week],1)</f>
        <v/>
      </c>
      <c r="C52">
        <f>SUMIFS(T_Shipments[Confirmed_Qty],T_Shipments[Part Name],$A52,T_Shipments[Effective_Week],2)</f>
        <v/>
      </c>
      <c r="D52">
        <f>SUMIFS(T_Shipments[Confirmed_Qty],T_Shipments[Part Name],$A52,T_Shipments[Effective_Week],3)</f>
        <v/>
      </c>
      <c r="E52">
        <f>SUMIFS(T_Shipments[Confirmed_Qty],T_Shipments[Part Name],$A52,T_Shipments[Effective_Week],4)</f>
        <v/>
      </c>
      <c r="F52">
        <f>SUMIFS(T_Shipments[Confirmed_Qty],T_Shipments[Part Name],$A52,T_Shipments[Effective_Week],5)</f>
        <v/>
      </c>
      <c r="G52">
        <f>SUMIFS(T_Shipments[Confirmed_Qty],T_Shipments[Part Name],$A52,T_Shipments[Effective_Week],6)</f>
        <v/>
      </c>
      <c r="H52">
        <f>SUMIFS(T_Shipments[Confirmed_Qty],T_Shipments[Part Name],$A52,T_Shipments[Effective_Week],7)</f>
        <v/>
      </c>
      <c r="I52">
        <f>SUMIFS(T_Shipments[Confirmed_Qty],T_Shipments[Part Name],$A52,T_Shipments[Effective_Week],8)</f>
        <v/>
      </c>
      <c r="J52">
        <f>SUMIFS(T_Shipments[Confirmed_Qty],T_Shipments[Part Name],$A52,T_Shipments[Effective_Week],9)</f>
        <v/>
      </c>
      <c r="K52">
        <f>SUMIFS(T_Shipments[Confirmed_Qty],T_Shipments[Part Name],$A52,T_Shipments[Effective_Week],10)</f>
        <v/>
      </c>
      <c r="L52">
        <f>SUMIFS(T_Shipments[Confirmed_Qty],T_Shipments[Part Name],$A52,T_Shipments[Effective_Week],11)</f>
        <v/>
      </c>
      <c r="M52">
        <f>SUMIFS(T_Shipments[Confirmed_Qty],T_Shipments[Part Name],$A52,T_Shipments[Effective_Week],12)</f>
        <v/>
      </c>
      <c r="N52">
        <f>SUMIFS(T_Shipments[Confirmed_Qty],T_Shipments[Part Name],$A52,T_Shipments[Effective_Week],13)</f>
        <v/>
      </c>
      <c r="O52">
        <f>SUMIFS(T_Shipments[Confirmed_Qty],T_Shipments[Part Name],$A52,T_Shipments[Effective_Week],14)</f>
        <v/>
      </c>
      <c r="P52">
        <f>SUMIFS(T_Shipments[Confirmed_Qty],T_Shipments[Part Name],$A52,T_Shipments[Effective_Week],15)</f>
        <v/>
      </c>
      <c r="Q52">
        <f>SUMIFS(T_Shipments[Confirmed_Qty],T_Shipments[Part Name],$A52,T_Shipments[Effective_Week],16)</f>
        <v/>
      </c>
      <c r="R52">
        <f>SUMIFS(T_Shipments[Confirmed_Qty],T_Shipments[Part Name],$A52,T_Shipments[Effective_Week],17)</f>
        <v/>
      </c>
      <c r="S52">
        <f>SUMIFS(T_Shipments[Confirmed_Qty],T_Shipments[Part Name],$A52,T_Shipments[Effective_Week],18)</f>
        <v/>
      </c>
      <c r="T52">
        <f>SUMIFS(T_Shipments[Confirmed_Qty],T_Shipments[Part Name],$A52,T_Shipments[Effective_Week],19)</f>
        <v/>
      </c>
      <c r="U52">
        <f>SUMIFS(T_Shipments[Confirmed_Qty],T_Shipments[Part Name],$A52,T_Shipments[Effective_Week],20)</f>
        <v/>
      </c>
      <c r="V52">
        <f>SUMIFS(T_Shipments[Confirmed_Qty],T_Shipments[Part Name],$A52,T_Shipments[Effective_Week],21)</f>
        <v/>
      </c>
      <c r="W52">
        <f>SUMIFS(T_Shipments[Confirmed_Qty],T_Shipments[Part Name],$A52,T_Shipments[Effective_Week],22)</f>
        <v/>
      </c>
      <c r="X52">
        <f>SUMIFS(T_Shipments[Confirmed_Qty],T_Shipments[Part Name],$A52,T_Shipments[Effective_Week],23)</f>
        <v/>
      </c>
      <c r="Y52">
        <f>SUMIFS(T_Shipments[Confirmed_Qty],T_Shipments[Part Name],$A52,T_Shipments[Effective_Week],24)</f>
        <v/>
      </c>
      <c r="Z52">
        <f>SUMIFS(T_Shipments[Confirmed_Qty],T_Shipments[Part Name],$A52,T_Shipments[Effective_Week],25)</f>
        <v/>
      </c>
      <c r="AA52">
        <f>SUMIFS(T_Shipments[Confirmed_Qty],T_Shipments[Part Name],$A52,T_Shipments[Effective_Week],26)</f>
        <v/>
      </c>
      <c r="AB52">
        <f>SUMIFS(T_Shipments[Confirmed_Qty],T_Shipments[Part Name],$A52,T_Shipments[Effective_Week],27)</f>
        <v/>
      </c>
      <c r="AC52">
        <f>SUMIFS(T_Shipments[Confirmed_Qty],T_Shipments[Part Name],$A52,T_Shipments[Effective_Week],28)</f>
        <v/>
      </c>
      <c r="AD52">
        <f>SUMIFS(T_Shipments[Confirmed_Qty],T_Shipments[Part Name],$A52,T_Shipments[Effective_Week],29)</f>
        <v/>
      </c>
      <c r="AE52">
        <f>SUMIFS(T_Shipments[Confirmed_Qty],T_Shipments[Part Name],$A52,T_Shipments[Effective_Week],30)</f>
        <v/>
      </c>
      <c r="AF52">
        <f>SUMIFS(T_Shipments[Confirmed_Qty],T_Shipments[Part Name],$A52,T_Shipments[Effective_Week],31)</f>
        <v/>
      </c>
      <c r="AG52">
        <f>SUMIFS(T_Shipments[Confirmed_Qty],T_Shipments[Part Name],$A52,T_Shipments[Effective_Week],32)</f>
        <v/>
      </c>
      <c r="AH52">
        <f>SUMIFS(T_Shipments[Confirmed_Qty],T_Shipments[Part Name],$A52,T_Shipments[Effective_Week],33)</f>
        <v/>
      </c>
      <c r="AI52">
        <f>SUMIFS(T_Shipments[Confirmed_Qty],T_Shipments[Part Name],$A52,T_Shipments[Effective_Week],34)</f>
        <v/>
      </c>
      <c r="AJ52">
        <f>SUMIFS(T_Shipments[Confirmed_Qty],T_Shipments[Part Name],$A52,T_Shipments[Effective_Week],35)</f>
        <v/>
      </c>
      <c r="AK52">
        <f>SUMIFS(T_Shipments[Confirmed_Qty],T_Shipments[Part Name],$A52,T_Shipments[Effective_Week],36)</f>
        <v/>
      </c>
      <c r="AL52">
        <f>SUMIFS(T_Shipments[Confirmed_Qty],T_Shipments[Part Name],$A52,T_Shipments[Effective_Week],37)</f>
        <v/>
      </c>
      <c r="AM52">
        <f>SUMIFS(T_Shipments[Confirmed_Qty],T_Shipments[Part Name],$A52,T_Shipments[Effective_Week],38)</f>
        <v/>
      </c>
      <c r="AN52">
        <f>SUMIFS(T_Shipments[Confirmed_Qty],T_Shipments[Part Name],$A52,T_Shipments[Effective_Week],39)</f>
        <v/>
      </c>
      <c r="AO52">
        <f>SUMIFS(T_Shipments[Confirmed_Qty],T_Shipments[Part Name],$A52,T_Shipments[Effective_Week],40)</f>
        <v/>
      </c>
      <c r="AP52">
        <f>SUMIFS(T_Shipments[Confirmed_Qty],T_Shipments[Part Name],$A52,T_Shipments[Effective_Week],41)</f>
        <v/>
      </c>
      <c r="AQ52">
        <f>SUMIFS(T_Shipments[Confirmed_Qty],T_Shipments[Part Name],$A52,T_Shipments[Effective_Week],42)</f>
        <v/>
      </c>
      <c r="AR52">
        <f>SUMIFS(T_Shipments[Confirmed_Qty],T_Shipments[Part Name],$A52,T_Shipments[Effective_Week],43)</f>
        <v/>
      </c>
      <c r="AS52">
        <f>SUMIFS(T_Shipments[Confirmed_Qty],T_Shipments[Part Name],$A52,T_Shipments[Effective_Week],44)</f>
        <v/>
      </c>
      <c r="AT52">
        <f>SUMIFS(T_Shipments[Confirmed_Qty],T_Shipments[Part Name],$A52,T_Shipments[Effective_Week],45)</f>
        <v/>
      </c>
      <c r="AU52">
        <f>SUMIFS(T_Shipments[Confirmed_Qty],T_Shipments[Part Name],$A52,T_Shipments[Effective_Week],46)</f>
        <v/>
      </c>
      <c r="AV52">
        <f>SUMIFS(T_Shipments[Confirmed_Qty],T_Shipments[Part Name],$A52,T_Shipments[Effective_Week],47)</f>
        <v/>
      </c>
      <c r="AW52">
        <f>SUMIFS(T_Shipments[Confirmed_Qty],T_Shipments[Part Name],$A52,T_Shipments[Effective_Week],48)</f>
        <v/>
      </c>
      <c r="AX52">
        <f>SUMIFS(T_Shipments[Confirmed_Qty],T_Shipments[Part Name],$A52,T_Shipments[Effective_Week],49)</f>
        <v/>
      </c>
      <c r="AY52">
        <f>SUMIFS(T_Shipments[Confirmed_Qty],T_Shipments[Part Name],$A52,T_Shipments[Effective_Week],50)</f>
        <v/>
      </c>
      <c r="AZ52">
        <f>SUMIFS(T_Shipments[Confirmed_Qty],T_Shipments[Part Name],$A52,T_Shipments[Effective_Week],51)</f>
        <v/>
      </c>
      <c r="BA52">
        <f>SUMIFS(T_Shipments[Confirmed_Qty],T_Shipments[Part Name],$A52,T_Shipments[Effective_Week],52)</f>
        <v/>
      </c>
      <c r="BB52">
        <f>SUMIFS(T_Shipments[Confirmed_Qty],T_Shipments[Part Name],$A52,T_Shipments[Effective_Week],53)</f>
        <v/>
      </c>
      <c r="BC52">
        <f>SUMIFS(T_Shipments[Confirmed_Qty],T_Shipments[Part Name],$A52,T_Shipments[Effective_Week],54)</f>
        <v/>
      </c>
      <c r="BD52">
        <f>SUMIFS(T_Shipments[Confirmed_Qty],T_Shipments[Part Name],$A52,T_Shipments[Effective_Week],55)</f>
        <v/>
      </c>
      <c r="BE52">
        <f>SUMIFS(T_Shipments[Confirmed_Qty],T_Shipments[Part Name],$A52,T_Shipments[Effective_Week],56)</f>
        <v/>
      </c>
      <c r="BF52">
        <f>SUMIFS(T_Shipments[Confirmed_Qty],T_Shipments[Part Name],$A52,T_Shipments[Effective_Week],57)</f>
        <v/>
      </c>
      <c r="BG52">
        <f>SUMIFS(T_Shipments[Confirmed_Qty],T_Shipments[Part Name],$A52,T_Shipments[Effective_Week],58)</f>
        <v/>
      </c>
      <c r="BH52">
        <f>SUMIFS(T_Shipments[Confirmed_Qty],T_Shipments[Part Name],$A52,T_Shipments[Effective_Week],59)</f>
        <v/>
      </c>
      <c r="BI52">
        <f>SUMIFS(T_Shipments[Confirmed_Qty],T_Shipments[Part Name],$A52,T_Shipments[Effective_Week],60)</f>
        <v/>
      </c>
      <c r="BJ52">
        <f>SUMIFS(T_Shipments[Confirmed_Qty],T_Shipments[Part Name],$A52,T_Shipments[Effective_Week],61)</f>
        <v/>
      </c>
      <c r="BK52">
        <f>SUMIFS(T_Shipments[Confirmed_Qty],T_Shipments[Part Name],$A52,T_Shipments[Effective_Week],62)</f>
        <v/>
      </c>
      <c r="BL52">
        <f>SUMIFS(T_Shipments[Confirmed_Qty],T_Shipments[Part Name],$A52,T_Shipments[Effective_Week],63)</f>
        <v/>
      </c>
      <c r="BM52">
        <f>SUMIFS(T_Shipments[Confirmed_Qty],T_Shipments[Part Name],$A52,T_Shipments[Effective_Week],64)</f>
        <v/>
      </c>
      <c r="BN52">
        <f>SUMIFS(T_Shipments[Confirmed_Qty],T_Shipments[Part Name],$A52,T_Shipments[Effective_Week],65)</f>
        <v/>
      </c>
      <c r="BO52">
        <f>SUMIFS(T_Shipments[Confirmed_Qty],T_Shipments[Part Name],$A52,T_Shipments[Effective_Week],66)</f>
        <v/>
      </c>
      <c r="BP52">
        <f>SUMIFS(T_Shipments[Confirmed_Qty],T_Shipments[Part Name],$A52,T_Shipments[Effective_Week],67)</f>
        <v/>
      </c>
      <c r="BQ52">
        <f>SUMIFS(T_Shipments[Confirmed_Qty],T_Shipments[Part Name],$A52,T_Shipments[Effective_Week],68)</f>
        <v/>
      </c>
      <c r="BR52">
        <f>SUMIFS(T_Shipments[Confirmed_Qty],T_Shipments[Part Name],$A52,T_Shipments[Effective_Week],69)</f>
        <v/>
      </c>
      <c r="BS52">
        <f>SUMIFS(T_Shipments[Confirmed_Qty],T_Shipments[Part Name],$A52,T_Shipments[Effective_Week],70)</f>
        <v/>
      </c>
      <c r="BT52">
        <f>SUMIFS(T_Shipments[Confirmed_Qty],T_Shipments[Part Name],$A52,T_Shipments[Effective_Week],71)</f>
        <v/>
      </c>
      <c r="BU52">
        <f>SUMIFS(T_Shipments[Confirmed_Qty],T_Shipments[Part Name],$A52,T_Shipments[Effective_Week],72)</f>
        <v/>
      </c>
      <c r="BV52">
        <f>SUMIFS(T_Shipments[Confirmed_Qty],T_Shipments[Part Name],$A52,T_Shipments[Effective_Week],73)</f>
        <v/>
      </c>
      <c r="BW52">
        <f>SUMIFS(T_Shipments[Confirmed_Qty],T_Shipments[Part Name],$A52,T_Shipments[Effective_Week],74)</f>
        <v/>
      </c>
      <c r="BX52">
        <f>SUMIFS(T_Shipments[Confirmed_Qty],T_Shipments[Part Name],$A52,T_Shipments[Effective_Week],75)</f>
        <v/>
      </c>
      <c r="BY52">
        <f>SUMIFS(T_Shipments[Confirmed_Qty],T_Shipments[Part Name],$A52,T_Shipments[Effective_Week],76)</f>
        <v/>
      </c>
      <c r="BZ52">
        <f>SUMIFS(T_Shipments[Confirmed_Qty],T_Shipments[Part Name],$A52,T_Shipments[Effective_Week],77)</f>
        <v/>
      </c>
      <c r="CA52">
        <f>SUMIFS(T_Shipments[Confirmed_Qty],T_Shipments[Part Name],$A52,T_Shipments[Effective_Week],78)</f>
        <v/>
      </c>
      <c r="CB52">
        <f>SUMIFS(T_Shipments[Confirmed_Qty],T_Shipments[Part Name],$A52,T_Shipments[Effective_Week],79)</f>
        <v/>
      </c>
      <c r="CC52">
        <f>SUMIFS(T_Shipments[Confirmed_Qty],T_Shipments[Part Name],$A52,T_Shipments[Effective_Week],80)</f>
        <v/>
      </c>
      <c r="CD52">
        <f>SUMIFS(T_Shipments[Confirmed_Qty],T_Shipments[Part Name],$A52,T_Shipments[Effective_Week],81)</f>
        <v/>
      </c>
      <c r="CE52">
        <f>SUMIFS(T_Shipments[Confirmed_Qty],T_Shipments[Part Name],$A52,T_Shipments[Effective_Week],82)</f>
        <v/>
      </c>
      <c r="CF52">
        <f>SUMIFS(T_Shipments[Confirmed_Qty],T_Shipments[Part Name],$A52,T_Shipments[Effective_Week],83)</f>
        <v/>
      </c>
      <c r="CG52">
        <f>SUMIFS(T_Shipments[Confirmed_Qty],T_Shipments[Part Name],$A52,T_Shipments[Effective_Week],84)</f>
        <v/>
      </c>
      <c r="CH52">
        <f>SUMIFS(T_Shipments[Confirmed_Qty],T_Shipments[Part Name],$A52,T_Shipments[Effective_Week],85)</f>
        <v/>
      </c>
      <c r="CI52">
        <f>SUMIFS(T_Shipments[Confirmed_Qty],T_Shipments[Part Name],$A52,T_Shipments[Effective_Week],86)</f>
        <v/>
      </c>
      <c r="CJ52">
        <f>SUMIFS(T_Shipments[Confirmed_Qty],T_Shipments[Part Name],$A52,T_Shipments[Effective_Week],87)</f>
        <v/>
      </c>
      <c r="CK52">
        <f>SUMIFS(T_Shipments[Confirmed_Qty],T_Shipments[Part Name],$A52,T_Shipments[Effective_Week],88)</f>
        <v/>
      </c>
      <c r="CL52">
        <f>SUMIFS(T_Shipments[Confirmed_Qty],T_Shipments[Part Name],$A52,T_Shipments[Effective_Week],89)</f>
        <v/>
      </c>
      <c r="CM52">
        <f>SUMIFS(T_Shipments[Confirmed_Qty],T_Shipments[Part Name],$A52,T_Shipments[Effective_Week],90)</f>
        <v/>
      </c>
      <c r="CN52">
        <f>SUMIFS(T_Shipments[Confirmed_Qty],T_Shipments[Part Name],$A52,T_Shipments[Effective_Week],91)</f>
        <v/>
      </c>
      <c r="CO52">
        <f>SUMIFS(T_Shipments[Confirmed_Qty],T_Shipments[Part Name],$A52,T_Shipments[Effective_Week],92)</f>
        <v/>
      </c>
      <c r="CP52">
        <f>SUMIFS(T_Shipments[Confirmed_Qty],T_Shipments[Part Name],$A52,T_Shipments[Effective_Week],93)</f>
        <v/>
      </c>
      <c r="CQ52">
        <f>SUMIFS(T_Shipments[Confirmed_Qty],T_Shipments[Part Name],$A52,T_Shipments[Effective_Week],94)</f>
        <v/>
      </c>
      <c r="CR52">
        <f>SUMIFS(T_Shipments[Confirmed_Qty],T_Shipments[Part Name],$A52,T_Shipments[Effective_Week],95)</f>
        <v/>
      </c>
      <c r="CS52">
        <f>SUMIFS(T_Shipments[Confirmed_Qty],T_Shipments[Part Name],$A52,T_Shipments[Effective_Week],96)</f>
        <v/>
      </c>
      <c r="CT52">
        <f>SUMIFS(T_Shipments[Confirmed_Qty],T_Shipments[Part Name],$A52,T_Shipments[Effective_Week],97)</f>
        <v/>
      </c>
      <c r="CU52">
        <f>SUMIFS(T_Shipments[Confirmed_Qty],T_Shipments[Part Name],$A52,T_Shipments[Effective_Week],98)</f>
        <v/>
      </c>
      <c r="CV52">
        <f>SUMIFS(T_Shipments[Confirmed_Qty],T_Shipments[Part Name],$A52,T_Shipments[Effective_Week],99)</f>
        <v/>
      </c>
      <c r="CW52">
        <f>SUMIFS(T_Shipments[Confirmed_Qty],T_Shipments[Part Name],$A52,T_Shipments[Effective_Week],100)</f>
        <v/>
      </c>
      <c r="CX52">
        <f>SUMIFS(T_Shipments[Confirmed_Qty],T_Shipments[Part Name],$A52,T_Shipments[Effective_Week],101)</f>
        <v/>
      </c>
      <c r="CY52">
        <f>SUMIFS(T_Shipments[Confirmed_Qty],T_Shipments[Part Name],$A52,T_Shipments[Effective_Week],102)</f>
        <v/>
      </c>
      <c r="CZ52">
        <f>SUMIFS(T_Shipments[Confirmed_Qty],T_Shipments[Part Name],$A52,T_Shipments[Effective_Week],103)</f>
        <v/>
      </c>
      <c r="DA52">
        <f>SUMIFS(T_Shipments[Confirmed_Qty],T_Shipments[Part Name],$A52,T_Shipments[Effective_Week],104)</f>
        <v/>
      </c>
    </row>
    <row r="53">
      <c r="A53" t="inlineStr">
        <is>
          <t>Ester Film</t>
        </is>
      </c>
      <c r="B53">
        <f>SUMIFS(T_Shipments[Confirmed_Qty],T_Shipments[Part Name],$A53,T_Shipments[Effective_Week],1)</f>
        <v/>
      </c>
      <c r="C53">
        <f>SUMIFS(T_Shipments[Confirmed_Qty],T_Shipments[Part Name],$A53,T_Shipments[Effective_Week],2)</f>
        <v/>
      </c>
      <c r="D53">
        <f>SUMIFS(T_Shipments[Confirmed_Qty],T_Shipments[Part Name],$A53,T_Shipments[Effective_Week],3)</f>
        <v/>
      </c>
      <c r="E53">
        <f>SUMIFS(T_Shipments[Confirmed_Qty],T_Shipments[Part Name],$A53,T_Shipments[Effective_Week],4)</f>
        <v/>
      </c>
      <c r="F53">
        <f>SUMIFS(T_Shipments[Confirmed_Qty],T_Shipments[Part Name],$A53,T_Shipments[Effective_Week],5)</f>
        <v/>
      </c>
      <c r="G53">
        <f>SUMIFS(T_Shipments[Confirmed_Qty],T_Shipments[Part Name],$A53,T_Shipments[Effective_Week],6)</f>
        <v/>
      </c>
      <c r="H53">
        <f>SUMIFS(T_Shipments[Confirmed_Qty],T_Shipments[Part Name],$A53,T_Shipments[Effective_Week],7)</f>
        <v/>
      </c>
      <c r="I53">
        <f>SUMIFS(T_Shipments[Confirmed_Qty],T_Shipments[Part Name],$A53,T_Shipments[Effective_Week],8)</f>
        <v/>
      </c>
      <c r="J53">
        <f>SUMIFS(T_Shipments[Confirmed_Qty],T_Shipments[Part Name],$A53,T_Shipments[Effective_Week],9)</f>
        <v/>
      </c>
      <c r="K53">
        <f>SUMIFS(T_Shipments[Confirmed_Qty],T_Shipments[Part Name],$A53,T_Shipments[Effective_Week],10)</f>
        <v/>
      </c>
      <c r="L53">
        <f>SUMIFS(T_Shipments[Confirmed_Qty],T_Shipments[Part Name],$A53,T_Shipments[Effective_Week],11)</f>
        <v/>
      </c>
      <c r="M53">
        <f>SUMIFS(T_Shipments[Confirmed_Qty],T_Shipments[Part Name],$A53,T_Shipments[Effective_Week],12)</f>
        <v/>
      </c>
      <c r="N53">
        <f>SUMIFS(T_Shipments[Confirmed_Qty],T_Shipments[Part Name],$A53,T_Shipments[Effective_Week],13)</f>
        <v/>
      </c>
      <c r="O53">
        <f>SUMIFS(T_Shipments[Confirmed_Qty],T_Shipments[Part Name],$A53,T_Shipments[Effective_Week],14)</f>
        <v/>
      </c>
      <c r="P53">
        <f>SUMIFS(T_Shipments[Confirmed_Qty],T_Shipments[Part Name],$A53,T_Shipments[Effective_Week],15)</f>
        <v/>
      </c>
      <c r="Q53">
        <f>SUMIFS(T_Shipments[Confirmed_Qty],T_Shipments[Part Name],$A53,T_Shipments[Effective_Week],16)</f>
        <v/>
      </c>
      <c r="R53">
        <f>SUMIFS(T_Shipments[Confirmed_Qty],T_Shipments[Part Name],$A53,T_Shipments[Effective_Week],17)</f>
        <v/>
      </c>
      <c r="S53">
        <f>SUMIFS(T_Shipments[Confirmed_Qty],T_Shipments[Part Name],$A53,T_Shipments[Effective_Week],18)</f>
        <v/>
      </c>
      <c r="T53">
        <f>SUMIFS(T_Shipments[Confirmed_Qty],T_Shipments[Part Name],$A53,T_Shipments[Effective_Week],19)</f>
        <v/>
      </c>
      <c r="U53">
        <f>SUMIFS(T_Shipments[Confirmed_Qty],T_Shipments[Part Name],$A53,T_Shipments[Effective_Week],20)</f>
        <v/>
      </c>
      <c r="V53">
        <f>SUMIFS(T_Shipments[Confirmed_Qty],T_Shipments[Part Name],$A53,T_Shipments[Effective_Week],21)</f>
        <v/>
      </c>
      <c r="W53">
        <f>SUMIFS(T_Shipments[Confirmed_Qty],T_Shipments[Part Name],$A53,T_Shipments[Effective_Week],22)</f>
        <v/>
      </c>
      <c r="X53">
        <f>SUMIFS(T_Shipments[Confirmed_Qty],T_Shipments[Part Name],$A53,T_Shipments[Effective_Week],23)</f>
        <v/>
      </c>
      <c r="Y53">
        <f>SUMIFS(T_Shipments[Confirmed_Qty],T_Shipments[Part Name],$A53,T_Shipments[Effective_Week],24)</f>
        <v/>
      </c>
      <c r="Z53">
        <f>SUMIFS(T_Shipments[Confirmed_Qty],T_Shipments[Part Name],$A53,T_Shipments[Effective_Week],25)</f>
        <v/>
      </c>
      <c r="AA53">
        <f>SUMIFS(T_Shipments[Confirmed_Qty],T_Shipments[Part Name],$A53,T_Shipments[Effective_Week],26)</f>
        <v/>
      </c>
      <c r="AB53">
        <f>SUMIFS(T_Shipments[Confirmed_Qty],T_Shipments[Part Name],$A53,T_Shipments[Effective_Week],27)</f>
        <v/>
      </c>
      <c r="AC53">
        <f>SUMIFS(T_Shipments[Confirmed_Qty],T_Shipments[Part Name],$A53,T_Shipments[Effective_Week],28)</f>
        <v/>
      </c>
      <c r="AD53">
        <f>SUMIFS(T_Shipments[Confirmed_Qty],T_Shipments[Part Name],$A53,T_Shipments[Effective_Week],29)</f>
        <v/>
      </c>
      <c r="AE53">
        <f>SUMIFS(T_Shipments[Confirmed_Qty],T_Shipments[Part Name],$A53,T_Shipments[Effective_Week],30)</f>
        <v/>
      </c>
      <c r="AF53">
        <f>SUMIFS(T_Shipments[Confirmed_Qty],T_Shipments[Part Name],$A53,T_Shipments[Effective_Week],31)</f>
        <v/>
      </c>
      <c r="AG53">
        <f>SUMIFS(T_Shipments[Confirmed_Qty],T_Shipments[Part Name],$A53,T_Shipments[Effective_Week],32)</f>
        <v/>
      </c>
      <c r="AH53">
        <f>SUMIFS(T_Shipments[Confirmed_Qty],T_Shipments[Part Name],$A53,T_Shipments[Effective_Week],33)</f>
        <v/>
      </c>
      <c r="AI53">
        <f>SUMIFS(T_Shipments[Confirmed_Qty],T_Shipments[Part Name],$A53,T_Shipments[Effective_Week],34)</f>
        <v/>
      </c>
      <c r="AJ53">
        <f>SUMIFS(T_Shipments[Confirmed_Qty],T_Shipments[Part Name],$A53,T_Shipments[Effective_Week],35)</f>
        <v/>
      </c>
      <c r="AK53">
        <f>SUMIFS(T_Shipments[Confirmed_Qty],T_Shipments[Part Name],$A53,T_Shipments[Effective_Week],36)</f>
        <v/>
      </c>
      <c r="AL53">
        <f>SUMIFS(T_Shipments[Confirmed_Qty],T_Shipments[Part Name],$A53,T_Shipments[Effective_Week],37)</f>
        <v/>
      </c>
      <c r="AM53">
        <f>SUMIFS(T_Shipments[Confirmed_Qty],T_Shipments[Part Name],$A53,T_Shipments[Effective_Week],38)</f>
        <v/>
      </c>
      <c r="AN53">
        <f>SUMIFS(T_Shipments[Confirmed_Qty],T_Shipments[Part Name],$A53,T_Shipments[Effective_Week],39)</f>
        <v/>
      </c>
      <c r="AO53">
        <f>SUMIFS(T_Shipments[Confirmed_Qty],T_Shipments[Part Name],$A53,T_Shipments[Effective_Week],40)</f>
        <v/>
      </c>
      <c r="AP53">
        <f>SUMIFS(T_Shipments[Confirmed_Qty],T_Shipments[Part Name],$A53,T_Shipments[Effective_Week],41)</f>
        <v/>
      </c>
      <c r="AQ53">
        <f>SUMIFS(T_Shipments[Confirmed_Qty],T_Shipments[Part Name],$A53,T_Shipments[Effective_Week],42)</f>
        <v/>
      </c>
      <c r="AR53">
        <f>SUMIFS(T_Shipments[Confirmed_Qty],T_Shipments[Part Name],$A53,T_Shipments[Effective_Week],43)</f>
        <v/>
      </c>
      <c r="AS53">
        <f>SUMIFS(T_Shipments[Confirmed_Qty],T_Shipments[Part Name],$A53,T_Shipments[Effective_Week],44)</f>
        <v/>
      </c>
      <c r="AT53">
        <f>SUMIFS(T_Shipments[Confirmed_Qty],T_Shipments[Part Name],$A53,T_Shipments[Effective_Week],45)</f>
        <v/>
      </c>
      <c r="AU53">
        <f>SUMIFS(T_Shipments[Confirmed_Qty],T_Shipments[Part Name],$A53,T_Shipments[Effective_Week],46)</f>
        <v/>
      </c>
      <c r="AV53">
        <f>SUMIFS(T_Shipments[Confirmed_Qty],T_Shipments[Part Name],$A53,T_Shipments[Effective_Week],47)</f>
        <v/>
      </c>
      <c r="AW53">
        <f>SUMIFS(T_Shipments[Confirmed_Qty],T_Shipments[Part Name],$A53,T_Shipments[Effective_Week],48)</f>
        <v/>
      </c>
      <c r="AX53">
        <f>SUMIFS(T_Shipments[Confirmed_Qty],T_Shipments[Part Name],$A53,T_Shipments[Effective_Week],49)</f>
        <v/>
      </c>
      <c r="AY53">
        <f>SUMIFS(T_Shipments[Confirmed_Qty],T_Shipments[Part Name],$A53,T_Shipments[Effective_Week],50)</f>
        <v/>
      </c>
      <c r="AZ53">
        <f>SUMIFS(T_Shipments[Confirmed_Qty],T_Shipments[Part Name],$A53,T_Shipments[Effective_Week],51)</f>
        <v/>
      </c>
      <c r="BA53">
        <f>SUMIFS(T_Shipments[Confirmed_Qty],T_Shipments[Part Name],$A53,T_Shipments[Effective_Week],52)</f>
        <v/>
      </c>
      <c r="BB53">
        <f>SUMIFS(T_Shipments[Confirmed_Qty],T_Shipments[Part Name],$A53,T_Shipments[Effective_Week],53)</f>
        <v/>
      </c>
      <c r="BC53">
        <f>SUMIFS(T_Shipments[Confirmed_Qty],T_Shipments[Part Name],$A53,T_Shipments[Effective_Week],54)</f>
        <v/>
      </c>
      <c r="BD53">
        <f>SUMIFS(T_Shipments[Confirmed_Qty],T_Shipments[Part Name],$A53,T_Shipments[Effective_Week],55)</f>
        <v/>
      </c>
      <c r="BE53">
        <f>SUMIFS(T_Shipments[Confirmed_Qty],T_Shipments[Part Name],$A53,T_Shipments[Effective_Week],56)</f>
        <v/>
      </c>
      <c r="BF53">
        <f>SUMIFS(T_Shipments[Confirmed_Qty],T_Shipments[Part Name],$A53,T_Shipments[Effective_Week],57)</f>
        <v/>
      </c>
      <c r="BG53">
        <f>SUMIFS(T_Shipments[Confirmed_Qty],T_Shipments[Part Name],$A53,T_Shipments[Effective_Week],58)</f>
        <v/>
      </c>
      <c r="BH53">
        <f>SUMIFS(T_Shipments[Confirmed_Qty],T_Shipments[Part Name],$A53,T_Shipments[Effective_Week],59)</f>
        <v/>
      </c>
      <c r="BI53">
        <f>SUMIFS(T_Shipments[Confirmed_Qty],T_Shipments[Part Name],$A53,T_Shipments[Effective_Week],60)</f>
        <v/>
      </c>
      <c r="BJ53">
        <f>SUMIFS(T_Shipments[Confirmed_Qty],T_Shipments[Part Name],$A53,T_Shipments[Effective_Week],61)</f>
        <v/>
      </c>
      <c r="BK53">
        <f>SUMIFS(T_Shipments[Confirmed_Qty],T_Shipments[Part Name],$A53,T_Shipments[Effective_Week],62)</f>
        <v/>
      </c>
      <c r="BL53">
        <f>SUMIFS(T_Shipments[Confirmed_Qty],T_Shipments[Part Name],$A53,T_Shipments[Effective_Week],63)</f>
        <v/>
      </c>
      <c r="BM53">
        <f>SUMIFS(T_Shipments[Confirmed_Qty],T_Shipments[Part Name],$A53,T_Shipments[Effective_Week],64)</f>
        <v/>
      </c>
      <c r="BN53">
        <f>SUMIFS(T_Shipments[Confirmed_Qty],T_Shipments[Part Name],$A53,T_Shipments[Effective_Week],65)</f>
        <v/>
      </c>
      <c r="BO53">
        <f>SUMIFS(T_Shipments[Confirmed_Qty],T_Shipments[Part Name],$A53,T_Shipments[Effective_Week],66)</f>
        <v/>
      </c>
      <c r="BP53">
        <f>SUMIFS(T_Shipments[Confirmed_Qty],T_Shipments[Part Name],$A53,T_Shipments[Effective_Week],67)</f>
        <v/>
      </c>
      <c r="BQ53">
        <f>SUMIFS(T_Shipments[Confirmed_Qty],T_Shipments[Part Name],$A53,T_Shipments[Effective_Week],68)</f>
        <v/>
      </c>
      <c r="BR53">
        <f>SUMIFS(T_Shipments[Confirmed_Qty],T_Shipments[Part Name],$A53,T_Shipments[Effective_Week],69)</f>
        <v/>
      </c>
      <c r="BS53">
        <f>SUMIFS(T_Shipments[Confirmed_Qty],T_Shipments[Part Name],$A53,T_Shipments[Effective_Week],70)</f>
        <v/>
      </c>
      <c r="BT53">
        <f>SUMIFS(T_Shipments[Confirmed_Qty],T_Shipments[Part Name],$A53,T_Shipments[Effective_Week],71)</f>
        <v/>
      </c>
      <c r="BU53">
        <f>SUMIFS(T_Shipments[Confirmed_Qty],T_Shipments[Part Name],$A53,T_Shipments[Effective_Week],72)</f>
        <v/>
      </c>
      <c r="BV53">
        <f>SUMIFS(T_Shipments[Confirmed_Qty],T_Shipments[Part Name],$A53,T_Shipments[Effective_Week],73)</f>
        <v/>
      </c>
      <c r="BW53">
        <f>SUMIFS(T_Shipments[Confirmed_Qty],T_Shipments[Part Name],$A53,T_Shipments[Effective_Week],74)</f>
        <v/>
      </c>
      <c r="BX53">
        <f>SUMIFS(T_Shipments[Confirmed_Qty],T_Shipments[Part Name],$A53,T_Shipments[Effective_Week],75)</f>
        <v/>
      </c>
      <c r="BY53">
        <f>SUMIFS(T_Shipments[Confirmed_Qty],T_Shipments[Part Name],$A53,T_Shipments[Effective_Week],76)</f>
        <v/>
      </c>
      <c r="BZ53">
        <f>SUMIFS(T_Shipments[Confirmed_Qty],T_Shipments[Part Name],$A53,T_Shipments[Effective_Week],77)</f>
        <v/>
      </c>
      <c r="CA53">
        <f>SUMIFS(T_Shipments[Confirmed_Qty],T_Shipments[Part Name],$A53,T_Shipments[Effective_Week],78)</f>
        <v/>
      </c>
      <c r="CB53">
        <f>SUMIFS(T_Shipments[Confirmed_Qty],T_Shipments[Part Name],$A53,T_Shipments[Effective_Week],79)</f>
        <v/>
      </c>
      <c r="CC53">
        <f>SUMIFS(T_Shipments[Confirmed_Qty],T_Shipments[Part Name],$A53,T_Shipments[Effective_Week],80)</f>
        <v/>
      </c>
      <c r="CD53">
        <f>SUMIFS(T_Shipments[Confirmed_Qty],T_Shipments[Part Name],$A53,T_Shipments[Effective_Week],81)</f>
        <v/>
      </c>
      <c r="CE53">
        <f>SUMIFS(T_Shipments[Confirmed_Qty],T_Shipments[Part Name],$A53,T_Shipments[Effective_Week],82)</f>
        <v/>
      </c>
      <c r="CF53">
        <f>SUMIFS(T_Shipments[Confirmed_Qty],T_Shipments[Part Name],$A53,T_Shipments[Effective_Week],83)</f>
        <v/>
      </c>
      <c r="CG53">
        <f>SUMIFS(T_Shipments[Confirmed_Qty],T_Shipments[Part Name],$A53,T_Shipments[Effective_Week],84)</f>
        <v/>
      </c>
      <c r="CH53">
        <f>SUMIFS(T_Shipments[Confirmed_Qty],T_Shipments[Part Name],$A53,T_Shipments[Effective_Week],85)</f>
        <v/>
      </c>
      <c r="CI53">
        <f>SUMIFS(T_Shipments[Confirmed_Qty],T_Shipments[Part Name],$A53,T_Shipments[Effective_Week],86)</f>
        <v/>
      </c>
      <c r="CJ53">
        <f>SUMIFS(T_Shipments[Confirmed_Qty],T_Shipments[Part Name],$A53,T_Shipments[Effective_Week],87)</f>
        <v/>
      </c>
      <c r="CK53">
        <f>SUMIFS(T_Shipments[Confirmed_Qty],T_Shipments[Part Name],$A53,T_Shipments[Effective_Week],88)</f>
        <v/>
      </c>
      <c r="CL53">
        <f>SUMIFS(T_Shipments[Confirmed_Qty],T_Shipments[Part Name],$A53,T_Shipments[Effective_Week],89)</f>
        <v/>
      </c>
      <c r="CM53">
        <f>SUMIFS(T_Shipments[Confirmed_Qty],T_Shipments[Part Name],$A53,T_Shipments[Effective_Week],90)</f>
        <v/>
      </c>
      <c r="CN53">
        <f>SUMIFS(T_Shipments[Confirmed_Qty],T_Shipments[Part Name],$A53,T_Shipments[Effective_Week],91)</f>
        <v/>
      </c>
      <c r="CO53">
        <f>SUMIFS(T_Shipments[Confirmed_Qty],T_Shipments[Part Name],$A53,T_Shipments[Effective_Week],92)</f>
        <v/>
      </c>
      <c r="CP53">
        <f>SUMIFS(T_Shipments[Confirmed_Qty],T_Shipments[Part Name],$A53,T_Shipments[Effective_Week],93)</f>
        <v/>
      </c>
      <c r="CQ53">
        <f>SUMIFS(T_Shipments[Confirmed_Qty],T_Shipments[Part Name],$A53,T_Shipments[Effective_Week],94)</f>
        <v/>
      </c>
      <c r="CR53">
        <f>SUMIFS(T_Shipments[Confirmed_Qty],T_Shipments[Part Name],$A53,T_Shipments[Effective_Week],95)</f>
        <v/>
      </c>
      <c r="CS53">
        <f>SUMIFS(T_Shipments[Confirmed_Qty],T_Shipments[Part Name],$A53,T_Shipments[Effective_Week],96)</f>
        <v/>
      </c>
      <c r="CT53">
        <f>SUMIFS(T_Shipments[Confirmed_Qty],T_Shipments[Part Name],$A53,T_Shipments[Effective_Week],97)</f>
        <v/>
      </c>
      <c r="CU53">
        <f>SUMIFS(T_Shipments[Confirmed_Qty],T_Shipments[Part Name],$A53,T_Shipments[Effective_Week],98)</f>
        <v/>
      </c>
      <c r="CV53">
        <f>SUMIFS(T_Shipments[Confirmed_Qty],T_Shipments[Part Name],$A53,T_Shipments[Effective_Week],99)</f>
        <v/>
      </c>
      <c r="CW53">
        <f>SUMIFS(T_Shipments[Confirmed_Qty],T_Shipments[Part Name],$A53,T_Shipments[Effective_Week],100)</f>
        <v/>
      </c>
      <c r="CX53">
        <f>SUMIFS(T_Shipments[Confirmed_Qty],T_Shipments[Part Name],$A53,T_Shipments[Effective_Week],101)</f>
        <v/>
      </c>
      <c r="CY53">
        <f>SUMIFS(T_Shipments[Confirmed_Qty],T_Shipments[Part Name],$A53,T_Shipments[Effective_Week],102)</f>
        <v/>
      </c>
      <c r="CZ53">
        <f>SUMIFS(T_Shipments[Confirmed_Qty],T_Shipments[Part Name],$A53,T_Shipments[Effective_Week],103)</f>
        <v/>
      </c>
      <c r="DA53">
        <f>SUMIFS(T_Shipments[Confirmed_Qty],T_Shipments[Part Name],$A53,T_Shipments[Effective_Week],104)</f>
        <v/>
      </c>
    </row>
    <row r="54">
      <c r="A54" t="inlineStr">
        <is>
          <t>PP Film</t>
        </is>
      </c>
      <c r="B54">
        <f>SUMIFS(T_Shipments[Confirmed_Qty],T_Shipments[Part Name],$A54,T_Shipments[Effective_Week],1)</f>
        <v/>
      </c>
      <c r="C54">
        <f>SUMIFS(T_Shipments[Confirmed_Qty],T_Shipments[Part Name],$A54,T_Shipments[Effective_Week],2)</f>
        <v/>
      </c>
      <c r="D54">
        <f>SUMIFS(T_Shipments[Confirmed_Qty],T_Shipments[Part Name],$A54,T_Shipments[Effective_Week],3)</f>
        <v/>
      </c>
      <c r="E54">
        <f>SUMIFS(T_Shipments[Confirmed_Qty],T_Shipments[Part Name],$A54,T_Shipments[Effective_Week],4)</f>
        <v/>
      </c>
      <c r="F54">
        <f>SUMIFS(T_Shipments[Confirmed_Qty],T_Shipments[Part Name],$A54,T_Shipments[Effective_Week],5)</f>
        <v/>
      </c>
      <c r="G54">
        <f>SUMIFS(T_Shipments[Confirmed_Qty],T_Shipments[Part Name],$A54,T_Shipments[Effective_Week],6)</f>
        <v/>
      </c>
      <c r="H54">
        <f>SUMIFS(T_Shipments[Confirmed_Qty],T_Shipments[Part Name],$A54,T_Shipments[Effective_Week],7)</f>
        <v/>
      </c>
      <c r="I54">
        <f>SUMIFS(T_Shipments[Confirmed_Qty],T_Shipments[Part Name],$A54,T_Shipments[Effective_Week],8)</f>
        <v/>
      </c>
      <c r="J54">
        <f>SUMIFS(T_Shipments[Confirmed_Qty],T_Shipments[Part Name],$A54,T_Shipments[Effective_Week],9)</f>
        <v/>
      </c>
      <c r="K54">
        <f>SUMIFS(T_Shipments[Confirmed_Qty],T_Shipments[Part Name],$A54,T_Shipments[Effective_Week],10)</f>
        <v/>
      </c>
      <c r="L54">
        <f>SUMIFS(T_Shipments[Confirmed_Qty],T_Shipments[Part Name],$A54,T_Shipments[Effective_Week],11)</f>
        <v/>
      </c>
      <c r="M54">
        <f>SUMIFS(T_Shipments[Confirmed_Qty],T_Shipments[Part Name],$A54,T_Shipments[Effective_Week],12)</f>
        <v/>
      </c>
      <c r="N54">
        <f>SUMIFS(T_Shipments[Confirmed_Qty],T_Shipments[Part Name],$A54,T_Shipments[Effective_Week],13)</f>
        <v/>
      </c>
      <c r="O54">
        <f>SUMIFS(T_Shipments[Confirmed_Qty],T_Shipments[Part Name],$A54,T_Shipments[Effective_Week],14)</f>
        <v/>
      </c>
      <c r="P54">
        <f>SUMIFS(T_Shipments[Confirmed_Qty],T_Shipments[Part Name],$A54,T_Shipments[Effective_Week],15)</f>
        <v/>
      </c>
      <c r="Q54">
        <f>SUMIFS(T_Shipments[Confirmed_Qty],T_Shipments[Part Name],$A54,T_Shipments[Effective_Week],16)</f>
        <v/>
      </c>
      <c r="R54">
        <f>SUMIFS(T_Shipments[Confirmed_Qty],T_Shipments[Part Name],$A54,T_Shipments[Effective_Week],17)</f>
        <v/>
      </c>
      <c r="S54">
        <f>SUMIFS(T_Shipments[Confirmed_Qty],T_Shipments[Part Name],$A54,T_Shipments[Effective_Week],18)</f>
        <v/>
      </c>
      <c r="T54">
        <f>SUMIFS(T_Shipments[Confirmed_Qty],T_Shipments[Part Name],$A54,T_Shipments[Effective_Week],19)</f>
        <v/>
      </c>
      <c r="U54">
        <f>SUMIFS(T_Shipments[Confirmed_Qty],T_Shipments[Part Name],$A54,T_Shipments[Effective_Week],20)</f>
        <v/>
      </c>
      <c r="V54">
        <f>SUMIFS(T_Shipments[Confirmed_Qty],T_Shipments[Part Name],$A54,T_Shipments[Effective_Week],21)</f>
        <v/>
      </c>
      <c r="W54">
        <f>SUMIFS(T_Shipments[Confirmed_Qty],T_Shipments[Part Name],$A54,T_Shipments[Effective_Week],22)</f>
        <v/>
      </c>
      <c r="X54">
        <f>SUMIFS(T_Shipments[Confirmed_Qty],T_Shipments[Part Name],$A54,T_Shipments[Effective_Week],23)</f>
        <v/>
      </c>
      <c r="Y54">
        <f>SUMIFS(T_Shipments[Confirmed_Qty],T_Shipments[Part Name],$A54,T_Shipments[Effective_Week],24)</f>
        <v/>
      </c>
      <c r="Z54">
        <f>SUMIFS(T_Shipments[Confirmed_Qty],T_Shipments[Part Name],$A54,T_Shipments[Effective_Week],25)</f>
        <v/>
      </c>
      <c r="AA54">
        <f>SUMIFS(T_Shipments[Confirmed_Qty],T_Shipments[Part Name],$A54,T_Shipments[Effective_Week],26)</f>
        <v/>
      </c>
      <c r="AB54">
        <f>SUMIFS(T_Shipments[Confirmed_Qty],T_Shipments[Part Name],$A54,T_Shipments[Effective_Week],27)</f>
        <v/>
      </c>
      <c r="AC54">
        <f>SUMIFS(T_Shipments[Confirmed_Qty],T_Shipments[Part Name],$A54,T_Shipments[Effective_Week],28)</f>
        <v/>
      </c>
      <c r="AD54">
        <f>SUMIFS(T_Shipments[Confirmed_Qty],T_Shipments[Part Name],$A54,T_Shipments[Effective_Week],29)</f>
        <v/>
      </c>
      <c r="AE54">
        <f>SUMIFS(T_Shipments[Confirmed_Qty],T_Shipments[Part Name],$A54,T_Shipments[Effective_Week],30)</f>
        <v/>
      </c>
      <c r="AF54">
        <f>SUMIFS(T_Shipments[Confirmed_Qty],T_Shipments[Part Name],$A54,T_Shipments[Effective_Week],31)</f>
        <v/>
      </c>
      <c r="AG54">
        <f>SUMIFS(T_Shipments[Confirmed_Qty],T_Shipments[Part Name],$A54,T_Shipments[Effective_Week],32)</f>
        <v/>
      </c>
      <c r="AH54">
        <f>SUMIFS(T_Shipments[Confirmed_Qty],T_Shipments[Part Name],$A54,T_Shipments[Effective_Week],33)</f>
        <v/>
      </c>
      <c r="AI54">
        <f>SUMIFS(T_Shipments[Confirmed_Qty],T_Shipments[Part Name],$A54,T_Shipments[Effective_Week],34)</f>
        <v/>
      </c>
      <c r="AJ54">
        <f>SUMIFS(T_Shipments[Confirmed_Qty],T_Shipments[Part Name],$A54,T_Shipments[Effective_Week],35)</f>
        <v/>
      </c>
      <c r="AK54">
        <f>SUMIFS(T_Shipments[Confirmed_Qty],T_Shipments[Part Name],$A54,T_Shipments[Effective_Week],36)</f>
        <v/>
      </c>
      <c r="AL54">
        <f>SUMIFS(T_Shipments[Confirmed_Qty],T_Shipments[Part Name],$A54,T_Shipments[Effective_Week],37)</f>
        <v/>
      </c>
      <c r="AM54">
        <f>SUMIFS(T_Shipments[Confirmed_Qty],T_Shipments[Part Name],$A54,T_Shipments[Effective_Week],38)</f>
        <v/>
      </c>
      <c r="AN54">
        <f>SUMIFS(T_Shipments[Confirmed_Qty],T_Shipments[Part Name],$A54,T_Shipments[Effective_Week],39)</f>
        <v/>
      </c>
      <c r="AO54">
        <f>SUMIFS(T_Shipments[Confirmed_Qty],T_Shipments[Part Name],$A54,T_Shipments[Effective_Week],40)</f>
        <v/>
      </c>
      <c r="AP54">
        <f>SUMIFS(T_Shipments[Confirmed_Qty],T_Shipments[Part Name],$A54,T_Shipments[Effective_Week],41)</f>
        <v/>
      </c>
      <c r="AQ54">
        <f>SUMIFS(T_Shipments[Confirmed_Qty],T_Shipments[Part Name],$A54,T_Shipments[Effective_Week],42)</f>
        <v/>
      </c>
      <c r="AR54">
        <f>SUMIFS(T_Shipments[Confirmed_Qty],T_Shipments[Part Name],$A54,T_Shipments[Effective_Week],43)</f>
        <v/>
      </c>
      <c r="AS54">
        <f>SUMIFS(T_Shipments[Confirmed_Qty],T_Shipments[Part Name],$A54,T_Shipments[Effective_Week],44)</f>
        <v/>
      </c>
      <c r="AT54">
        <f>SUMIFS(T_Shipments[Confirmed_Qty],T_Shipments[Part Name],$A54,T_Shipments[Effective_Week],45)</f>
        <v/>
      </c>
      <c r="AU54">
        <f>SUMIFS(T_Shipments[Confirmed_Qty],T_Shipments[Part Name],$A54,T_Shipments[Effective_Week],46)</f>
        <v/>
      </c>
      <c r="AV54">
        <f>SUMIFS(T_Shipments[Confirmed_Qty],T_Shipments[Part Name],$A54,T_Shipments[Effective_Week],47)</f>
        <v/>
      </c>
      <c r="AW54">
        <f>SUMIFS(T_Shipments[Confirmed_Qty],T_Shipments[Part Name],$A54,T_Shipments[Effective_Week],48)</f>
        <v/>
      </c>
      <c r="AX54">
        <f>SUMIFS(T_Shipments[Confirmed_Qty],T_Shipments[Part Name],$A54,T_Shipments[Effective_Week],49)</f>
        <v/>
      </c>
      <c r="AY54">
        <f>SUMIFS(T_Shipments[Confirmed_Qty],T_Shipments[Part Name],$A54,T_Shipments[Effective_Week],50)</f>
        <v/>
      </c>
      <c r="AZ54">
        <f>SUMIFS(T_Shipments[Confirmed_Qty],T_Shipments[Part Name],$A54,T_Shipments[Effective_Week],51)</f>
        <v/>
      </c>
      <c r="BA54">
        <f>SUMIFS(T_Shipments[Confirmed_Qty],T_Shipments[Part Name],$A54,T_Shipments[Effective_Week],52)</f>
        <v/>
      </c>
      <c r="BB54">
        <f>SUMIFS(T_Shipments[Confirmed_Qty],T_Shipments[Part Name],$A54,T_Shipments[Effective_Week],53)</f>
        <v/>
      </c>
      <c r="BC54">
        <f>SUMIFS(T_Shipments[Confirmed_Qty],T_Shipments[Part Name],$A54,T_Shipments[Effective_Week],54)</f>
        <v/>
      </c>
      <c r="BD54">
        <f>SUMIFS(T_Shipments[Confirmed_Qty],T_Shipments[Part Name],$A54,T_Shipments[Effective_Week],55)</f>
        <v/>
      </c>
      <c r="BE54">
        <f>SUMIFS(T_Shipments[Confirmed_Qty],T_Shipments[Part Name],$A54,T_Shipments[Effective_Week],56)</f>
        <v/>
      </c>
      <c r="BF54">
        <f>SUMIFS(T_Shipments[Confirmed_Qty],T_Shipments[Part Name],$A54,T_Shipments[Effective_Week],57)</f>
        <v/>
      </c>
      <c r="BG54">
        <f>SUMIFS(T_Shipments[Confirmed_Qty],T_Shipments[Part Name],$A54,T_Shipments[Effective_Week],58)</f>
        <v/>
      </c>
      <c r="BH54">
        <f>SUMIFS(T_Shipments[Confirmed_Qty],T_Shipments[Part Name],$A54,T_Shipments[Effective_Week],59)</f>
        <v/>
      </c>
      <c r="BI54">
        <f>SUMIFS(T_Shipments[Confirmed_Qty],T_Shipments[Part Name],$A54,T_Shipments[Effective_Week],60)</f>
        <v/>
      </c>
      <c r="BJ54">
        <f>SUMIFS(T_Shipments[Confirmed_Qty],T_Shipments[Part Name],$A54,T_Shipments[Effective_Week],61)</f>
        <v/>
      </c>
      <c r="BK54">
        <f>SUMIFS(T_Shipments[Confirmed_Qty],T_Shipments[Part Name],$A54,T_Shipments[Effective_Week],62)</f>
        <v/>
      </c>
      <c r="BL54">
        <f>SUMIFS(T_Shipments[Confirmed_Qty],T_Shipments[Part Name],$A54,T_Shipments[Effective_Week],63)</f>
        <v/>
      </c>
      <c r="BM54">
        <f>SUMIFS(T_Shipments[Confirmed_Qty],T_Shipments[Part Name],$A54,T_Shipments[Effective_Week],64)</f>
        <v/>
      </c>
      <c r="BN54">
        <f>SUMIFS(T_Shipments[Confirmed_Qty],T_Shipments[Part Name],$A54,T_Shipments[Effective_Week],65)</f>
        <v/>
      </c>
      <c r="BO54">
        <f>SUMIFS(T_Shipments[Confirmed_Qty],T_Shipments[Part Name],$A54,T_Shipments[Effective_Week],66)</f>
        <v/>
      </c>
      <c r="BP54">
        <f>SUMIFS(T_Shipments[Confirmed_Qty],T_Shipments[Part Name],$A54,T_Shipments[Effective_Week],67)</f>
        <v/>
      </c>
      <c r="BQ54">
        <f>SUMIFS(T_Shipments[Confirmed_Qty],T_Shipments[Part Name],$A54,T_Shipments[Effective_Week],68)</f>
        <v/>
      </c>
      <c r="BR54">
        <f>SUMIFS(T_Shipments[Confirmed_Qty],T_Shipments[Part Name],$A54,T_Shipments[Effective_Week],69)</f>
        <v/>
      </c>
      <c r="BS54">
        <f>SUMIFS(T_Shipments[Confirmed_Qty],T_Shipments[Part Name],$A54,T_Shipments[Effective_Week],70)</f>
        <v/>
      </c>
      <c r="BT54">
        <f>SUMIFS(T_Shipments[Confirmed_Qty],T_Shipments[Part Name],$A54,T_Shipments[Effective_Week],71)</f>
        <v/>
      </c>
      <c r="BU54">
        <f>SUMIFS(T_Shipments[Confirmed_Qty],T_Shipments[Part Name],$A54,T_Shipments[Effective_Week],72)</f>
        <v/>
      </c>
      <c r="BV54">
        <f>SUMIFS(T_Shipments[Confirmed_Qty],T_Shipments[Part Name],$A54,T_Shipments[Effective_Week],73)</f>
        <v/>
      </c>
      <c r="BW54">
        <f>SUMIFS(T_Shipments[Confirmed_Qty],T_Shipments[Part Name],$A54,T_Shipments[Effective_Week],74)</f>
        <v/>
      </c>
      <c r="BX54">
        <f>SUMIFS(T_Shipments[Confirmed_Qty],T_Shipments[Part Name],$A54,T_Shipments[Effective_Week],75)</f>
        <v/>
      </c>
      <c r="BY54">
        <f>SUMIFS(T_Shipments[Confirmed_Qty],T_Shipments[Part Name],$A54,T_Shipments[Effective_Week],76)</f>
        <v/>
      </c>
      <c r="BZ54">
        <f>SUMIFS(T_Shipments[Confirmed_Qty],T_Shipments[Part Name],$A54,T_Shipments[Effective_Week],77)</f>
        <v/>
      </c>
      <c r="CA54">
        <f>SUMIFS(T_Shipments[Confirmed_Qty],T_Shipments[Part Name],$A54,T_Shipments[Effective_Week],78)</f>
        <v/>
      </c>
      <c r="CB54">
        <f>SUMIFS(T_Shipments[Confirmed_Qty],T_Shipments[Part Name],$A54,T_Shipments[Effective_Week],79)</f>
        <v/>
      </c>
      <c r="CC54">
        <f>SUMIFS(T_Shipments[Confirmed_Qty],T_Shipments[Part Name],$A54,T_Shipments[Effective_Week],80)</f>
        <v/>
      </c>
      <c r="CD54">
        <f>SUMIFS(T_Shipments[Confirmed_Qty],T_Shipments[Part Name],$A54,T_Shipments[Effective_Week],81)</f>
        <v/>
      </c>
      <c r="CE54">
        <f>SUMIFS(T_Shipments[Confirmed_Qty],T_Shipments[Part Name],$A54,T_Shipments[Effective_Week],82)</f>
        <v/>
      </c>
      <c r="CF54">
        <f>SUMIFS(T_Shipments[Confirmed_Qty],T_Shipments[Part Name],$A54,T_Shipments[Effective_Week],83)</f>
        <v/>
      </c>
      <c r="CG54">
        <f>SUMIFS(T_Shipments[Confirmed_Qty],T_Shipments[Part Name],$A54,T_Shipments[Effective_Week],84)</f>
        <v/>
      </c>
      <c r="CH54">
        <f>SUMIFS(T_Shipments[Confirmed_Qty],T_Shipments[Part Name],$A54,T_Shipments[Effective_Week],85)</f>
        <v/>
      </c>
      <c r="CI54">
        <f>SUMIFS(T_Shipments[Confirmed_Qty],T_Shipments[Part Name],$A54,T_Shipments[Effective_Week],86)</f>
        <v/>
      </c>
      <c r="CJ54">
        <f>SUMIFS(T_Shipments[Confirmed_Qty],T_Shipments[Part Name],$A54,T_Shipments[Effective_Week],87)</f>
        <v/>
      </c>
      <c r="CK54">
        <f>SUMIFS(T_Shipments[Confirmed_Qty],T_Shipments[Part Name],$A54,T_Shipments[Effective_Week],88)</f>
        <v/>
      </c>
      <c r="CL54">
        <f>SUMIFS(T_Shipments[Confirmed_Qty],T_Shipments[Part Name],$A54,T_Shipments[Effective_Week],89)</f>
        <v/>
      </c>
      <c r="CM54">
        <f>SUMIFS(T_Shipments[Confirmed_Qty],T_Shipments[Part Name],$A54,T_Shipments[Effective_Week],90)</f>
        <v/>
      </c>
      <c r="CN54">
        <f>SUMIFS(T_Shipments[Confirmed_Qty],T_Shipments[Part Name],$A54,T_Shipments[Effective_Week],91)</f>
        <v/>
      </c>
      <c r="CO54">
        <f>SUMIFS(T_Shipments[Confirmed_Qty],T_Shipments[Part Name],$A54,T_Shipments[Effective_Week],92)</f>
        <v/>
      </c>
      <c r="CP54">
        <f>SUMIFS(T_Shipments[Confirmed_Qty],T_Shipments[Part Name],$A54,T_Shipments[Effective_Week],93)</f>
        <v/>
      </c>
      <c r="CQ54">
        <f>SUMIFS(T_Shipments[Confirmed_Qty],T_Shipments[Part Name],$A54,T_Shipments[Effective_Week],94)</f>
        <v/>
      </c>
      <c r="CR54">
        <f>SUMIFS(T_Shipments[Confirmed_Qty],T_Shipments[Part Name],$A54,T_Shipments[Effective_Week],95)</f>
        <v/>
      </c>
      <c r="CS54">
        <f>SUMIFS(T_Shipments[Confirmed_Qty],T_Shipments[Part Name],$A54,T_Shipments[Effective_Week],96)</f>
        <v/>
      </c>
      <c r="CT54">
        <f>SUMIFS(T_Shipments[Confirmed_Qty],T_Shipments[Part Name],$A54,T_Shipments[Effective_Week],97)</f>
        <v/>
      </c>
      <c r="CU54">
        <f>SUMIFS(T_Shipments[Confirmed_Qty],T_Shipments[Part Name],$A54,T_Shipments[Effective_Week],98)</f>
        <v/>
      </c>
      <c r="CV54">
        <f>SUMIFS(T_Shipments[Confirmed_Qty],T_Shipments[Part Name],$A54,T_Shipments[Effective_Week],99)</f>
        <v/>
      </c>
      <c r="CW54">
        <f>SUMIFS(T_Shipments[Confirmed_Qty],T_Shipments[Part Name],$A54,T_Shipments[Effective_Week],100)</f>
        <v/>
      </c>
      <c r="CX54">
        <f>SUMIFS(T_Shipments[Confirmed_Qty],T_Shipments[Part Name],$A54,T_Shipments[Effective_Week],101)</f>
        <v/>
      </c>
      <c r="CY54">
        <f>SUMIFS(T_Shipments[Confirmed_Qty],T_Shipments[Part Name],$A54,T_Shipments[Effective_Week],102)</f>
        <v/>
      </c>
      <c r="CZ54">
        <f>SUMIFS(T_Shipments[Confirmed_Qty],T_Shipments[Part Name],$A54,T_Shipments[Effective_Week],103)</f>
        <v/>
      </c>
      <c r="DA54">
        <f>SUMIFS(T_Shipments[Confirmed_Qty],T_Shipments[Part Name],$A54,T_Shipments[Effective_Week],104)</f>
        <v/>
      </c>
    </row>
    <row r="55">
      <c r="A55" t="inlineStr">
        <is>
          <t>CHEM-1560</t>
        </is>
      </c>
      <c r="B55">
        <f>SUMIFS(T_Shipments[Confirmed_Qty],T_Shipments[Part Name],$A55,T_Shipments[Effective_Week],1)</f>
        <v/>
      </c>
      <c r="C55">
        <f>SUMIFS(T_Shipments[Confirmed_Qty],T_Shipments[Part Name],$A55,T_Shipments[Effective_Week],2)</f>
        <v/>
      </c>
      <c r="D55">
        <f>SUMIFS(T_Shipments[Confirmed_Qty],T_Shipments[Part Name],$A55,T_Shipments[Effective_Week],3)</f>
        <v/>
      </c>
      <c r="E55">
        <f>SUMIFS(T_Shipments[Confirmed_Qty],T_Shipments[Part Name],$A55,T_Shipments[Effective_Week],4)</f>
        <v/>
      </c>
      <c r="F55">
        <f>SUMIFS(T_Shipments[Confirmed_Qty],T_Shipments[Part Name],$A55,T_Shipments[Effective_Week],5)</f>
        <v/>
      </c>
      <c r="G55">
        <f>SUMIFS(T_Shipments[Confirmed_Qty],T_Shipments[Part Name],$A55,T_Shipments[Effective_Week],6)</f>
        <v/>
      </c>
      <c r="H55">
        <f>SUMIFS(T_Shipments[Confirmed_Qty],T_Shipments[Part Name],$A55,T_Shipments[Effective_Week],7)</f>
        <v/>
      </c>
      <c r="I55">
        <f>SUMIFS(T_Shipments[Confirmed_Qty],T_Shipments[Part Name],$A55,T_Shipments[Effective_Week],8)</f>
        <v/>
      </c>
      <c r="J55">
        <f>SUMIFS(T_Shipments[Confirmed_Qty],T_Shipments[Part Name],$A55,T_Shipments[Effective_Week],9)</f>
        <v/>
      </c>
      <c r="K55">
        <f>SUMIFS(T_Shipments[Confirmed_Qty],T_Shipments[Part Name],$A55,T_Shipments[Effective_Week],10)</f>
        <v/>
      </c>
      <c r="L55">
        <f>SUMIFS(T_Shipments[Confirmed_Qty],T_Shipments[Part Name],$A55,T_Shipments[Effective_Week],11)</f>
        <v/>
      </c>
      <c r="M55">
        <f>SUMIFS(T_Shipments[Confirmed_Qty],T_Shipments[Part Name],$A55,T_Shipments[Effective_Week],12)</f>
        <v/>
      </c>
      <c r="N55">
        <f>SUMIFS(T_Shipments[Confirmed_Qty],T_Shipments[Part Name],$A55,T_Shipments[Effective_Week],13)</f>
        <v/>
      </c>
      <c r="O55">
        <f>SUMIFS(T_Shipments[Confirmed_Qty],T_Shipments[Part Name],$A55,T_Shipments[Effective_Week],14)</f>
        <v/>
      </c>
      <c r="P55">
        <f>SUMIFS(T_Shipments[Confirmed_Qty],T_Shipments[Part Name],$A55,T_Shipments[Effective_Week],15)</f>
        <v/>
      </c>
      <c r="Q55">
        <f>SUMIFS(T_Shipments[Confirmed_Qty],T_Shipments[Part Name],$A55,T_Shipments[Effective_Week],16)</f>
        <v/>
      </c>
      <c r="R55">
        <f>SUMIFS(T_Shipments[Confirmed_Qty],T_Shipments[Part Name],$A55,T_Shipments[Effective_Week],17)</f>
        <v/>
      </c>
      <c r="S55">
        <f>SUMIFS(T_Shipments[Confirmed_Qty],T_Shipments[Part Name],$A55,T_Shipments[Effective_Week],18)</f>
        <v/>
      </c>
      <c r="T55">
        <f>SUMIFS(T_Shipments[Confirmed_Qty],T_Shipments[Part Name],$A55,T_Shipments[Effective_Week],19)</f>
        <v/>
      </c>
      <c r="U55">
        <f>SUMIFS(T_Shipments[Confirmed_Qty],T_Shipments[Part Name],$A55,T_Shipments[Effective_Week],20)</f>
        <v/>
      </c>
      <c r="V55">
        <f>SUMIFS(T_Shipments[Confirmed_Qty],T_Shipments[Part Name],$A55,T_Shipments[Effective_Week],21)</f>
        <v/>
      </c>
      <c r="W55">
        <f>SUMIFS(T_Shipments[Confirmed_Qty],T_Shipments[Part Name],$A55,T_Shipments[Effective_Week],22)</f>
        <v/>
      </c>
      <c r="X55">
        <f>SUMIFS(T_Shipments[Confirmed_Qty],T_Shipments[Part Name],$A55,T_Shipments[Effective_Week],23)</f>
        <v/>
      </c>
      <c r="Y55">
        <f>SUMIFS(T_Shipments[Confirmed_Qty],T_Shipments[Part Name],$A55,T_Shipments[Effective_Week],24)</f>
        <v/>
      </c>
      <c r="Z55">
        <f>SUMIFS(T_Shipments[Confirmed_Qty],T_Shipments[Part Name],$A55,T_Shipments[Effective_Week],25)</f>
        <v/>
      </c>
      <c r="AA55">
        <f>SUMIFS(T_Shipments[Confirmed_Qty],T_Shipments[Part Name],$A55,T_Shipments[Effective_Week],26)</f>
        <v/>
      </c>
      <c r="AB55">
        <f>SUMIFS(T_Shipments[Confirmed_Qty],T_Shipments[Part Name],$A55,T_Shipments[Effective_Week],27)</f>
        <v/>
      </c>
      <c r="AC55">
        <f>SUMIFS(T_Shipments[Confirmed_Qty],T_Shipments[Part Name],$A55,T_Shipments[Effective_Week],28)</f>
        <v/>
      </c>
      <c r="AD55">
        <f>SUMIFS(T_Shipments[Confirmed_Qty],T_Shipments[Part Name],$A55,T_Shipments[Effective_Week],29)</f>
        <v/>
      </c>
      <c r="AE55">
        <f>SUMIFS(T_Shipments[Confirmed_Qty],T_Shipments[Part Name],$A55,T_Shipments[Effective_Week],30)</f>
        <v/>
      </c>
      <c r="AF55">
        <f>SUMIFS(T_Shipments[Confirmed_Qty],T_Shipments[Part Name],$A55,T_Shipments[Effective_Week],31)</f>
        <v/>
      </c>
      <c r="AG55">
        <f>SUMIFS(T_Shipments[Confirmed_Qty],T_Shipments[Part Name],$A55,T_Shipments[Effective_Week],32)</f>
        <v/>
      </c>
      <c r="AH55">
        <f>SUMIFS(T_Shipments[Confirmed_Qty],T_Shipments[Part Name],$A55,T_Shipments[Effective_Week],33)</f>
        <v/>
      </c>
      <c r="AI55">
        <f>SUMIFS(T_Shipments[Confirmed_Qty],T_Shipments[Part Name],$A55,T_Shipments[Effective_Week],34)</f>
        <v/>
      </c>
      <c r="AJ55">
        <f>SUMIFS(T_Shipments[Confirmed_Qty],T_Shipments[Part Name],$A55,T_Shipments[Effective_Week],35)</f>
        <v/>
      </c>
      <c r="AK55">
        <f>SUMIFS(T_Shipments[Confirmed_Qty],T_Shipments[Part Name],$A55,T_Shipments[Effective_Week],36)</f>
        <v/>
      </c>
      <c r="AL55">
        <f>SUMIFS(T_Shipments[Confirmed_Qty],T_Shipments[Part Name],$A55,T_Shipments[Effective_Week],37)</f>
        <v/>
      </c>
      <c r="AM55">
        <f>SUMIFS(T_Shipments[Confirmed_Qty],T_Shipments[Part Name],$A55,T_Shipments[Effective_Week],38)</f>
        <v/>
      </c>
      <c r="AN55">
        <f>SUMIFS(T_Shipments[Confirmed_Qty],T_Shipments[Part Name],$A55,T_Shipments[Effective_Week],39)</f>
        <v/>
      </c>
      <c r="AO55">
        <f>SUMIFS(T_Shipments[Confirmed_Qty],T_Shipments[Part Name],$A55,T_Shipments[Effective_Week],40)</f>
        <v/>
      </c>
      <c r="AP55">
        <f>SUMIFS(T_Shipments[Confirmed_Qty],T_Shipments[Part Name],$A55,T_Shipments[Effective_Week],41)</f>
        <v/>
      </c>
      <c r="AQ55">
        <f>SUMIFS(T_Shipments[Confirmed_Qty],T_Shipments[Part Name],$A55,T_Shipments[Effective_Week],42)</f>
        <v/>
      </c>
      <c r="AR55">
        <f>SUMIFS(T_Shipments[Confirmed_Qty],T_Shipments[Part Name],$A55,T_Shipments[Effective_Week],43)</f>
        <v/>
      </c>
      <c r="AS55">
        <f>SUMIFS(T_Shipments[Confirmed_Qty],T_Shipments[Part Name],$A55,T_Shipments[Effective_Week],44)</f>
        <v/>
      </c>
      <c r="AT55">
        <f>SUMIFS(T_Shipments[Confirmed_Qty],T_Shipments[Part Name],$A55,T_Shipments[Effective_Week],45)</f>
        <v/>
      </c>
      <c r="AU55">
        <f>SUMIFS(T_Shipments[Confirmed_Qty],T_Shipments[Part Name],$A55,T_Shipments[Effective_Week],46)</f>
        <v/>
      </c>
      <c r="AV55">
        <f>SUMIFS(T_Shipments[Confirmed_Qty],T_Shipments[Part Name],$A55,T_Shipments[Effective_Week],47)</f>
        <v/>
      </c>
      <c r="AW55">
        <f>SUMIFS(T_Shipments[Confirmed_Qty],T_Shipments[Part Name],$A55,T_Shipments[Effective_Week],48)</f>
        <v/>
      </c>
      <c r="AX55">
        <f>SUMIFS(T_Shipments[Confirmed_Qty],T_Shipments[Part Name],$A55,T_Shipments[Effective_Week],49)</f>
        <v/>
      </c>
      <c r="AY55">
        <f>SUMIFS(T_Shipments[Confirmed_Qty],T_Shipments[Part Name],$A55,T_Shipments[Effective_Week],50)</f>
        <v/>
      </c>
      <c r="AZ55">
        <f>SUMIFS(T_Shipments[Confirmed_Qty],T_Shipments[Part Name],$A55,T_Shipments[Effective_Week],51)</f>
        <v/>
      </c>
      <c r="BA55">
        <f>SUMIFS(T_Shipments[Confirmed_Qty],T_Shipments[Part Name],$A55,T_Shipments[Effective_Week],52)</f>
        <v/>
      </c>
      <c r="BB55">
        <f>SUMIFS(T_Shipments[Confirmed_Qty],T_Shipments[Part Name],$A55,T_Shipments[Effective_Week],53)</f>
        <v/>
      </c>
      <c r="BC55">
        <f>SUMIFS(T_Shipments[Confirmed_Qty],T_Shipments[Part Name],$A55,T_Shipments[Effective_Week],54)</f>
        <v/>
      </c>
      <c r="BD55">
        <f>SUMIFS(T_Shipments[Confirmed_Qty],T_Shipments[Part Name],$A55,T_Shipments[Effective_Week],55)</f>
        <v/>
      </c>
      <c r="BE55">
        <f>SUMIFS(T_Shipments[Confirmed_Qty],T_Shipments[Part Name],$A55,T_Shipments[Effective_Week],56)</f>
        <v/>
      </c>
      <c r="BF55">
        <f>SUMIFS(T_Shipments[Confirmed_Qty],T_Shipments[Part Name],$A55,T_Shipments[Effective_Week],57)</f>
        <v/>
      </c>
      <c r="BG55">
        <f>SUMIFS(T_Shipments[Confirmed_Qty],T_Shipments[Part Name],$A55,T_Shipments[Effective_Week],58)</f>
        <v/>
      </c>
      <c r="BH55">
        <f>SUMIFS(T_Shipments[Confirmed_Qty],T_Shipments[Part Name],$A55,T_Shipments[Effective_Week],59)</f>
        <v/>
      </c>
      <c r="BI55">
        <f>SUMIFS(T_Shipments[Confirmed_Qty],T_Shipments[Part Name],$A55,T_Shipments[Effective_Week],60)</f>
        <v/>
      </c>
      <c r="BJ55">
        <f>SUMIFS(T_Shipments[Confirmed_Qty],T_Shipments[Part Name],$A55,T_Shipments[Effective_Week],61)</f>
        <v/>
      </c>
      <c r="BK55">
        <f>SUMIFS(T_Shipments[Confirmed_Qty],T_Shipments[Part Name],$A55,T_Shipments[Effective_Week],62)</f>
        <v/>
      </c>
      <c r="BL55">
        <f>SUMIFS(T_Shipments[Confirmed_Qty],T_Shipments[Part Name],$A55,T_Shipments[Effective_Week],63)</f>
        <v/>
      </c>
      <c r="BM55">
        <f>SUMIFS(T_Shipments[Confirmed_Qty],T_Shipments[Part Name],$A55,T_Shipments[Effective_Week],64)</f>
        <v/>
      </c>
      <c r="BN55">
        <f>SUMIFS(T_Shipments[Confirmed_Qty],T_Shipments[Part Name],$A55,T_Shipments[Effective_Week],65)</f>
        <v/>
      </c>
      <c r="BO55">
        <f>SUMIFS(T_Shipments[Confirmed_Qty],T_Shipments[Part Name],$A55,T_Shipments[Effective_Week],66)</f>
        <v/>
      </c>
      <c r="BP55">
        <f>SUMIFS(T_Shipments[Confirmed_Qty],T_Shipments[Part Name],$A55,T_Shipments[Effective_Week],67)</f>
        <v/>
      </c>
      <c r="BQ55">
        <f>SUMIFS(T_Shipments[Confirmed_Qty],T_Shipments[Part Name],$A55,T_Shipments[Effective_Week],68)</f>
        <v/>
      </c>
      <c r="BR55">
        <f>SUMIFS(T_Shipments[Confirmed_Qty],T_Shipments[Part Name],$A55,T_Shipments[Effective_Week],69)</f>
        <v/>
      </c>
      <c r="BS55">
        <f>SUMIFS(T_Shipments[Confirmed_Qty],T_Shipments[Part Name],$A55,T_Shipments[Effective_Week],70)</f>
        <v/>
      </c>
      <c r="BT55">
        <f>SUMIFS(T_Shipments[Confirmed_Qty],T_Shipments[Part Name],$A55,T_Shipments[Effective_Week],71)</f>
        <v/>
      </c>
      <c r="BU55">
        <f>SUMIFS(T_Shipments[Confirmed_Qty],T_Shipments[Part Name],$A55,T_Shipments[Effective_Week],72)</f>
        <v/>
      </c>
      <c r="BV55">
        <f>SUMIFS(T_Shipments[Confirmed_Qty],T_Shipments[Part Name],$A55,T_Shipments[Effective_Week],73)</f>
        <v/>
      </c>
      <c r="BW55">
        <f>SUMIFS(T_Shipments[Confirmed_Qty],T_Shipments[Part Name],$A55,T_Shipments[Effective_Week],74)</f>
        <v/>
      </c>
      <c r="BX55">
        <f>SUMIFS(T_Shipments[Confirmed_Qty],T_Shipments[Part Name],$A55,T_Shipments[Effective_Week],75)</f>
        <v/>
      </c>
      <c r="BY55">
        <f>SUMIFS(T_Shipments[Confirmed_Qty],T_Shipments[Part Name],$A55,T_Shipments[Effective_Week],76)</f>
        <v/>
      </c>
      <c r="BZ55">
        <f>SUMIFS(T_Shipments[Confirmed_Qty],T_Shipments[Part Name],$A55,T_Shipments[Effective_Week],77)</f>
        <v/>
      </c>
      <c r="CA55">
        <f>SUMIFS(T_Shipments[Confirmed_Qty],T_Shipments[Part Name],$A55,T_Shipments[Effective_Week],78)</f>
        <v/>
      </c>
      <c r="CB55">
        <f>SUMIFS(T_Shipments[Confirmed_Qty],T_Shipments[Part Name],$A55,T_Shipments[Effective_Week],79)</f>
        <v/>
      </c>
      <c r="CC55">
        <f>SUMIFS(T_Shipments[Confirmed_Qty],T_Shipments[Part Name],$A55,T_Shipments[Effective_Week],80)</f>
        <v/>
      </c>
      <c r="CD55">
        <f>SUMIFS(T_Shipments[Confirmed_Qty],T_Shipments[Part Name],$A55,T_Shipments[Effective_Week],81)</f>
        <v/>
      </c>
      <c r="CE55">
        <f>SUMIFS(T_Shipments[Confirmed_Qty],T_Shipments[Part Name],$A55,T_Shipments[Effective_Week],82)</f>
        <v/>
      </c>
      <c r="CF55">
        <f>SUMIFS(T_Shipments[Confirmed_Qty],T_Shipments[Part Name],$A55,T_Shipments[Effective_Week],83)</f>
        <v/>
      </c>
      <c r="CG55">
        <f>SUMIFS(T_Shipments[Confirmed_Qty],T_Shipments[Part Name],$A55,T_Shipments[Effective_Week],84)</f>
        <v/>
      </c>
      <c r="CH55">
        <f>SUMIFS(T_Shipments[Confirmed_Qty],T_Shipments[Part Name],$A55,T_Shipments[Effective_Week],85)</f>
        <v/>
      </c>
      <c r="CI55">
        <f>SUMIFS(T_Shipments[Confirmed_Qty],T_Shipments[Part Name],$A55,T_Shipments[Effective_Week],86)</f>
        <v/>
      </c>
      <c r="CJ55">
        <f>SUMIFS(T_Shipments[Confirmed_Qty],T_Shipments[Part Name],$A55,T_Shipments[Effective_Week],87)</f>
        <v/>
      </c>
      <c r="CK55">
        <f>SUMIFS(T_Shipments[Confirmed_Qty],T_Shipments[Part Name],$A55,T_Shipments[Effective_Week],88)</f>
        <v/>
      </c>
      <c r="CL55">
        <f>SUMIFS(T_Shipments[Confirmed_Qty],T_Shipments[Part Name],$A55,T_Shipments[Effective_Week],89)</f>
        <v/>
      </c>
      <c r="CM55">
        <f>SUMIFS(T_Shipments[Confirmed_Qty],T_Shipments[Part Name],$A55,T_Shipments[Effective_Week],90)</f>
        <v/>
      </c>
      <c r="CN55">
        <f>SUMIFS(T_Shipments[Confirmed_Qty],T_Shipments[Part Name],$A55,T_Shipments[Effective_Week],91)</f>
        <v/>
      </c>
      <c r="CO55">
        <f>SUMIFS(T_Shipments[Confirmed_Qty],T_Shipments[Part Name],$A55,T_Shipments[Effective_Week],92)</f>
        <v/>
      </c>
      <c r="CP55">
        <f>SUMIFS(T_Shipments[Confirmed_Qty],T_Shipments[Part Name],$A55,T_Shipments[Effective_Week],93)</f>
        <v/>
      </c>
      <c r="CQ55">
        <f>SUMIFS(T_Shipments[Confirmed_Qty],T_Shipments[Part Name],$A55,T_Shipments[Effective_Week],94)</f>
        <v/>
      </c>
      <c r="CR55">
        <f>SUMIFS(T_Shipments[Confirmed_Qty],T_Shipments[Part Name],$A55,T_Shipments[Effective_Week],95)</f>
        <v/>
      </c>
      <c r="CS55">
        <f>SUMIFS(T_Shipments[Confirmed_Qty],T_Shipments[Part Name],$A55,T_Shipments[Effective_Week],96)</f>
        <v/>
      </c>
      <c r="CT55">
        <f>SUMIFS(T_Shipments[Confirmed_Qty],T_Shipments[Part Name],$A55,T_Shipments[Effective_Week],97)</f>
        <v/>
      </c>
      <c r="CU55">
        <f>SUMIFS(T_Shipments[Confirmed_Qty],T_Shipments[Part Name],$A55,T_Shipments[Effective_Week],98)</f>
        <v/>
      </c>
      <c r="CV55">
        <f>SUMIFS(T_Shipments[Confirmed_Qty],T_Shipments[Part Name],$A55,T_Shipments[Effective_Week],99)</f>
        <v/>
      </c>
      <c r="CW55">
        <f>SUMIFS(T_Shipments[Confirmed_Qty],T_Shipments[Part Name],$A55,T_Shipments[Effective_Week],100)</f>
        <v/>
      </c>
      <c r="CX55">
        <f>SUMIFS(T_Shipments[Confirmed_Qty],T_Shipments[Part Name],$A55,T_Shipments[Effective_Week],101)</f>
        <v/>
      </c>
      <c r="CY55">
        <f>SUMIFS(T_Shipments[Confirmed_Qty],T_Shipments[Part Name],$A55,T_Shipments[Effective_Week],102)</f>
        <v/>
      </c>
      <c r="CZ55">
        <f>SUMIFS(T_Shipments[Confirmed_Qty],T_Shipments[Part Name],$A55,T_Shipments[Effective_Week],103)</f>
        <v/>
      </c>
      <c r="DA55">
        <f>SUMIFS(T_Shipments[Confirmed_Qty],T_Shipments[Part Name],$A55,T_Shipments[Effective_Week],104)</f>
        <v/>
      </c>
    </row>
    <row r="56">
      <c r="A56" t="inlineStr">
        <is>
          <t>CHEM-1690</t>
        </is>
      </c>
      <c r="B56">
        <f>SUMIFS(T_Shipments[Confirmed_Qty],T_Shipments[Part Name],$A56,T_Shipments[Effective_Week],1)</f>
        <v/>
      </c>
      <c r="C56">
        <f>SUMIFS(T_Shipments[Confirmed_Qty],T_Shipments[Part Name],$A56,T_Shipments[Effective_Week],2)</f>
        <v/>
      </c>
      <c r="D56">
        <f>SUMIFS(T_Shipments[Confirmed_Qty],T_Shipments[Part Name],$A56,T_Shipments[Effective_Week],3)</f>
        <v/>
      </c>
      <c r="E56">
        <f>SUMIFS(T_Shipments[Confirmed_Qty],T_Shipments[Part Name],$A56,T_Shipments[Effective_Week],4)</f>
        <v/>
      </c>
      <c r="F56">
        <f>SUMIFS(T_Shipments[Confirmed_Qty],T_Shipments[Part Name],$A56,T_Shipments[Effective_Week],5)</f>
        <v/>
      </c>
      <c r="G56">
        <f>SUMIFS(T_Shipments[Confirmed_Qty],T_Shipments[Part Name],$A56,T_Shipments[Effective_Week],6)</f>
        <v/>
      </c>
      <c r="H56">
        <f>SUMIFS(T_Shipments[Confirmed_Qty],T_Shipments[Part Name],$A56,T_Shipments[Effective_Week],7)</f>
        <v/>
      </c>
      <c r="I56">
        <f>SUMIFS(T_Shipments[Confirmed_Qty],T_Shipments[Part Name],$A56,T_Shipments[Effective_Week],8)</f>
        <v/>
      </c>
      <c r="J56">
        <f>SUMIFS(T_Shipments[Confirmed_Qty],T_Shipments[Part Name],$A56,T_Shipments[Effective_Week],9)</f>
        <v/>
      </c>
      <c r="K56">
        <f>SUMIFS(T_Shipments[Confirmed_Qty],T_Shipments[Part Name],$A56,T_Shipments[Effective_Week],10)</f>
        <v/>
      </c>
      <c r="L56">
        <f>SUMIFS(T_Shipments[Confirmed_Qty],T_Shipments[Part Name],$A56,T_Shipments[Effective_Week],11)</f>
        <v/>
      </c>
      <c r="M56">
        <f>SUMIFS(T_Shipments[Confirmed_Qty],T_Shipments[Part Name],$A56,T_Shipments[Effective_Week],12)</f>
        <v/>
      </c>
      <c r="N56">
        <f>SUMIFS(T_Shipments[Confirmed_Qty],T_Shipments[Part Name],$A56,T_Shipments[Effective_Week],13)</f>
        <v/>
      </c>
      <c r="O56">
        <f>SUMIFS(T_Shipments[Confirmed_Qty],T_Shipments[Part Name],$A56,T_Shipments[Effective_Week],14)</f>
        <v/>
      </c>
      <c r="P56">
        <f>SUMIFS(T_Shipments[Confirmed_Qty],T_Shipments[Part Name],$A56,T_Shipments[Effective_Week],15)</f>
        <v/>
      </c>
      <c r="Q56">
        <f>SUMIFS(T_Shipments[Confirmed_Qty],T_Shipments[Part Name],$A56,T_Shipments[Effective_Week],16)</f>
        <v/>
      </c>
      <c r="R56">
        <f>SUMIFS(T_Shipments[Confirmed_Qty],T_Shipments[Part Name],$A56,T_Shipments[Effective_Week],17)</f>
        <v/>
      </c>
      <c r="S56">
        <f>SUMIFS(T_Shipments[Confirmed_Qty],T_Shipments[Part Name],$A56,T_Shipments[Effective_Week],18)</f>
        <v/>
      </c>
      <c r="T56">
        <f>SUMIFS(T_Shipments[Confirmed_Qty],T_Shipments[Part Name],$A56,T_Shipments[Effective_Week],19)</f>
        <v/>
      </c>
      <c r="U56">
        <f>SUMIFS(T_Shipments[Confirmed_Qty],T_Shipments[Part Name],$A56,T_Shipments[Effective_Week],20)</f>
        <v/>
      </c>
      <c r="V56">
        <f>SUMIFS(T_Shipments[Confirmed_Qty],T_Shipments[Part Name],$A56,T_Shipments[Effective_Week],21)</f>
        <v/>
      </c>
      <c r="W56">
        <f>SUMIFS(T_Shipments[Confirmed_Qty],T_Shipments[Part Name],$A56,T_Shipments[Effective_Week],22)</f>
        <v/>
      </c>
      <c r="X56">
        <f>SUMIFS(T_Shipments[Confirmed_Qty],T_Shipments[Part Name],$A56,T_Shipments[Effective_Week],23)</f>
        <v/>
      </c>
      <c r="Y56">
        <f>SUMIFS(T_Shipments[Confirmed_Qty],T_Shipments[Part Name],$A56,T_Shipments[Effective_Week],24)</f>
        <v/>
      </c>
      <c r="Z56">
        <f>SUMIFS(T_Shipments[Confirmed_Qty],T_Shipments[Part Name],$A56,T_Shipments[Effective_Week],25)</f>
        <v/>
      </c>
      <c r="AA56">
        <f>SUMIFS(T_Shipments[Confirmed_Qty],T_Shipments[Part Name],$A56,T_Shipments[Effective_Week],26)</f>
        <v/>
      </c>
      <c r="AB56">
        <f>SUMIFS(T_Shipments[Confirmed_Qty],T_Shipments[Part Name],$A56,T_Shipments[Effective_Week],27)</f>
        <v/>
      </c>
      <c r="AC56">
        <f>SUMIFS(T_Shipments[Confirmed_Qty],T_Shipments[Part Name],$A56,T_Shipments[Effective_Week],28)</f>
        <v/>
      </c>
      <c r="AD56">
        <f>SUMIFS(T_Shipments[Confirmed_Qty],T_Shipments[Part Name],$A56,T_Shipments[Effective_Week],29)</f>
        <v/>
      </c>
      <c r="AE56">
        <f>SUMIFS(T_Shipments[Confirmed_Qty],T_Shipments[Part Name],$A56,T_Shipments[Effective_Week],30)</f>
        <v/>
      </c>
      <c r="AF56">
        <f>SUMIFS(T_Shipments[Confirmed_Qty],T_Shipments[Part Name],$A56,T_Shipments[Effective_Week],31)</f>
        <v/>
      </c>
      <c r="AG56">
        <f>SUMIFS(T_Shipments[Confirmed_Qty],T_Shipments[Part Name],$A56,T_Shipments[Effective_Week],32)</f>
        <v/>
      </c>
      <c r="AH56">
        <f>SUMIFS(T_Shipments[Confirmed_Qty],T_Shipments[Part Name],$A56,T_Shipments[Effective_Week],33)</f>
        <v/>
      </c>
      <c r="AI56">
        <f>SUMIFS(T_Shipments[Confirmed_Qty],T_Shipments[Part Name],$A56,T_Shipments[Effective_Week],34)</f>
        <v/>
      </c>
      <c r="AJ56">
        <f>SUMIFS(T_Shipments[Confirmed_Qty],T_Shipments[Part Name],$A56,T_Shipments[Effective_Week],35)</f>
        <v/>
      </c>
      <c r="AK56">
        <f>SUMIFS(T_Shipments[Confirmed_Qty],T_Shipments[Part Name],$A56,T_Shipments[Effective_Week],36)</f>
        <v/>
      </c>
      <c r="AL56">
        <f>SUMIFS(T_Shipments[Confirmed_Qty],T_Shipments[Part Name],$A56,T_Shipments[Effective_Week],37)</f>
        <v/>
      </c>
      <c r="AM56">
        <f>SUMIFS(T_Shipments[Confirmed_Qty],T_Shipments[Part Name],$A56,T_Shipments[Effective_Week],38)</f>
        <v/>
      </c>
      <c r="AN56">
        <f>SUMIFS(T_Shipments[Confirmed_Qty],T_Shipments[Part Name],$A56,T_Shipments[Effective_Week],39)</f>
        <v/>
      </c>
      <c r="AO56">
        <f>SUMIFS(T_Shipments[Confirmed_Qty],T_Shipments[Part Name],$A56,T_Shipments[Effective_Week],40)</f>
        <v/>
      </c>
      <c r="AP56">
        <f>SUMIFS(T_Shipments[Confirmed_Qty],T_Shipments[Part Name],$A56,T_Shipments[Effective_Week],41)</f>
        <v/>
      </c>
      <c r="AQ56">
        <f>SUMIFS(T_Shipments[Confirmed_Qty],T_Shipments[Part Name],$A56,T_Shipments[Effective_Week],42)</f>
        <v/>
      </c>
      <c r="AR56">
        <f>SUMIFS(T_Shipments[Confirmed_Qty],T_Shipments[Part Name],$A56,T_Shipments[Effective_Week],43)</f>
        <v/>
      </c>
      <c r="AS56">
        <f>SUMIFS(T_Shipments[Confirmed_Qty],T_Shipments[Part Name],$A56,T_Shipments[Effective_Week],44)</f>
        <v/>
      </c>
      <c r="AT56">
        <f>SUMIFS(T_Shipments[Confirmed_Qty],T_Shipments[Part Name],$A56,T_Shipments[Effective_Week],45)</f>
        <v/>
      </c>
      <c r="AU56">
        <f>SUMIFS(T_Shipments[Confirmed_Qty],T_Shipments[Part Name],$A56,T_Shipments[Effective_Week],46)</f>
        <v/>
      </c>
      <c r="AV56">
        <f>SUMIFS(T_Shipments[Confirmed_Qty],T_Shipments[Part Name],$A56,T_Shipments[Effective_Week],47)</f>
        <v/>
      </c>
      <c r="AW56">
        <f>SUMIFS(T_Shipments[Confirmed_Qty],T_Shipments[Part Name],$A56,T_Shipments[Effective_Week],48)</f>
        <v/>
      </c>
      <c r="AX56">
        <f>SUMIFS(T_Shipments[Confirmed_Qty],T_Shipments[Part Name],$A56,T_Shipments[Effective_Week],49)</f>
        <v/>
      </c>
      <c r="AY56">
        <f>SUMIFS(T_Shipments[Confirmed_Qty],T_Shipments[Part Name],$A56,T_Shipments[Effective_Week],50)</f>
        <v/>
      </c>
      <c r="AZ56">
        <f>SUMIFS(T_Shipments[Confirmed_Qty],T_Shipments[Part Name],$A56,T_Shipments[Effective_Week],51)</f>
        <v/>
      </c>
      <c r="BA56">
        <f>SUMIFS(T_Shipments[Confirmed_Qty],T_Shipments[Part Name],$A56,T_Shipments[Effective_Week],52)</f>
        <v/>
      </c>
      <c r="BB56">
        <f>SUMIFS(T_Shipments[Confirmed_Qty],T_Shipments[Part Name],$A56,T_Shipments[Effective_Week],53)</f>
        <v/>
      </c>
      <c r="BC56">
        <f>SUMIFS(T_Shipments[Confirmed_Qty],T_Shipments[Part Name],$A56,T_Shipments[Effective_Week],54)</f>
        <v/>
      </c>
      <c r="BD56">
        <f>SUMIFS(T_Shipments[Confirmed_Qty],T_Shipments[Part Name],$A56,T_Shipments[Effective_Week],55)</f>
        <v/>
      </c>
      <c r="BE56">
        <f>SUMIFS(T_Shipments[Confirmed_Qty],T_Shipments[Part Name],$A56,T_Shipments[Effective_Week],56)</f>
        <v/>
      </c>
      <c r="BF56">
        <f>SUMIFS(T_Shipments[Confirmed_Qty],T_Shipments[Part Name],$A56,T_Shipments[Effective_Week],57)</f>
        <v/>
      </c>
      <c r="BG56">
        <f>SUMIFS(T_Shipments[Confirmed_Qty],T_Shipments[Part Name],$A56,T_Shipments[Effective_Week],58)</f>
        <v/>
      </c>
      <c r="BH56">
        <f>SUMIFS(T_Shipments[Confirmed_Qty],T_Shipments[Part Name],$A56,T_Shipments[Effective_Week],59)</f>
        <v/>
      </c>
      <c r="BI56">
        <f>SUMIFS(T_Shipments[Confirmed_Qty],T_Shipments[Part Name],$A56,T_Shipments[Effective_Week],60)</f>
        <v/>
      </c>
      <c r="BJ56">
        <f>SUMIFS(T_Shipments[Confirmed_Qty],T_Shipments[Part Name],$A56,T_Shipments[Effective_Week],61)</f>
        <v/>
      </c>
      <c r="BK56">
        <f>SUMIFS(T_Shipments[Confirmed_Qty],T_Shipments[Part Name],$A56,T_Shipments[Effective_Week],62)</f>
        <v/>
      </c>
      <c r="BL56">
        <f>SUMIFS(T_Shipments[Confirmed_Qty],T_Shipments[Part Name],$A56,T_Shipments[Effective_Week],63)</f>
        <v/>
      </c>
      <c r="BM56">
        <f>SUMIFS(T_Shipments[Confirmed_Qty],T_Shipments[Part Name],$A56,T_Shipments[Effective_Week],64)</f>
        <v/>
      </c>
      <c r="BN56">
        <f>SUMIFS(T_Shipments[Confirmed_Qty],T_Shipments[Part Name],$A56,T_Shipments[Effective_Week],65)</f>
        <v/>
      </c>
      <c r="BO56">
        <f>SUMIFS(T_Shipments[Confirmed_Qty],T_Shipments[Part Name],$A56,T_Shipments[Effective_Week],66)</f>
        <v/>
      </c>
      <c r="BP56">
        <f>SUMIFS(T_Shipments[Confirmed_Qty],T_Shipments[Part Name],$A56,T_Shipments[Effective_Week],67)</f>
        <v/>
      </c>
      <c r="BQ56">
        <f>SUMIFS(T_Shipments[Confirmed_Qty],T_Shipments[Part Name],$A56,T_Shipments[Effective_Week],68)</f>
        <v/>
      </c>
      <c r="BR56">
        <f>SUMIFS(T_Shipments[Confirmed_Qty],T_Shipments[Part Name],$A56,T_Shipments[Effective_Week],69)</f>
        <v/>
      </c>
      <c r="BS56">
        <f>SUMIFS(T_Shipments[Confirmed_Qty],T_Shipments[Part Name],$A56,T_Shipments[Effective_Week],70)</f>
        <v/>
      </c>
      <c r="BT56">
        <f>SUMIFS(T_Shipments[Confirmed_Qty],T_Shipments[Part Name],$A56,T_Shipments[Effective_Week],71)</f>
        <v/>
      </c>
      <c r="BU56">
        <f>SUMIFS(T_Shipments[Confirmed_Qty],T_Shipments[Part Name],$A56,T_Shipments[Effective_Week],72)</f>
        <v/>
      </c>
      <c r="BV56">
        <f>SUMIFS(T_Shipments[Confirmed_Qty],T_Shipments[Part Name],$A56,T_Shipments[Effective_Week],73)</f>
        <v/>
      </c>
      <c r="BW56">
        <f>SUMIFS(T_Shipments[Confirmed_Qty],T_Shipments[Part Name],$A56,T_Shipments[Effective_Week],74)</f>
        <v/>
      </c>
      <c r="BX56">
        <f>SUMIFS(T_Shipments[Confirmed_Qty],T_Shipments[Part Name],$A56,T_Shipments[Effective_Week],75)</f>
        <v/>
      </c>
      <c r="BY56">
        <f>SUMIFS(T_Shipments[Confirmed_Qty],T_Shipments[Part Name],$A56,T_Shipments[Effective_Week],76)</f>
        <v/>
      </c>
      <c r="BZ56">
        <f>SUMIFS(T_Shipments[Confirmed_Qty],T_Shipments[Part Name],$A56,T_Shipments[Effective_Week],77)</f>
        <v/>
      </c>
      <c r="CA56">
        <f>SUMIFS(T_Shipments[Confirmed_Qty],T_Shipments[Part Name],$A56,T_Shipments[Effective_Week],78)</f>
        <v/>
      </c>
      <c r="CB56">
        <f>SUMIFS(T_Shipments[Confirmed_Qty],T_Shipments[Part Name],$A56,T_Shipments[Effective_Week],79)</f>
        <v/>
      </c>
      <c r="CC56">
        <f>SUMIFS(T_Shipments[Confirmed_Qty],T_Shipments[Part Name],$A56,T_Shipments[Effective_Week],80)</f>
        <v/>
      </c>
      <c r="CD56">
        <f>SUMIFS(T_Shipments[Confirmed_Qty],T_Shipments[Part Name],$A56,T_Shipments[Effective_Week],81)</f>
        <v/>
      </c>
      <c r="CE56">
        <f>SUMIFS(T_Shipments[Confirmed_Qty],T_Shipments[Part Name],$A56,T_Shipments[Effective_Week],82)</f>
        <v/>
      </c>
      <c r="CF56">
        <f>SUMIFS(T_Shipments[Confirmed_Qty],T_Shipments[Part Name],$A56,T_Shipments[Effective_Week],83)</f>
        <v/>
      </c>
      <c r="CG56">
        <f>SUMIFS(T_Shipments[Confirmed_Qty],T_Shipments[Part Name],$A56,T_Shipments[Effective_Week],84)</f>
        <v/>
      </c>
      <c r="CH56">
        <f>SUMIFS(T_Shipments[Confirmed_Qty],T_Shipments[Part Name],$A56,T_Shipments[Effective_Week],85)</f>
        <v/>
      </c>
      <c r="CI56">
        <f>SUMIFS(T_Shipments[Confirmed_Qty],T_Shipments[Part Name],$A56,T_Shipments[Effective_Week],86)</f>
        <v/>
      </c>
      <c r="CJ56">
        <f>SUMIFS(T_Shipments[Confirmed_Qty],T_Shipments[Part Name],$A56,T_Shipments[Effective_Week],87)</f>
        <v/>
      </c>
      <c r="CK56">
        <f>SUMIFS(T_Shipments[Confirmed_Qty],T_Shipments[Part Name],$A56,T_Shipments[Effective_Week],88)</f>
        <v/>
      </c>
      <c r="CL56">
        <f>SUMIFS(T_Shipments[Confirmed_Qty],T_Shipments[Part Name],$A56,T_Shipments[Effective_Week],89)</f>
        <v/>
      </c>
      <c r="CM56">
        <f>SUMIFS(T_Shipments[Confirmed_Qty],T_Shipments[Part Name],$A56,T_Shipments[Effective_Week],90)</f>
        <v/>
      </c>
      <c r="CN56">
        <f>SUMIFS(T_Shipments[Confirmed_Qty],T_Shipments[Part Name],$A56,T_Shipments[Effective_Week],91)</f>
        <v/>
      </c>
      <c r="CO56">
        <f>SUMIFS(T_Shipments[Confirmed_Qty],T_Shipments[Part Name],$A56,T_Shipments[Effective_Week],92)</f>
        <v/>
      </c>
      <c r="CP56">
        <f>SUMIFS(T_Shipments[Confirmed_Qty],T_Shipments[Part Name],$A56,T_Shipments[Effective_Week],93)</f>
        <v/>
      </c>
      <c r="CQ56">
        <f>SUMIFS(T_Shipments[Confirmed_Qty],T_Shipments[Part Name],$A56,T_Shipments[Effective_Week],94)</f>
        <v/>
      </c>
      <c r="CR56">
        <f>SUMIFS(T_Shipments[Confirmed_Qty],T_Shipments[Part Name],$A56,T_Shipments[Effective_Week],95)</f>
        <v/>
      </c>
      <c r="CS56">
        <f>SUMIFS(T_Shipments[Confirmed_Qty],T_Shipments[Part Name],$A56,T_Shipments[Effective_Week],96)</f>
        <v/>
      </c>
      <c r="CT56">
        <f>SUMIFS(T_Shipments[Confirmed_Qty],T_Shipments[Part Name],$A56,T_Shipments[Effective_Week],97)</f>
        <v/>
      </c>
      <c r="CU56">
        <f>SUMIFS(T_Shipments[Confirmed_Qty],T_Shipments[Part Name],$A56,T_Shipments[Effective_Week],98)</f>
        <v/>
      </c>
      <c r="CV56">
        <f>SUMIFS(T_Shipments[Confirmed_Qty],T_Shipments[Part Name],$A56,T_Shipments[Effective_Week],99)</f>
        <v/>
      </c>
      <c r="CW56">
        <f>SUMIFS(T_Shipments[Confirmed_Qty],T_Shipments[Part Name],$A56,T_Shipments[Effective_Week],100)</f>
        <v/>
      </c>
      <c r="CX56">
        <f>SUMIFS(T_Shipments[Confirmed_Qty],T_Shipments[Part Name],$A56,T_Shipments[Effective_Week],101)</f>
        <v/>
      </c>
      <c r="CY56">
        <f>SUMIFS(T_Shipments[Confirmed_Qty],T_Shipments[Part Name],$A56,T_Shipments[Effective_Week],102)</f>
        <v/>
      </c>
      <c r="CZ56">
        <f>SUMIFS(T_Shipments[Confirmed_Qty],T_Shipments[Part Name],$A56,T_Shipments[Effective_Week],103)</f>
        <v/>
      </c>
      <c r="DA56">
        <f>SUMIFS(T_Shipments[Confirmed_Qty],T_Shipments[Part Name],$A56,T_Shipments[Effective_Week],104)</f>
        <v/>
      </c>
    </row>
    <row r="57">
      <c r="A57" t="inlineStr">
        <is>
          <t>CHEM-1720</t>
        </is>
      </c>
      <c r="B57">
        <f>SUMIFS(T_Shipments[Confirmed_Qty],T_Shipments[Part Name],$A57,T_Shipments[Effective_Week],1)</f>
        <v/>
      </c>
      <c r="C57">
        <f>SUMIFS(T_Shipments[Confirmed_Qty],T_Shipments[Part Name],$A57,T_Shipments[Effective_Week],2)</f>
        <v/>
      </c>
      <c r="D57">
        <f>SUMIFS(T_Shipments[Confirmed_Qty],T_Shipments[Part Name],$A57,T_Shipments[Effective_Week],3)</f>
        <v/>
      </c>
      <c r="E57">
        <f>SUMIFS(T_Shipments[Confirmed_Qty],T_Shipments[Part Name],$A57,T_Shipments[Effective_Week],4)</f>
        <v/>
      </c>
      <c r="F57">
        <f>SUMIFS(T_Shipments[Confirmed_Qty],T_Shipments[Part Name],$A57,T_Shipments[Effective_Week],5)</f>
        <v/>
      </c>
      <c r="G57">
        <f>SUMIFS(T_Shipments[Confirmed_Qty],T_Shipments[Part Name],$A57,T_Shipments[Effective_Week],6)</f>
        <v/>
      </c>
      <c r="H57">
        <f>SUMIFS(T_Shipments[Confirmed_Qty],T_Shipments[Part Name],$A57,T_Shipments[Effective_Week],7)</f>
        <v/>
      </c>
      <c r="I57">
        <f>SUMIFS(T_Shipments[Confirmed_Qty],T_Shipments[Part Name],$A57,T_Shipments[Effective_Week],8)</f>
        <v/>
      </c>
      <c r="J57">
        <f>SUMIFS(T_Shipments[Confirmed_Qty],T_Shipments[Part Name],$A57,T_Shipments[Effective_Week],9)</f>
        <v/>
      </c>
      <c r="K57">
        <f>SUMIFS(T_Shipments[Confirmed_Qty],T_Shipments[Part Name],$A57,T_Shipments[Effective_Week],10)</f>
        <v/>
      </c>
      <c r="L57">
        <f>SUMIFS(T_Shipments[Confirmed_Qty],T_Shipments[Part Name],$A57,T_Shipments[Effective_Week],11)</f>
        <v/>
      </c>
      <c r="M57">
        <f>SUMIFS(T_Shipments[Confirmed_Qty],T_Shipments[Part Name],$A57,T_Shipments[Effective_Week],12)</f>
        <v/>
      </c>
      <c r="N57">
        <f>SUMIFS(T_Shipments[Confirmed_Qty],T_Shipments[Part Name],$A57,T_Shipments[Effective_Week],13)</f>
        <v/>
      </c>
      <c r="O57">
        <f>SUMIFS(T_Shipments[Confirmed_Qty],T_Shipments[Part Name],$A57,T_Shipments[Effective_Week],14)</f>
        <v/>
      </c>
      <c r="P57">
        <f>SUMIFS(T_Shipments[Confirmed_Qty],T_Shipments[Part Name],$A57,T_Shipments[Effective_Week],15)</f>
        <v/>
      </c>
      <c r="Q57">
        <f>SUMIFS(T_Shipments[Confirmed_Qty],T_Shipments[Part Name],$A57,T_Shipments[Effective_Week],16)</f>
        <v/>
      </c>
      <c r="R57">
        <f>SUMIFS(T_Shipments[Confirmed_Qty],T_Shipments[Part Name],$A57,T_Shipments[Effective_Week],17)</f>
        <v/>
      </c>
      <c r="S57">
        <f>SUMIFS(T_Shipments[Confirmed_Qty],T_Shipments[Part Name],$A57,T_Shipments[Effective_Week],18)</f>
        <v/>
      </c>
      <c r="T57">
        <f>SUMIFS(T_Shipments[Confirmed_Qty],T_Shipments[Part Name],$A57,T_Shipments[Effective_Week],19)</f>
        <v/>
      </c>
      <c r="U57">
        <f>SUMIFS(T_Shipments[Confirmed_Qty],T_Shipments[Part Name],$A57,T_Shipments[Effective_Week],20)</f>
        <v/>
      </c>
      <c r="V57">
        <f>SUMIFS(T_Shipments[Confirmed_Qty],T_Shipments[Part Name],$A57,T_Shipments[Effective_Week],21)</f>
        <v/>
      </c>
      <c r="W57">
        <f>SUMIFS(T_Shipments[Confirmed_Qty],T_Shipments[Part Name],$A57,T_Shipments[Effective_Week],22)</f>
        <v/>
      </c>
      <c r="X57">
        <f>SUMIFS(T_Shipments[Confirmed_Qty],T_Shipments[Part Name],$A57,T_Shipments[Effective_Week],23)</f>
        <v/>
      </c>
      <c r="Y57">
        <f>SUMIFS(T_Shipments[Confirmed_Qty],T_Shipments[Part Name],$A57,T_Shipments[Effective_Week],24)</f>
        <v/>
      </c>
      <c r="Z57">
        <f>SUMIFS(T_Shipments[Confirmed_Qty],T_Shipments[Part Name],$A57,T_Shipments[Effective_Week],25)</f>
        <v/>
      </c>
      <c r="AA57">
        <f>SUMIFS(T_Shipments[Confirmed_Qty],T_Shipments[Part Name],$A57,T_Shipments[Effective_Week],26)</f>
        <v/>
      </c>
      <c r="AB57">
        <f>SUMIFS(T_Shipments[Confirmed_Qty],T_Shipments[Part Name],$A57,T_Shipments[Effective_Week],27)</f>
        <v/>
      </c>
      <c r="AC57">
        <f>SUMIFS(T_Shipments[Confirmed_Qty],T_Shipments[Part Name],$A57,T_Shipments[Effective_Week],28)</f>
        <v/>
      </c>
      <c r="AD57">
        <f>SUMIFS(T_Shipments[Confirmed_Qty],T_Shipments[Part Name],$A57,T_Shipments[Effective_Week],29)</f>
        <v/>
      </c>
      <c r="AE57">
        <f>SUMIFS(T_Shipments[Confirmed_Qty],T_Shipments[Part Name],$A57,T_Shipments[Effective_Week],30)</f>
        <v/>
      </c>
      <c r="AF57">
        <f>SUMIFS(T_Shipments[Confirmed_Qty],T_Shipments[Part Name],$A57,T_Shipments[Effective_Week],31)</f>
        <v/>
      </c>
      <c r="AG57">
        <f>SUMIFS(T_Shipments[Confirmed_Qty],T_Shipments[Part Name],$A57,T_Shipments[Effective_Week],32)</f>
        <v/>
      </c>
      <c r="AH57">
        <f>SUMIFS(T_Shipments[Confirmed_Qty],T_Shipments[Part Name],$A57,T_Shipments[Effective_Week],33)</f>
        <v/>
      </c>
      <c r="AI57">
        <f>SUMIFS(T_Shipments[Confirmed_Qty],T_Shipments[Part Name],$A57,T_Shipments[Effective_Week],34)</f>
        <v/>
      </c>
      <c r="AJ57">
        <f>SUMIFS(T_Shipments[Confirmed_Qty],T_Shipments[Part Name],$A57,T_Shipments[Effective_Week],35)</f>
        <v/>
      </c>
      <c r="AK57">
        <f>SUMIFS(T_Shipments[Confirmed_Qty],T_Shipments[Part Name],$A57,T_Shipments[Effective_Week],36)</f>
        <v/>
      </c>
      <c r="AL57">
        <f>SUMIFS(T_Shipments[Confirmed_Qty],T_Shipments[Part Name],$A57,T_Shipments[Effective_Week],37)</f>
        <v/>
      </c>
      <c r="AM57">
        <f>SUMIFS(T_Shipments[Confirmed_Qty],T_Shipments[Part Name],$A57,T_Shipments[Effective_Week],38)</f>
        <v/>
      </c>
      <c r="AN57">
        <f>SUMIFS(T_Shipments[Confirmed_Qty],T_Shipments[Part Name],$A57,T_Shipments[Effective_Week],39)</f>
        <v/>
      </c>
      <c r="AO57">
        <f>SUMIFS(T_Shipments[Confirmed_Qty],T_Shipments[Part Name],$A57,T_Shipments[Effective_Week],40)</f>
        <v/>
      </c>
      <c r="AP57">
        <f>SUMIFS(T_Shipments[Confirmed_Qty],T_Shipments[Part Name],$A57,T_Shipments[Effective_Week],41)</f>
        <v/>
      </c>
      <c r="AQ57">
        <f>SUMIFS(T_Shipments[Confirmed_Qty],T_Shipments[Part Name],$A57,T_Shipments[Effective_Week],42)</f>
        <v/>
      </c>
      <c r="AR57">
        <f>SUMIFS(T_Shipments[Confirmed_Qty],T_Shipments[Part Name],$A57,T_Shipments[Effective_Week],43)</f>
        <v/>
      </c>
      <c r="AS57">
        <f>SUMIFS(T_Shipments[Confirmed_Qty],T_Shipments[Part Name],$A57,T_Shipments[Effective_Week],44)</f>
        <v/>
      </c>
      <c r="AT57">
        <f>SUMIFS(T_Shipments[Confirmed_Qty],T_Shipments[Part Name],$A57,T_Shipments[Effective_Week],45)</f>
        <v/>
      </c>
      <c r="AU57">
        <f>SUMIFS(T_Shipments[Confirmed_Qty],T_Shipments[Part Name],$A57,T_Shipments[Effective_Week],46)</f>
        <v/>
      </c>
      <c r="AV57">
        <f>SUMIFS(T_Shipments[Confirmed_Qty],T_Shipments[Part Name],$A57,T_Shipments[Effective_Week],47)</f>
        <v/>
      </c>
      <c r="AW57">
        <f>SUMIFS(T_Shipments[Confirmed_Qty],T_Shipments[Part Name],$A57,T_Shipments[Effective_Week],48)</f>
        <v/>
      </c>
      <c r="AX57">
        <f>SUMIFS(T_Shipments[Confirmed_Qty],T_Shipments[Part Name],$A57,T_Shipments[Effective_Week],49)</f>
        <v/>
      </c>
      <c r="AY57">
        <f>SUMIFS(T_Shipments[Confirmed_Qty],T_Shipments[Part Name],$A57,T_Shipments[Effective_Week],50)</f>
        <v/>
      </c>
      <c r="AZ57">
        <f>SUMIFS(T_Shipments[Confirmed_Qty],T_Shipments[Part Name],$A57,T_Shipments[Effective_Week],51)</f>
        <v/>
      </c>
      <c r="BA57">
        <f>SUMIFS(T_Shipments[Confirmed_Qty],T_Shipments[Part Name],$A57,T_Shipments[Effective_Week],52)</f>
        <v/>
      </c>
      <c r="BB57">
        <f>SUMIFS(T_Shipments[Confirmed_Qty],T_Shipments[Part Name],$A57,T_Shipments[Effective_Week],53)</f>
        <v/>
      </c>
      <c r="BC57">
        <f>SUMIFS(T_Shipments[Confirmed_Qty],T_Shipments[Part Name],$A57,T_Shipments[Effective_Week],54)</f>
        <v/>
      </c>
      <c r="BD57">
        <f>SUMIFS(T_Shipments[Confirmed_Qty],T_Shipments[Part Name],$A57,T_Shipments[Effective_Week],55)</f>
        <v/>
      </c>
      <c r="BE57">
        <f>SUMIFS(T_Shipments[Confirmed_Qty],T_Shipments[Part Name],$A57,T_Shipments[Effective_Week],56)</f>
        <v/>
      </c>
      <c r="BF57">
        <f>SUMIFS(T_Shipments[Confirmed_Qty],T_Shipments[Part Name],$A57,T_Shipments[Effective_Week],57)</f>
        <v/>
      </c>
      <c r="BG57">
        <f>SUMIFS(T_Shipments[Confirmed_Qty],T_Shipments[Part Name],$A57,T_Shipments[Effective_Week],58)</f>
        <v/>
      </c>
      <c r="BH57">
        <f>SUMIFS(T_Shipments[Confirmed_Qty],T_Shipments[Part Name],$A57,T_Shipments[Effective_Week],59)</f>
        <v/>
      </c>
      <c r="BI57">
        <f>SUMIFS(T_Shipments[Confirmed_Qty],T_Shipments[Part Name],$A57,T_Shipments[Effective_Week],60)</f>
        <v/>
      </c>
      <c r="BJ57">
        <f>SUMIFS(T_Shipments[Confirmed_Qty],T_Shipments[Part Name],$A57,T_Shipments[Effective_Week],61)</f>
        <v/>
      </c>
      <c r="BK57">
        <f>SUMIFS(T_Shipments[Confirmed_Qty],T_Shipments[Part Name],$A57,T_Shipments[Effective_Week],62)</f>
        <v/>
      </c>
      <c r="BL57">
        <f>SUMIFS(T_Shipments[Confirmed_Qty],T_Shipments[Part Name],$A57,T_Shipments[Effective_Week],63)</f>
        <v/>
      </c>
      <c r="BM57">
        <f>SUMIFS(T_Shipments[Confirmed_Qty],T_Shipments[Part Name],$A57,T_Shipments[Effective_Week],64)</f>
        <v/>
      </c>
      <c r="BN57">
        <f>SUMIFS(T_Shipments[Confirmed_Qty],T_Shipments[Part Name],$A57,T_Shipments[Effective_Week],65)</f>
        <v/>
      </c>
      <c r="BO57">
        <f>SUMIFS(T_Shipments[Confirmed_Qty],T_Shipments[Part Name],$A57,T_Shipments[Effective_Week],66)</f>
        <v/>
      </c>
      <c r="BP57">
        <f>SUMIFS(T_Shipments[Confirmed_Qty],T_Shipments[Part Name],$A57,T_Shipments[Effective_Week],67)</f>
        <v/>
      </c>
      <c r="BQ57">
        <f>SUMIFS(T_Shipments[Confirmed_Qty],T_Shipments[Part Name],$A57,T_Shipments[Effective_Week],68)</f>
        <v/>
      </c>
      <c r="BR57">
        <f>SUMIFS(T_Shipments[Confirmed_Qty],T_Shipments[Part Name],$A57,T_Shipments[Effective_Week],69)</f>
        <v/>
      </c>
      <c r="BS57">
        <f>SUMIFS(T_Shipments[Confirmed_Qty],T_Shipments[Part Name],$A57,T_Shipments[Effective_Week],70)</f>
        <v/>
      </c>
      <c r="BT57">
        <f>SUMIFS(T_Shipments[Confirmed_Qty],T_Shipments[Part Name],$A57,T_Shipments[Effective_Week],71)</f>
        <v/>
      </c>
      <c r="BU57">
        <f>SUMIFS(T_Shipments[Confirmed_Qty],T_Shipments[Part Name],$A57,T_Shipments[Effective_Week],72)</f>
        <v/>
      </c>
      <c r="BV57">
        <f>SUMIFS(T_Shipments[Confirmed_Qty],T_Shipments[Part Name],$A57,T_Shipments[Effective_Week],73)</f>
        <v/>
      </c>
      <c r="BW57">
        <f>SUMIFS(T_Shipments[Confirmed_Qty],T_Shipments[Part Name],$A57,T_Shipments[Effective_Week],74)</f>
        <v/>
      </c>
      <c r="BX57">
        <f>SUMIFS(T_Shipments[Confirmed_Qty],T_Shipments[Part Name],$A57,T_Shipments[Effective_Week],75)</f>
        <v/>
      </c>
      <c r="BY57">
        <f>SUMIFS(T_Shipments[Confirmed_Qty],T_Shipments[Part Name],$A57,T_Shipments[Effective_Week],76)</f>
        <v/>
      </c>
      <c r="BZ57">
        <f>SUMIFS(T_Shipments[Confirmed_Qty],T_Shipments[Part Name],$A57,T_Shipments[Effective_Week],77)</f>
        <v/>
      </c>
      <c r="CA57">
        <f>SUMIFS(T_Shipments[Confirmed_Qty],T_Shipments[Part Name],$A57,T_Shipments[Effective_Week],78)</f>
        <v/>
      </c>
      <c r="CB57">
        <f>SUMIFS(T_Shipments[Confirmed_Qty],T_Shipments[Part Name],$A57,T_Shipments[Effective_Week],79)</f>
        <v/>
      </c>
      <c r="CC57">
        <f>SUMIFS(T_Shipments[Confirmed_Qty],T_Shipments[Part Name],$A57,T_Shipments[Effective_Week],80)</f>
        <v/>
      </c>
      <c r="CD57">
        <f>SUMIFS(T_Shipments[Confirmed_Qty],T_Shipments[Part Name],$A57,T_Shipments[Effective_Week],81)</f>
        <v/>
      </c>
      <c r="CE57">
        <f>SUMIFS(T_Shipments[Confirmed_Qty],T_Shipments[Part Name],$A57,T_Shipments[Effective_Week],82)</f>
        <v/>
      </c>
      <c r="CF57">
        <f>SUMIFS(T_Shipments[Confirmed_Qty],T_Shipments[Part Name],$A57,T_Shipments[Effective_Week],83)</f>
        <v/>
      </c>
      <c r="CG57">
        <f>SUMIFS(T_Shipments[Confirmed_Qty],T_Shipments[Part Name],$A57,T_Shipments[Effective_Week],84)</f>
        <v/>
      </c>
      <c r="CH57">
        <f>SUMIFS(T_Shipments[Confirmed_Qty],T_Shipments[Part Name],$A57,T_Shipments[Effective_Week],85)</f>
        <v/>
      </c>
      <c r="CI57">
        <f>SUMIFS(T_Shipments[Confirmed_Qty],T_Shipments[Part Name],$A57,T_Shipments[Effective_Week],86)</f>
        <v/>
      </c>
      <c r="CJ57">
        <f>SUMIFS(T_Shipments[Confirmed_Qty],T_Shipments[Part Name],$A57,T_Shipments[Effective_Week],87)</f>
        <v/>
      </c>
      <c r="CK57">
        <f>SUMIFS(T_Shipments[Confirmed_Qty],T_Shipments[Part Name],$A57,T_Shipments[Effective_Week],88)</f>
        <v/>
      </c>
      <c r="CL57">
        <f>SUMIFS(T_Shipments[Confirmed_Qty],T_Shipments[Part Name],$A57,T_Shipments[Effective_Week],89)</f>
        <v/>
      </c>
      <c r="CM57">
        <f>SUMIFS(T_Shipments[Confirmed_Qty],T_Shipments[Part Name],$A57,T_Shipments[Effective_Week],90)</f>
        <v/>
      </c>
      <c r="CN57">
        <f>SUMIFS(T_Shipments[Confirmed_Qty],T_Shipments[Part Name],$A57,T_Shipments[Effective_Week],91)</f>
        <v/>
      </c>
      <c r="CO57">
        <f>SUMIFS(T_Shipments[Confirmed_Qty],T_Shipments[Part Name],$A57,T_Shipments[Effective_Week],92)</f>
        <v/>
      </c>
      <c r="CP57">
        <f>SUMIFS(T_Shipments[Confirmed_Qty],T_Shipments[Part Name],$A57,T_Shipments[Effective_Week],93)</f>
        <v/>
      </c>
      <c r="CQ57">
        <f>SUMIFS(T_Shipments[Confirmed_Qty],T_Shipments[Part Name],$A57,T_Shipments[Effective_Week],94)</f>
        <v/>
      </c>
      <c r="CR57">
        <f>SUMIFS(T_Shipments[Confirmed_Qty],T_Shipments[Part Name],$A57,T_Shipments[Effective_Week],95)</f>
        <v/>
      </c>
      <c r="CS57">
        <f>SUMIFS(T_Shipments[Confirmed_Qty],T_Shipments[Part Name],$A57,T_Shipments[Effective_Week],96)</f>
        <v/>
      </c>
      <c r="CT57">
        <f>SUMIFS(T_Shipments[Confirmed_Qty],T_Shipments[Part Name],$A57,T_Shipments[Effective_Week],97)</f>
        <v/>
      </c>
      <c r="CU57">
        <f>SUMIFS(T_Shipments[Confirmed_Qty],T_Shipments[Part Name],$A57,T_Shipments[Effective_Week],98)</f>
        <v/>
      </c>
      <c r="CV57">
        <f>SUMIFS(T_Shipments[Confirmed_Qty],T_Shipments[Part Name],$A57,T_Shipments[Effective_Week],99)</f>
        <v/>
      </c>
      <c r="CW57">
        <f>SUMIFS(T_Shipments[Confirmed_Qty],T_Shipments[Part Name],$A57,T_Shipments[Effective_Week],100)</f>
        <v/>
      </c>
      <c r="CX57">
        <f>SUMIFS(T_Shipments[Confirmed_Qty],T_Shipments[Part Name],$A57,T_Shipments[Effective_Week],101)</f>
        <v/>
      </c>
      <c r="CY57">
        <f>SUMIFS(T_Shipments[Confirmed_Qty],T_Shipments[Part Name],$A57,T_Shipments[Effective_Week],102)</f>
        <v/>
      </c>
      <c r="CZ57">
        <f>SUMIFS(T_Shipments[Confirmed_Qty],T_Shipments[Part Name],$A57,T_Shipments[Effective_Week],103)</f>
        <v/>
      </c>
      <c r="DA57">
        <f>SUMIFS(T_Shipments[Confirmed_Qty],T_Shipments[Part Name],$A57,T_Shipments[Effective_Week],104)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CHEM-1530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CHEM-1480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CHEM-1540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CHEM-1680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CHEM-1730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CHEM-1280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CHEM-1570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CHEM-1450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CHEM-1770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CHEM-1430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CHEM-1470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CHEM-1010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CHEM-1760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CHEM-1700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CHEM-1850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Original Towel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Ester Film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PP Film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CHEM-1560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CHEM-1690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CHEM-1720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IFERROR(INDEX(T_OpeningStock[Opening_Qty],MATCH($A2,T_OpeningStock[Part Name],0)),0)+'Grid_Incoming'!B2-'Grid_Requirement'!B2</f>
        <v/>
      </c>
      <c r="C2">
        <f>B2+'Grid_Incoming'!C2-'Grid_Requirement'!C2</f>
        <v/>
      </c>
      <c r="D2">
        <f>C2+'Grid_Incoming'!D2-'Grid_Requirement'!D2</f>
        <v/>
      </c>
      <c r="E2">
        <f>D2+'Grid_Incoming'!E2-'Grid_Requirement'!E2</f>
        <v/>
      </c>
      <c r="F2">
        <f>E2+'Grid_Incoming'!F2-'Grid_Requirement'!F2</f>
        <v/>
      </c>
      <c r="G2">
        <f>F2+'Grid_Incoming'!G2-'Grid_Requirement'!G2</f>
        <v/>
      </c>
      <c r="H2">
        <f>G2+'Grid_Incoming'!H2-'Grid_Requirement'!H2</f>
        <v/>
      </c>
      <c r="I2">
        <f>H2+'Grid_Incoming'!I2-'Grid_Requirement'!I2</f>
        <v/>
      </c>
      <c r="J2">
        <f>I2+'Grid_Incoming'!J2-'Grid_Requirement'!J2</f>
        <v/>
      </c>
      <c r="K2">
        <f>J2+'Grid_Incoming'!K2-'Grid_Requirement'!K2</f>
        <v/>
      </c>
      <c r="L2">
        <f>K2+'Grid_Incoming'!L2-'Grid_Requirement'!L2</f>
        <v/>
      </c>
      <c r="M2">
        <f>L2+'Grid_Incoming'!M2-'Grid_Requirement'!M2</f>
        <v/>
      </c>
      <c r="N2">
        <f>M2+'Grid_Incoming'!N2-'Grid_Requirement'!N2</f>
        <v/>
      </c>
      <c r="O2">
        <f>N2+'Grid_Incoming'!O2-'Grid_Requirement'!O2</f>
        <v/>
      </c>
      <c r="P2">
        <f>O2+'Grid_Incoming'!P2-'Grid_Requirement'!P2</f>
        <v/>
      </c>
      <c r="Q2">
        <f>P2+'Grid_Incoming'!Q2-'Grid_Requirement'!Q2</f>
        <v/>
      </c>
      <c r="R2">
        <f>Q2+'Grid_Incoming'!R2-'Grid_Requirement'!R2</f>
        <v/>
      </c>
      <c r="S2">
        <f>R2+'Grid_Incoming'!S2-'Grid_Requirement'!S2</f>
        <v/>
      </c>
      <c r="T2">
        <f>S2+'Grid_Incoming'!T2-'Grid_Requirement'!T2</f>
        <v/>
      </c>
      <c r="U2">
        <f>T2+'Grid_Incoming'!U2-'Grid_Requirement'!U2</f>
        <v/>
      </c>
      <c r="V2">
        <f>U2+'Grid_Incoming'!V2-'Grid_Requirement'!V2</f>
        <v/>
      </c>
      <c r="W2">
        <f>V2+'Grid_Incoming'!W2-'Grid_Requirement'!W2</f>
        <v/>
      </c>
      <c r="X2">
        <f>W2+'Grid_Incoming'!X2-'Grid_Requirement'!X2</f>
        <v/>
      </c>
      <c r="Y2">
        <f>X2+'Grid_Incoming'!Y2-'Grid_Requirement'!Y2</f>
        <v/>
      </c>
      <c r="Z2">
        <f>Y2+'Grid_Incoming'!Z2-'Grid_Requirement'!Z2</f>
        <v/>
      </c>
      <c r="AA2">
        <f>Z2+'Grid_Incoming'!AA2-'Grid_Requirement'!AA2</f>
        <v/>
      </c>
      <c r="AB2">
        <f>AA2+'Grid_Incoming'!AB2-'Grid_Requirement'!AB2</f>
        <v/>
      </c>
      <c r="AC2">
        <f>AB2+'Grid_Incoming'!AC2-'Grid_Requirement'!AC2</f>
        <v/>
      </c>
      <c r="AD2">
        <f>AC2+'Grid_Incoming'!AD2-'Grid_Requirement'!AD2</f>
        <v/>
      </c>
      <c r="AE2">
        <f>AD2+'Grid_Incoming'!AE2-'Grid_Requirement'!AE2</f>
        <v/>
      </c>
      <c r="AF2">
        <f>AE2+'Grid_Incoming'!AF2-'Grid_Requirement'!AF2</f>
        <v/>
      </c>
      <c r="AG2">
        <f>AF2+'Grid_Incoming'!AG2-'Grid_Requirement'!AG2</f>
        <v/>
      </c>
      <c r="AH2">
        <f>AG2+'Grid_Incoming'!AH2-'Grid_Requirement'!AH2</f>
        <v/>
      </c>
      <c r="AI2">
        <f>AH2+'Grid_Incoming'!AI2-'Grid_Requirement'!AI2</f>
        <v/>
      </c>
      <c r="AJ2">
        <f>AI2+'Grid_Incoming'!AJ2-'Grid_Requirement'!AJ2</f>
        <v/>
      </c>
      <c r="AK2">
        <f>AJ2+'Grid_Incoming'!AK2-'Grid_Requirement'!AK2</f>
        <v/>
      </c>
      <c r="AL2">
        <f>AK2+'Grid_Incoming'!AL2-'Grid_Requirement'!AL2</f>
        <v/>
      </c>
      <c r="AM2">
        <f>AL2+'Grid_Incoming'!AM2-'Grid_Requirement'!AM2</f>
        <v/>
      </c>
      <c r="AN2">
        <f>AM2+'Grid_Incoming'!AN2-'Grid_Requirement'!AN2</f>
        <v/>
      </c>
      <c r="AO2">
        <f>AN2+'Grid_Incoming'!AO2-'Grid_Requirement'!AO2</f>
        <v/>
      </c>
      <c r="AP2">
        <f>AO2+'Grid_Incoming'!AP2-'Grid_Requirement'!AP2</f>
        <v/>
      </c>
      <c r="AQ2">
        <f>AP2+'Grid_Incoming'!AQ2-'Grid_Requirement'!AQ2</f>
        <v/>
      </c>
      <c r="AR2">
        <f>AQ2+'Grid_Incoming'!AR2-'Grid_Requirement'!AR2</f>
        <v/>
      </c>
      <c r="AS2">
        <f>AR2+'Grid_Incoming'!AS2-'Grid_Requirement'!AS2</f>
        <v/>
      </c>
      <c r="AT2">
        <f>AS2+'Grid_Incoming'!AT2-'Grid_Requirement'!AT2</f>
        <v/>
      </c>
      <c r="AU2">
        <f>AT2+'Grid_Incoming'!AU2-'Grid_Requirement'!AU2</f>
        <v/>
      </c>
      <c r="AV2">
        <f>AU2+'Grid_Incoming'!AV2-'Grid_Requirement'!AV2</f>
        <v/>
      </c>
      <c r="AW2">
        <f>AV2+'Grid_Incoming'!AW2-'Grid_Requirement'!AW2</f>
        <v/>
      </c>
      <c r="AX2">
        <f>AW2+'Grid_Incoming'!AX2-'Grid_Requirement'!AX2</f>
        <v/>
      </c>
      <c r="AY2">
        <f>AX2+'Grid_Incoming'!AY2-'Grid_Requirement'!AY2</f>
        <v/>
      </c>
      <c r="AZ2">
        <f>AY2+'Grid_Incoming'!AZ2-'Grid_Requirement'!AZ2</f>
        <v/>
      </c>
      <c r="BA2">
        <f>AZ2+'Grid_Incoming'!BA2-'Grid_Requirement'!BA2</f>
        <v/>
      </c>
      <c r="BB2">
        <f>BA2+'Grid_Incoming'!BB2-'Grid_Requirement'!BB2</f>
        <v/>
      </c>
      <c r="BC2">
        <f>BB2+'Grid_Incoming'!BC2-'Grid_Requirement'!BC2</f>
        <v/>
      </c>
      <c r="BD2">
        <f>BC2+'Grid_Incoming'!BD2-'Grid_Requirement'!BD2</f>
        <v/>
      </c>
      <c r="BE2">
        <f>BD2+'Grid_Incoming'!BE2-'Grid_Requirement'!BE2</f>
        <v/>
      </c>
      <c r="BF2">
        <f>BE2+'Grid_Incoming'!BF2-'Grid_Requirement'!BF2</f>
        <v/>
      </c>
      <c r="BG2">
        <f>BF2+'Grid_Incoming'!BG2-'Grid_Requirement'!BG2</f>
        <v/>
      </c>
      <c r="BH2">
        <f>BG2+'Grid_Incoming'!BH2-'Grid_Requirement'!BH2</f>
        <v/>
      </c>
      <c r="BI2">
        <f>BH2+'Grid_Incoming'!BI2-'Grid_Requirement'!BI2</f>
        <v/>
      </c>
      <c r="BJ2">
        <f>BI2+'Grid_Incoming'!BJ2-'Grid_Requirement'!BJ2</f>
        <v/>
      </c>
      <c r="BK2">
        <f>BJ2+'Grid_Incoming'!BK2-'Grid_Requirement'!BK2</f>
        <v/>
      </c>
      <c r="BL2">
        <f>BK2+'Grid_Incoming'!BL2-'Grid_Requirement'!BL2</f>
        <v/>
      </c>
      <c r="BM2">
        <f>BL2+'Grid_Incoming'!BM2-'Grid_Requirement'!BM2</f>
        <v/>
      </c>
      <c r="BN2">
        <f>BM2+'Grid_Incoming'!BN2-'Grid_Requirement'!BN2</f>
        <v/>
      </c>
      <c r="BO2">
        <f>BN2+'Grid_Incoming'!BO2-'Grid_Requirement'!BO2</f>
        <v/>
      </c>
      <c r="BP2">
        <f>BO2+'Grid_Incoming'!BP2-'Grid_Requirement'!BP2</f>
        <v/>
      </c>
      <c r="BQ2">
        <f>BP2+'Grid_Incoming'!BQ2-'Grid_Requirement'!BQ2</f>
        <v/>
      </c>
      <c r="BR2">
        <f>BQ2+'Grid_Incoming'!BR2-'Grid_Requirement'!BR2</f>
        <v/>
      </c>
      <c r="BS2">
        <f>BR2+'Grid_Incoming'!BS2-'Grid_Requirement'!BS2</f>
        <v/>
      </c>
      <c r="BT2">
        <f>BS2+'Grid_Incoming'!BT2-'Grid_Requirement'!BT2</f>
        <v/>
      </c>
      <c r="BU2">
        <f>BT2+'Grid_Incoming'!BU2-'Grid_Requirement'!BU2</f>
        <v/>
      </c>
      <c r="BV2">
        <f>BU2+'Grid_Incoming'!BV2-'Grid_Requirement'!BV2</f>
        <v/>
      </c>
      <c r="BW2">
        <f>BV2+'Grid_Incoming'!BW2-'Grid_Requirement'!BW2</f>
        <v/>
      </c>
      <c r="BX2">
        <f>BW2+'Grid_Incoming'!BX2-'Grid_Requirement'!BX2</f>
        <v/>
      </c>
      <c r="BY2">
        <f>BX2+'Grid_Incoming'!BY2-'Grid_Requirement'!BY2</f>
        <v/>
      </c>
      <c r="BZ2">
        <f>BY2+'Grid_Incoming'!BZ2-'Grid_Requirement'!BZ2</f>
        <v/>
      </c>
      <c r="CA2">
        <f>BZ2+'Grid_Incoming'!CA2-'Grid_Requirement'!CA2</f>
        <v/>
      </c>
      <c r="CB2">
        <f>CA2+'Grid_Incoming'!CB2-'Grid_Requirement'!CB2</f>
        <v/>
      </c>
      <c r="CC2">
        <f>CB2+'Grid_Incoming'!CC2-'Grid_Requirement'!CC2</f>
        <v/>
      </c>
      <c r="CD2">
        <f>CC2+'Grid_Incoming'!CD2-'Grid_Requirement'!CD2</f>
        <v/>
      </c>
      <c r="CE2">
        <f>CD2+'Grid_Incoming'!CE2-'Grid_Requirement'!CE2</f>
        <v/>
      </c>
      <c r="CF2">
        <f>CE2+'Grid_Incoming'!CF2-'Grid_Requirement'!CF2</f>
        <v/>
      </c>
      <c r="CG2">
        <f>CF2+'Grid_Incoming'!CG2-'Grid_Requirement'!CG2</f>
        <v/>
      </c>
      <c r="CH2">
        <f>CG2+'Grid_Incoming'!CH2-'Grid_Requirement'!CH2</f>
        <v/>
      </c>
      <c r="CI2">
        <f>CH2+'Grid_Incoming'!CI2-'Grid_Requirement'!CI2</f>
        <v/>
      </c>
      <c r="CJ2">
        <f>CI2+'Grid_Incoming'!CJ2-'Grid_Requirement'!CJ2</f>
        <v/>
      </c>
      <c r="CK2">
        <f>CJ2+'Grid_Incoming'!CK2-'Grid_Requirement'!CK2</f>
        <v/>
      </c>
      <c r="CL2">
        <f>CK2+'Grid_Incoming'!CL2-'Grid_Requirement'!CL2</f>
        <v/>
      </c>
      <c r="CM2">
        <f>CL2+'Grid_Incoming'!CM2-'Grid_Requirement'!CM2</f>
        <v/>
      </c>
      <c r="CN2">
        <f>CM2+'Grid_Incoming'!CN2-'Grid_Requirement'!CN2</f>
        <v/>
      </c>
      <c r="CO2">
        <f>CN2+'Grid_Incoming'!CO2-'Grid_Requirement'!CO2</f>
        <v/>
      </c>
      <c r="CP2">
        <f>CO2+'Grid_Incoming'!CP2-'Grid_Requirement'!CP2</f>
        <v/>
      </c>
      <c r="CQ2">
        <f>CP2+'Grid_Incoming'!CQ2-'Grid_Requirement'!CQ2</f>
        <v/>
      </c>
      <c r="CR2">
        <f>CQ2+'Grid_Incoming'!CR2-'Grid_Requirement'!CR2</f>
        <v/>
      </c>
      <c r="CS2">
        <f>CR2+'Grid_Incoming'!CS2-'Grid_Requirement'!CS2</f>
        <v/>
      </c>
      <c r="CT2">
        <f>CS2+'Grid_Incoming'!CT2-'Grid_Requirement'!CT2</f>
        <v/>
      </c>
      <c r="CU2">
        <f>CT2+'Grid_Incoming'!CU2-'Grid_Requirement'!CU2</f>
        <v/>
      </c>
      <c r="CV2">
        <f>CU2+'Grid_Incoming'!CV2-'Grid_Requirement'!CV2</f>
        <v/>
      </c>
      <c r="CW2">
        <f>CV2+'Grid_Incoming'!CW2-'Grid_Requirement'!CW2</f>
        <v/>
      </c>
      <c r="CX2">
        <f>CW2+'Grid_Incoming'!CX2-'Grid_Requirement'!CX2</f>
        <v/>
      </c>
      <c r="CY2">
        <f>CX2+'Grid_Incoming'!CY2-'Grid_Requirement'!CY2</f>
        <v/>
      </c>
      <c r="CZ2">
        <f>CY2+'Grid_Incoming'!CZ2-'Grid_Requirement'!CZ2</f>
        <v/>
      </c>
      <c r="DA2">
        <f>CZ2+'Grid_Incoming'!DA2-'Grid_Requirement'!DA2</f>
        <v/>
      </c>
    </row>
    <row r="3">
      <c r="A3" t="inlineStr">
        <is>
          <t>1EK</t>
        </is>
      </c>
      <c r="B3">
        <f>IFERROR(INDEX(T_OpeningStock[Opening_Qty],MATCH($A3,T_OpeningStock[Part Name],0)),0)+'Grid_Incoming'!B3-'Grid_Requirement'!B3</f>
        <v/>
      </c>
      <c r="C3">
        <f>B3+'Grid_Incoming'!C3-'Grid_Requirement'!C3</f>
        <v/>
      </c>
      <c r="D3">
        <f>C3+'Grid_Incoming'!D3-'Grid_Requirement'!D3</f>
        <v/>
      </c>
      <c r="E3">
        <f>D3+'Grid_Incoming'!E3-'Grid_Requirement'!E3</f>
        <v/>
      </c>
      <c r="F3">
        <f>E3+'Grid_Incoming'!F3-'Grid_Requirement'!F3</f>
        <v/>
      </c>
      <c r="G3">
        <f>F3+'Grid_Incoming'!G3-'Grid_Requirement'!G3</f>
        <v/>
      </c>
      <c r="H3">
        <f>G3+'Grid_Incoming'!H3-'Grid_Requirement'!H3</f>
        <v/>
      </c>
      <c r="I3">
        <f>H3+'Grid_Incoming'!I3-'Grid_Requirement'!I3</f>
        <v/>
      </c>
      <c r="J3">
        <f>I3+'Grid_Incoming'!J3-'Grid_Requirement'!J3</f>
        <v/>
      </c>
      <c r="K3">
        <f>J3+'Grid_Incoming'!K3-'Grid_Requirement'!K3</f>
        <v/>
      </c>
      <c r="L3">
        <f>K3+'Grid_Incoming'!L3-'Grid_Requirement'!L3</f>
        <v/>
      </c>
      <c r="M3">
        <f>L3+'Grid_Incoming'!M3-'Grid_Requirement'!M3</f>
        <v/>
      </c>
      <c r="N3">
        <f>M3+'Grid_Incoming'!N3-'Grid_Requirement'!N3</f>
        <v/>
      </c>
      <c r="O3">
        <f>N3+'Grid_Incoming'!O3-'Grid_Requirement'!O3</f>
        <v/>
      </c>
      <c r="P3">
        <f>O3+'Grid_Incoming'!P3-'Grid_Requirement'!P3</f>
        <v/>
      </c>
      <c r="Q3">
        <f>P3+'Grid_Incoming'!Q3-'Grid_Requirement'!Q3</f>
        <v/>
      </c>
      <c r="R3">
        <f>Q3+'Grid_Incoming'!R3-'Grid_Requirement'!R3</f>
        <v/>
      </c>
      <c r="S3">
        <f>R3+'Grid_Incoming'!S3-'Grid_Requirement'!S3</f>
        <v/>
      </c>
      <c r="T3">
        <f>S3+'Grid_Incoming'!T3-'Grid_Requirement'!T3</f>
        <v/>
      </c>
      <c r="U3">
        <f>T3+'Grid_Incoming'!U3-'Grid_Requirement'!U3</f>
        <v/>
      </c>
      <c r="V3">
        <f>U3+'Grid_Incoming'!V3-'Grid_Requirement'!V3</f>
        <v/>
      </c>
      <c r="W3">
        <f>V3+'Grid_Incoming'!W3-'Grid_Requirement'!W3</f>
        <v/>
      </c>
      <c r="X3">
        <f>W3+'Grid_Incoming'!X3-'Grid_Requirement'!X3</f>
        <v/>
      </c>
      <c r="Y3">
        <f>X3+'Grid_Incoming'!Y3-'Grid_Requirement'!Y3</f>
        <v/>
      </c>
      <c r="Z3">
        <f>Y3+'Grid_Incoming'!Z3-'Grid_Requirement'!Z3</f>
        <v/>
      </c>
      <c r="AA3">
        <f>Z3+'Grid_Incoming'!AA3-'Grid_Requirement'!AA3</f>
        <v/>
      </c>
      <c r="AB3">
        <f>AA3+'Grid_Incoming'!AB3-'Grid_Requirement'!AB3</f>
        <v/>
      </c>
      <c r="AC3">
        <f>AB3+'Grid_Incoming'!AC3-'Grid_Requirement'!AC3</f>
        <v/>
      </c>
      <c r="AD3">
        <f>AC3+'Grid_Incoming'!AD3-'Grid_Requirement'!AD3</f>
        <v/>
      </c>
      <c r="AE3">
        <f>AD3+'Grid_Incoming'!AE3-'Grid_Requirement'!AE3</f>
        <v/>
      </c>
      <c r="AF3">
        <f>AE3+'Grid_Incoming'!AF3-'Grid_Requirement'!AF3</f>
        <v/>
      </c>
      <c r="AG3">
        <f>AF3+'Grid_Incoming'!AG3-'Grid_Requirement'!AG3</f>
        <v/>
      </c>
      <c r="AH3">
        <f>AG3+'Grid_Incoming'!AH3-'Grid_Requirement'!AH3</f>
        <v/>
      </c>
      <c r="AI3">
        <f>AH3+'Grid_Incoming'!AI3-'Grid_Requirement'!AI3</f>
        <v/>
      </c>
      <c r="AJ3">
        <f>AI3+'Grid_Incoming'!AJ3-'Grid_Requirement'!AJ3</f>
        <v/>
      </c>
      <c r="AK3">
        <f>AJ3+'Grid_Incoming'!AK3-'Grid_Requirement'!AK3</f>
        <v/>
      </c>
      <c r="AL3">
        <f>AK3+'Grid_Incoming'!AL3-'Grid_Requirement'!AL3</f>
        <v/>
      </c>
      <c r="AM3">
        <f>AL3+'Grid_Incoming'!AM3-'Grid_Requirement'!AM3</f>
        <v/>
      </c>
      <c r="AN3">
        <f>AM3+'Grid_Incoming'!AN3-'Grid_Requirement'!AN3</f>
        <v/>
      </c>
      <c r="AO3">
        <f>AN3+'Grid_Incoming'!AO3-'Grid_Requirement'!AO3</f>
        <v/>
      </c>
      <c r="AP3">
        <f>AO3+'Grid_Incoming'!AP3-'Grid_Requirement'!AP3</f>
        <v/>
      </c>
      <c r="AQ3">
        <f>AP3+'Grid_Incoming'!AQ3-'Grid_Requirement'!AQ3</f>
        <v/>
      </c>
      <c r="AR3">
        <f>AQ3+'Grid_Incoming'!AR3-'Grid_Requirement'!AR3</f>
        <v/>
      </c>
      <c r="AS3">
        <f>AR3+'Grid_Incoming'!AS3-'Grid_Requirement'!AS3</f>
        <v/>
      </c>
      <c r="AT3">
        <f>AS3+'Grid_Incoming'!AT3-'Grid_Requirement'!AT3</f>
        <v/>
      </c>
      <c r="AU3">
        <f>AT3+'Grid_Incoming'!AU3-'Grid_Requirement'!AU3</f>
        <v/>
      </c>
      <c r="AV3">
        <f>AU3+'Grid_Incoming'!AV3-'Grid_Requirement'!AV3</f>
        <v/>
      </c>
      <c r="AW3">
        <f>AV3+'Grid_Incoming'!AW3-'Grid_Requirement'!AW3</f>
        <v/>
      </c>
      <c r="AX3">
        <f>AW3+'Grid_Incoming'!AX3-'Grid_Requirement'!AX3</f>
        <v/>
      </c>
      <c r="AY3">
        <f>AX3+'Grid_Incoming'!AY3-'Grid_Requirement'!AY3</f>
        <v/>
      </c>
      <c r="AZ3">
        <f>AY3+'Grid_Incoming'!AZ3-'Grid_Requirement'!AZ3</f>
        <v/>
      </c>
      <c r="BA3">
        <f>AZ3+'Grid_Incoming'!BA3-'Grid_Requirement'!BA3</f>
        <v/>
      </c>
      <c r="BB3">
        <f>BA3+'Grid_Incoming'!BB3-'Grid_Requirement'!BB3</f>
        <v/>
      </c>
      <c r="BC3">
        <f>BB3+'Grid_Incoming'!BC3-'Grid_Requirement'!BC3</f>
        <v/>
      </c>
      <c r="BD3">
        <f>BC3+'Grid_Incoming'!BD3-'Grid_Requirement'!BD3</f>
        <v/>
      </c>
      <c r="BE3">
        <f>BD3+'Grid_Incoming'!BE3-'Grid_Requirement'!BE3</f>
        <v/>
      </c>
      <c r="BF3">
        <f>BE3+'Grid_Incoming'!BF3-'Grid_Requirement'!BF3</f>
        <v/>
      </c>
      <c r="BG3">
        <f>BF3+'Grid_Incoming'!BG3-'Grid_Requirement'!BG3</f>
        <v/>
      </c>
      <c r="BH3">
        <f>BG3+'Grid_Incoming'!BH3-'Grid_Requirement'!BH3</f>
        <v/>
      </c>
      <c r="BI3">
        <f>BH3+'Grid_Incoming'!BI3-'Grid_Requirement'!BI3</f>
        <v/>
      </c>
      <c r="BJ3">
        <f>BI3+'Grid_Incoming'!BJ3-'Grid_Requirement'!BJ3</f>
        <v/>
      </c>
      <c r="BK3">
        <f>BJ3+'Grid_Incoming'!BK3-'Grid_Requirement'!BK3</f>
        <v/>
      </c>
      <c r="BL3">
        <f>BK3+'Grid_Incoming'!BL3-'Grid_Requirement'!BL3</f>
        <v/>
      </c>
      <c r="BM3">
        <f>BL3+'Grid_Incoming'!BM3-'Grid_Requirement'!BM3</f>
        <v/>
      </c>
      <c r="BN3">
        <f>BM3+'Grid_Incoming'!BN3-'Grid_Requirement'!BN3</f>
        <v/>
      </c>
      <c r="BO3">
        <f>BN3+'Grid_Incoming'!BO3-'Grid_Requirement'!BO3</f>
        <v/>
      </c>
      <c r="BP3">
        <f>BO3+'Grid_Incoming'!BP3-'Grid_Requirement'!BP3</f>
        <v/>
      </c>
      <c r="BQ3">
        <f>BP3+'Grid_Incoming'!BQ3-'Grid_Requirement'!BQ3</f>
        <v/>
      </c>
      <c r="BR3">
        <f>BQ3+'Grid_Incoming'!BR3-'Grid_Requirement'!BR3</f>
        <v/>
      </c>
      <c r="BS3">
        <f>BR3+'Grid_Incoming'!BS3-'Grid_Requirement'!BS3</f>
        <v/>
      </c>
      <c r="BT3">
        <f>BS3+'Grid_Incoming'!BT3-'Grid_Requirement'!BT3</f>
        <v/>
      </c>
      <c r="BU3">
        <f>BT3+'Grid_Incoming'!BU3-'Grid_Requirement'!BU3</f>
        <v/>
      </c>
      <c r="BV3">
        <f>BU3+'Grid_Incoming'!BV3-'Grid_Requirement'!BV3</f>
        <v/>
      </c>
      <c r="BW3">
        <f>BV3+'Grid_Incoming'!BW3-'Grid_Requirement'!BW3</f>
        <v/>
      </c>
      <c r="BX3">
        <f>BW3+'Grid_Incoming'!BX3-'Grid_Requirement'!BX3</f>
        <v/>
      </c>
      <c r="BY3">
        <f>BX3+'Grid_Incoming'!BY3-'Grid_Requirement'!BY3</f>
        <v/>
      </c>
      <c r="BZ3">
        <f>BY3+'Grid_Incoming'!BZ3-'Grid_Requirement'!BZ3</f>
        <v/>
      </c>
      <c r="CA3">
        <f>BZ3+'Grid_Incoming'!CA3-'Grid_Requirement'!CA3</f>
        <v/>
      </c>
      <c r="CB3">
        <f>CA3+'Grid_Incoming'!CB3-'Grid_Requirement'!CB3</f>
        <v/>
      </c>
      <c r="CC3">
        <f>CB3+'Grid_Incoming'!CC3-'Grid_Requirement'!CC3</f>
        <v/>
      </c>
      <c r="CD3">
        <f>CC3+'Grid_Incoming'!CD3-'Grid_Requirement'!CD3</f>
        <v/>
      </c>
      <c r="CE3">
        <f>CD3+'Grid_Incoming'!CE3-'Grid_Requirement'!CE3</f>
        <v/>
      </c>
      <c r="CF3">
        <f>CE3+'Grid_Incoming'!CF3-'Grid_Requirement'!CF3</f>
        <v/>
      </c>
      <c r="CG3">
        <f>CF3+'Grid_Incoming'!CG3-'Grid_Requirement'!CG3</f>
        <v/>
      </c>
      <c r="CH3">
        <f>CG3+'Grid_Incoming'!CH3-'Grid_Requirement'!CH3</f>
        <v/>
      </c>
      <c r="CI3">
        <f>CH3+'Grid_Incoming'!CI3-'Grid_Requirement'!CI3</f>
        <v/>
      </c>
      <c r="CJ3">
        <f>CI3+'Grid_Incoming'!CJ3-'Grid_Requirement'!CJ3</f>
        <v/>
      </c>
      <c r="CK3">
        <f>CJ3+'Grid_Incoming'!CK3-'Grid_Requirement'!CK3</f>
        <v/>
      </c>
      <c r="CL3">
        <f>CK3+'Grid_Incoming'!CL3-'Grid_Requirement'!CL3</f>
        <v/>
      </c>
      <c r="CM3">
        <f>CL3+'Grid_Incoming'!CM3-'Grid_Requirement'!CM3</f>
        <v/>
      </c>
      <c r="CN3">
        <f>CM3+'Grid_Incoming'!CN3-'Grid_Requirement'!CN3</f>
        <v/>
      </c>
      <c r="CO3">
        <f>CN3+'Grid_Incoming'!CO3-'Grid_Requirement'!CO3</f>
        <v/>
      </c>
      <c r="CP3">
        <f>CO3+'Grid_Incoming'!CP3-'Grid_Requirement'!CP3</f>
        <v/>
      </c>
      <c r="CQ3">
        <f>CP3+'Grid_Incoming'!CQ3-'Grid_Requirement'!CQ3</f>
        <v/>
      </c>
      <c r="CR3">
        <f>CQ3+'Grid_Incoming'!CR3-'Grid_Requirement'!CR3</f>
        <v/>
      </c>
      <c r="CS3">
        <f>CR3+'Grid_Incoming'!CS3-'Grid_Requirement'!CS3</f>
        <v/>
      </c>
      <c r="CT3">
        <f>CS3+'Grid_Incoming'!CT3-'Grid_Requirement'!CT3</f>
        <v/>
      </c>
      <c r="CU3">
        <f>CT3+'Grid_Incoming'!CU3-'Grid_Requirement'!CU3</f>
        <v/>
      </c>
      <c r="CV3">
        <f>CU3+'Grid_Incoming'!CV3-'Grid_Requirement'!CV3</f>
        <v/>
      </c>
      <c r="CW3">
        <f>CV3+'Grid_Incoming'!CW3-'Grid_Requirement'!CW3</f>
        <v/>
      </c>
      <c r="CX3">
        <f>CW3+'Grid_Incoming'!CX3-'Grid_Requirement'!CX3</f>
        <v/>
      </c>
      <c r="CY3">
        <f>CX3+'Grid_Incoming'!CY3-'Grid_Requirement'!CY3</f>
        <v/>
      </c>
      <c r="CZ3">
        <f>CY3+'Grid_Incoming'!CZ3-'Grid_Requirement'!CZ3</f>
        <v/>
      </c>
      <c r="DA3">
        <f>CZ3+'Grid_Incoming'!DA3-'Grid_Requirement'!DA3</f>
        <v/>
      </c>
    </row>
    <row r="4">
      <c r="A4" t="inlineStr">
        <is>
          <t>4HL</t>
        </is>
      </c>
      <c r="B4">
        <f>IFERROR(INDEX(T_OpeningStock[Opening_Qty],MATCH($A4,T_OpeningStock[Part Name],0)),0)+'Grid_Incoming'!B4-'Grid_Requirement'!B4</f>
        <v/>
      </c>
      <c r="C4">
        <f>B4+'Grid_Incoming'!C4-'Grid_Requirement'!C4</f>
        <v/>
      </c>
      <c r="D4">
        <f>C4+'Grid_Incoming'!D4-'Grid_Requirement'!D4</f>
        <v/>
      </c>
      <c r="E4">
        <f>D4+'Grid_Incoming'!E4-'Grid_Requirement'!E4</f>
        <v/>
      </c>
      <c r="F4">
        <f>E4+'Grid_Incoming'!F4-'Grid_Requirement'!F4</f>
        <v/>
      </c>
      <c r="G4">
        <f>F4+'Grid_Incoming'!G4-'Grid_Requirement'!G4</f>
        <v/>
      </c>
      <c r="H4">
        <f>G4+'Grid_Incoming'!H4-'Grid_Requirement'!H4</f>
        <v/>
      </c>
      <c r="I4">
        <f>H4+'Grid_Incoming'!I4-'Grid_Requirement'!I4</f>
        <v/>
      </c>
      <c r="J4">
        <f>I4+'Grid_Incoming'!J4-'Grid_Requirement'!J4</f>
        <v/>
      </c>
      <c r="K4">
        <f>J4+'Grid_Incoming'!K4-'Grid_Requirement'!K4</f>
        <v/>
      </c>
      <c r="L4">
        <f>K4+'Grid_Incoming'!L4-'Grid_Requirement'!L4</f>
        <v/>
      </c>
      <c r="M4">
        <f>L4+'Grid_Incoming'!M4-'Grid_Requirement'!M4</f>
        <v/>
      </c>
      <c r="N4">
        <f>M4+'Grid_Incoming'!N4-'Grid_Requirement'!N4</f>
        <v/>
      </c>
      <c r="O4">
        <f>N4+'Grid_Incoming'!O4-'Grid_Requirement'!O4</f>
        <v/>
      </c>
      <c r="P4">
        <f>O4+'Grid_Incoming'!P4-'Grid_Requirement'!P4</f>
        <v/>
      </c>
      <c r="Q4">
        <f>P4+'Grid_Incoming'!Q4-'Grid_Requirement'!Q4</f>
        <v/>
      </c>
      <c r="R4">
        <f>Q4+'Grid_Incoming'!R4-'Grid_Requirement'!R4</f>
        <v/>
      </c>
      <c r="S4">
        <f>R4+'Grid_Incoming'!S4-'Grid_Requirement'!S4</f>
        <v/>
      </c>
      <c r="T4">
        <f>S4+'Grid_Incoming'!T4-'Grid_Requirement'!T4</f>
        <v/>
      </c>
      <c r="U4">
        <f>T4+'Grid_Incoming'!U4-'Grid_Requirement'!U4</f>
        <v/>
      </c>
      <c r="V4">
        <f>U4+'Grid_Incoming'!V4-'Grid_Requirement'!V4</f>
        <v/>
      </c>
      <c r="W4">
        <f>V4+'Grid_Incoming'!W4-'Grid_Requirement'!W4</f>
        <v/>
      </c>
      <c r="X4">
        <f>W4+'Grid_Incoming'!X4-'Grid_Requirement'!X4</f>
        <v/>
      </c>
      <c r="Y4">
        <f>X4+'Grid_Incoming'!Y4-'Grid_Requirement'!Y4</f>
        <v/>
      </c>
      <c r="Z4">
        <f>Y4+'Grid_Incoming'!Z4-'Grid_Requirement'!Z4</f>
        <v/>
      </c>
      <c r="AA4">
        <f>Z4+'Grid_Incoming'!AA4-'Grid_Requirement'!AA4</f>
        <v/>
      </c>
      <c r="AB4">
        <f>AA4+'Grid_Incoming'!AB4-'Grid_Requirement'!AB4</f>
        <v/>
      </c>
      <c r="AC4">
        <f>AB4+'Grid_Incoming'!AC4-'Grid_Requirement'!AC4</f>
        <v/>
      </c>
      <c r="AD4">
        <f>AC4+'Grid_Incoming'!AD4-'Grid_Requirement'!AD4</f>
        <v/>
      </c>
      <c r="AE4">
        <f>AD4+'Grid_Incoming'!AE4-'Grid_Requirement'!AE4</f>
        <v/>
      </c>
      <c r="AF4">
        <f>AE4+'Grid_Incoming'!AF4-'Grid_Requirement'!AF4</f>
        <v/>
      </c>
      <c r="AG4">
        <f>AF4+'Grid_Incoming'!AG4-'Grid_Requirement'!AG4</f>
        <v/>
      </c>
      <c r="AH4">
        <f>AG4+'Grid_Incoming'!AH4-'Grid_Requirement'!AH4</f>
        <v/>
      </c>
      <c r="AI4">
        <f>AH4+'Grid_Incoming'!AI4-'Grid_Requirement'!AI4</f>
        <v/>
      </c>
      <c r="AJ4">
        <f>AI4+'Grid_Incoming'!AJ4-'Grid_Requirement'!AJ4</f>
        <v/>
      </c>
      <c r="AK4">
        <f>AJ4+'Grid_Incoming'!AK4-'Grid_Requirement'!AK4</f>
        <v/>
      </c>
      <c r="AL4">
        <f>AK4+'Grid_Incoming'!AL4-'Grid_Requirement'!AL4</f>
        <v/>
      </c>
      <c r="AM4">
        <f>AL4+'Grid_Incoming'!AM4-'Grid_Requirement'!AM4</f>
        <v/>
      </c>
      <c r="AN4">
        <f>AM4+'Grid_Incoming'!AN4-'Grid_Requirement'!AN4</f>
        <v/>
      </c>
      <c r="AO4">
        <f>AN4+'Grid_Incoming'!AO4-'Grid_Requirement'!AO4</f>
        <v/>
      </c>
      <c r="AP4">
        <f>AO4+'Grid_Incoming'!AP4-'Grid_Requirement'!AP4</f>
        <v/>
      </c>
      <c r="AQ4">
        <f>AP4+'Grid_Incoming'!AQ4-'Grid_Requirement'!AQ4</f>
        <v/>
      </c>
      <c r="AR4">
        <f>AQ4+'Grid_Incoming'!AR4-'Grid_Requirement'!AR4</f>
        <v/>
      </c>
      <c r="AS4">
        <f>AR4+'Grid_Incoming'!AS4-'Grid_Requirement'!AS4</f>
        <v/>
      </c>
      <c r="AT4">
        <f>AS4+'Grid_Incoming'!AT4-'Grid_Requirement'!AT4</f>
        <v/>
      </c>
      <c r="AU4">
        <f>AT4+'Grid_Incoming'!AU4-'Grid_Requirement'!AU4</f>
        <v/>
      </c>
      <c r="AV4">
        <f>AU4+'Grid_Incoming'!AV4-'Grid_Requirement'!AV4</f>
        <v/>
      </c>
      <c r="AW4">
        <f>AV4+'Grid_Incoming'!AW4-'Grid_Requirement'!AW4</f>
        <v/>
      </c>
      <c r="AX4">
        <f>AW4+'Grid_Incoming'!AX4-'Grid_Requirement'!AX4</f>
        <v/>
      </c>
      <c r="AY4">
        <f>AX4+'Grid_Incoming'!AY4-'Grid_Requirement'!AY4</f>
        <v/>
      </c>
      <c r="AZ4">
        <f>AY4+'Grid_Incoming'!AZ4-'Grid_Requirement'!AZ4</f>
        <v/>
      </c>
      <c r="BA4">
        <f>AZ4+'Grid_Incoming'!BA4-'Grid_Requirement'!BA4</f>
        <v/>
      </c>
      <c r="BB4">
        <f>BA4+'Grid_Incoming'!BB4-'Grid_Requirement'!BB4</f>
        <v/>
      </c>
      <c r="BC4">
        <f>BB4+'Grid_Incoming'!BC4-'Grid_Requirement'!BC4</f>
        <v/>
      </c>
      <c r="BD4">
        <f>BC4+'Grid_Incoming'!BD4-'Grid_Requirement'!BD4</f>
        <v/>
      </c>
      <c r="BE4">
        <f>BD4+'Grid_Incoming'!BE4-'Grid_Requirement'!BE4</f>
        <v/>
      </c>
      <c r="BF4">
        <f>BE4+'Grid_Incoming'!BF4-'Grid_Requirement'!BF4</f>
        <v/>
      </c>
      <c r="BG4">
        <f>BF4+'Grid_Incoming'!BG4-'Grid_Requirement'!BG4</f>
        <v/>
      </c>
      <c r="BH4">
        <f>BG4+'Grid_Incoming'!BH4-'Grid_Requirement'!BH4</f>
        <v/>
      </c>
      <c r="BI4">
        <f>BH4+'Grid_Incoming'!BI4-'Grid_Requirement'!BI4</f>
        <v/>
      </c>
      <c r="BJ4">
        <f>BI4+'Grid_Incoming'!BJ4-'Grid_Requirement'!BJ4</f>
        <v/>
      </c>
      <c r="BK4">
        <f>BJ4+'Grid_Incoming'!BK4-'Grid_Requirement'!BK4</f>
        <v/>
      </c>
      <c r="BL4">
        <f>BK4+'Grid_Incoming'!BL4-'Grid_Requirement'!BL4</f>
        <v/>
      </c>
      <c r="BM4">
        <f>BL4+'Grid_Incoming'!BM4-'Grid_Requirement'!BM4</f>
        <v/>
      </c>
      <c r="BN4">
        <f>BM4+'Grid_Incoming'!BN4-'Grid_Requirement'!BN4</f>
        <v/>
      </c>
      <c r="BO4">
        <f>BN4+'Grid_Incoming'!BO4-'Grid_Requirement'!BO4</f>
        <v/>
      </c>
      <c r="BP4">
        <f>BO4+'Grid_Incoming'!BP4-'Grid_Requirement'!BP4</f>
        <v/>
      </c>
      <c r="BQ4">
        <f>BP4+'Grid_Incoming'!BQ4-'Grid_Requirement'!BQ4</f>
        <v/>
      </c>
      <c r="BR4">
        <f>BQ4+'Grid_Incoming'!BR4-'Grid_Requirement'!BR4</f>
        <v/>
      </c>
      <c r="BS4">
        <f>BR4+'Grid_Incoming'!BS4-'Grid_Requirement'!BS4</f>
        <v/>
      </c>
      <c r="BT4">
        <f>BS4+'Grid_Incoming'!BT4-'Grid_Requirement'!BT4</f>
        <v/>
      </c>
      <c r="BU4">
        <f>BT4+'Grid_Incoming'!BU4-'Grid_Requirement'!BU4</f>
        <v/>
      </c>
      <c r="BV4">
        <f>BU4+'Grid_Incoming'!BV4-'Grid_Requirement'!BV4</f>
        <v/>
      </c>
      <c r="BW4">
        <f>BV4+'Grid_Incoming'!BW4-'Grid_Requirement'!BW4</f>
        <v/>
      </c>
      <c r="BX4">
        <f>BW4+'Grid_Incoming'!BX4-'Grid_Requirement'!BX4</f>
        <v/>
      </c>
      <c r="BY4">
        <f>BX4+'Grid_Incoming'!BY4-'Grid_Requirement'!BY4</f>
        <v/>
      </c>
      <c r="BZ4">
        <f>BY4+'Grid_Incoming'!BZ4-'Grid_Requirement'!BZ4</f>
        <v/>
      </c>
      <c r="CA4">
        <f>BZ4+'Grid_Incoming'!CA4-'Grid_Requirement'!CA4</f>
        <v/>
      </c>
      <c r="CB4">
        <f>CA4+'Grid_Incoming'!CB4-'Grid_Requirement'!CB4</f>
        <v/>
      </c>
      <c r="CC4">
        <f>CB4+'Grid_Incoming'!CC4-'Grid_Requirement'!CC4</f>
        <v/>
      </c>
      <c r="CD4">
        <f>CC4+'Grid_Incoming'!CD4-'Grid_Requirement'!CD4</f>
        <v/>
      </c>
      <c r="CE4">
        <f>CD4+'Grid_Incoming'!CE4-'Grid_Requirement'!CE4</f>
        <v/>
      </c>
      <c r="CF4">
        <f>CE4+'Grid_Incoming'!CF4-'Grid_Requirement'!CF4</f>
        <v/>
      </c>
      <c r="CG4">
        <f>CF4+'Grid_Incoming'!CG4-'Grid_Requirement'!CG4</f>
        <v/>
      </c>
      <c r="CH4">
        <f>CG4+'Grid_Incoming'!CH4-'Grid_Requirement'!CH4</f>
        <v/>
      </c>
      <c r="CI4">
        <f>CH4+'Grid_Incoming'!CI4-'Grid_Requirement'!CI4</f>
        <v/>
      </c>
      <c r="CJ4">
        <f>CI4+'Grid_Incoming'!CJ4-'Grid_Requirement'!CJ4</f>
        <v/>
      </c>
      <c r="CK4">
        <f>CJ4+'Grid_Incoming'!CK4-'Grid_Requirement'!CK4</f>
        <v/>
      </c>
      <c r="CL4">
        <f>CK4+'Grid_Incoming'!CL4-'Grid_Requirement'!CL4</f>
        <v/>
      </c>
      <c r="CM4">
        <f>CL4+'Grid_Incoming'!CM4-'Grid_Requirement'!CM4</f>
        <v/>
      </c>
      <c r="CN4">
        <f>CM4+'Grid_Incoming'!CN4-'Grid_Requirement'!CN4</f>
        <v/>
      </c>
      <c r="CO4">
        <f>CN4+'Grid_Incoming'!CO4-'Grid_Requirement'!CO4</f>
        <v/>
      </c>
      <c r="CP4">
        <f>CO4+'Grid_Incoming'!CP4-'Grid_Requirement'!CP4</f>
        <v/>
      </c>
      <c r="CQ4">
        <f>CP4+'Grid_Incoming'!CQ4-'Grid_Requirement'!CQ4</f>
        <v/>
      </c>
      <c r="CR4">
        <f>CQ4+'Grid_Incoming'!CR4-'Grid_Requirement'!CR4</f>
        <v/>
      </c>
      <c r="CS4">
        <f>CR4+'Grid_Incoming'!CS4-'Grid_Requirement'!CS4</f>
        <v/>
      </c>
      <c r="CT4">
        <f>CS4+'Grid_Incoming'!CT4-'Grid_Requirement'!CT4</f>
        <v/>
      </c>
      <c r="CU4">
        <f>CT4+'Grid_Incoming'!CU4-'Grid_Requirement'!CU4</f>
        <v/>
      </c>
      <c r="CV4">
        <f>CU4+'Grid_Incoming'!CV4-'Grid_Requirement'!CV4</f>
        <v/>
      </c>
      <c r="CW4">
        <f>CV4+'Grid_Incoming'!CW4-'Grid_Requirement'!CW4</f>
        <v/>
      </c>
      <c r="CX4">
        <f>CW4+'Grid_Incoming'!CX4-'Grid_Requirement'!CX4</f>
        <v/>
      </c>
      <c r="CY4">
        <f>CX4+'Grid_Incoming'!CY4-'Grid_Requirement'!CY4</f>
        <v/>
      </c>
      <c r="CZ4">
        <f>CY4+'Grid_Incoming'!CZ4-'Grid_Requirement'!CZ4</f>
        <v/>
      </c>
      <c r="DA4">
        <f>CZ4+'Grid_Incoming'!DA4-'Grid_Requirement'!DA4</f>
        <v/>
      </c>
    </row>
    <row r="5">
      <c r="A5" t="inlineStr">
        <is>
          <t>9RN</t>
        </is>
      </c>
      <c r="B5">
        <f>IFERROR(INDEX(T_OpeningStock[Opening_Qty],MATCH($A5,T_OpeningStock[Part Name],0)),0)+'Grid_Incoming'!B5-'Grid_Requirement'!B5</f>
        <v/>
      </c>
      <c r="C5">
        <f>B5+'Grid_Incoming'!C5-'Grid_Requirement'!C5</f>
        <v/>
      </c>
      <c r="D5">
        <f>C5+'Grid_Incoming'!D5-'Grid_Requirement'!D5</f>
        <v/>
      </c>
      <c r="E5">
        <f>D5+'Grid_Incoming'!E5-'Grid_Requirement'!E5</f>
        <v/>
      </c>
      <c r="F5">
        <f>E5+'Grid_Incoming'!F5-'Grid_Requirement'!F5</f>
        <v/>
      </c>
      <c r="G5">
        <f>F5+'Grid_Incoming'!G5-'Grid_Requirement'!G5</f>
        <v/>
      </c>
      <c r="H5">
        <f>G5+'Grid_Incoming'!H5-'Grid_Requirement'!H5</f>
        <v/>
      </c>
      <c r="I5">
        <f>H5+'Grid_Incoming'!I5-'Grid_Requirement'!I5</f>
        <v/>
      </c>
      <c r="J5">
        <f>I5+'Grid_Incoming'!J5-'Grid_Requirement'!J5</f>
        <v/>
      </c>
      <c r="K5">
        <f>J5+'Grid_Incoming'!K5-'Grid_Requirement'!K5</f>
        <v/>
      </c>
      <c r="L5">
        <f>K5+'Grid_Incoming'!L5-'Grid_Requirement'!L5</f>
        <v/>
      </c>
      <c r="M5">
        <f>L5+'Grid_Incoming'!M5-'Grid_Requirement'!M5</f>
        <v/>
      </c>
      <c r="N5">
        <f>M5+'Grid_Incoming'!N5-'Grid_Requirement'!N5</f>
        <v/>
      </c>
      <c r="O5">
        <f>N5+'Grid_Incoming'!O5-'Grid_Requirement'!O5</f>
        <v/>
      </c>
      <c r="P5">
        <f>O5+'Grid_Incoming'!P5-'Grid_Requirement'!P5</f>
        <v/>
      </c>
      <c r="Q5">
        <f>P5+'Grid_Incoming'!Q5-'Grid_Requirement'!Q5</f>
        <v/>
      </c>
      <c r="R5">
        <f>Q5+'Grid_Incoming'!R5-'Grid_Requirement'!R5</f>
        <v/>
      </c>
      <c r="S5">
        <f>R5+'Grid_Incoming'!S5-'Grid_Requirement'!S5</f>
        <v/>
      </c>
      <c r="T5">
        <f>S5+'Grid_Incoming'!T5-'Grid_Requirement'!T5</f>
        <v/>
      </c>
      <c r="U5">
        <f>T5+'Grid_Incoming'!U5-'Grid_Requirement'!U5</f>
        <v/>
      </c>
      <c r="V5">
        <f>U5+'Grid_Incoming'!V5-'Grid_Requirement'!V5</f>
        <v/>
      </c>
      <c r="W5">
        <f>V5+'Grid_Incoming'!W5-'Grid_Requirement'!W5</f>
        <v/>
      </c>
      <c r="X5">
        <f>W5+'Grid_Incoming'!X5-'Grid_Requirement'!X5</f>
        <v/>
      </c>
      <c r="Y5">
        <f>X5+'Grid_Incoming'!Y5-'Grid_Requirement'!Y5</f>
        <v/>
      </c>
      <c r="Z5">
        <f>Y5+'Grid_Incoming'!Z5-'Grid_Requirement'!Z5</f>
        <v/>
      </c>
      <c r="AA5">
        <f>Z5+'Grid_Incoming'!AA5-'Grid_Requirement'!AA5</f>
        <v/>
      </c>
      <c r="AB5">
        <f>AA5+'Grid_Incoming'!AB5-'Grid_Requirement'!AB5</f>
        <v/>
      </c>
      <c r="AC5">
        <f>AB5+'Grid_Incoming'!AC5-'Grid_Requirement'!AC5</f>
        <v/>
      </c>
      <c r="AD5">
        <f>AC5+'Grid_Incoming'!AD5-'Grid_Requirement'!AD5</f>
        <v/>
      </c>
      <c r="AE5">
        <f>AD5+'Grid_Incoming'!AE5-'Grid_Requirement'!AE5</f>
        <v/>
      </c>
      <c r="AF5">
        <f>AE5+'Grid_Incoming'!AF5-'Grid_Requirement'!AF5</f>
        <v/>
      </c>
      <c r="AG5">
        <f>AF5+'Grid_Incoming'!AG5-'Grid_Requirement'!AG5</f>
        <v/>
      </c>
      <c r="AH5">
        <f>AG5+'Grid_Incoming'!AH5-'Grid_Requirement'!AH5</f>
        <v/>
      </c>
      <c r="AI5">
        <f>AH5+'Grid_Incoming'!AI5-'Grid_Requirement'!AI5</f>
        <v/>
      </c>
      <c r="AJ5">
        <f>AI5+'Grid_Incoming'!AJ5-'Grid_Requirement'!AJ5</f>
        <v/>
      </c>
      <c r="AK5">
        <f>AJ5+'Grid_Incoming'!AK5-'Grid_Requirement'!AK5</f>
        <v/>
      </c>
      <c r="AL5">
        <f>AK5+'Grid_Incoming'!AL5-'Grid_Requirement'!AL5</f>
        <v/>
      </c>
      <c r="AM5">
        <f>AL5+'Grid_Incoming'!AM5-'Grid_Requirement'!AM5</f>
        <v/>
      </c>
      <c r="AN5">
        <f>AM5+'Grid_Incoming'!AN5-'Grid_Requirement'!AN5</f>
        <v/>
      </c>
      <c r="AO5">
        <f>AN5+'Grid_Incoming'!AO5-'Grid_Requirement'!AO5</f>
        <v/>
      </c>
      <c r="AP5">
        <f>AO5+'Grid_Incoming'!AP5-'Grid_Requirement'!AP5</f>
        <v/>
      </c>
      <c r="AQ5">
        <f>AP5+'Grid_Incoming'!AQ5-'Grid_Requirement'!AQ5</f>
        <v/>
      </c>
      <c r="AR5">
        <f>AQ5+'Grid_Incoming'!AR5-'Grid_Requirement'!AR5</f>
        <v/>
      </c>
      <c r="AS5">
        <f>AR5+'Grid_Incoming'!AS5-'Grid_Requirement'!AS5</f>
        <v/>
      </c>
      <c r="AT5">
        <f>AS5+'Grid_Incoming'!AT5-'Grid_Requirement'!AT5</f>
        <v/>
      </c>
      <c r="AU5">
        <f>AT5+'Grid_Incoming'!AU5-'Grid_Requirement'!AU5</f>
        <v/>
      </c>
      <c r="AV5">
        <f>AU5+'Grid_Incoming'!AV5-'Grid_Requirement'!AV5</f>
        <v/>
      </c>
      <c r="AW5">
        <f>AV5+'Grid_Incoming'!AW5-'Grid_Requirement'!AW5</f>
        <v/>
      </c>
      <c r="AX5">
        <f>AW5+'Grid_Incoming'!AX5-'Grid_Requirement'!AX5</f>
        <v/>
      </c>
      <c r="AY5">
        <f>AX5+'Grid_Incoming'!AY5-'Grid_Requirement'!AY5</f>
        <v/>
      </c>
      <c r="AZ5">
        <f>AY5+'Grid_Incoming'!AZ5-'Grid_Requirement'!AZ5</f>
        <v/>
      </c>
      <c r="BA5">
        <f>AZ5+'Grid_Incoming'!BA5-'Grid_Requirement'!BA5</f>
        <v/>
      </c>
      <c r="BB5">
        <f>BA5+'Grid_Incoming'!BB5-'Grid_Requirement'!BB5</f>
        <v/>
      </c>
      <c r="BC5">
        <f>BB5+'Grid_Incoming'!BC5-'Grid_Requirement'!BC5</f>
        <v/>
      </c>
      <c r="BD5">
        <f>BC5+'Grid_Incoming'!BD5-'Grid_Requirement'!BD5</f>
        <v/>
      </c>
      <c r="BE5">
        <f>BD5+'Grid_Incoming'!BE5-'Grid_Requirement'!BE5</f>
        <v/>
      </c>
      <c r="BF5">
        <f>BE5+'Grid_Incoming'!BF5-'Grid_Requirement'!BF5</f>
        <v/>
      </c>
      <c r="BG5">
        <f>BF5+'Grid_Incoming'!BG5-'Grid_Requirement'!BG5</f>
        <v/>
      </c>
      <c r="BH5">
        <f>BG5+'Grid_Incoming'!BH5-'Grid_Requirement'!BH5</f>
        <v/>
      </c>
      <c r="BI5">
        <f>BH5+'Grid_Incoming'!BI5-'Grid_Requirement'!BI5</f>
        <v/>
      </c>
      <c r="BJ5">
        <f>BI5+'Grid_Incoming'!BJ5-'Grid_Requirement'!BJ5</f>
        <v/>
      </c>
      <c r="BK5">
        <f>BJ5+'Grid_Incoming'!BK5-'Grid_Requirement'!BK5</f>
        <v/>
      </c>
      <c r="BL5">
        <f>BK5+'Grid_Incoming'!BL5-'Grid_Requirement'!BL5</f>
        <v/>
      </c>
      <c r="BM5">
        <f>BL5+'Grid_Incoming'!BM5-'Grid_Requirement'!BM5</f>
        <v/>
      </c>
      <c r="BN5">
        <f>BM5+'Grid_Incoming'!BN5-'Grid_Requirement'!BN5</f>
        <v/>
      </c>
      <c r="BO5">
        <f>BN5+'Grid_Incoming'!BO5-'Grid_Requirement'!BO5</f>
        <v/>
      </c>
      <c r="BP5">
        <f>BO5+'Grid_Incoming'!BP5-'Grid_Requirement'!BP5</f>
        <v/>
      </c>
      <c r="BQ5">
        <f>BP5+'Grid_Incoming'!BQ5-'Grid_Requirement'!BQ5</f>
        <v/>
      </c>
      <c r="BR5">
        <f>BQ5+'Grid_Incoming'!BR5-'Grid_Requirement'!BR5</f>
        <v/>
      </c>
      <c r="BS5">
        <f>BR5+'Grid_Incoming'!BS5-'Grid_Requirement'!BS5</f>
        <v/>
      </c>
      <c r="BT5">
        <f>BS5+'Grid_Incoming'!BT5-'Grid_Requirement'!BT5</f>
        <v/>
      </c>
      <c r="BU5">
        <f>BT5+'Grid_Incoming'!BU5-'Grid_Requirement'!BU5</f>
        <v/>
      </c>
      <c r="BV5">
        <f>BU5+'Grid_Incoming'!BV5-'Grid_Requirement'!BV5</f>
        <v/>
      </c>
      <c r="BW5">
        <f>BV5+'Grid_Incoming'!BW5-'Grid_Requirement'!BW5</f>
        <v/>
      </c>
      <c r="BX5">
        <f>BW5+'Grid_Incoming'!BX5-'Grid_Requirement'!BX5</f>
        <v/>
      </c>
      <c r="BY5">
        <f>BX5+'Grid_Incoming'!BY5-'Grid_Requirement'!BY5</f>
        <v/>
      </c>
      <c r="BZ5">
        <f>BY5+'Grid_Incoming'!BZ5-'Grid_Requirement'!BZ5</f>
        <v/>
      </c>
      <c r="CA5">
        <f>BZ5+'Grid_Incoming'!CA5-'Grid_Requirement'!CA5</f>
        <v/>
      </c>
      <c r="CB5">
        <f>CA5+'Grid_Incoming'!CB5-'Grid_Requirement'!CB5</f>
        <v/>
      </c>
      <c r="CC5">
        <f>CB5+'Grid_Incoming'!CC5-'Grid_Requirement'!CC5</f>
        <v/>
      </c>
      <c r="CD5">
        <f>CC5+'Grid_Incoming'!CD5-'Grid_Requirement'!CD5</f>
        <v/>
      </c>
      <c r="CE5">
        <f>CD5+'Grid_Incoming'!CE5-'Grid_Requirement'!CE5</f>
        <v/>
      </c>
      <c r="CF5">
        <f>CE5+'Grid_Incoming'!CF5-'Grid_Requirement'!CF5</f>
        <v/>
      </c>
      <c r="CG5">
        <f>CF5+'Grid_Incoming'!CG5-'Grid_Requirement'!CG5</f>
        <v/>
      </c>
      <c r="CH5">
        <f>CG5+'Grid_Incoming'!CH5-'Grid_Requirement'!CH5</f>
        <v/>
      </c>
      <c r="CI5">
        <f>CH5+'Grid_Incoming'!CI5-'Grid_Requirement'!CI5</f>
        <v/>
      </c>
      <c r="CJ5">
        <f>CI5+'Grid_Incoming'!CJ5-'Grid_Requirement'!CJ5</f>
        <v/>
      </c>
      <c r="CK5">
        <f>CJ5+'Grid_Incoming'!CK5-'Grid_Requirement'!CK5</f>
        <v/>
      </c>
      <c r="CL5">
        <f>CK5+'Grid_Incoming'!CL5-'Grid_Requirement'!CL5</f>
        <v/>
      </c>
      <c r="CM5">
        <f>CL5+'Grid_Incoming'!CM5-'Grid_Requirement'!CM5</f>
        <v/>
      </c>
      <c r="CN5">
        <f>CM5+'Grid_Incoming'!CN5-'Grid_Requirement'!CN5</f>
        <v/>
      </c>
      <c r="CO5">
        <f>CN5+'Grid_Incoming'!CO5-'Grid_Requirement'!CO5</f>
        <v/>
      </c>
      <c r="CP5">
        <f>CO5+'Grid_Incoming'!CP5-'Grid_Requirement'!CP5</f>
        <v/>
      </c>
      <c r="CQ5">
        <f>CP5+'Grid_Incoming'!CQ5-'Grid_Requirement'!CQ5</f>
        <v/>
      </c>
      <c r="CR5">
        <f>CQ5+'Grid_Incoming'!CR5-'Grid_Requirement'!CR5</f>
        <v/>
      </c>
      <c r="CS5">
        <f>CR5+'Grid_Incoming'!CS5-'Grid_Requirement'!CS5</f>
        <v/>
      </c>
      <c r="CT5">
        <f>CS5+'Grid_Incoming'!CT5-'Grid_Requirement'!CT5</f>
        <v/>
      </c>
      <c r="CU5">
        <f>CT5+'Grid_Incoming'!CU5-'Grid_Requirement'!CU5</f>
        <v/>
      </c>
      <c r="CV5">
        <f>CU5+'Grid_Incoming'!CV5-'Grid_Requirement'!CV5</f>
        <v/>
      </c>
      <c r="CW5">
        <f>CV5+'Grid_Incoming'!CW5-'Grid_Requirement'!CW5</f>
        <v/>
      </c>
      <c r="CX5">
        <f>CW5+'Grid_Incoming'!CX5-'Grid_Requirement'!CX5</f>
        <v/>
      </c>
      <c r="CY5">
        <f>CX5+'Grid_Incoming'!CY5-'Grid_Requirement'!CY5</f>
        <v/>
      </c>
      <c r="CZ5">
        <f>CY5+'Grid_Incoming'!CZ5-'Grid_Requirement'!CZ5</f>
        <v/>
      </c>
      <c r="DA5">
        <f>CZ5+'Grid_Incoming'!DA5-'Grid_Requirement'!DA5</f>
        <v/>
      </c>
    </row>
    <row r="6">
      <c r="A6" t="inlineStr">
        <is>
          <t>7CL</t>
        </is>
      </c>
      <c r="B6">
        <f>IFERROR(INDEX(T_OpeningStock[Opening_Qty],MATCH($A6,T_OpeningStock[Part Name],0)),0)+'Grid_Incoming'!B6-'Grid_Requirement'!B6</f>
        <v/>
      </c>
      <c r="C6">
        <f>B6+'Grid_Incoming'!C6-'Grid_Requirement'!C6</f>
        <v/>
      </c>
      <c r="D6">
        <f>C6+'Grid_Incoming'!D6-'Grid_Requirement'!D6</f>
        <v/>
      </c>
      <c r="E6">
        <f>D6+'Grid_Incoming'!E6-'Grid_Requirement'!E6</f>
        <v/>
      </c>
      <c r="F6">
        <f>E6+'Grid_Incoming'!F6-'Grid_Requirement'!F6</f>
        <v/>
      </c>
      <c r="G6">
        <f>F6+'Grid_Incoming'!G6-'Grid_Requirement'!G6</f>
        <v/>
      </c>
      <c r="H6">
        <f>G6+'Grid_Incoming'!H6-'Grid_Requirement'!H6</f>
        <v/>
      </c>
      <c r="I6">
        <f>H6+'Grid_Incoming'!I6-'Grid_Requirement'!I6</f>
        <v/>
      </c>
      <c r="J6">
        <f>I6+'Grid_Incoming'!J6-'Grid_Requirement'!J6</f>
        <v/>
      </c>
      <c r="K6">
        <f>J6+'Grid_Incoming'!K6-'Grid_Requirement'!K6</f>
        <v/>
      </c>
      <c r="L6">
        <f>K6+'Grid_Incoming'!L6-'Grid_Requirement'!L6</f>
        <v/>
      </c>
      <c r="M6">
        <f>L6+'Grid_Incoming'!M6-'Grid_Requirement'!M6</f>
        <v/>
      </c>
      <c r="N6">
        <f>M6+'Grid_Incoming'!N6-'Grid_Requirement'!N6</f>
        <v/>
      </c>
      <c r="O6">
        <f>N6+'Grid_Incoming'!O6-'Grid_Requirement'!O6</f>
        <v/>
      </c>
      <c r="P6">
        <f>O6+'Grid_Incoming'!P6-'Grid_Requirement'!P6</f>
        <v/>
      </c>
      <c r="Q6">
        <f>P6+'Grid_Incoming'!Q6-'Grid_Requirement'!Q6</f>
        <v/>
      </c>
      <c r="R6">
        <f>Q6+'Grid_Incoming'!R6-'Grid_Requirement'!R6</f>
        <v/>
      </c>
      <c r="S6">
        <f>R6+'Grid_Incoming'!S6-'Grid_Requirement'!S6</f>
        <v/>
      </c>
      <c r="T6">
        <f>S6+'Grid_Incoming'!T6-'Grid_Requirement'!T6</f>
        <v/>
      </c>
      <c r="U6">
        <f>T6+'Grid_Incoming'!U6-'Grid_Requirement'!U6</f>
        <v/>
      </c>
      <c r="V6">
        <f>U6+'Grid_Incoming'!V6-'Grid_Requirement'!V6</f>
        <v/>
      </c>
      <c r="W6">
        <f>V6+'Grid_Incoming'!W6-'Grid_Requirement'!W6</f>
        <v/>
      </c>
      <c r="X6">
        <f>W6+'Grid_Incoming'!X6-'Grid_Requirement'!X6</f>
        <v/>
      </c>
      <c r="Y6">
        <f>X6+'Grid_Incoming'!Y6-'Grid_Requirement'!Y6</f>
        <v/>
      </c>
      <c r="Z6">
        <f>Y6+'Grid_Incoming'!Z6-'Grid_Requirement'!Z6</f>
        <v/>
      </c>
      <c r="AA6">
        <f>Z6+'Grid_Incoming'!AA6-'Grid_Requirement'!AA6</f>
        <v/>
      </c>
      <c r="AB6">
        <f>AA6+'Grid_Incoming'!AB6-'Grid_Requirement'!AB6</f>
        <v/>
      </c>
      <c r="AC6">
        <f>AB6+'Grid_Incoming'!AC6-'Grid_Requirement'!AC6</f>
        <v/>
      </c>
      <c r="AD6">
        <f>AC6+'Grid_Incoming'!AD6-'Grid_Requirement'!AD6</f>
        <v/>
      </c>
      <c r="AE6">
        <f>AD6+'Grid_Incoming'!AE6-'Grid_Requirement'!AE6</f>
        <v/>
      </c>
      <c r="AF6">
        <f>AE6+'Grid_Incoming'!AF6-'Grid_Requirement'!AF6</f>
        <v/>
      </c>
      <c r="AG6">
        <f>AF6+'Grid_Incoming'!AG6-'Grid_Requirement'!AG6</f>
        <v/>
      </c>
      <c r="AH6">
        <f>AG6+'Grid_Incoming'!AH6-'Grid_Requirement'!AH6</f>
        <v/>
      </c>
      <c r="AI6">
        <f>AH6+'Grid_Incoming'!AI6-'Grid_Requirement'!AI6</f>
        <v/>
      </c>
      <c r="AJ6">
        <f>AI6+'Grid_Incoming'!AJ6-'Grid_Requirement'!AJ6</f>
        <v/>
      </c>
      <c r="AK6">
        <f>AJ6+'Grid_Incoming'!AK6-'Grid_Requirement'!AK6</f>
        <v/>
      </c>
      <c r="AL6">
        <f>AK6+'Grid_Incoming'!AL6-'Grid_Requirement'!AL6</f>
        <v/>
      </c>
      <c r="AM6">
        <f>AL6+'Grid_Incoming'!AM6-'Grid_Requirement'!AM6</f>
        <v/>
      </c>
      <c r="AN6">
        <f>AM6+'Grid_Incoming'!AN6-'Grid_Requirement'!AN6</f>
        <v/>
      </c>
      <c r="AO6">
        <f>AN6+'Grid_Incoming'!AO6-'Grid_Requirement'!AO6</f>
        <v/>
      </c>
      <c r="AP6">
        <f>AO6+'Grid_Incoming'!AP6-'Grid_Requirement'!AP6</f>
        <v/>
      </c>
      <c r="AQ6">
        <f>AP6+'Grid_Incoming'!AQ6-'Grid_Requirement'!AQ6</f>
        <v/>
      </c>
      <c r="AR6">
        <f>AQ6+'Grid_Incoming'!AR6-'Grid_Requirement'!AR6</f>
        <v/>
      </c>
      <c r="AS6">
        <f>AR6+'Grid_Incoming'!AS6-'Grid_Requirement'!AS6</f>
        <v/>
      </c>
      <c r="AT6">
        <f>AS6+'Grid_Incoming'!AT6-'Grid_Requirement'!AT6</f>
        <v/>
      </c>
      <c r="AU6">
        <f>AT6+'Grid_Incoming'!AU6-'Grid_Requirement'!AU6</f>
        <v/>
      </c>
      <c r="AV6">
        <f>AU6+'Grid_Incoming'!AV6-'Grid_Requirement'!AV6</f>
        <v/>
      </c>
      <c r="AW6">
        <f>AV6+'Grid_Incoming'!AW6-'Grid_Requirement'!AW6</f>
        <v/>
      </c>
      <c r="AX6">
        <f>AW6+'Grid_Incoming'!AX6-'Grid_Requirement'!AX6</f>
        <v/>
      </c>
      <c r="AY6">
        <f>AX6+'Grid_Incoming'!AY6-'Grid_Requirement'!AY6</f>
        <v/>
      </c>
      <c r="AZ6">
        <f>AY6+'Grid_Incoming'!AZ6-'Grid_Requirement'!AZ6</f>
        <v/>
      </c>
      <c r="BA6">
        <f>AZ6+'Grid_Incoming'!BA6-'Grid_Requirement'!BA6</f>
        <v/>
      </c>
      <c r="BB6">
        <f>BA6+'Grid_Incoming'!BB6-'Grid_Requirement'!BB6</f>
        <v/>
      </c>
      <c r="BC6">
        <f>BB6+'Grid_Incoming'!BC6-'Grid_Requirement'!BC6</f>
        <v/>
      </c>
      <c r="BD6">
        <f>BC6+'Grid_Incoming'!BD6-'Grid_Requirement'!BD6</f>
        <v/>
      </c>
      <c r="BE6">
        <f>BD6+'Grid_Incoming'!BE6-'Grid_Requirement'!BE6</f>
        <v/>
      </c>
      <c r="BF6">
        <f>BE6+'Grid_Incoming'!BF6-'Grid_Requirement'!BF6</f>
        <v/>
      </c>
      <c r="BG6">
        <f>BF6+'Grid_Incoming'!BG6-'Grid_Requirement'!BG6</f>
        <v/>
      </c>
      <c r="BH6">
        <f>BG6+'Grid_Incoming'!BH6-'Grid_Requirement'!BH6</f>
        <v/>
      </c>
      <c r="BI6">
        <f>BH6+'Grid_Incoming'!BI6-'Grid_Requirement'!BI6</f>
        <v/>
      </c>
      <c r="BJ6">
        <f>BI6+'Grid_Incoming'!BJ6-'Grid_Requirement'!BJ6</f>
        <v/>
      </c>
      <c r="BK6">
        <f>BJ6+'Grid_Incoming'!BK6-'Grid_Requirement'!BK6</f>
        <v/>
      </c>
      <c r="BL6">
        <f>BK6+'Grid_Incoming'!BL6-'Grid_Requirement'!BL6</f>
        <v/>
      </c>
      <c r="BM6">
        <f>BL6+'Grid_Incoming'!BM6-'Grid_Requirement'!BM6</f>
        <v/>
      </c>
      <c r="BN6">
        <f>BM6+'Grid_Incoming'!BN6-'Grid_Requirement'!BN6</f>
        <v/>
      </c>
      <c r="BO6">
        <f>BN6+'Grid_Incoming'!BO6-'Grid_Requirement'!BO6</f>
        <v/>
      </c>
      <c r="BP6">
        <f>BO6+'Grid_Incoming'!BP6-'Grid_Requirement'!BP6</f>
        <v/>
      </c>
      <c r="BQ6">
        <f>BP6+'Grid_Incoming'!BQ6-'Grid_Requirement'!BQ6</f>
        <v/>
      </c>
      <c r="BR6">
        <f>BQ6+'Grid_Incoming'!BR6-'Grid_Requirement'!BR6</f>
        <v/>
      </c>
      <c r="BS6">
        <f>BR6+'Grid_Incoming'!BS6-'Grid_Requirement'!BS6</f>
        <v/>
      </c>
      <c r="BT6">
        <f>BS6+'Grid_Incoming'!BT6-'Grid_Requirement'!BT6</f>
        <v/>
      </c>
      <c r="BU6">
        <f>BT6+'Grid_Incoming'!BU6-'Grid_Requirement'!BU6</f>
        <v/>
      </c>
      <c r="BV6">
        <f>BU6+'Grid_Incoming'!BV6-'Grid_Requirement'!BV6</f>
        <v/>
      </c>
      <c r="BW6">
        <f>BV6+'Grid_Incoming'!BW6-'Grid_Requirement'!BW6</f>
        <v/>
      </c>
      <c r="BX6">
        <f>BW6+'Grid_Incoming'!BX6-'Grid_Requirement'!BX6</f>
        <v/>
      </c>
      <c r="BY6">
        <f>BX6+'Grid_Incoming'!BY6-'Grid_Requirement'!BY6</f>
        <v/>
      </c>
      <c r="BZ6">
        <f>BY6+'Grid_Incoming'!BZ6-'Grid_Requirement'!BZ6</f>
        <v/>
      </c>
      <c r="CA6">
        <f>BZ6+'Grid_Incoming'!CA6-'Grid_Requirement'!CA6</f>
        <v/>
      </c>
      <c r="CB6">
        <f>CA6+'Grid_Incoming'!CB6-'Grid_Requirement'!CB6</f>
        <v/>
      </c>
      <c r="CC6">
        <f>CB6+'Grid_Incoming'!CC6-'Grid_Requirement'!CC6</f>
        <v/>
      </c>
      <c r="CD6">
        <f>CC6+'Grid_Incoming'!CD6-'Grid_Requirement'!CD6</f>
        <v/>
      </c>
      <c r="CE6">
        <f>CD6+'Grid_Incoming'!CE6-'Grid_Requirement'!CE6</f>
        <v/>
      </c>
      <c r="CF6">
        <f>CE6+'Grid_Incoming'!CF6-'Grid_Requirement'!CF6</f>
        <v/>
      </c>
      <c r="CG6">
        <f>CF6+'Grid_Incoming'!CG6-'Grid_Requirement'!CG6</f>
        <v/>
      </c>
      <c r="CH6">
        <f>CG6+'Grid_Incoming'!CH6-'Grid_Requirement'!CH6</f>
        <v/>
      </c>
      <c r="CI6">
        <f>CH6+'Grid_Incoming'!CI6-'Grid_Requirement'!CI6</f>
        <v/>
      </c>
      <c r="CJ6">
        <f>CI6+'Grid_Incoming'!CJ6-'Grid_Requirement'!CJ6</f>
        <v/>
      </c>
      <c r="CK6">
        <f>CJ6+'Grid_Incoming'!CK6-'Grid_Requirement'!CK6</f>
        <v/>
      </c>
      <c r="CL6">
        <f>CK6+'Grid_Incoming'!CL6-'Grid_Requirement'!CL6</f>
        <v/>
      </c>
      <c r="CM6">
        <f>CL6+'Grid_Incoming'!CM6-'Grid_Requirement'!CM6</f>
        <v/>
      </c>
      <c r="CN6">
        <f>CM6+'Grid_Incoming'!CN6-'Grid_Requirement'!CN6</f>
        <v/>
      </c>
      <c r="CO6">
        <f>CN6+'Grid_Incoming'!CO6-'Grid_Requirement'!CO6</f>
        <v/>
      </c>
      <c r="CP6">
        <f>CO6+'Grid_Incoming'!CP6-'Grid_Requirement'!CP6</f>
        <v/>
      </c>
      <c r="CQ6">
        <f>CP6+'Grid_Incoming'!CQ6-'Grid_Requirement'!CQ6</f>
        <v/>
      </c>
      <c r="CR6">
        <f>CQ6+'Grid_Incoming'!CR6-'Grid_Requirement'!CR6</f>
        <v/>
      </c>
      <c r="CS6">
        <f>CR6+'Grid_Incoming'!CS6-'Grid_Requirement'!CS6</f>
        <v/>
      </c>
      <c r="CT6">
        <f>CS6+'Grid_Incoming'!CT6-'Grid_Requirement'!CT6</f>
        <v/>
      </c>
      <c r="CU6">
        <f>CT6+'Grid_Incoming'!CU6-'Grid_Requirement'!CU6</f>
        <v/>
      </c>
      <c r="CV6">
        <f>CU6+'Grid_Incoming'!CV6-'Grid_Requirement'!CV6</f>
        <v/>
      </c>
      <c r="CW6">
        <f>CV6+'Grid_Incoming'!CW6-'Grid_Requirement'!CW6</f>
        <v/>
      </c>
      <c r="CX6">
        <f>CW6+'Grid_Incoming'!CX6-'Grid_Requirement'!CX6</f>
        <v/>
      </c>
      <c r="CY6">
        <f>CX6+'Grid_Incoming'!CY6-'Grid_Requirement'!CY6</f>
        <v/>
      </c>
      <c r="CZ6">
        <f>CY6+'Grid_Incoming'!CZ6-'Grid_Requirement'!CZ6</f>
        <v/>
      </c>
      <c r="DA6">
        <f>CZ6+'Grid_Incoming'!DA6-'Grid_Requirement'!DA6</f>
        <v/>
      </c>
    </row>
    <row r="7">
      <c r="A7" t="inlineStr">
        <is>
          <t>OJN</t>
        </is>
      </c>
      <c r="B7">
        <f>IFERROR(INDEX(T_OpeningStock[Opening_Qty],MATCH($A7,T_OpeningStock[Part Name],0)),0)+'Grid_Incoming'!B7-'Grid_Requirement'!B7</f>
        <v/>
      </c>
      <c r="C7">
        <f>B7+'Grid_Incoming'!C7-'Grid_Requirement'!C7</f>
        <v/>
      </c>
      <c r="D7">
        <f>C7+'Grid_Incoming'!D7-'Grid_Requirement'!D7</f>
        <v/>
      </c>
      <c r="E7">
        <f>D7+'Grid_Incoming'!E7-'Grid_Requirement'!E7</f>
        <v/>
      </c>
      <c r="F7">
        <f>E7+'Grid_Incoming'!F7-'Grid_Requirement'!F7</f>
        <v/>
      </c>
      <c r="G7">
        <f>F7+'Grid_Incoming'!G7-'Grid_Requirement'!G7</f>
        <v/>
      </c>
      <c r="H7">
        <f>G7+'Grid_Incoming'!H7-'Grid_Requirement'!H7</f>
        <v/>
      </c>
      <c r="I7">
        <f>H7+'Grid_Incoming'!I7-'Grid_Requirement'!I7</f>
        <v/>
      </c>
      <c r="J7">
        <f>I7+'Grid_Incoming'!J7-'Grid_Requirement'!J7</f>
        <v/>
      </c>
      <c r="K7">
        <f>J7+'Grid_Incoming'!K7-'Grid_Requirement'!K7</f>
        <v/>
      </c>
      <c r="L7">
        <f>K7+'Grid_Incoming'!L7-'Grid_Requirement'!L7</f>
        <v/>
      </c>
      <c r="M7">
        <f>L7+'Grid_Incoming'!M7-'Grid_Requirement'!M7</f>
        <v/>
      </c>
      <c r="N7">
        <f>M7+'Grid_Incoming'!N7-'Grid_Requirement'!N7</f>
        <v/>
      </c>
      <c r="O7">
        <f>N7+'Grid_Incoming'!O7-'Grid_Requirement'!O7</f>
        <v/>
      </c>
      <c r="P7">
        <f>O7+'Grid_Incoming'!P7-'Grid_Requirement'!P7</f>
        <v/>
      </c>
      <c r="Q7">
        <f>P7+'Grid_Incoming'!Q7-'Grid_Requirement'!Q7</f>
        <v/>
      </c>
      <c r="R7">
        <f>Q7+'Grid_Incoming'!R7-'Grid_Requirement'!R7</f>
        <v/>
      </c>
      <c r="S7">
        <f>R7+'Grid_Incoming'!S7-'Grid_Requirement'!S7</f>
        <v/>
      </c>
      <c r="T7">
        <f>S7+'Grid_Incoming'!T7-'Grid_Requirement'!T7</f>
        <v/>
      </c>
      <c r="U7">
        <f>T7+'Grid_Incoming'!U7-'Grid_Requirement'!U7</f>
        <v/>
      </c>
      <c r="V7">
        <f>U7+'Grid_Incoming'!V7-'Grid_Requirement'!V7</f>
        <v/>
      </c>
      <c r="W7">
        <f>V7+'Grid_Incoming'!W7-'Grid_Requirement'!W7</f>
        <v/>
      </c>
      <c r="X7">
        <f>W7+'Grid_Incoming'!X7-'Grid_Requirement'!X7</f>
        <v/>
      </c>
      <c r="Y7">
        <f>X7+'Grid_Incoming'!Y7-'Grid_Requirement'!Y7</f>
        <v/>
      </c>
      <c r="Z7">
        <f>Y7+'Grid_Incoming'!Z7-'Grid_Requirement'!Z7</f>
        <v/>
      </c>
      <c r="AA7">
        <f>Z7+'Grid_Incoming'!AA7-'Grid_Requirement'!AA7</f>
        <v/>
      </c>
      <c r="AB7">
        <f>AA7+'Grid_Incoming'!AB7-'Grid_Requirement'!AB7</f>
        <v/>
      </c>
      <c r="AC7">
        <f>AB7+'Grid_Incoming'!AC7-'Grid_Requirement'!AC7</f>
        <v/>
      </c>
      <c r="AD7">
        <f>AC7+'Grid_Incoming'!AD7-'Grid_Requirement'!AD7</f>
        <v/>
      </c>
      <c r="AE7">
        <f>AD7+'Grid_Incoming'!AE7-'Grid_Requirement'!AE7</f>
        <v/>
      </c>
      <c r="AF7">
        <f>AE7+'Grid_Incoming'!AF7-'Grid_Requirement'!AF7</f>
        <v/>
      </c>
      <c r="AG7">
        <f>AF7+'Grid_Incoming'!AG7-'Grid_Requirement'!AG7</f>
        <v/>
      </c>
      <c r="AH7">
        <f>AG7+'Grid_Incoming'!AH7-'Grid_Requirement'!AH7</f>
        <v/>
      </c>
      <c r="AI7">
        <f>AH7+'Grid_Incoming'!AI7-'Grid_Requirement'!AI7</f>
        <v/>
      </c>
      <c r="AJ7">
        <f>AI7+'Grid_Incoming'!AJ7-'Grid_Requirement'!AJ7</f>
        <v/>
      </c>
      <c r="AK7">
        <f>AJ7+'Grid_Incoming'!AK7-'Grid_Requirement'!AK7</f>
        <v/>
      </c>
      <c r="AL7">
        <f>AK7+'Grid_Incoming'!AL7-'Grid_Requirement'!AL7</f>
        <v/>
      </c>
      <c r="AM7">
        <f>AL7+'Grid_Incoming'!AM7-'Grid_Requirement'!AM7</f>
        <v/>
      </c>
      <c r="AN7">
        <f>AM7+'Grid_Incoming'!AN7-'Grid_Requirement'!AN7</f>
        <v/>
      </c>
      <c r="AO7">
        <f>AN7+'Grid_Incoming'!AO7-'Grid_Requirement'!AO7</f>
        <v/>
      </c>
      <c r="AP7">
        <f>AO7+'Grid_Incoming'!AP7-'Grid_Requirement'!AP7</f>
        <v/>
      </c>
      <c r="AQ7">
        <f>AP7+'Grid_Incoming'!AQ7-'Grid_Requirement'!AQ7</f>
        <v/>
      </c>
      <c r="AR7">
        <f>AQ7+'Grid_Incoming'!AR7-'Grid_Requirement'!AR7</f>
        <v/>
      </c>
      <c r="AS7">
        <f>AR7+'Grid_Incoming'!AS7-'Grid_Requirement'!AS7</f>
        <v/>
      </c>
      <c r="AT7">
        <f>AS7+'Grid_Incoming'!AT7-'Grid_Requirement'!AT7</f>
        <v/>
      </c>
      <c r="AU7">
        <f>AT7+'Grid_Incoming'!AU7-'Grid_Requirement'!AU7</f>
        <v/>
      </c>
      <c r="AV7">
        <f>AU7+'Grid_Incoming'!AV7-'Grid_Requirement'!AV7</f>
        <v/>
      </c>
      <c r="AW7">
        <f>AV7+'Grid_Incoming'!AW7-'Grid_Requirement'!AW7</f>
        <v/>
      </c>
      <c r="AX7">
        <f>AW7+'Grid_Incoming'!AX7-'Grid_Requirement'!AX7</f>
        <v/>
      </c>
      <c r="AY7">
        <f>AX7+'Grid_Incoming'!AY7-'Grid_Requirement'!AY7</f>
        <v/>
      </c>
      <c r="AZ7">
        <f>AY7+'Grid_Incoming'!AZ7-'Grid_Requirement'!AZ7</f>
        <v/>
      </c>
      <c r="BA7">
        <f>AZ7+'Grid_Incoming'!BA7-'Grid_Requirement'!BA7</f>
        <v/>
      </c>
      <c r="BB7">
        <f>BA7+'Grid_Incoming'!BB7-'Grid_Requirement'!BB7</f>
        <v/>
      </c>
      <c r="BC7">
        <f>BB7+'Grid_Incoming'!BC7-'Grid_Requirement'!BC7</f>
        <v/>
      </c>
      <c r="BD7">
        <f>BC7+'Grid_Incoming'!BD7-'Grid_Requirement'!BD7</f>
        <v/>
      </c>
      <c r="BE7">
        <f>BD7+'Grid_Incoming'!BE7-'Grid_Requirement'!BE7</f>
        <v/>
      </c>
      <c r="BF7">
        <f>BE7+'Grid_Incoming'!BF7-'Grid_Requirement'!BF7</f>
        <v/>
      </c>
      <c r="BG7">
        <f>BF7+'Grid_Incoming'!BG7-'Grid_Requirement'!BG7</f>
        <v/>
      </c>
      <c r="BH7">
        <f>BG7+'Grid_Incoming'!BH7-'Grid_Requirement'!BH7</f>
        <v/>
      </c>
      <c r="BI7">
        <f>BH7+'Grid_Incoming'!BI7-'Grid_Requirement'!BI7</f>
        <v/>
      </c>
      <c r="BJ7">
        <f>BI7+'Grid_Incoming'!BJ7-'Grid_Requirement'!BJ7</f>
        <v/>
      </c>
      <c r="BK7">
        <f>BJ7+'Grid_Incoming'!BK7-'Grid_Requirement'!BK7</f>
        <v/>
      </c>
      <c r="BL7">
        <f>BK7+'Grid_Incoming'!BL7-'Grid_Requirement'!BL7</f>
        <v/>
      </c>
      <c r="BM7">
        <f>BL7+'Grid_Incoming'!BM7-'Grid_Requirement'!BM7</f>
        <v/>
      </c>
      <c r="BN7">
        <f>BM7+'Grid_Incoming'!BN7-'Grid_Requirement'!BN7</f>
        <v/>
      </c>
      <c r="BO7">
        <f>BN7+'Grid_Incoming'!BO7-'Grid_Requirement'!BO7</f>
        <v/>
      </c>
      <c r="BP7">
        <f>BO7+'Grid_Incoming'!BP7-'Grid_Requirement'!BP7</f>
        <v/>
      </c>
      <c r="BQ7">
        <f>BP7+'Grid_Incoming'!BQ7-'Grid_Requirement'!BQ7</f>
        <v/>
      </c>
      <c r="BR7">
        <f>BQ7+'Grid_Incoming'!BR7-'Grid_Requirement'!BR7</f>
        <v/>
      </c>
      <c r="BS7">
        <f>BR7+'Grid_Incoming'!BS7-'Grid_Requirement'!BS7</f>
        <v/>
      </c>
      <c r="BT7">
        <f>BS7+'Grid_Incoming'!BT7-'Grid_Requirement'!BT7</f>
        <v/>
      </c>
      <c r="BU7">
        <f>BT7+'Grid_Incoming'!BU7-'Grid_Requirement'!BU7</f>
        <v/>
      </c>
      <c r="BV7">
        <f>BU7+'Grid_Incoming'!BV7-'Grid_Requirement'!BV7</f>
        <v/>
      </c>
      <c r="BW7">
        <f>BV7+'Grid_Incoming'!BW7-'Grid_Requirement'!BW7</f>
        <v/>
      </c>
      <c r="BX7">
        <f>BW7+'Grid_Incoming'!BX7-'Grid_Requirement'!BX7</f>
        <v/>
      </c>
      <c r="BY7">
        <f>BX7+'Grid_Incoming'!BY7-'Grid_Requirement'!BY7</f>
        <v/>
      </c>
      <c r="BZ7">
        <f>BY7+'Grid_Incoming'!BZ7-'Grid_Requirement'!BZ7</f>
        <v/>
      </c>
      <c r="CA7">
        <f>BZ7+'Grid_Incoming'!CA7-'Grid_Requirement'!CA7</f>
        <v/>
      </c>
      <c r="CB7">
        <f>CA7+'Grid_Incoming'!CB7-'Grid_Requirement'!CB7</f>
        <v/>
      </c>
      <c r="CC7">
        <f>CB7+'Grid_Incoming'!CC7-'Grid_Requirement'!CC7</f>
        <v/>
      </c>
      <c r="CD7">
        <f>CC7+'Grid_Incoming'!CD7-'Grid_Requirement'!CD7</f>
        <v/>
      </c>
      <c r="CE7">
        <f>CD7+'Grid_Incoming'!CE7-'Grid_Requirement'!CE7</f>
        <v/>
      </c>
      <c r="CF7">
        <f>CE7+'Grid_Incoming'!CF7-'Grid_Requirement'!CF7</f>
        <v/>
      </c>
      <c r="CG7">
        <f>CF7+'Grid_Incoming'!CG7-'Grid_Requirement'!CG7</f>
        <v/>
      </c>
      <c r="CH7">
        <f>CG7+'Grid_Incoming'!CH7-'Grid_Requirement'!CH7</f>
        <v/>
      </c>
      <c r="CI7">
        <f>CH7+'Grid_Incoming'!CI7-'Grid_Requirement'!CI7</f>
        <v/>
      </c>
      <c r="CJ7">
        <f>CI7+'Grid_Incoming'!CJ7-'Grid_Requirement'!CJ7</f>
        <v/>
      </c>
      <c r="CK7">
        <f>CJ7+'Grid_Incoming'!CK7-'Grid_Requirement'!CK7</f>
        <v/>
      </c>
      <c r="CL7">
        <f>CK7+'Grid_Incoming'!CL7-'Grid_Requirement'!CL7</f>
        <v/>
      </c>
      <c r="CM7">
        <f>CL7+'Grid_Incoming'!CM7-'Grid_Requirement'!CM7</f>
        <v/>
      </c>
      <c r="CN7">
        <f>CM7+'Grid_Incoming'!CN7-'Grid_Requirement'!CN7</f>
        <v/>
      </c>
      <c r="CO7">
        <f>CN7+'Grid_Incoming'!CO7-'Grid_Requirement'!CO7</f>
        <v/>
      </c>
      <c r="CP7">
        <f>CO7+'Grid_Incoming'!CP7-'Grid_Requirement'!CP7</f>
        <v/>
      </c>
      <c r="CQ7">
        <f>CP7+'Grid_Incoming'!CQ7-'Grid_Requirement'!CQ7</f>
        <v/>
      </c>
      <c r="CR7">
        <f>CQ7+'Grid_Incoming'!CR7-'Grid_Requirement'!CR7</f>
        <v/>
      </c>
      <c r="CS7">
        <f>CR7+'Grid_Incoming'!CS7-'Grid_Requirement'!CS7</f>
        <v/>
      </c>
      <c r="CT7">
        <f>CS7+'Grid_Incoming'!CT7-'Grid_Requirement'!CT7</f>
        <v/>
      </c>
      <c r="CU7">
        <f>CT7+'Grid_Incoming'!CU7-'Grid_Requirement'!CU7</f>
        <v/>
      </c>
      <c r="CV7">
        <f>CU7+'Grid_Incoming'!CV7-'Grid_Requirement'!CV7</f>
        <v/>
      </c>
      <c r="CW7">
        <f>CV7+'Grid_Incoming'!CW7-'Grid_Requirement'!CW7</f>
        <v/>
      </c>
      <c r="CX7">
        <f>CW7+'Grid_Incoming'!CX7-'Grid_Requirement'!CX7</f>
        <v/>
      </c>
      <c r="CY7">
        <f>CX7+'Grid_Incoming'!CY7-'Grid_Requirement'!CY7</f>
        <v/>
      </c>
      <c r="CZ7">
        <f>CY7+'Grid_Incoming'!CZ7-'Grid_Requirement'!CZ7</f>
        <v/>
      </c>
      <c r="DA7">
        <f>CZ7+'Grid_Incoming'!DA7-'Grid_Requirement'!DA7</f>
        <v/>
      </c>
    </row>
    <row r="8">
      <c r="A8" t="inlineStr">
        <is>
          <t>TDJ</t>
        </is>
      </c>
      <c r="B8">
        <f>IFERROR(INDEX(T_OpeningStock[Opening_Qty],MATCH($A8,T_OpeningStock[Part Name],0)),0)+'Grid_Incoming'!B8-'Grid_Requirement'!B8</f>
        <v/>
      </c>
      <c r="C8">
        <f>B8+'Grid_Incoming'!C8-'Grid_Requirement'!C8</f>
        <v/>
      </c>
      <c r="D8">
        <f>C8+'Grid_Incoming'!D8-'Grid_Requirement'!D8</f>
        <v/>
      </c>
      <c r="E8">
        <f>D8+'Grid_Incoming'!E8-'Grid_Requirement'!E8</f>
        <v/>
      </c>
      <c r="F8">
        <f>E8+'Grid_Incoming'!F8-'Grid_Requirement'!F8</f>
        <v/>
      </c>
      <c r="G8">
        <f>F8+'Grid_Incoming'!G8-'Grid_Requirement'!G8</f>
        <v/>
      </c>
      <c r="H8">
        <f>G8+'Grid_Incoming'!H8-'Grid_Requirement'!H8</f>
        <v/>
      </c>
      <c r="I8">
        <f>H8+'Grid_Incoming'!I8-'Grid_Requirement'!I8</f>
        <v/>
      </c>
      <c r="J8">
        <f>I8+'Grid_Incoming'!J8-'Grid_Requirement'!J8</f>
        <v/>
      </c>
      <c r="K8">
        <f>J8+'Grid_Incoming'!K8-'Grid_Requirement'!K8</f>
        <v/>
      </c>
      <c r="L8">
        <f>K8+'Grid_Incoming'!L8-'Grid_Requirement'!L8</f>
        <v/>
      </c>
      <c r="M8">
        <f>L8+'Grid_Incoming'!M8-'Grid_Requirement'!M8</f>
        <v/>
      </c>
      <c r="N8">
        <f>M8+'Grid_Incoming'!N8-'Grid_Requirement'!N8</f>
        <v/>
      </c>
      <c r="O8">
        <f>N8+'Grid_Incoming'!O8-'Grid_Requirement'!O8</f>
        <v/>
      </c>
      <c r="P8">
        <f>O8+'Grid_Incoming'!P8-'Grid_Requirement'!P8</f>
        <v/>
      </c>
      <c r="Q8">
        <f>P8+'Grid_Incoming'!Q8-'Grid_Requirement'!Q8</f>
        <v/>
      </c>
      <c r="R8">
        <f>Q8+'Grid_Incoming'!R8-'Grid_Requirement'!R8</f>
        <v/>
      </c>
      <c r="S8">
        <f>R8+'Grid_Incoming'!S8-'Grid_Requirement'!S8</f>
        <v/>
      </c>
      <c r="T8">
        <f>S8+'Grid_Incoming'!T8-'Grid_Requirement'!T8</f>
        <v/>
      </c>
      <c r="U8">
        <f>T8+'Grid_Incoming'!U8-'Grid_Requirement'!U8</f>
        <v/>
      </c>
      <c r="V8">
        <f>U8+'Grid_Incoming'!V8-'Grid_Requirement'!V8</f>
        <v/>
      </c>
      <c r="W8">
        <f>V8+'Grid_Incoming'!W8-'Grid_Requirement'!W8</f>
        <v/>
      </c>
      <c r="X8">
        <f>W8+'Grid_Incoming'!X8-'Grid_Requirement'!X8</f>
        <v/>
      </c>
      <c r="Y8">
        <f>X8+'Grid_Incoming'!Y8-'Grid_Requirement'!Y8</f>
        <v/>
      </c>
      <c r="Z8">
        <f>Y8+'Grid_Incoming'!Z8-'Grid_Requirement'!Z8</f>
        <v/>
      </c>
      <c r="AA8">
        <f>Z8+'Grid_Incoming'!AA8-'Grid_Requirement'!AA8</f>
        <v/>
      </c>
      <c r="AB8">
        <f>AA8+'Grid_Incoming'!AB8-'Grid_Requirement'!AB8</f>
        <v/>
      </c>
      <c r="AC8">
        <f>AB8+'Grid_Incoming'!AC8-'Grid_Requirement'!AC8</f>
        <v/>
      </c>
      <c r="AD8">
        <f>AC8+'Grid_Incoming'!AD8-'Grid_Requirement'!AD8</f>
        <v/>
      </c>
      <c r="AE8">
        <f>AD8+'Grid_Incoming'!AE8-'Grid_Requirement'!AE8</f>
        <v/>
      </c>
      <c r="AF8">
        <f>AE8+'Grid_Incoming'!AF8-'Grid_Requirement'!AF8</f>
        <v/>
      </c>
      <c r="AG8">
        <f>AF8+'Grid_Incoming'!AG8-'Grid_Requirement'!AG8</f>
        <v/>
      </c>
      <c r="AH8">
        <f>AG8+'Grid_Incoming'!AH8-'Grid_Requirement'!AH8</f>
        <v/>
      </c>
      <c r="AI8">
        <f>AH8+'Grid_Incoming'!AI8-'Grid_Requirement'!AI8</f>
        <v/>
      </c>
      <c r="AJ8">
        <f>AI8+'Grid_Incoming'!AJ8-'Grid_Requirement'!AJ8</f>
        <v/>
      </c>
      <c r="AK8">
        <f>AJ8+'Grid_Incoming'!AK8-'Grid_Requirement'!AK8</f>
        <v/>
      </c>
      <c r="AL8">
        <f>AK8+'Grid_Incoming'!AL8-'Grid_Requirement'!AL8</f>
        <v/>
      </c>
      <c r="AM8">
        <f>AL8+'Grid_Incoming'!AM8-'Grid_Requirement'!AM8</f>
        <v/>
      </c>
      <c r="AN8">
        <f>AM8+'Grid_Incoming'!AN8-'Grid_Requirement'!AN8</f>
        <v/>
      </c>
      <c r="AO8">
        <f>AN8+'Grid_Incoming'!AO8-'Grid_Requirement'!AO8</f>
        <v/>
      </c>
      <c r="AP8">
        <f>AO8+'Grid_Incoming'!AP8-'Grid_Requirement'!AP8</f>
        <v/>
      </c>
      <c r="AQ8">
        <f>AP8+'Grid_Incoming'!AQ8-'Grid_Requirement'!AQ8</f>
        <v/>
      </c>
      <c r="AR8">
        <f>AQ8+'Grid_Incoming'!AR8-'Grid_Requirement'!AR8</f>
        <v/>
      </c>
      <c r="AS8">
        <f>AR8+'Grid_Incoming'!AS8-'Grid_Requirement'!AS8</f>
        <v/>
      </c>
      <c r="AT8">
        <f>AS8+'Grid_Incoming'!AT8-'Grid_Requirement'!AT8</f>
        <v/>
      </c>
      <c r="AU8">
        <f>AT8+'Grid_Incoming'!AU8-'Grid_Requirement'!AU8</f>
        <v/>
      </c>
      <c r="AV8">
        <f>AU8+'Grid_Incoming'!AV8-'Grid_Requirement'!AV8</f>
        <v/>
      </c>
      <c r="AW8">
        <f>AV8+'Grid_Incoming'!AW8-'Grid_Requirement'!AW8</f>
        <v/>
      </c>
      <c r="AX8">
        <f>AW8+'Grid_Incoming'!AX8-'Grid_Requirement'!AX8</f>
        <v/>
      </c>
      <c r="AY8">
        <f>AX8+'Grid_Incoming'!AY8-'Grid_Requirement'!AY8</f>
        <v/>
      </c>
      <c r="AZ8">
        <f>AY8+'Grid_Incoming'!AZ8-'Grid_Requirement'!AZ8</f>
        <v/>
      </c>
      <c r="BA8">
        <f>AZ8+'Grid_Incoming'!BA8-'Grid_Requirement'!BA8</f>
        <v/>
      </c>
      <c r="BB8">
        <f>BA8+'Grid_Incoming'!BB8-'Grid_Requirement'!BB8</f>
        <v/>
      </c>
      <c r="BC8">
        <f>BB8+'Grid_Incoming'!BC8-'Grid_Requirement'!BC8</f>
        <v/>
      </c>
      <c r="BD8">
        <f>BC8+'Grid_Incoming'!BD8-'Grid_Requirement'!BD8</f>
        <v/>
      </c>
      <c r="BE8">
        <f>BD8+'Grid_Incoming'!BE8-'Grid_Requirement'!BE8</f>
        <v/>
      </c>
      <c r="BF8">
        <f>BE8+'Grid_Incoming'!BF8-'Grid_Requirement'!BF8</f>
        <v/>
      </c>
      <c r="BG8">
        <f>BF8+'Grid_Incoming'!BG8-'Grid_Requirement'!BG8</f>
        <v/>
      </c>
      <c r="BH8">
        <f>BG8+'Grid_Incoming'!BH8-'Grid_Requirement'!BH8</f>
        <v/>
      </c>
      <c r="BI8">
        <f>BH8+'Grid_Incoming'!BI8-'Grid_Requirement'!BI8</f>
        <v/>
      </c>
      <c r="BJ8">
        <f>BI8+'Grid_Incoming'!BJ8-'Grid_Requirement'!BJ8</f>
        <v/>
      </c>
      <c r="BK8">
        <f>BJ8+'Grid_Incoming'!BK8-'Grid_Requirement'!BK8</f>
        <v/>
      </c>
      <c r="BL8">
        <f>BK8+'Grid_Incoming'!BL8-'Grid_Requirement'!BL8</f>
        <v/>
      </c>
      <c r="BM8">
        <f>BL8+'Grid_Incoming'!BM8-'Grid_Requirement'!BM8</f>
        <v/>
      </c>
      <c r="BN8">
        <f>BM8+'Grid_Incoming'!BN8-'Grid_Requirement'!BN8</f>
        <v/>
      </c>
      <c r="BO8">
        <f>BN8+'Grid_Incoming'!BO8-'Grid_Requirement'!BO8</f>
        <v/>
      </c>
      <c r="BP8">
        <f>BO8+'Grid_Incoming'!BP8-'Grid_Requirement'!BP8</f>
        <v/>
      </c>
      <c r="BQ8">
        <f>BP8+'Grid_Incoming'!BQ8-'Grid_Requirement'!BQ8</f>
        <v/>
      </c>
      <c r="BR8">
        <f>BQ8+'Grid_Incoming'!BR8-'Grid_Requirement'!BR8</f>
        <v/>
      </c>
      <c r="BS8">
        <f>BR8+'Grid_Incoming'!BS8-'Grid_Requirement'!BS8</f>
        <v/>
      </c>
      <c r="BT8">
        <f>BS8+'Grid_Incoming'!BT8-'Grid_Requirement'!BT8</f>
        <v/>
      </c>
      <c r="BU8">
        <f>BT8+'Grid_Incoming'!BU8-'Grid_Requirement'!BU8</f>
        <v/>
      </c>
      <c r="BV8">
        <f>BU8+'Grid_Incoming'!BV8-'Grid_Requirement'!BV8</f>
        <v/>
      </c>
      <c r="BW8">
        <f>BV8+'Grid_Incoming'!BW8-'Grid_Requirement'!BW8</f>
        <v/>
      </c>
      <c r="BX8">
        <f>BW8+'Grid_Incoming'!BX8-'Grid_Requirement'!BX8</f>
        <v/>
      </c>
      <c r="BY8">
        <f>BX8+'Grid_Incoming'!BY8-'Grid_Requirement'!BY8</f>
        <v/>
      </c>
      <c r="BZ8">
        <f>BY8+'Grid_Incoming'!BZ8-'Grid_Requirement'!BZ8</f>
        <v/>
      </c>
      <c r="CA8">
        <f>BZ8+'Grid_Incoming'!CA8-'Grid_Requirement'!CA8</f>
        <v/>
      </c>
      <c r="CB8">
        <f>CA8+'Grid_Incoming'!CB8-'Grid_Requirement'!CB8</f>
        <v/>
      </c>
      <c r="CC8">
        <f>CB8+'Grid_Incoming'!CC8-'Grid_Requirement'!CC8</f>
        <v/>
      </c>
      <c r="CD8">
        <f>CC8+'Grid_Incoming'!CD8-'Grid_Requirement'!CD8</f>
        <v/>
      </c>
      <c r="CE8">
        <f>CD8+'Grid_Incoming'!CE8-'Grid_Requirement'!CE8</f>
        <v/>
      </c>
      <c r="CF8">
        <f>CE8+'Grid_Incoming'!CF8-'Grid_Requirement'!CF8</f>
        <v/>
      </c>
      <c r="CG8">
        <f>CF8+'Grid_Incoming'!CG8-'Grid_Requirement'!CG8</f>
        <v/>
      </c>
      <c r="CH8">
        <f>CG8+'Grid_Incoming'!CH8-'Grid_Requirement'!CH8</f>
        <v/>
      </c>
      <c r="CI8">
        <f>CH8+'Grid_Incoming'!CI8-'Grid_Requirement'!CI8</f>
        <v/>
      </c>
      <c r="CJ8">
        <f>CI8+'Grid_Incoming'!CJ8-'Grid_Requirement'!CJ8</f>
        <v/>
      </c>
      <c r="CK8">
        <f>CJ8+'Grid_Incoming'!CK8-'Grid_Requirement'!CK8</f>
        <v/>
      </c>
      <c r="CL8">
        <f>CK8+'Grid_Incoming'!CL8-'Grid_Requirement'!CL8</f>
        <v/>
      </c>
      <c r="CM8">
        <f>CL8+'Grid_Incoming'!CM8-'Grid_Requirement'!CM8</f>
        <v/>
      </c>
      <c r="CN8">
        <f>CM8+'Grid_Incoming'!CN8-'Grid_Requirement'!CN8</f>
        <v/>
      </c>
      <c r="CO8">
        <f>CN8+'Grid_Incoming'!CO8-'Grid_Requirement'!CO8</f>
        <v/>
      </c>
      <c r="CP8">
        <f>CO8+'Grid_Incoming'!CP8-'Grid_Requirement'!CP8</f>
        <v/>
      </c>
      <c r="CQ8">
        <f>CP8+'Grid_Incoming'!CQ8-'Grid_Requirement'!CQ8</f>
        <v/>
      </c>
      <c r="CR8">
        <f>CQ8+'Grid_Incoming'!CR8-'Grid_Requirement'!CR8</f>
        <v/>
      </c>
      <c r="CS8">
        <f>CR8+'Grid_Incoming'!CS8-'Grid_Requirement'!CS8</f>
        <v/>
      </c>
      <c r="CT8">
        <f>CS8+'Grid_Incoming'!CT8-'Grid_Requirement'!CT8</f>
        <v/>
      </c>
      <c r="CU8">
        <f>CT8+'Grid_Incoming'!CU8-'Grid_Requirement'!CU8</f>
        <v/>
      </c>
      <c r="CV8">
        <f>CU8+'Grid_Incoming'!CV8-'Grid_Requirement'!CV8</f>
        <v/>
      </c>
      <c r="CW8">
        <f>CV8+'Grid_Incoming'!CW8-'Grid_Requirement'!CW8</f>
        <v/>
      </c>
      <c r="CX8">
        <f>CW8+'Grid_Incoming'!CX8-'Grid_Requirement'!CX8</f>
        <v/>
      </c>
      <c r="CY8">
        <f>CX8+'Grid_Incoming'!CY8-'Grid_Requirement'!CY8</f>
        <v/>
      </c>
      <c r="CZ8">
        <f>CY8+'Grid_Incoming'!CZ8-'Grid_Requirement'!CZ8</f>
        <v/>
      </c>
      <c r="DA8">
        <f>CZ8+'Grid_Incoming'!DA8-'Grid_Requirement'!DA8</f>
        <v/>
      </c>
    </row>
    <row r="9">
      <c r="A9" t="inlineStr">
        <is>
          <t>3TP</t>
        </is>
      </c>
      <c r="B9">
        <f>IFERROR(INDEX(T_OpeningStock[Opening_Qty],MATCH($A9,T_OpeningStock[Part Name],0)),0)+'Grid_Incoming'!B9-'Grid_Requirement'!B9</f>
        <v/>
      </c>
      <c r="C9">
        <f>B9+'Grid_Incoming'!C9-'Grid_Requirement'!C9</f>
        <v/>
      </c>
      <c r="D9">
        <f>C9+'Grid_Incoming'!D9-'Grid_Requirement'!D9</f>
        <v/>
      </c>
      <c r="E9">
        <f>D9+'Grid_Incoming'!E9-'Grid_Requirement'!E9</f>
        <v/>
      </c>
      <c r="F9">
        <f>E9+'Grid_Incoming'!F9-'Grid_Requirement'!F9</f>
        <v/>
      </c>
      <c r="G9">
        <f>F9+'Grid_Incoming'!G9-'Grid_Requirement'!G9</f>
        <v/>
      </c>
      <c r="H9">
        <f>G9+'Grid_Incoming'!H9-'Grid_Requirement'!H9</f>
        <v/>
      </c>
      <c r="I9">
        <f>H9+'Grid_Incoming'!I9-'Grid_Requirement'!I9</f>
        <v/>
      </c>
      <c r="J9">
        <f>I9+'Grid_Incoming'!J9-'Grid_Requirement'!J9</f>
        <v/>
      </c>
      <c r="K9">
        <f>J9+'Grid_Incoming'!K9-'Grid_Requirement'!K9</f>
        <v/>
      </c>
      <c r="L9">
        <f>K9+'Grid_Incoming'!L9-'Grid_Requirement'!L9</f>
        <v/>
      </c>
      <c r="M9">
        <f>L9+'Grid_Incoming'!M9-'Grid_Requirement'!M9</f>
        <v/>
      </c>
      <c r="N9">
        <f>M9+'Grid_Incoming'!N9-'Grid_Requirement'!N9</f>
        <v/>
      </c>
      <c r="O9">
        <f>N9+'Grid_Incoming'!O9-'Grid_Requirement'!O9</f>
        <v/>
      </c>
      <c r="P9">
        <f>O9+'Grid_Incoming'!P9-'Grid_Requirement'!P9</f>
        <v/>
      </c>
      <c r="Q9">
        <f>P9+'Grid_Incoming'!Q9-'Grid_Requirement'!Q9</f>
        <v/>
      </c>
      <c r="R9">
        <f>Q9+'Grid_Incoming'!R9-'Grid_Requirement'!R9</f>
        <v/>
      </c>
      <c r="S9">
        <f>R9+'Grid_Incoming'!S9-'Grid_Requirement'!S9</f>
        <v/>
      </c>
      <c r="T9">
        <f>S9+'Grid_Incoming'!T9-'Grid_Requirement'!T9</f>
        <v/>
      </c>
      <c r="U9">
        <f>T9+'Grid_Incoming'!U9-'Grid_Requirement'!U9</f>
        <v/>
      </c>
      <c r="V9">
        <f>U9+'Grid_Incoming'!V9-'Grid_Requirement'!V9</f>
        <v/>
      </c>
      <c r="W9">
        <f>V9+'Grid_Incoming'!W9-'Grid_Requirement'!W9</f>
        <v/>
      </c>
      <c r="X9">
        <f>W9+'Grid_Incoming'!X9-'Grid_Requirement'!X9</f>
        <v/>
      </c>
      <c r="Y9">
        <f>X9+'Grid_Incoming'!Y9-'Grid_Requirement'!Y9</f>
        <v/>
      </c>
      <c r="Z9">
        <f>Y9+'Grid_Incoming'!Z9-'Grid_Requirement'!Z9</f>
        <v/>
      </c>
      <c r="AA9">
        <f>Z9+'Grid_Incoming'!AA9-'Grid_Requirement'!AA9</f>
        <v/>
      </c>
      <c r="AB9">
        <f>AA9+'Grid_Incoming'!AB9-'Grid_Requirement'!AB9</f>
        <v/>
      </c>
      <c r="AC9">
        <f>AB9+'Grid_Incoming'!AC9-'Grid_Requirement'!AC9</f>
        <v/>
      </c>
      <c r="AD9">
        <f>AC9+'Grid_Incoming'!AD9-'Grid_Requirement'!AD9</f>
        <v/>
      </c>
      <c r="AE9">
        <f>AD9+'Grid_Incoming'!AE9-'Grid_Requirement'!AE9</f>
        <v/>
      </c>
      <c r="AF9">
        <f>AE9+'Grid_Incoming'!AF9-'Grid_Requirement'!AF9</f>
        <v/>
      </c>
      <c r="AG9">
        <f>AF9+'Grid_Incoming'!AG9-'Grid_Requirement'!AG9</f>
        <v/>
      </c>
      <c r="AH9">
        <f>AG9+'Grid_Incoming'!AH9-'Grid_Requirement'!AH9</f>
        <v/>
      </c>
      <c r="AI9">
        <f>AH9+'Grid_Incoming'!AI9-'Grid_Requirement'!AI9</f>
        <v/>
      </c>
      <c r="AJ9">
        <f>AI9+'Grid_Incoming'!AJ9-'Grid_Requirement'!AJ9</f>
        <v/>
      </c>
      <c r="AK9">
        <f>AJ9+'Grid_Incoming'!AK9-'Grid_Requirement'!AK9</f>
        <v/>
      </c>
      <c r="AL9">
        <f>AK9+'Grid_Incoming'!AL9-'Grid_Requirement'!AL9</f>
        <v/>
      </c>
      <c r="AM9">
        <f>AL9+'Grid_Incoming'!AM9-'Grid_Requirement'!AM9</f>
        <v/>
      </c>
      <c r="AN9">
        <f>AM9+'Grid_Incoming'!AN9-'Grid_Requirement'!AN9</f>
        <v/>
      </c>
      <c r="AO9">
        <f>AN9+'Grid_Incoming'!AO9-'Grid_Requirement'!AO9</f>
        <v/>
      </c>
      <c r="AP9">
        <f>AO9+'Grid_Incoming'!AP9-'Grid_Requirement'!AP9</f>
        <v/>
      </c>
      <c r="AQ9">
        <f>AP9+'Grid_Incoming'!AQ9-'Grid_Requirement'!AQ9</f>
        <v/>
      </c>
      <c r="AR9">
        <f>AQ9+'Grid_Incoming'!AR9-'Grid_Requirement'!AR9</f>
        <v/>
      </c>
      <c r="AS9">
        <f>AR9+'Grid_Incoming'!AS9-'Grid_Requirement'!AS9</f>
        <v/>
      </c>
      <c r="AT9">
        <f>AS9+'Grid_Incoming'!AT9-'Grid_Requirement'!AT9</f>
        <v/>
      </c>
      <c r="AU9">
        <f>AT9+'Grid_Incoming'!AU9-'Grid_Requirement'!AU9</f>
        <v/>
      </c>
      <c r="AV9">
        <f>AU9+'Grid_Incoming'!AV9-'Grid_Requirement'!AV9</f>
        <v/>
      </c>
      <c r="AW9">
        <f>AV9+'Grid_Incoming'!AW9-'Grid_Requirement'!AW9</f>
        <v/>
      </c>
      <c r="AX9">
        <f>AW9+'Grid_Incoming'!AX9-'Grid_Requirement'!AX9</f>
        <v/>
      </c>
      <c r="AY9">
        <f>AX9+'Grid_Incoming'!AY9-'Grid_Requirement'!AY9</f>
        <v/>
      </c>
      <c r="AZ9">
        <f>AY9+'Grid_Incoming'!AZ9-'Grid_Requirement'!AZ9</f>
        <v/>
      </c>
      <c r="BA9">
        <f>AZ9+'Grid_Incoming'!BA9-'Grid_Requirement'!BA9</f>
        <v/>
      </c>
      <c r="BB9">
        <f>BA9+'Grid_Incoming'!BB9-'Grid_Requirement'!BB9</f>
        <v/>
      </c>
      <c r="BC9">
        <f>BB9+'Grid_Incoming'!BC9-'Grid_Requirement'!BC9</f>
        <v/>
      </c>
      <c r="BD9">
        <f>BC9+'Grid_Incoming'!BD9-'Grid_Requirement'!BD9</f>
        <v/>
      </c>
      <c r="BE9">
        <f>BD9+'Grid_Incoming'!BE9-'Grid_Requirement'!BE9</f>
        <v/>
      </c>
      <c r="BF9">
        <f>BE9+'Grid_Incoming'!BF9-'Grid_Requirement'!BF9</f>
        <v/>
      </c>
      <c r="BG9">
        <f>BF9+'Grid_Incoming'!BG9-'Grid_Requirement'!BG9</f>
        <v/>
      </c>
      <c r="BH9">
        <f>BG9+'Grid_Incoming'!BH9-'Grid_Requirement'!BH9</f>
        <v/>
      </c>
      <c r="BI9">
        <f>BH9+'Grid_Incoming'!BI9-'Grid_Requirement'!BI9</f>
        <v/>
      </c>
      <c r="BJ9">
        <f>BI9+'Grid_Incoming'!BJ9-'Grid_Requirement'!BJ9</f>
        <v/>
      </c>
      <c r="BK9">
        <f>BJ9+'Grid_Incoming'!BK9-'Grid_Requirement'!BK9</f>
        <v/>
      </c>
      <c r="BL9">
        <f>BK9+'Grid_Incoming'!BL9-'Grid_Requirement'!BL9</f>
        <v/>
      </c>
      <c r="BM9">
        <f>BL9+'Grid_Incoming'!BM9-'Grid_Requirement'!BM9</f>
        <v/>
      </c>
      <c r="BN9">
        <f>BM9+'Grid_Incoming'!BN9-'Grid_Requirement'!BN9</f>
        <v/>
      </c>
      <c r="BO9">
        <f>BN9+'Grid_Incoming'!BO9-'Grid_Requirement'!BO9</f>
        <v/>
      </c>
      <c r="BP9">
        <f>BO9+'Grid_Incoming'!BP9-'Grid_Requirement'!BP9</f>
        <v/>
      </c>
      <c r="BQ9">
        <f>BP9+'Grid_Incoming'!BQ9-'Grid_Requirement'!BQ9</f>
        <v/>
      </c>
      <c r="BR9">
        <f>BQ9+'Grid_Incoming'!BR9-'Grid_Requirement'!BR9</f>
        <v/>
      </c>
      <c r="BS9">
        <f>BR9+'Grid_Incoming'!BS9-'Grid_Requirement'!BS9</f>
        <v/>
      </c>
      <c r="BT9">
        <f>BS9+'Grid_Incoming'!BT9-'Grid_Requirement'!BT9</f>
        <v/>
      </c>
      <c r="BU9">
        <f>BT9+'Grid_Incoming'!BU9-'Grid_Requirement'!BU9</f>
        <v/>
      </c>
      <c r="BV9">
        <f>BU9+'Grid_Incoming'!BV9-'Grid_Requirement'!BV9</f>
        <v/>
      </c>
      <c r="BW9">
        <f>BV9+'Grid_Incoming'!BW9-'Grid_Requirement'!BW9</f>
        <v/>
      </c>
      <c r="BX9">
        <f>BW9+'Grid_Incoming'!BX9-'Grid_Requirement'!BX9</f>
        <v/>
      </c>
      <c r="BY9">
        <f>BX9+'Grid_Incoming'!BY9-'Grid_Requirement'!BY9</f>
        <v/>
      </c>
      <c r="BZ9">
        <f>BY9+'Grid_Incoming'!BZ9-'Grid_Requirement'!BZ9</f>
        <v/>
      </c>
      <c r="CA9">
        <f>BZ9+'Grid_Incoming'!CA9-'Grid_Requirement'!CA9</f>
        <v/>
      </c>
      <c r="CB9">
        <f>CA9+'Grid_Incoming'!CB9-'Grid_Requirement'!CB9</f>
        <v/>
      </c>
      <c r="CC9">
        <f>CB9+'Grid_Incoming'!CC9-'Grid_Requirement'!CC9</f>
        <v/>
      </c>
      <c r="CD9">
        <f>CC9+'Grid_Incoming'!CD9-'Grid_Requirement'!CD9</f>
        <v/>
      </c>
      <c r="CE9">
        <f>CD9+'Grid_Incoming'!CE9-'Grid_Requirement'!CE9</f>
        <v/>
      </c>
      <c r="CF9">
        <f>CE9+'Grid_Incoming'!CF9-'Grid_Requirement'!CF9</f>
        <v/>
      </c>
      <c r="CG9">
        <f>CF9+'Grid_Incoming'!CG9-'Grid_Requirement'!CG9</f>
        <v/>
      </c>
      <c r="CH9">
        <f>CG9+'Grid_Incoming'!CH9-'Grid_Requirement'!CH9</f>
        <v/>
      </c>
      <c r="CI9">
        <f>CH9+'Grid_Incoming'!CI9-'Grid_Requirement'!CI9</f>
        <v/>
      </c>
      <c r="CJ9">
        <f>CI9+'Grid_Incoming'!CJ9-'Grid_Requirement'!CJ9</f>
        <v/>
      </c>
      <c r="CK9">
        <f>CJ9+'Grid_Incoming'!CK9-'Grid_Requirement'!CK9</f>
        <v/>
      </c>
      <c r="CL9">
        <f>CK9+'Grid_Incoming'!CL9-'Grid_Requirement'!CL9</f>
        <v/>
      </c>
      <c r="CM9">
        <f>CL9+'Grid_Incoming'!CM9-'Grid_Requirement'!CM9</f>
        <v/>
      </c>
      <c r="CN9">
        <f>CM9+'Grid_Incoming'!CN9-'Grid_Requirement'!CN9</f>
        <v/>
      </c>
      <c r="CO9">
        <f>CN9+'Grid_Incoming'!CO9-'Grid_Requirement'!CO9</f>
        <v/>
      </c>
      <c r="CP9">
        <f>CO9+'Grid_Incoming'!CP9-'Grid_Requirement'!CP9</f>
        <v/>
      </c>
      <c r="CQ9">
        <f>CP9+'Grid_Incoming'!CQ9-'Grid_Requirement'!CQ9</f>
        <v/>
      </c>
      <c r="CR9">
        <f>CQ9+'Grid_Incoming'!CR9-'Grid_Requirement'!CR9</f>
        <v/>
      </c>
      <c r="CS9">
        <f>CR9+'Grid_Incoming'!CS9-'Grid_Requirement'!CS9</f>
        <v/>
      </c>
      <c r="CT9">
        <f>CS9+'Grid_Incoming'!CT9-'Grid_Requirement'!CT9</f>
        <v/>
      </c>
      <c r="CU9">
        <f>CT9+'Grid_Incoming'!CU9-'Grid_Requirement'!CU9</f>
        <v/>
      </c>
      <c r="CV9">
        <f>CU9+'Grid_Incoming'!CV9-'Grid_Requirement'!CV9</f>
        <v/>
      </c>
      <c r="CW9">
        <f>CV9+'Grid_Incoming'!CW9-'Grid_Requirement'!CW9</f>
        <v/>
      </c>
      <c r="CX9">
        <f>CW9+'Grid_Incoming'!CX9-'Grid_Requirement'!CX9</f>
        <v/>
      </c>
      <c r="CY9">
        <f>CX9+'Grid_Incoming'!CY9-'Grid_Requirement'!CY9</f>
        <v/>
      </c>
      <c r="CZ9">
        <f>CY9+'Grid_Incoming'!CZ9-'Grid_Requirement'!CZ9</f>
        <v/>
      </c>
      <c r="DA9">
        <f>CZ9+'Grid_Incoming'!DA9-'Grid_Requirement'!DA9</f>
        <v/>
      </c>
    </row>
    <row r="10">
      <c r="A10" t="inlineStr">
        <is>
          <t>KEJ</t>
        </is>
      </c>
      <c r="B10">
        <f>IFERROR(INDEX(T_OpeningStock[Opening_Qty],MATCH($A10,T_OpeningStock[Part Name],0)),0)+'Grid_Incoming'!B10-'Grid_Requirement'!B10</f>
        <v/>
      </c>
      <c r="C10">
        <f>B10+'Grid_Incoming'!C10-'Grid_Requirement'!C10</f>
        <v/>
      </c>
      <c r="D10">
        <f>C10+'Grid_Incoming'!D10-'Grid_Requirement'!D10</f>
        <v/>
      </c>
      <c r="E10">
        <f>D10+'Grid_Incoming'!E10-'Grid_Requirement'!E10</f>
        <v/>
      </c>
      <c r="F10">
        <f>E10+'Grid_Incoming'!F10-'Grid_Requirement'!F10</f>
        <v/>
      </c>
      <c r="G10">
        <f>F10+'Grid_Incoming'!G10-'Grid_Requirement'!G10</f>
        <v/>
      </c>
      <c r="H10">
        <f>G10+'Grid_Incoming'!H10-'Grid_Requirement'!H10</f>
        <v/>
      </c>
      <c r="I10">
        <f>H10+'Grid_Incoming'!I10-'Grid_Requirement'!I10</f>
        <v/>
      </c>
      <c r="J10">
        <f>I10+'Grid_Incoming'!J10-'Grid_Requirement'!J10</f>
        <v/>
      </c>
      <c r="K10">
        <f>J10+'Grid_Incoming'!K10-'Grid_Requirement'!K10</f>
        <v/>
      </c>
      <c r="L10">
        <f>K10+'Grid_Incoming'!L10-'Grid_Requirement'!L10</f>
        <v/>
      </c>
      <c r="M10">
        <f>L10+'Grid_Incoming'!M10-'Grid_Requirement'!M10</f>
        <v/>
      </c>
      <c r="N10">
        <f>M10+'Grid_Incoming'!N10-'Grid_Requirement'!N10</f>
        <v/>
      </c>
      <c r="O10">
        <f>N10+'Grid_Incoming'!O10-'Grid_Requirement'!O10</f>
        <v/>
      </c>
      <c r="P10">
        <f>O10+'Grid_Incoming'!P10-'Grid_Requirement'!P10</f>
        <v/>
      </c>
      <c r="Q10">
        <f>P10+'Grid_Incoming'!Q10-'Grid_Requirement'!Q10</f>
        <v/>
      </c>
      <c r="R10">
        <f>Q10+'Grid_Incoming'!R10-'Grid_Requirement'!R10</f>
        <v/>
      </c>
      <c r="S10">
        <f>R10+'Grid_Incoming'!S10-'Grid_Requirement'!S10</f>
        <v/>
      </c>
      <c r="T10">
        <f>S10+'Grid_Incoming'!T10-'Grid_Requirement'!T10</f>
        <v/>
      </c>
      <c r="U10">
        <f>T10+'Grid_Incoming'!U10-'Grid_Requirement'!U10</f>
        <v/>
      </c>
      <c r="V10">
        <f>U10+'Grid_Incoming'!V10-'Grid_Requirement'!V10</f>
        <v/>
      </c>
      <c r="W10">
        <f>V10+'Grid_Incoming'!W10-'Grid_Requirement'!W10</f>
        <v/>
      </c>
      <c r="X10">
        <f>W10+'Grid_Incoming'!X10-'Grid_Requirement'!X10</f>
        <v/>
      </c>
      <c r="Y10">
        <f>X10+'Grid_Incoming'!Y10-'Grid_Requirement'!Y10</f>
        <v/>
      </c>
      <c r="Z10">
        <f>Y10+'Grid_Incoming'!Z10-'Grid_Requirement'!Z10</f>
        <v/>
      </c>
      <c r="AA10">
        <f>Z10+'Grid_Incoming'!AA10-'Grid_Requirement'!AA10</f>
        <v/>
      </c>
      <c r="AB10">
        <f>AA10+'Grid_Incoming'!AB10-'Grid_Requirement'!AB10</f>
        <v/>
      </c>
      <c r="AC10">
        <f>AB10+'Grid_Incoming'!AC10-'Grid_Requirement'!AC10</f>
        <v/>
      </c>
      <c r="AD10">
        <f>AC10+'Grid_Incoming'!AD10-'Grid_Requirement'!AD10</f>
        <v/>
      </c>
      <c r="AE10">
        <f>AD10+'Grid_Incoming'!AE10-'Grid_Requirement'!AE10</f>
        <v/>
      </c>
      <c r="AF10">
        <f>AE10+'Grid_Incoming'!AF10-'Grid_Requirement'!AF10</f>
        <v/>
      </c>
      <c r="AG10">
        <f>AF10+'Grid_Incoming'!AG10-'Grid_Requirement'!AG10</f>
        <v/>
      </c>
      <c r="AH10">
        <f>AG10+'Grid_Incoming'!AH10-'Grid_Requirement'!AH10</f>
        <v/>
      </c>
      <c r="AI10">
        <f>AH10+'Grid_Incoming'!AI10-'Grid_Requirement'!AI10</f>
        <v/>
      </c>
      <c r="AJ10">
        <f>AI10+'Grid_Incoming'!AJ10-'Grid_Requirement'!AJ10</f>
        <v/>
      </c>
      <c r="AK10">
        <f>AJ10+'Grid_Incoming'!AK10-'Grid_Requirement'!AK10</f>
        <v/>
      </c>
      <c r="AL10">
        <f>AK10+'Grid_Incoming'!AL10-'Grid_Requirement'!AL10</f>
        <v/>
      </c>
      <c r="AM10">
        <f>AL10+'Grid_Incoming'!AM10-'Grid_Requirement'!AM10</f>
        <v/>
      </c>
      <c r="AN10">
        <f>AM10+'Grid_Incoming'!AN10-'Grid_Requirement'!AN10</f>
        <v/>
      </c>
      <c r="AO10">
        <f>AN10+'Grid_Incoming'!AO10-'Grid_Requirement'!AO10</f>
        <v/>
      </c>
      <c r="AP10">
        <f>AO10+'Grid_Incoming'!AP10-'Grid_Requirement'!AP10</f>
        <v/>
      </c>
      <c r="AQ10">
        <f>AP10+'Grid_Incoming'!AQ10-'Grid_Requirement'!AQ10</f>
        <v/>
      </c>
      <c r="AR10">
        <f>AQ10+'Grid_Incoming'!AR10-'Grid_Requirement'!AR10</f>
        <v/>
      </c>
      <c r="AS10">
        <f>AR10+'Grid_Incoming'!AS10-'Grid_Requirement'!AS10</f>
        <v/>
      </c>
      <c r="AT10">
        <f>AS10+'Grid_Incoming'!AT10-'Grid_Requirement'!AT10</f>
        <v/>
      </c>
      <c r="AU10">
        <f>AT10+'Grid_Incoming'!AU10-'Grid_Requirement'!AU10</f>
        <v/>
      </c>
      <c r="AV10">
        <f>AU10+'Grid_Incoming'!AV10-'Grid_Requirement'!AV10</f>
        <v/>
      </c>
      <c r="AW10">
        <f>AV10+'Grid_Incoming'!AW10-'Grid_Requirement'!AW10</f>
        <v/>
      </c>
      <c r="AX10">
        <f>AW10+'Grid_Incoming'!AX10-'Grid_Requirement'!AX10</f>
        <v/>
      </c>
      <c r="AY10">
        <f>AX10+'Grid_Incoming'!AY10-'Grid_Requirement'!AY10</f>
        <v/>
      </c>
      <c r="AZ10">
        <f>AY10+'Grid_Incoming'!AZ10-'Grid_Requirement'!AZ10</f>
        <v/>
      </c>
      <c r="BA10">
        <f>AZ10+'Grid_Incoming'!BA10-'Grid_Requirement'!BA10</f>
        <v/>
      </c>
      <c r="BB10">
        <f>BA10+'Grid_Incoming'!BB10-'Grid_Requirement'!BB10</f>
        <v/>
      </c>
      <c r="BC10">
        <f>BB10+'Grid_Incoming'!BC10-'Grid_Requirement'!BC10</f>
        <v/>
      </c>
      <c r="BD10">
        <f>BC10+'Grid_Incoming'!BD10-'Grid_Requirement'!BD10</f>
        <v/>
      </c>
      <c r="BE10">
        <f>BD10+'Grid_Incoming'!BE10-'Grid_Requirement'!BE10</f>
        <v/>
      </c>
      <c r="BF10">
        <f>BE10+'Grid_Incoming'!BF10-'Grid_Requirement'!BF10</f>
        <v/>
      </c>
      <c r="BG10">
        <f>BF10+'Grid_Incoming'!BG10-'Grid_Requirement'!BG10</f>
        <v/>
      </c>
      <c r="BH10">
        <f>BG10+'Grid_Incoming'!BH10-'Grid_Requirement'!BH10</f>
        <v/>
      </c>
      <c r="BI10">
        <f>BH10+'Grid_Incoming'!BI10-'Grid_Requirement'!BI10</f>
        <v/>
      </c>
      <c r="BJ10">
        <f>BI10+'Grid_Incoming'!BJ10-'Grid_Requirement'!BJ10</f>
        <v/>
      </c>
      <c r="BK10">
        <f>BJ10+'Grid_Incoming'!BK10-'Grid_Requirement'!BK10</f>
        <v/>
      </c>
      <c r="BL10">
        <f>BK10+'Grid_Incoming'!BL10-'Grid_Requirement'!BL10</f>
        <v/>
      </c>
      <c r="BM10">
        <f>BL10+'Grid_Incoming'!BM10-'Grid_Requirement'!BM10</f>
        <v/>
      </c>
      <c r="BN10">
        <f>BM10+'Grid_Incoming'!BN10-'Grid_Requirement'!BN10</f>
        <v/>
      </c>
      <c r="BO10">
        <f>BN10+'Grid_Incoming'!BO10-'Grid_Requirement'!BO10</f>
        <v/>
      </c>
      <c r="BP10">
        <f>BO10+'Grid_Incoming'!BP10-'Grid_Requirement'!BP10</f>
        <v/>
      </c>
      <c r="BQ10">
        <f>BP10+'Grid_Incoming'!BQ10-'Grid_Requirement'!BQ10</f>
        <v/>
      </c>
      <c r="BR10">
        <f>BQ10+'Grid_Incoming'!BR10-'Grid_Requirement'!BR10</f>
        <v/>
      </c>
      <c r="BS10">
        <f>BR10+'Grid_Incoming'!BS10-'Grid_Requirement'!BS10</f>
        <v/>
      </c>
      <c r="BT10">
        <f>BS10+'Grid_Incoming'!BT10-'Grid_Requirement'!BT10</f>
        <v/>
      </c>
      <c r="BU10">
        <f>BT10+'Grid_Incoming'!BU10-'Grid_Requirement'!BU10</f>
        <v/>
      </c>
      <c r="BV10">
        <f>BU10+'Grid_Incoming'!BV10-'Grid_Requirement'!BV10</f>
        <v/>
      </c>
      <c r="BW10">
        <f>BV10+'Grid_Incoming'!BW10-'Grid_Requirement'!BW10</f>
        <v/>
      </c>
      <c r="BX10">
        <f>BW10+'Grid_Incoming'!BX10-'Grid_Requirement'!BX10</f>
        <v/>
      </c>
      <c r="BY10">
        <f>BX10+'Grid_Incoming'!BY10-'Grid_Requirement'!BY10</f>
        <v/>
      </c>
      <c r="BZ10">
        <f>BY10+'Grid_Incoming'!BZ10-'Grid_Requirement'!BZ10</f>
        <v/>
      </c>
      <c r="CA10">
        <f>BZ10+'Grid_Incoming'!CA10-'Grid_Requirement'!CA10</f>
        <v/>
      </c>
      <c r="CB10">
        <f>CA10+'Grid_Incoming'!CB10-'Grid_Requirement'!CB10</f>
        <v/>
      </c>
      <c r="CC10">
        <f>CB10+'Grid_Incoming'!CC10-'Grid_Requirement'!CC10</f>
        <v/>
      </c>
      <c r="CD10">
        <f>CC10+'Grid_Incoming'!CD10-'Grid_Requirement'!CD10</f>
        <v/>
      </c>
      <c r="CE10">
        <f>CD10+'Grid_Incoming'!CE10-'Grid_Requirement'!CE10</f>
        <v/>
      </c>
      <c r="CF10">
        <f>CE10+'Grid_Incoming'!CF10-'Grid_Requirement'!CF10</f>
        <v/>
      </c>
      <c r="CG10">
        <f>CF10+'Grid_Incoming'!CG10-'Grid_Requirement'!CG10</f>
        <v/>
      </c>
      <c r="CH10">
        <f>CG10+'Grid_Incoming'!CH10-'Grid_Requirement'!CH10</f>
        <v/>
      </c>
      <c r="CI10">
        <f>CH10+'Grid_Incoming'!CI10-'Grid_Requirement'!CI10</f>
        <v/>
      </c>
      <c r="CJ10">
        <f>CI10+'Grid_Incoming'!CJ10-'Grid_Requirement'!CJ10</f>
        <v/>
      </c>
      <c r="CK10">
        <f>CJ10+'Grid_Incoming'!CK10-'Grid_Requirement'!CK10</f>
        <v/>
      </c>
      <c r="CL10">
        <f>CK10+'Grid_Incoming'!CL10-'Grid_Requirement'!CL10</f>
        <v/>
      </c>
      <c r="CM10">
        <f>CL10+'Grid_Incoming'!CM10-'Grid_Requirement'!CM10</f>
        <v/>
      </c>
      <c r="CN10">
        <f>CM10+'Grid_Incoming'!CN10-'Grid_Requirement'!CN10</f>
        <v/>
      </c>
      <c r="CO10">
        <f>CN10+'Grid_Incoming'!CO10-'Grid_Requirement'!CO10</f>
        <v/>
      </c>
      <c r="CP10">
        <f>CO10+'Grid_Incoming'!CP10-'Grid_Requirement'!CP10</f>
        <v/>
      </c>
      <c r="CQ10">
        <f>CP10+'Grid_Incoming'!CQ10-'Grid_Requirement'!CQ10</f>
        <v/>
      </c>
      <c r="CR10">
        <f>CQ10+'Grid_Incoming'!CR10-'Grid_Requirement'!CR10</f>
        <v/>
      </c>
      <c r="CS10">
        <f>CR10+'Grid_Incoming'!CS10-'Grid_Requirement'!CS10</f>
        <v/>
      </c>
      <c r="CT10">
        <f>CS10+'Grid_Incoming'!CT10-'Grid_Requirement'!CT10</f>
        <v/>
      </c>
      <c r="CU10">
        <f>CT10+'Grid_Incoming'!CU10-'Grid_Requirement'!CU10</f>
        <v/>
      </c>
      <c r="CV10">
        <f>CU10+'Grid_Incoming'!CV10-'Grid_Requirement'!CV10</f>
        <v/>
      </c>
      <c r="CW10">
        <f>CV10+'Grid_Incoming'!CW10-'Grid_Requirement'!CW10</f>
        <v/>
      </c>
      <c r="CX10">
        <f>CW10+'Grid_Incoming'!CX10-'Grid_Requirement'!CX10</f>
        <v/>
      </c>
      <c r="CY10">
        <f>CX10+'Grid_Incoming'!CY10-'Grid_Requirement'!CY10</f>
        <v/>
      </c>
      <c r="CZ10">
        <f>CY10+'Grid_Incoming'!CZ10-'Grid_Requirement'!CZ10</f>
        <v/>
      </c>
      <c r="DA10">
        <f>CZ10+'Grid_Incoming'!DA10-'Grid_Requirement'!DA10</f>
        <v/>
      </c>
    </row>
    <row r="11">
      <c r="A11" t="inlineStr">
        <is>
          <t>JEJ</t>
        </is>
      </c>
      <c r="B11">
        <f>IFERROR(INDEX(T_OpeningStock[Opening_Qty],MATCH($A11,T_OpeningStock[Part Name],0)),0)+'Grid_Incoming'!B11-'Grid_Requirement'!B11</f>
        <v/>
      </c>
      <c r="C11">
        <f>B11+'Grid_Incoming'!C11-'Grid_Requirement'!C11</f>
        <v/>
      </c>
      <c r="D11">
        <f>C11+'Grid_Incoming'!D11-'Grid_Requirement'!D11</f>
        <v/>
      </c>
      <c r="E11">
        <f>D11+'Grid_Incoming'!E11-'Grid_Requirement'!E11</f>
        <v/>
      </c>
      <c r="F11">
        <f>E11+'Grid_Incoming'!F11-'Grid_Requirement'!F11</f>
        <v/>
      </c>
      <c r="G11">
        <f>F11+'Grid_Incoming'!G11-'Grid_Requirement'!G11</f>
        <v/>
      </c>
      <c r="H11">
        <f>G11+'Grid_Incoming'!H11-'Grid_Requirement'!H11</f>
        <v/>
      </c>
      <c r="I11">
        <f>H11+'Grid_Incoming'!I11-'Grid_Requirement'!I11</f>
        <v/>
      </c>
      <c r="J11">
        <f>I11+'Grid_Incoming'!J11-'Grid_Requirement'!J11</f>
        <v/>
      </c>
      <c r="K11">
        <f>J11+'Grid_Incoming'!K11-'Grid_Requirement'!K11</f>
        <v/>
      </c>
      <c r="L11">
        <f>K11+'Grid_Incoming'!L11-'Grid_Requirement'!L11</f>
        <v/>
      </c>
      <c r="M11">
        <f>L11+'Grid_Incoming'!M11-'Grid_Requirement'!M11</f>
        <v/>
      </c>
      <c r="N11">
        <f>M11+'Grid_Incoming'!N11-'Grid_Requirement'!N11</f>
        <v/>
      </c>
      <c r="O11">
        <f>N11+'Grid_Incoming'!O11-'Grid_Requirement'!O11</f>
        <v/>
      </c>
      <c r="P11">
        <f>O11+'Grid_Incoming'!P11-'Grid_Requirement'!P11</f>
        <v/>
      </c>
      <c r="Q11">
        <f>P11+'Grid_Incoming'!Q11-'Grid_Requirement'!Q11</f>
        <v/>
      </c>
      <c r="R11">
        <f>Q11+'Grid_Incoming'!R11-'Grid_Requirement'!R11</f>
        <v/>
      </c>
      <c r="S11">
        <f>R11+'Grid_Incoming'!S11-'Grid_Requirement'!S11</f>
        <v/>
      </c>
      <c r="T11">
        <f>S11+'Grid_Incoming'!T11-'Grid_Requirement'!T11</f>
        <v/>
      </c>
      <c r="U11">
        <f>T11+'Grid_Incoming'!U11-'Grid_Requirement'!U11</f>
        <v/>
      </c>
      <c r="V11">
        <f>U11+'Grid_Incoming'!V11-'Grid_Requirement'!V11</f>
        <v/>
      </c>
      <c r="W11">
        <f>V11+'Grid_Incoming'!W11-'Grid_Requirement'!W11</f>
        <v/>
      </c>
      <c r="X11">
        <f>W11+'Grid_Incoming'!X11-'Grid_Requirement'!X11</f>
        <v/>
      </c>
      <c r="Y11">
        <f>X11+'Grid_Incoming'!Y11-'Grid_Requirement'!Y11</f>
        <v/>
      </c>
      <c r="Z11">
        <f>Y11+'Grid_Incoming'!Z11-'Grid_Requirement'!Z11</f>
        <v/>
      </c>
      <c r="AA11">
        <f>Z11+'Grid_Incoming'!AA11-'Grid_Requirement'!AA11</f>
        <v/>
      </c>
      <c r="AB11">
        <f>AA11+'Grid_Incoming'!AB11-'Grid_Requirement'!AB11</f>
        <v/>
      </c>
      <c r="AC11">
        <f>AB11+'Grid_Incoming'!AC11-'Grid_Requirement'!AC11</f>
        <v/>
      </c>
      <c r="AD11">
        <f>AC11+'Grid_Incoming'!AD11-'Grid_Requirement'!AD11</f>
        <v/>
      </c>
      <c r="AE11">
        <f>AD11+'Grid_Incoming'!AE11-'Grid_Requirement'!AE11</f>
        <v/>
      </c>
      <c r="AF11">
        <f>AE11+'Grid_Incoming'!AF11-'Grid_Requirement'!AF11</f>
        <v/>
      </c>
      <c r="AG11">
        <f>AF11+'Grid_Incoming'!AG11-'Grid_Requirement'!AG11</f>
        <v/>
      </c>
      <c r="AH11">
        <f>AG11+'Grid_Incoming'!AH11-'Grid_Requirement'!AH11</f>
        <v/>
      </c>
      <c r="AI11">
        <f>AH11+'Grid_Incoming'!AI11-'Grid_Requirement'!AI11</f>
        <v/>
      </c>
      <c r="AJ11">
        <f>AI11+'Grid_Incoming'!AJ11-'Grid_Requirement'!AJ11</f>
        <v/>
      </c>
      <c r="AK11">
        <f>AJ11+'Grid_Incoming'!AK11-'Grid_Requirement'!AK11</f>
        <v/>
      </c>
      <c r="AL11">
        <f>AK11+'Grid_Incoming'!AL11-'Grid_Requirement'!AL11</f>
        <v/>
      </c>
      <c r="AM11">
        <f>AL11+'Grid_Incoming'!AM11-'Grid_Requirement'!AM11</f>
        <v/>
      </c>
      <c r="AN11">
        <f>AM11+'Grid_Incoming'!AN11-'Grid_Requirement'!AN11</f>
        <v/>
      </c>
      <c r="AO11">
        <f>AN11+'Grid_Incoming'!AO11-'Grid_Requirement'!AO11</f>
        <v/>
      </c>
      <c r="AP11">
        <f>AO11+'Grid_Incoming'!AP11-'Grid_Requirement'!AP11</f>
        <v/>
      </c>
      <c r="AQ11">
        <f>AP11+'Grid_Incoming'!AQ11-'Grid_Requirement'!AQ11</f>
        <v/>
      </c>
      <c r="AR11">
        <f>AQ11+'Grid_Incoming'!AR11-'Grid_Requirement'!AR11</f>
        <v/>
      </c>
      <c r="AS11">
        <f>AR11+'Grid_Incoming'!AS11-'Grid_Requirement'!AS11</f>
        <v/>
      </c>
      <c r="AT11">
        <f>AS11+'Grid_Incoming'!AT11-'Grid_Requirement'!AT11</f>
        <v/>
      </c>
      <c r="AU11">
        <f>AT11+'Grid_Incoming'!AU11-'Grid_Requirement'!AU11</f>
        <v/>
      </c>
      <c r="AV11">
        <f>AU11+'Grid_Incoming'!AV11-'Grid_Requirement'!AV11</f>
        <v/>
      </c>
      <c r="AW11">
        <f>AV11+'Grid_Incoming'!AW11-'Grid_Requirement'!AW11</f>
        <v/>
      </c>
      <c r="AX11">
        <f>AW11+'Grid_Incoming'!AX11-'Grid_Requirement'!AX11</f>
        <v/>
      </c>
      <c r="AY11">
        <f>AX11+'Grid_Incoming'!AY11-'Grid_Requirement'!AY11</f>
        <v/>
      </c>
      <c r="AZ11">
        <f>AY11+'Grid_Incoming'!AZ11-'Grid_Requirement'!AZ11</f>
        <v/>
      </c>
      <c r="BA11">
        <f>AZ11+'Grid_Incoming'!BA11-'Grid_Requirement'!BA11</f>
        <v/>
      </c>
      <c r="BB11">
        <f>BA11+'Grid_Incoming'!BB11-'Grid_Requirement'!BB11</f>
        <v/>
      </c>
      <c r="BC11">
        <f>BB11+'Grid_Incoming'!BC11-'Grid_Requirement'!BC11</f>
        <v/>
      </c>
      <c r="BD11">
        <f>BC11+'Grid_Incoming'!BD11-'Grid_Requirement'!BD11</f>
        <v/>
      </c>
      <c r="BE11">
        <f>BD11+'Grid_Incoming'!BE11-'Grid_Requirement'!BE11</f>
        <v/>
      </c>
      <c r="BF11">
        <f>BE11+'Grid_Incoming'!BF11-'Grid_Requirement'!BF11</f>
        <v/>
      </c>
      <c r="BG11">
        <f>BF11+'Grid_Incoming'!BG11-'Grid_Requirement'!BG11</f>
        <v/>
      </c>
      <c r="BH11">
        <f>BG11+'Grid_Incoming'!BH11-'Grid_Requirement'!BH11</f>
        <v/>
      </c>
      <c r="BI11">
        <f>BH11+'Grid_Incoming'!BI11-'Grid_Requirement'!BI11</f>
        <v/>
      </c>
      <c r="BJ11">
        <f>BI11+'Grid_Incoming'!BJ11-'Grid_Requirement'!BJ11</f>
        <v/>
      </c>
      <c r="BK11">
        <f>BJ11+'Grid_Incoming'!BK11-'Grid_Requirement'!BK11</f>
        <v/>
      </c>
      <c r="BL11">
        <f>BK11+'Grid_Incoming'!BL11-'Grid_Requirement'!BL11</f>
        <v/>
      </c>
      <c r="BM11">
        <f>BL11+'Grid_Incoming'!BM11-'Grid_Requirement'!BM11</f>
        <v/>
      </c>
      <c r="BN11">
        <f>BM11+'Grid_Incoming'!BN11-'Grid_Requirement'!BN11</f>
        <v/>
      </c>
      <c r="BO11">
        <f>BN11+'Grid_Incoming'!BO11-'Grid_Requirement'!BO11</f>
        <v/>
      </c>
      <c r="BP11">
        <f>BO11+'Grid_Incoming'!BP11-'Grid_Requirement'!BP11</f>
        <v/>
      </c>
      <c r="BQ11">
        <f>BP11+'Grid_Incoming'!BQ11-'Grid_Requirement'!BQ11</f>
        <v/>
      </c>
      <c r="BR11">
        <f>BQ11+'Grid_Incoming'!BR11-'Grid_Requirement'!BR11</f>
        <v/>
      </c>
      <c r="BS11">
        <f>BR11+'Grid_Incoming'!BS11-'Grid_Requirement'!BS11</f>
        <v/>
      </c>
      <c r="BT11">
        <f>BS11+'Grid_Incoming'!BT11-'Grid_Requirement'!BT11</f>
        <v/>
      </c>
      <c r="BU11">
        <f>BT11+'Grid_Incoming'!BU11-'Grid_Requirement'!BU11</f>
        <v/>
      </c>
      <c r="BV11">
        <f>BU11+'Grid_Incoming'!BV11-'Grid_Requirement'!BV11</f>
        <v/>
      </c>
      <c r="BW11">
        <f>BV11+'Grid_Incoming'!BW11-'Grid_Requirement'!BW11</f>
        <v/>
      </c>
      <c r="BX11">
        <f>BW11+'Grid_Incoming'!BX11-'Grid_Requirement'!BX11</f>
        <v/>
      </c>
      <c r="BY11">
        <f>BX11+'Grid_Incoming'!BY11-'Grid_Requirement'!BY11</f>
        <v/>
      </c>
      <c r="BZ11">
        <f>BY11+'Grid_Incoming'!BZ11-'Grid_Requirement'!BZ11</f>
        <v/>
      </c>
      <c r="CA11">
        <f>BZ11+'Grid_Incoming'!CA11-'Grid_Requirement'!CA11</f>
        <v/>
      </c>
      <c r="CB11">
        <f>CA11+'Grid_Incoming'!CB11-'Grid_Requirement'!CB11</f>
        <v/>
      </c>
      <c r="CC11">
        <f>CB11+'Grid_Incoming'!CC11-'Grid_Requirement'!CC11</f>
        <v/>
      </c>
      <c r="CD11">
        <f>CC11+'Grid_Incoming'!CD11-'Grid_Requirement'!CD11</f>
        <v/>
      </c>
      <c r="CE11">
        <f>CD11+'Grid_Incoming'!CE11-'Grid_Requirement'!CE11</f>
        <v/>
      </c>
      <c r="CF11">
        <f>CE11+'Grid_Incoming'!CF11-'Grid_Requirement'!CF11</f>
        <v/>
      </c>
      <c r="CG11">
        <f>CF11+'Grid_Incoming'!CG11-'Grid_Requirement'!CG11</f>
        <v/>
      </c>
      <c r="CH11">
        <f>CG11+'Grid_Incoming'!CH11-'Grid_Requirement'!CH11</f>
        <v/>
      </c>
      <c r="CI11">
        <f>CH11+'Grid_Incoming'!CI11-'Grid_Requirement'!CI11</f>
        <v/>
      </c>
      <c r="CJ11">
        <f>CI11+'Grid_Incoming'!CJ11-'Grid_Requirement'!CJ11</f>
        <v/>
      </c>
      <c r="CK11">
        <f>CJ11+'Grid_Incoming'!CK11-'Grid_Requirement'!CK11</f>
        <v/>
      </c>
      <c r="CL11">
        <f>CK11+'Grid_Incoming'!CL11-'Grid_Requirement'!CL11</f>
        <v/>
      </c>
      <c r="CM11">
        <f>CL11+'Grid_Incoming'!CM11-'Grid_Requirement'!CM11</f>
        <v/>
      </c>
      <c r="CN11">
        <f>CM11+'Grid_Incoming'!CN11-'Grid_Requirement'!CN11</f>
        <v/>
      </c>
      <c r="CO11">
        <f>CN11+'Grid_Incoming'!CO11-'Grid_Requirement'!CO11</f>
        <v/>
      </c>
      <c r="CP11">
        <f>CO11+'Grid_Incoming'!CP11-'Grid_Requirement'!CP11</f>
        <v/>
      </c>
      <c r="CQ11">
        <f>CP11+'Grid_Incoming'!CQ11-'Grid_Requirement'!CQ11</f>
        <v/>
      </c>
      <c r="CR11">
        <f>CQ11+'Grid_Incoming'!CR11-'Grid_Requirement'!CR11</f>
        <v/>
      </c>
      <c r="CS11">
        <f>CR11+'Grid_Incoming'!CS11-'Grid_Requirement'!CS11</f>
        <v/>
      </c>
      <c r="CT11">
        <f>CS11+'Grid_Incoming'!CT11-'Grid_Requirement'!CT11</f>
        <v/>
      </c>
      <c r="CU11">
        <f>CT11+'Grid_Incoming'!CU11-'Grid_Requirement'!CU11</f>
        <v/>
      </c>
      <c r="CV11">
        <f>CU11+'Grid_Incoming'!CV11-'Grid_Requirement'!CV11</f>
        <v/>
      </c>
      <c r="CW11">
        <f>CV11+'Grid_Incoming'!CW11-'Grid_Requirement'!CW11</f>
        <v/>
      </c>
      <c r="CX11">
        <f>CW11+'Grid_Incoming'!CX11-'Grid_Requirement'!CX11</f>
        <v/>
      </c>
      <c r="CY11">
        <f>CX11+'Grid_Incoming'!CY11-'Grid_Requirement'!CY11</f>
        <v/>
      </c>
      <c r="CZ11">
        <f>CY11+'Grid_Incoming'!CZ11-'Grid_Requirement'!CZ11</f>
        <v/>
      </c>
      <c r="DA11">
        <f>CZ11+'Grid_Incoming'!DA11-'Grid_Requirement'!DA11</f>
        <v/>
      </c>
    </row>
    <row r="12">
      <c r="A12" t="inlineStr">
        <is>
          <t>YAN</t>
        </is>
      </c>
      <c r="B12">
        <f>IFERROR(INDEX(T_OpeningStock[Opening_Qty],MATCH($A12,T_OpeningStock[Part Name],0)),0)+'Grid_Incoming'!B12-'Grid_Requirement'!B12</f>
        <v/>
      </c>
      <c r="C12">
        <f>B12+'Grid_Incoming'!C12-'Grid_Requirement'!C12</f>
        <v/>
      </c>
      <c r="D12">
        <f>C12+'Grid_Incoming'!D12-'Grid_Requirement'!D12</f>
        <v/>
      </c>
      <c r="E12">
        <f>D12+'Grid_Incoming'!E12-'Grid_Requirement'!E12</f>
        <v/>
      </c>
      <c r="F12">
        <f>E12+'Grid_Incoming'!F12-'Grid_Requirement'!F12</f>
        <v/>
      </c>
      <c r="G12">
        <f>F12+'Grid_Incoming'!G12-'Grid_Requirement'!G12</f>
        <v/>
      </c>
      <c r="H12">
        <f>G12+'Grid_Incoming'!H12-'Grid_Requirement'!H12</f>
        <v/>
      </c>
      <c r="I12">
        <f>H12+'Grid_Incoming'!I12-'Grid_Requirement'!I12</f>
        <v/>
      </c>
      <c r="J12">
        <f>I12+'Grid_Incoming'!J12-'Grid_Requirement'!J12</f>
        <v/>
      </c>
      <c r="K12">
        <f>J12+'Grid_Incoming'!K12-'Grid_Requirement'!K12</f>
        <v/>
      </c>
      <c r="L12">
        <f>K12+'Grid_Incoming'!L12-'Grid_Requirement'!L12</f>
        <v/>
      </c>
      <c r="M12">
        <f>L12+'Grid_Incoming'!M12-'Grid_Requirement'!M12</f>
        <v/>
      </c>
      <c r="N12">
        <f>M12+'Grid_Incoming'!N12-'Grid_Requirement'!N12</f>
        <v/>
      </c>
      <c r="O12">
        <f>N12+'Grid_Incoming'!O12-'Grid_Requirement'!O12</f>
        <v/>
      </c>
      <c r="P12">
        <f>O12+'Grid_Incoming'!P12-'Grid_Requirement'!P12</f>
        <v/>
      </c>
      <c r="Q12">
        <f>P12+'Grid_Incoming'!Q12-'Grid_Requirement'!Q12</f>
        <v/>
      </c>
      <c r="R12">
        <f>Q12+'Grid_Incoming'!R12-'Grid_Requirement'!R12</f>
        <v/>
      </c>
      <c r="S12">
        <f>R12+'Grid_Incoming'!S12-'Grid_Requirement'!S12</f>
        <v/>
      </c>
      <c r="T12">
        <f>S12+'Grid_Incoming'!T12-'Grid_Requirement'!T12</f>
        <v/>
      </c>
      <c r="U12">
        <f>T12+'Grid_Incoming'!U12-'Grid_Requirement'!U12</f>
        <v/>
      </c>
      <c r="V12">
        <f>U12+'Grid_Incoming'!V12-'Grid_Requirement'!V12</f>
        <v/>
      </c>
      <c r="W12">
        <f>V12+'Grid_Incoming'!W12-'Grid_Requirement'!W12</f>
        <v/>
      </c>
      <c r="X12">
        <f>W12+'Grid_Incoming'!X12-'Grid_Requirement'!X12</f>
        <v/>
      </c>
      <c r="Y12">
        <f>X12+'Grid_Incoming'!Y12-'Grid_Requirement'!Y12</f>
        <v/>
      </c>
      <c r="Z12">
        <f>Y12+'Grid_Incoming'!Z12-'Grid_Requirement'!Z12</f>
        <v/>
      </c>
      <c r="AA12">
        <f>Z12+'Grid_Incoming'!AA12-'Grid_Requirement'!AA12</f>
        <v/>
      </c>
      <c r="AB12">
        <f>AA12+'Grid_Incoming'!AB12-'Grid_Requirement'!AB12</f>
        <v/>
      </c>
      <c r="AC12">
        <f>AB12+'Grid_Incoming'!AC12-'Grid_Requirement'!AC12</f>
        <v/>
      </c>
      <c r="AD12">
        <f>AC12+'Grid_Incoming'!AD12-'Grid_Requirement'!AD12</f>
        <v/>
      </c>
      <c r="AE12">
        <f>AD12+'Grid_Incoming'!AE12-'Grid_Requirement'!AE12</f>
        <v/>
      </c>
      <c r="AF12">
        <f>AE12+'Grid_Incoming'!AF12-'Grid_Requirement'!AF12</f>
        <v/>
      </c>
      <c r="AG12">
        <f>AF12+'Grid_Incoming'!AG12-'Grid_Requirement'!AG12</f>
        <v/>
      </c>
      <c r="AH12">
        <f>AG12+'Grid_Incoming'!AH12-'Grid_Requirement'!AH12</f>
        <v/>
      </c>
      <c r="AI12">
        <f>AH12+'Grid_Incoming'!AI12-'Grid_Requirement'!AI12</f>
        <v/>
      </c>
      <c r="AJ12">
        <f>AI12+'Grid_Incoming'!AJ12-'Grid_Requirement'!AJ12</f>
        <v/>
      </c>
      <c r="AK12">
        <f>AJ12+'Grid_Incoming'!AK12-'Grid_Requirement'!AK12</f>
        <v/>
      </c>
      <c r="AL12">
        <f>AK12+'Grid_Incoming'!AL12-'Grid_Requirement'!AL12</f>
        <v/>
      </c>
      <c r="AM12">
        <f>AL12+'Grid_Incoming'!AM12-'Grid_Requirement'!AM12</f>
        <v/>
      </c>
      <c r="AN12">
        <f>AM12+'Grid_Incoming'!AN12-'Grid_Requirement'!AN12</f>
        <v/>
      </c>
      <c r="AO12">
        <f>AN12+'Grid_Incoming'!AO12-'Grid_Requirement'!AO12</f>
        <v/>
      </c>
      <c r="AP12">
        <f>AO12+'Grid_Incoming'!AP12-'Grid_Requirement'!AP12</f>
        <v/>
      </c>
      <c r="AQ12">
        <f>AP12+'Grid_Incoming'!AQ12-'Grid_Requirement'!AQ12</f>
        <v/>
      </c>
      <c r="AR12">
        <f>AQ12+'Grid_Incoming'!AR12-'Grid_Requirement'!AR12</f>
        <v/>
      </c>
      <c r="AS12">
        <f>AR12+'Grid_Incoming'!AS12-'Grid_Requirement'!AS12</f>
        <v/>
      </c>
      <c r="AT12">
        <f>AS12+'Grid_Incoming'!AT12-'Grid_Requirement'!AT12</f>
        <v/>
      </c>
      <c r="AU12">
        <f>AT12+'Grid_Incoming'!AU12-'Grid_Requirement'!AU12</f>
        <v/>
      </c>
      <c r="AV12">
        <f>AU12+'Grid_Incoming'!AV12-'Grid_Requirement'!AV12</f>
        <v/>
      </c>
      <c r="AW12">
        <f>AV12+'Grid_Incoming'!AW12-'Grid_Requirement'!AW12</f>
        <v/>
      </c>
      <c r="AX12">
        <f>AW12+'Grid_Incoming'!AX12-'Grid_Requirement'!AX12</f>
        <v/>
      </c>
      <c r="AY12">
        <f>AX12+'Grid_Incoming'!AY12-'Grid_Requirement'!AY12</f>
        <v/>
      </c>
      <c r="AZ12">
        <f>AY12+'Grid_Incoming'!AZ12-'Grid_Requirement'!AZ12</f>
        <v/>
      </c>
      <c r="BA12">
        <f>AZ12+'Grid_Incoming'!BA12-'Grid_Requirement'!BA12</f>
        <v/>
      </c>
      <c r="BB12">
        <f>BA12+'Grid_Incoming'!BB12-'Grid_Requirement'!BB12</f>
        <v/>
      </c>
      <c r="BC12">
        <f>BB12+'Grid_Incoming'!BC12-'Grid_Requirement'!BC12</f>
        <v/>
      </c>
      <c r="BD12">
        <f>BC12+'Grid_Incoming'!BD12-'Grid_Requirement'!BD12</f>
        <v/>
      </c>
      <c r="BE12">
        <f>BD12+'Grid_Incoming'!BE12-'Grid_Requirement'!BE12</f>
        <v/>
      </c>
      <c r="BF12">
        <f>BE12+'Grid_Incoming'!BF12-'Grid_Requirement'!BF12</f>
        <v/>
      </c>
      <c r="BG12">
        <f>BF12+'Grid_Incoming'!BG12-'Grid_Requirement'!BG12</f>
        <v/>
      </c>
      <c r="BH12">
        <f>BG12+'Grid_Incoming'!BH12-'Grid_Requirement'!BH12</f>
        <v/>
      </c>
      <c r="BI12">
        <f>BH12+'Grid_Incoming'!BI12-'Grid_Requirement'!BI12</f>
        <v/>
      </c>
      <c r="BJ12">
        <f>BI12+'Grid_Incoming'!BJ12-'Grid_Requirement'!BJ12</f>
        <v/>
      </c>
      <c r="BK12">
        <f>BJ12+'Grid_Incoming'!BK12-'Grid_Requirement'!BK12</f>
        <v/>
      </c>
      <c r="BL12">
        <f>BK12+'Grid_Incoming'!BL12-'Grid_Requirement'!BL12</f>
        <v/>
      </c>
      <c r="BM12">
        <f>BL12+'Grid_Incoming'!BM12-'Grid_Requirement'!BM12</f>
        <v/>
      </c>
      <c r="BN12">
        <f>BM12+'Grid_Incoming'!BN12-'Grid_Requirement'!BN12</f>
        <v/>
      </c>
      <c r="BO12">
        <f>BN12+'Grid_Incoming'!BO12-'Grid_Requirement'!BO12</f>
        <v/>
      </c>
      <c r="BP12">
        <f>BO12+'Grid_Incoming'!BP12-'Grid_Requirement'!BP12</f>
        <v/>
      </c>
      <c r="BQ12">
        <f>BP12+'Grid_Incoming'!BQ12-'Grid_Requirement'!BQ12</f>
        <v/>
      </c>
      <c r="BR12">
        <f>BQ12+'Grid_Incoming'!BR12-'Grid_Requirement'!BR12</f>
        <v/>
      </c>
      <c r="BS12">
        <f>BR12+'Grid_Incoming'!BS12-'Grid_Requirement'!BS12</f>
        <v/>
      </c>
      <c r="BT12">
        <f>BS12+'Grid_Incoming'!BT12-'Grid_Requirement'!BT12</f>
        <v/>
      </c>
      <c r="BU12">
        <f>BT12+'Grid_Incoming'!BU12-'Grid_Requirement'!BU12</f>
        <v/>
      </c>
      <c r="BV12">
        <f>BU12+'Grid_Incoming'!BV12-'Grid_Requirement'!BV12</f>
        <v/>
      </c>
      <c r="BW12">
        <f>BV12+'Grid_Incoming'!BW12-'Grid_Requirement'!BW12</f>
        <v/>
      </c>
      <c r="BX12">
        <f>BW12+'Grid_Incoming'!BX12-'Grid_Requirement'!BX12</f>
        <v/>
      </c>
      <c r="BY12">
        <f>BX12+'Grid_Incoming'!BY12-'Grid_Requirement'!BY12</f>
        <v/>
      </c>
      <c r="BZ12">
        <f>BY12+'Grid_Incoming'!BZ12-'Grid_Requirement'!BZ12</f>
        <v/>
      </c>
      <c r="CA12">
        <f>BZ12+'Grid_Incoming'!CA12-'Grid_Requirement'!CA12</f>
        <v/>
      </c>
      <c r="CB12">
        <f>CA12+'Grid_Incoming'!CB12-'Grid_Requirement'!CB12</f>
        <v/>
      </c>
      <c r="CC12">
        <f>CB12+'Grid_Incoming'!CC12-'Grid_Requirement'!CC12</f>
        <v/>
      </c>
      <c r="CD12">
        <f>CC12+'Grid_Incoming'!CD12-'Grid_Requirement'!CD12</f>
        <v/>
      </c>
      <c r="CE12">
        <f>CD12+'Grid_Incoming'!CE12-'Grid_Requirement'!CE12</f>
        <v/>
      </c>
      <c r="CF12">
        <f>CE12+'Grid_Incoming'!CF12-'Grid_Requirement'!CF12</f>
        <v/>
      </c>
      <c r="CG12">
        <f>CF12+'Grid_Incoming'!CG12-'Grid_Requirement'!CG12</f>
        <v/>
      </c>
      <c r="CH12">
        <f>CG12+'Grid_Incoming'!CH12-'Grid_Requirement'!CH12</f>
        <v/>
      </c>
      <c r="CI12">
        <f>CH12+'Grid_Incoming'!CI12-'Grid_Requirement'!CI12</f>
        <v/>
      </c>
      <c r="CJ12">
        <f>CI12+'Grid_Incoming'!CJ12-'Grid_Requirement'!CJ12</f>
        <v/>
      </c>
      <c r="CK12">
        <f>CJ12+'Grid_Incoming'!CK12-'Grid_Requirement'!CK12</f>
        <v/>
      </c>
      <c r="CL12">
        <f>CK12+'Grid_Incoming'!CL12-'Grid_Requirement'!CL12</f>
        <v/>
      </c>
      <c r="CM12">
        <f>CL12+'Grid_Incoming'!CM12-'Grid_Requirement'!CM12</f>
        <v/>
      </c>
      <c r="CN12">
        <f>CM12+'Grid_Incoming'!CN12-'Grid_Requirement'!CN12</f>
        <v/>
      </c>
      <c r="CO12">
        <f>CN12+'Grid_Incoming'!CO12-'Grid_Requirement'!CO12</f>
        <v/>
      </c>
      <c r="CP12">
        <f>CO12+'Grid_Incoming'!CP12-'Grid_Requirement'!CP12</f>
        <v/>
      </c>
      <c r="CQ12">
        <f>CP12+'Grid_Incoming'!CQ12-'Grid_Requirement'!CQ12</f>
        <v/>
      </c>
      <c r="CR12">
        <f>CQ12+'Grid_Incoming'!CR12-'Grid_Requirement'!CR12</f>
        <v/>
      </c>
      <c r="CS12">
        <f>CR12+'Grid_Incoming'!CS12-'Grid_Requirement'!CS12</f>
        <v/>
      </c>
      <c r="CT12">
        <f>CS12+'Grid_Incoming'!CT12-'Grid_Requirement'!CT12</f>
        <v/>
      </c>
      <c r="CU12">
        <f>CT12+'Grid_Incoming'!CU12-'Grid_Requirement'!CU12</f>
        <v/>
      </c>
      <c r="CV12">
        <f>CU12+'Grid_Incoming'!CV12-'Grid_Requirement'!CV12</f>
        <v/>
      </c>
      <c r="CW12">
        <f>CV12+'Grid_Incoming'!CW12-'Grid_Requirement'!CW12</f>
        <v/>
      </c>
      <c r="CX12">
        <f>CW12+'Grid_Incoming'!CX12-'Grid_Requirement'!CX12</f>
        <v/>
      </c>
      <c r="CY12">
        <f>CX12+'Grid_Incoming'!CY12-'Grid_Requirement'!CY12</f>
        <v/>
      </c>
      <c r="CZ12">
        <f>CY12+'Grid_Incoming'!CZ12-'Grid_Requirement'!CZ12</f>
        <v/>
      </c>
      <c r="DA12">
        <f>CZ12+'Grid_Incoming'!DA12-'Grid_Requirement'!DA12</f>
        <v/>
      </c>
    </row>
    <row r="13">
      <c r="A13" t="inlineStr">
        <is>
          <t>ABN</t>
        </is>
      </c>
      <c r="B13">
        <f>IFERROR(INDEX(T_OpeningStock[Opening_Qty],MATCH($A13,T_OpeningStock[Part Name],0)),0)+'Grid_Incoming'!B13-'Grid_Requirement'!B13</f>
        <v/>
      </c>
      <c r="C13">
        <f>B13+'Grid_Incoming'!C13-'Grid_Requirement'!C13</f>
        <v/>
      </c>
      <c r="D13">
        <f>C13+'Grid_Incoming'!D13-'Grid_Requirement'!D13</f>
        <v/>
      </c>
      <c r="E13">
        <f>D13+'Grid_Incoming'!E13-'Grid_Requirement'!E13</f>
        <v/>
      </c>
      <c r="F13">
        <f>E13+'Grid_Incoming'!F13-'Grid_Requirement'!F13</f>
        <v/>
      </c>
      <c r="G13">
        <f>F13+'Grid_Incoming'!G13-'Grid_Requirement'!G13</f>
        <v/>
      </c>
      <c r="H13">
        <f>G13+'Grid_Incoming'!H13-'Grid_Requirement'!H13</f>
        <v/>
      </c>
      <c r="I13">
        <f>H13+'Grid_Incoming'!I13-'Grid_Requirement'!I13</f>
        <v/>
      </c>
      <c r="J13">
        <f>I13+'Grid_Incoming'!J13-'Grid_Requirement'!J13</f>
        <v/>
      </c>
      <c r="K13">
        <f>J13+'Grid_Incoming'!K13-'Grid_Requirement'!K13</f>
        <v/>
      </c>
      <c r="L13">
        <f>K13+'Grid_Incoming'!L13-'Grid_Requirement'!L13</f>
        <v/>
      </c>
      <c r="M13">
        <f>L13+'Grid_Incoming'!M13-'Grid_Requirement'!M13</f>
        <v/>
      </c>
      <c r="N13">
        <f>M13+'Grid_Incoming'!N13-'Grid_Requirement'!N13</f>
        <v/>
      </c>
      <c r="O13">
        <f>N13+'Grid_Incoming'!O13-'Grid_Requirement'!O13</f>
        <v/>
      </c>
      <c r="P13">
        <f>O13+'Grid_Incoming'!P13-'Grid_Requirement'!P13</f>
        <v/>
      </c>
      <c r="Q13">
        <f>P13+'Grid_Incoming'!Q13-'Grid_Requirement'!Q13</f>
        <v/>
      </c>
      <c r="R13">
        <f>Q13+'Grid_Incoming'!R13-'Grid_Requirement'!R13</f>
        <v/>
      </c>
      <c r="S13">
        <f>R13+'Grid_Incoming'!S13-'Grid_Requirement'!S13</f>
        <v/>
      </c>
      <c r="T13">
        <f>S13+'Grid_Incoming'!T13-'Grid_Requirement'!T13</f>
        <v/>
      </c>
      <c r="U13">
        <f>T13+'Grid_Incoming'!U13-'Grid_Requirement'!U13</f>
        <v/>
      </c>
      <c r="V13">
        <f>U13+'Grid_Incoming'!V13-'Grid_Requirement'!V13</f>
        <v/>
      </c>
      <c r="W13">
        <f>V13+'Grid_Incoming'!W13-'Grid_Requirement'!W13</f>
        <v/>
      </c>
      <c r="X13">
        <f>W13+'Grid_Incoming'!X13-'Grid_Requirement'!X13</f>
        <v/>
      </c>
      <c r="Y13">
        <f>X13+'Grid_Incoming'!Y13-'Grid_Requirement'!Y13</f>
        <v/>
      </c>
      <c r="Z13">
        <f>Y13+'Grid_Incoming'!Z13-'Grid_Requirement'!Z13</f>
        <v/>
      </c>
      <c r="AA13">
        <f>Z13+'Grid_Incoming'!AA13-'Grid_Requirement'!AA13</f>
        <v/>
      </c>
      <c r="AB13">
        <f>AA13+'Grid_Incoming'!AB13-'Grid_Requirement'!AB13</f>
        <v/>
      </c>
      <c r="AC13">
        <f>AB13+'Grid_Incoming'!AC13-'Grid_Requirement'!AC13</f>
        <v/>
      </c>
      <c r="AD13">
        <f>AC13+'Grid_Incoming'!AD13-'Grid_Requirement'!AD13</f>
        <v/>
      </c>
      <c r="AE13">
        <f>AD13+'Grid_Incoming'!AE13-'Grid_Requirement'!AE13</f>
        <v/>
      </c>
      <c r="AF13">
        <f>AE13+'Grid_Incoming'!AF13-'Grid_Requirement'!AF13</f>
        <v/>
      </c>
      <c r="AG13">
        <f>AF13+'Grid_Incoming'!AG13-'Grid_Requirement'!AG13</f>
        <v/>
      </c>
      <c r="AH13">
        <f>AG13+'Grid_Incoming'!AH13-'Grid_Requirement'!AH13</f>
        <v/>
      </c>
      <c r="AI13">
        <f>AH13+'Grid_Incoming'!AI13-'Grid_Requirement'!AI13</f>
        <v/>
      </c>
      <c r="AJ13">
        <f>AI13+'Grid_Incoming'!AJ13-'Grid_Requirement'!AJ13</f>
        <v/>
      </c>
      <c r="AK13">
        <f>AJ13+'Grid_Incoming'!AK13-'Grid_Requirement'!AK13</f>
        <v/>
      </c>
      <c r="AL13">
        <f>AK13+'Grid_Incoming'!AL13-'Grid_Requirement'!AL13</f>
        <v/>
      </c>
      <c r="AM13">
        <f>AL13+'Grid_Incoming'!AM13-'Grid_Requirement'!AM13</f>
        <v/>
      </c>
      <c r="AN13">
        <f>AM13+'Grid_Incoming'!AN13-'Grid_Requirement'!AN13</f>
        <v/>
      </c>
      <c r="AO13">
        <f>AN13+'Grid_Incoming'!AO13-'Grid_Requirement'!AO13</f>
        <v/>
      </c>
      <c r="AP13">
        <f>AO13+'Grid_Incoming'!AP13-'Grid_Requirement'!AP13</f>
        <v/>
      </c>
      <c r="AQ13">
        <f>AP13+'Grid_Incoming'!AQ13-'Grid_Requirement'!AQ13</f>
        <v/>
      </c>
      <c r="AR13">
        <f>AQ13+'Grid_Incoming'!AR13-'Grid_Requirement'!AR13</f>
        <v/>
      </c>
      <c r="AS13">
        <f>AR13+'Grid_Incoming'!AS13-'Grid_Requirement'!AS13</f>
        <v/>
      </c>
      <c r="AT13">
        <f>AS13+'Grid_Incoming'!AT13-'Grid_Requirement'!AT13</f>
        <v/>
      </c>
      <c r="AU13">
        <f>AT13+'Grid_Incoming'!AU13-'Grid_Requirement'!AU13</f>
        <v/>
      </c>
      <c r="AV13">
        <f>AU13+'Grid_Incoming'!AV13-'Grid_Requirement'!AV13</f>
        <v/>
      </c>
      <c r="AW13">
        <f>AV13+'Grid_Incoming'!AW13-'Grid_Requirement'!AW13</f>
        <v/>
      </c>
      <c r="AX13">
        <f>AW13+'Grid_Incoming'!AX13-'Grid_Requirement'!AX13</f>
        <v/>
      </c>
      <c r="AY13">
        <f>AX13+'Grid_Incoming'!AY13-'Grid_Requirement'!AY13</f>
        <v/>
      </c>
      <c r="AZ13">
        <f>AY13+'Grid_Incoming'!AZ13-'Grid_Requirement'!AZ13</f>
        <v/>
      </c>
      <c r="BA13">
        <f>AZ13+'Grid_Incoming'!BA13-'Grid_Requirement'!BA13</f>
        <v/>
      </c>
      <c r="BB13">
        <f>BA13+'Grid_Incoming'!BB13-'Grid_Requirement'!BB13</f>
        <v/>
      </c>
      <c r="BC13">
        <f>BB13+'Grid_Incoming'!BC13-'Grid_Requirement'!BC13</f>
        <v/>
      </c>
      <c r="BD13">
        <f>BC13+'Grid_Incoming'!BD13-'Grid_Requirement'!BD13</f>
        <v/>
      </c>
      <c r="BE13">
        <f>BD13+'Grid_Incoming'!BE13-'Grid_Requirement'!BE13</f>
        <v/>
      </c>
      <c r="BF13">
        <f>BE13+'Grid_Incoming'!BF13-'Grid_Requirement'!BF13</f>
        <v/>
      </c>
      <c r="BG13">
        <f>BF13+'Grid_Incoming'!BG13-'Grid_Requirement'!BG13</f>
        <v/>
      </c>
      <c r="BH13">
        <f>BG13+'Grid_Incoming'!BH13-'Grid_Requirement'!BH13</f>
        <v/>
      </c>
      <c r="BI13">
        <f>BH13+'Grid_Incoming'!BI13-'Grid_Requirement'!BI13</f>
        <v/>
      </c>
      <c r="BJ13">
        <f>BI13+'Grid_Incoming'!BJ13-'Grid_Requirement'!BJ13</f>
        <v/>
      </c>
      <c r="BK13">
        <f>BJ13+'Grid_Incoming'!BK13-'Grid_Requirement'!BK13</f>
        <v/>
      </c>
      <c r="BL13">
        <f>BK13+'Grid_Incoming'!BL13-'Grid_Requirement'!BL13</f>
        <v/>
      </c>
      <c r="BM13">
        <f>BL13+'Grid_Incoming'!BM13-'Grid_Requirement'!BM13</f>
        <v/>
      </c>
      <c r="BN13">
        <f>BM13+'Grid_Incoming'!BN13-'Grid_Requirement'!BN13</f>
        <v/>
      </c>
      <c r="BO13">
        <f>BN13+'Grid_Incoming'!BO13-'Grid_Requirement'!BO13</f>
        <v/>
      </c>
      <c r="BP13">
        <f>BO13+'Grid_Incoming'!BP13-'Grid_Requirement'!BP13</f>
        <v/>
      </c>
      <c r="BQ13">
        <f>BP13+'Grid_Incoming'!BQ13-'Grid_Requirement'!BQ13</f>
        <v/>
      </c>
      <c r="BR13">
        <f>BQ13+'Grid_Incoming'!BR13-'Grid_Requirement'!BR13</f>
        <v/>
      </c>
      <c r="BS13">
        <f>BR13+'Grid_Incoming'!BS13-'Grid_Requirement'!BS13</f>
        <v/>
      </c>
      <c r="BT13">
        <f>BS13+'Grid_Incoming'!BT13-'Grid_Requirement'!BT13</f>
        <v/>
      </c>
      <c r="BU13">
        <f>BT13+'Grid_Incoming'!BU13-'Grid_Requirement'!BU13</f>
        <v/>
      </c>
      <c r="BV13">
        <f>BU13+'Grid_Incoming'!BV13-'Grid_Requirement'!BV13</f>
        <v/>
      </c>
      <c r="BW13">
        <f>BV13+'Grid_Incoming'!BW13-'Grid_Requirement'!BW13</f>
        <v/>
      </c>
      <c r="BX13">
        <f>BW13+'Grid_Incoming'!BX13-'Grid_Requirement'!BX13</f>
        <v/>
      </c>
      <c r="BY13">
        <f>BX13+'Grid_Incoming'!BY13-'Grid_Requirement'!BY13</f>
        <v/>
      </c>
      <c r="BZ13">
        <f>BY13+'Grid_Incoming'!BZ13-'Grid_Requirement'!BZ13</f>
        <v/>
      </c>
      <c r="CA13">
        <f>BZ13+'Grid_Incoming'!CA13-'Grid_Requirement'!CA13</f>
        <v/>
      </c>
      <c r="CB13">
        <f>CA13+'Grid_Incoming'!CB13-'Grid_Requirement'!CB13</f>
        <v/>
      </c>
      <c r="CC13">
        <f>CB13+'Grid_Incoming'!CC13-'Grid_Requirement'!CC13</f>
        <v/>
      </c>
      <c r="CD13">
        <f>CC13+'Grid_Incoming'!CD13-'Grid_Requirement'!CD13</f>
        <v/>
      </c>
      <c r="CE13">
        <f>CD13+'Grid_Incoming'!CE13-'Grid_Requirement'!CE13</f>
        <v/>
      </c>
      <c r="CF13">
        <f>CE13+'Grid_Incoming'!CF13-'Grid_Requirement'!CF13</f>
        <v/>
      </c>
      <c r="CG13">
        <f>CF13+'Grid_Incoming'!CG13-'Grid_Requirement'!CG13</f>
        <v/>
      </c>
      <c r="CH13">
        <f>CG13+'Grid_Incoming'!CH13-'Grid_Requirement'!CH13</f>
        <v/>
      </c>
      <c r="CI13">
        <f>CH13+'Grid_Incoming'!CI13-'Grid_Requirement'!CI13</f>
        <v/>
      </c>
      <c r="CJ13">
        <f>CI13+'Grid_Incoming'!CJ13-'Grid_Requirement'!CJ13</f>
        <v/>
      </c>
      <c r="CK13">
        <f>CJ13+'Grid_Incoming'!CK13-'Grid_Requirement'!CK13</f>
        <v/>
      </c>
      <c r="CL13">
        <f>CK13+'Grid_Incoming'!CL13-'Grid_Requirement'!CL13</f>
        <v/>
      </c>
      <c r="CM13">
        <f>CL13+'Grid_Incoming'!CM13-'Grid_Requirement'!CM13</f>
        <v/>
      </c>
      <c r="CN13">
        <f>CM13+'Grid_Incoming'!CN13-'Grid_Requirement'!CN13</f>
        <v/>
      </c>
      <c r="CO13">
        <f>CN13+'Grid_Incoming'!CO13-'Grid_Requirement'!CO13</f>
        <v/>
      </c>
      <c r="CP13">
        <f>CO13+'Grid_Incoming'!CP13-'Grid_Requirement'!CP13</f>
        <v/>
      </c>
      <c r="CQ13">
        <f>CP13+'Grid_Incoming'!CQ13-'Grid_Requirement'!CQ13</f>
        <v/>
      </c>
      <c r="CR13">
        <f>CQ13+'Grid_Incoming'!CR13-'Grid_Requirement'!CR13</f>
        <v/>
      </c>
      <c r="CS13">
        <f>CR13+'Grid_Incoming'!CS13-'Grid_Requirement'!CS13</f>
        <v/>
      </c>
      <c r="CT13">
        <f>CS13+'Grid_Incoming'!CT13-'Grid_Requirement'!CT13</f>
        <v/>
      </c>
      <c r="CU13">
        <f>CT13+'Grid_Incoming'!CU13-'Grid_Requirement'!CU13</f>
        <v/>
      </c>
      <c r="CV13">
        <f>CU13+'Grid_Incoming'!CV13-'Grid_Requirement'!CV13</f>
        <v/>
      </c>
      <c r="CW13">
        <f>CV13+'Grid_Incoming'!CW13-'Grid_Requirement'!CW13</f>
        <v/>
      </c>
      <c r="CX13">
        <f>CW13+'Grid_Incoming'!CX13-'Grid_Requirement'!CX13</f>
        <v/>
      </c>
      <c r="CY13">
        <f>CX13+'Grid_Incoming'!CY13-'Grid_Requirement'!CY13</f>
        <v/>
      </c>
      <c r="CZ13">
        <f>CY13+'Grid_Incoming'!CZ13-'Grid_Requirement'!CZ13</f>
        <v/>
      </c>
      <c r="DA13">
        <f>CZ13+'Grid_Incoming'!DA13-'Grid_Requirement'!DA13</f>
        <v/>
      </c>
    </row>
    <row r="14">
      <c r="A14" t="inlineStr">
        <is>
          <t>OLJ</t>
        </is>
      </c>
      <c r="B14">
        <f>IFERROR(INDEX(T_OpeningStock[Opening_Qty],MATCH($A14,T_OpeningStock[Part Name],0)),0)+'Grid_Incoming'!B14-'Grid_Requirement'!B14</f>
        <v/>
      </c>
      <c r="C14">
        <f>B14+'Grid_Incoming'!C14-'Grid_Requirement'!C14</f>
        <v/>
      </c>
      <c r="D14">
        <f>C14+'Grid_Incoming'!D14-'Grid_Requirement'!D14</f>
        <v/>
      </c>
      <c r="E14">
        <f>D14+'Grid_Incoming'!E14-'Grid_Requirement'!E14</f>
        <v/>
      </c>
      <c r="F14">
        <f>E14+'Grid_Incoming'!F14-'Grid_Requirement'!F14</f>
        <v/>
      </c>
      <c r="G14">
        <f>F14+'Grid_Incoming'!G14-'Grid_Requirement'!G14</f>
        <v/>
      </c>
      <c r="H14">
        <f>G14+'Grid_Incoming'!H14-'Grid_Requirement'!H14</f>
        <v/>
      </c>
      <c r="I14">
        <f>H14+'Grid_Incoming'!I14-'Grid_Requirement'!I14</f>
        <v/>
      </c>
      <c r="J14">
        <f>I14+'Grid_Incoming'!J14-'Grid_Requirement'!J14</f>
        <v/>
      </c>
      <c r="K14">
        <f>J14+'Grid_Incoming'!K14-'Grid_Requirement'!K14</f>
        <v/>
      </c>
      <c r="L14">
        <f>K14+'Grid_Incoming'!L14-'Grid_Requirement'!L14</f>
        <v/>
      </c>
      <c r="M14">
        <f>L14+'Grid_Incoming'!M14-'Grid_Requirement'!M14</f>
        <v/>
      </c>
      <c r="N14">
        <f>M14+'Grid_Incoming'!N14-'Grid_Requirement'!N14</f>
        <v/>
      </c>
      <c r="O14">
        <f>N14+'Grid_Incoming'!O14-'Grid_Requirement'!O14</f>
        <v/>
      </c>
      <c r="P14">
        <f>O14+'Grid_Incoming'!P14-'Grid_Requirement'!P14</f>
        <v/>
      </c>
      <c r="Q14">
        <f>P14+'Grid_Incoming'!Q14-'Grid_Requirement'!Q14</f>
        <v/>
      </c>
      <c r="R14">
        <f>Q14+'Grid_Incoming'!R14-'Grid_Requirement'!R14</f>
        <v/>
      </c>
      <c r="S14">
        <f>R14+'Grid_Incoming'!S14-'Grid_Requirement'!S14</f>
        <v/>
      </c>
      <c r="T14">
        <f>S14+'Grid_Incoming'!T14-'Grid_Requirement'!T14</f>
        <v/>
      </c>
      <c r="U14">
        <f>T14+'Grid_Incoming'!U14-'Grid_Requirement'!U14</f>
        <v/>
      </c>
      <c r="V14">
        <f>U14+'Grid_Incoming'!V14-'Grid_Requirement'!V14</f>
        <v/>
      </c>
      <c r="W14">
        <f>V14+'Grid_Incoming'!W14-'Grid_Requirement'!W14</f>
        <v/>
      </c>
      <c r="X14">
        <f>W14+'Grid_Incoming'!X14-'Grid_Requirement'!X14</f>
        <v/>
      </c>
      <c r="Y14">
        <f>X14+'Grid_Incoming'!Y14-'Grid_Requirement'!Y14</f>
        <v/>
      </c>
      <c r="Z14">
        <f>Y14+'Grid_Incoming'!Z14-'Grid_Requirement'!Z14</f>
        <v/>
      </c>
      <c r="AA14">
        <f>Z14+'Grid_Incoming'!AA14-'Grid_Requirement'!AA14</f>
        <v/>
      </c>
      <c r="AB14">
        <f>AA14+'Grid_Incoming'!AB14-'Grid_Requirement'!AB14</f>
        <v/>
      </c>
      <c r="AC14">
        <f>AB14+'Grid_Incoming'!AC14-'Grid_Requirement'!AC14</f>
        <v/>
      </c>
      <c r="AD14">
        <f>AC14+'Grid_Incoming'!AD14-'Grid_Requirement'!AD14</f>
        <v/>
      </c>
      <c r="AE14">
        <f>AD14+'Grid_Incoming'!AE14-'Grid_Requirement'!AE14</f>
        <v/>
      </c>
      <c r="AF14">
        <f>AE14+'Grid_Incoming'!AF14-'Grid_Requirement'!AF14</f>
        <v/>
      </c>
      <c r="AG14">
        <f>AF14+'Grid_Incoming'!AG14-'Grid_Requirement'!AG14</f>
        <v/>
      </c>
      <c r="AH14">
        <f>AG14+'Grid_Incoming'!AH14-'Grid_Requirement'!AH14</f>
        <v/>
      </c>
      <c r="AI14">
        <f>AH14+'Grid_Incoming'!AI14-'Grid_Requirement'!AI14</f>
        <v/>
      </c>
      <c r="AJ14">
        <f>AI14+'Grid_Incoming'!AJ14-'Grid_Requirement'!AJ14</f>
        <v/>
      </c>
      <c r="AK14">
        <f>AJ14+'Grid_Incoming'!AK14-'Grid_Requirement'!AK14</f>
        <v/>
      </c>
      <c r="AL14">
        <f>AK14+'Grid_Incoming'!AL14-'Grid_Requirement'!AL14</f>
        <v/>
      </c>
      <c r="AM14">
        <f>AL14+'Grid_Incoming'!AM14-'Grid_Requirement'!AM14</f>
        <v/>
      </c>
      <c r="AN14">
        <f>AM14+'Grid_Incoming'!AN14-'Grid_Requirement'!AN14</f>
        <v/>
      </c>
      <c r="AO14">
        <f>AN14+'Grid_Incoming'!AO14-'Grid_Requirement'!AO14</f>
        <v/>
      </c>
      <c r="AP14">
        <f>AO14+'Grid_Incoming'!AP14-'Grid_Requirement'!AP14</f>
        <v/>
      </c>
      <c r="AQ14">
        <f>AP14+'Grid_Incoming'!AQ14-'Grid_Requirement'!AQ14</f>
        <v/>
      </c>
      <c r="AR14">
        <f>AQ14+'Grid_Incoming'!AR14-'Grid_Requirement'!AR14</f>
        <v/>
      </c>
      <c r="AS14">
        <f>AR14+'Grid_Incoming'!AS14-'Grid_Requirement'!AS14</f>
        <v/>
      </c>
      <c r="AT14">
        <f>AS14+'Grid_Incoming'!AT14-'Grid_Requirement'!AT14</f>
        <v/>
      </c>
      <c r="AU14">
        <f>AT14+'Grid_Incoming'!AU14-'Grid_Requirement'!AU14</f>
        <v/>
      </c>
      <c r="AV14">
        <f>AU14+'Grid_Incoming'!AV14-'Grid_Requirement'!AV14</f>
        <v/>
      </c>
      <c r="AW14">
        <f>AV14+'Grid_Incoming'!AW14-'Grid_Requirement'!AW14</f>
        <v/>
      </c>
      <c r="AX14">
        <f>AW14+'Grid_Incoming'!AX14-'Grid_Requirement'!AX14</f>
        <v/>
      </c>
      <c r="AY14">
        <f>AX14+'Grid_Incoming'!AY14-'Grid_Requirement'!AY14</f>
        <v/>
      </c>
      <c r="AZ14">
        <f>AY14+'Grid_Incoming'!AZ14-'Grid_Requirement'!AZ14</f>
        <v/>
      </c>
      <c r="BA14">
        <f>AZ14+'Grid_Incoming'!BA14-'Grid_Requirement'!BA14</f>
        <v/>
      </c>
      <c r="BB14">
        <f>BA14+'Grid_Incoming'!BB14-'Grid_Requirement'!BB14</f>
        <v/>
      </c>
      <c r="BC14">
        <f>BB14+'Grid_Incoming'!BC14-'Grid_Requirement'!BC14</f>
        <v/>
      </c>
      <c r="BD14">
        <f>BC14+'Grid_Incoming'!BD14-'Grid_Requirement'!BD14</f>
        <v/>
      </c>
      <c r="BE14">
        <f>BD14+'Grid_Incoming'!BE14-'Grid_Requirement'!BE14</f>
        <v/>
      </c>
      <c r="BF14">
        <f>BE14+'Grid_Incoming'!BF14-'Grid_Requirement'!BF14</f>
        <v/>
      </c>
      <c r="BG14">
        <f>BF14+'Grid_Incoming'!BG14-'Grid_Requirement'!BG14</f>
        <v/>
      </c>
      <c r="BH14">
        <f>BG14+'Grid_Incoming'!BH14-'Grid_Requirement'!BH14</f>
        <v/>
      </c>
      <c r="BI14">
        <f>BH14+'Grid_Incoming'!BI14-'Grid_Requirement'!BI14</f>
        <v/>
      </c>
      <c r="BJ14">
        <f>BI14+'Grid_Incoming'!BJ14-'Grid_Requirement'!BJ14</f>
        <v/>
      </c>
      <c r="BK14">
        <f>BJ14+'Grid_Incoming'!BK14-'Grid_Requirement'!BK14</f>
        <v/>
      </c>
      <c r="BL14">
        <f>BK14+'Grid_Incoming'!BL14-'Grid_Requirement'!BL14</f>
        <v/>
      </c>
      <c r="BM14">
        <f>BL14+'Grid_Incoming'!BM14-'Grid_Requirement'!BM14</f>
        <v/>
      </c>
      <c r="BN14">
        <f>BM14+'Grid_Incoming'!BN14-'Grid_Requirement'!BN14</f>
        <v/>
      </c>
      <c r="BO14">
        <f>BN14+'Grid_Incoming'!BO14-'Grid_Requirement'!BO14</f>
        <v/>
      </c>
      <c r="BP14">
        <f>BO14+'Grid_Incoming'!BP14-'Grid_Requirement'!BP14</f>
        <v/>
      </c>
      <c r="BQ14">
        <f>BP14+'Grid_Incoming'!BQ14-'Grid_Requirement'!BQ14</f>
        <v/>
      </c>
      <c r="BR14">
        <f>BQ14+'Grid_Incoming'!BR14-'Grid_Requirement'!BR14</f>
        <v/>
      </c>
      <c r="BS14">
        <f>BR14+'Grid_Incoming'!BS14-'Grid_Requirement'!BS14</f>
        <v/>
      </c>
      <c r="BT14">
        <f>BS14+'Grid_Incoming'!BT14-'Grid_Requirement'!BT14</f>
        <v/>
      </c>
      <c r="BU14">
        <f>BT14+'Grid_Incoming'!BU14-'Grid_Requirement'!BU14</f>
        <v/>
      </c>
      <c r="BV14">
        <f>BU14+'Grid_Incoming'!BV14-'Grid_Requirement'!BV14</f>
        <v/>
      </c>
      <c r="BW14">
        <f>BV14+'Grid_Incoming'!BW14-'Grid_Requirement'!BW14</f>
        <v/>
      </c>
      <c r="BX14">
        <f>BW14+'Grid_Incoming'!BX14-'Grid_Requirement'!BX14</f>
        <v/>
      </c>
      <c r="BY14">
        <f>BX14+'Grid_Incoming'!BY14-'Grid_Requirement'!BY14</f>
        <v/>
      </c>
      <c r="BZ14">
        <f>BY14+'Grid_Incoming'!BZ14-'Grid_Requirement'!BZ14</f>
        <v/>
      </c>
      <c r="CA14">
        <f>BZ14+'Grid_Incoming'!CA14-'Grid_Requirement'!CA14</f>
        <v/>
      </c>
      <c r="CB14">
        <f>CA14+'Grid_Incoming'!CB14-'Grid_Requirement'!CB14</f>
        <v/>
      </c>
      <c r="CC14">
        <f>CB14+'Grid_Incoming'!CC14-'Grid_Requirement'!CC14</f>
        <v/>
      </c>
      <c r="CD14">
        <f>CC14+'Grid_Incoming'!CD14-'Grid_Requirement'!CD14</f>
        <v/>
      </c>
      <c r="CE14">
        <f>CD14+'Grid_Incoming'!CE14-'Grid_Requirement'!CE14</f>
        <v/>
      </c>
      <c r="CF14">
        <f>CE14+'Grid_Incoming'!CF14-'Grid_Requirement'!CF14</f>
        <v/>
      </c>
      <c r="CG14">
        <f>CF14+'Grid_Incoming'!CG14-'Grid_Requirement'!CG14</f>
        <v/>
      </c>
      <c r="CH14">
        <f>CG14+'Grid_Incoming'!CH14-'Grid_Requirement'!CH14</f>
        <v/>
      </c>
      <c r="CI14">
        <f>CH14+'Grid_Incoming'!CI14-'Grid_Requirement'!CI14</f>
        <v/>
      </c>
      <c r="CJ14">
        <f>CI14+'Grid_Incoming'!CJ14-'Grid_Requirement'!CJ14</f>
        <v/>
      </c>
      <c r="CK14">
        <f>CJ14+'Grid_Incoming'!CK14-'Grid_Requirement'!CK14</f>
        <v/>
      </c>
      <c r="CL14">
        <f>CK14+'Grid_Incoming'!CL14-'Grid_Requirement'!CL14</f>
        <v/>
      </c>
      <c r="CM14">
        <f>CL14+'Grid_Incoming'!CM14-'Grid_Requirement'!CM14</f>
        <v/>
      </c>
      <c r="CN14">
        <f>CM14+'Grid_Incoming'!CN14-'Grid_Requirement'!CN14</f>
        <v/>
      </c>
      <c r="CO14">
        <f>CN14+'Grid_Incoming'!CO14-'Grid_Requirement'!CO14</f>
        <v/>
      </c>
      <c r="CP14">
        <f>CO14+'Grid_Incoming'!CP14-'Grid_Requirement'!CP14</f>
        <v/>
      </c>
      <c r="CQ14">
        <f>CP14+'Grid_Incoming'!CQ14-'Grid_Requirement'!CQ14</f>
        <v/>
      </c>
      <c r="CR14">
        <f>CQ14+'Grid_Incoming'!CR14-'Grid_Requirement'!CR14</f>
        <v/>
      </c>
      <c r="CS14">
        <f>CR14+'Grid_Incoming'!CS14-'Grid_Requirement'!CS14</f>
        <v/>
      </c>
      <c r="CT14">
        <f>CS14+'Grid_Incoming'!CT14-'Grid_Requirement'!CT14</f>
        <v/>
      </c>
      <c r="CU14">
        <f>CT14+'Grid_Incoming'!CU14-'Grid_Requirement'!CU14</f>
        <v/>
      </c>
      <c r="CV14">
        <f>CU14+'Grid_Incoming'!CV14-'Grid_Requirement'!CV14</f>
        <v/>
      </c>
      <c r="CW14">
        <f>CV14+'Grid_Incoming'!CW14-'Grid_Requirement'!CW14</f>
        <v/>
      </c>
      <c r="CX14">
        <f>CW14+'Grid_Incoming'!CX14-'Grid_Requirement'!CX14</f>
        <v/>
      </c>
      <c r="CY14">
        <f>CX14+'Grid_Incoming'!CY14-'Grid_Requirement'!CY14</f>
        <v/>
      </c>
      <c r="CZ14">
        <f>CY14+'Grid_Incoming'!CZ14-'Grid_Requirement'!CZ14</f>
        <v/>
      </c>
      <c r="DA14">
        <f>CZ14+'Grid_Incoming'!DA14-'Grid_Requirement'!DA14</f>
        <v/>
      </c>
    </row>
    <row r="15">
      <c r="A15" t="inlineStr">
        <is>
          <t>5SN</t>
        </is>
      </c>
      <c r="B15">
        <f>IFERROR(INDEX(T_OpeningStock[Opening_Qty],MATCH($A15,T_OpeningStock[Part Name],0)),0)+'Grid_Incoming'!B15-'Grid_Requirement'!B15</f>
        <v/>
      </c>
      <c r="C15">
        <f>B15+'Grid_Incoming'!C15-'Grid_Requirement'!C15</f>
        <v/>
      </c>
      <c r="D15">
        <f>C15+'Grid_Incoming'!D15-'Grid_Requirement'!D15</f>
        <v/>
      </c>
      <c r="E15">
        <f>D15+'Grid_Incoming'!E15-'Grid_Requirement'!E15</f>
        <v/>
      </c>
      <c r="F15">
        <f>E15+'Grid_Incoming'!F15-'Grid_Requirement'!F15</f>
        <v/>
      </c>
      <c r="G15">
        <f>F15+'Grid_Incoming'!G15-'Grid_Requirement'!G15</f>
        <v/>
      </c>
      <c r="H15">
        <f>G15+'Grid_Incoming'!H15-'Grid_Requirement'!H15</f>
        <v/>
      </c>
      <c r="I15">
        <f>H15+'Grid_Incoming'!I15-'Grid_Requirement'!I15</f>
        <v/>
      </c>
      <c r="J15">
        <f>I15+'Grid_Incoming'!J15-'Grid_Requirement'!J15</f>
        <v/>
      </c>
      <c r="K15">
        <f>J15+'Grid_Incoming'!K15-'Grid_Requirement'!K15</f>
        <v/>
      </c>
      <c r="L15">
        <f>K15+'Grid_Incoming'!L15-'Grid_Requirement'!L15</f>
        <v/>
      </c>
      <c r="M15">
        <f>L15+'Grid_Incoming'!M15-'Grid_Requirement'!M15</f>
        <v/>
      </c>
      <c r="N15">
        <f>M15+'Grid_Incoming'!N15-'Grid_Requirement'!N15</f>
        <v/>
      </c>
      <c r="O15">
        <f>N15+'Grid_Incoming'!O15-'Grid_Requirement'!O15</f>
        <v/>
      </c>
      <c r="P15">
        <f>O15+'Grid_Incoming'!P15-'Grid_Requirement'!P15</f>
        <v/>
      </c>
      <c r="Q15">
        <f>P15+'Grid_Incoming'!Q15-'Grid_Requirement'!Q15</f>
        <v/>
      </c>
      <c r="R15">
        <f>Q15+'Grid_Incoming'!R15-'Grid_Requirement'!R15</f>
        <v/>
      </c>
      <c r="S15">
        <f>R15+'Grid_Incoming'!S15-'Grid_Requirement'!S15</f>
        <v/>
      </c>
      <c r="T15">
        <f>S15+'Grid_Incoming'!T15-'Grid_Requirement'!T15</f>
        <v/>
      </c>
      <c r="U15">
        <f>T15+'Grid_Incoming'!U15-'Grid_Requirement'!U15</f>
        <v/>
      </c>
      <c r="V15">
        <f>U15+'Grid_Incoming'!V15-'Grid_Requirement'!V15</f>
        <v/>
      </c>
      <c r="W15">
        <f>V15+'Grid_Incoming'!W15-'Grid_Requirement'!W15</f>
        <v/>
      </c>
      <c r="X15">
        <f>W15+'Grid_Incoming'!X15-'Grid_Requirement'!X15</f>
        <v/>
      </c>
      <c r="Y15">
        <f>X15+'Grid_Incoming'!Y15-'Grid_Requirement'!Y15</f>
        <v/>
      </c>
      <c r="Z15">
        <f>Y15+'Grid_Incoming'!Z15-'Grid_Requirement'!Z15</f>
        <v/>
      </c>
      <c r="AA15">
        <f>Z15+'Grid_Incoming'!AA15-'Grid_Requirement'!AA15</f>
        <v/>
      </c>
      <c r="AB15">
        <f>AA15+'Grid_Incoming'!AB15-'Grid_Requirement'!AB15</f>
        <v/>
      </c>
      <c r="AC15">
        <f>AB15+'Grid_Incoming'!AC15-'Grid_Requirement'!AC15</f>
        <v/>
      </c>
      <c r="AD15">
        <f>AC15+'Grid_Incoming'!AD15-'Grid_Requirement'!AD15</f>
        <v/>
      </c>
      <c r="AE15">
        <f>AD15+'Grid_Incoming'!AE15-'Grid_Requirement'!AE15</f>
        <v/>
      </c>
      <c r="AF15">
        <f>AE15+'Grid_Incoming'!AF15-'Grid_Requirement'!AF15</f>
        <v/>
      </c>
      <c r="AG15">
        <f>AF15+'Grid_Incoming'!AG15-'Grid_Requirement'!AG15</f>
        <v/>
      </c>
      <c r="AH15">
        <f>AG15+'Grid_Incoming'!AH15-'Grid_Requirement'!AH15</f>
        <v/>
      </c>
      <c r="AI15">
        <f>AH15+'Grid_Incoming'!AI15-'Grid_Requirement'!AI15</f>
        <v/>
      </c>
      <c r="AJ15">
        <f>AI15+'Grid_Incoming'!AJ15-'Grid_Requirement'!AJ15</f>
        <v/>
      </c>
      <c r="AK15">
        <f>AJ15+'Grid_Incoming'!AK15-'Grid_Requirement'!AK15</f>
        <v/>
      </c>
      <c r="AL15">
        <f>AK15+'Grid_Incoming'!AL15-'Grid_Requirement'!AL15</f>
        <v/>
      </c>
      <c r="AM15">
        <f>AL15+'Grid_Incoming'!AM15-'Grid_Requirement'!AM15</f>
        <v/>
      </c>
      <c r="AN15">
        <f>AM15+'Grid_Incoming'!AN15-'Grid_Requirement'!AN15</f>
        <v/>
      </c>
      <c r="AO15">
        <f>AN15+'Grid_Incoming'!AO15-'Grid_Requirement'!AO15</f>
        <v/>
      </c>
      <c r="AP15">
        <f>AO15+'Grid_Incoming'!AP15-'Grid_Requirement'!AP15</f>
        <v/>
      </c>
      <c r="AQ15">
        <f>AP15+'Grid_Incoming'!AQ15-'Grid_Requirement'!AQ15</f>
        <v/>
      </c>
      <c r="AR15">
        <f>AQ15+'Grid_Incoming'!AR15-'Grid_Requirement'!AR15</f>
        <v/>
      </c>
      <c r="AS15">
        <f>AR15+'Grid_Incoming'!AS15-'Grid_Requirement'!AS15</f>
        <v/>
      </c>
      <c r="AT15">
        <f>AS15+'Grid_Incoming'!AT15-'Grid_Requirement'!AT15</f>
        <v/>
      </c>
      <c r="AU15">
        <f>AT15+'Grid_Incoming'!AU15-'Grid_Requirement'!AU15</f>
        <v/>
      </c>
      <c r="AV15">
        <f>AU15+'Grid_Incoming'!AV15-'Grid_Requirement'!AV15</f>
        <v/>
      </c>
      <c r="AW15">
        <f>AV15+'Grid_Incoming'!AW15-'Grid_Requirement'!AW15</f>
        <v/>
      </c>
      <c r="AX15">
        <f>AW15+'Grid_Incoming'!AX15-'Grid_Requirement'!AX15</f>
        <v/>
      </c>
      <c r="AY15">
        <f>AX15+'Grid_Incoming'!AY15-'Grid_Requirement'!AY15</f>
        <v/>
      </c>
      <c r="AZ15">
        <f>AY15+'Grid_Incoming'!AZ15-'Grid_Requirement'!AZ15</f>
        <v/>
      </c>
      <c r="BA15">
        <f>AZ15+'Grid_Incoming'!BA15-'Grid_Requirement'!BA15</f>
        <v/>
      </c>
      <c r="BB15">
        <f>BA15+'Grid_Incoming'!BB15-'Grid_Requirement'!BB15</f>
        <v/>
      </c>
      <c r="BC15">
        <f>BB15+'Grid_Incoming'!BC15-'Grid_Requirement'!BC15</f>
        <v/>
      </c>
      <c r="BD15">
        <f>BC15+'Grid_Incoming'!BD15-'Grid_Requirement'!BD15</f>
        <v/>
      </c>
      <c r="BE15">
        <f>BD15+'Grid_Incoming'!BE15-'Grid_Requirement'!BE15</f>
        <v/>
      </c>
      <c r="BF15">
        <f>BE15+'Grid_Incoming'!BF15-'Grid_Requirement'!BF15</f>
        <v/>
      </c>
      <c r="BG15">
        <f>BF15+'Grid_Incoming'!BG15-'Grid_Requirement'!BG15</f>
        <v/>
      </c>
      <c r="BH15">
        <f>BG15+'Grid_Incoming'!BH15-'Grid_Requirement'!BH15</f>
        <v/>
      </c>
      <c r="BI15">
        <f>BH15+'Grid_Incoming'!BI15-'Grid_Requirement'!BI15</f>
        <v/>
      </c>
      <c r="BJ15">
        <f>BI15+'Grid_Incoming'!BJ15-'Grid_Requirement'!BJ15</f>
        <v/>
      </c>
      <c r="BK15">
        <f>BJ15+'Grid_Incoming'!BK15-'Grid_Requirement'!BK15</f>
        <v/>
      </c>
      <c r="BL15">
        <f>BK15+'Grid_Incoming'!BL15-'Grid_Requirement'!BL15</f>
        <v/>
      </c>
      <c r="BM15">
        <f>BL15+'Grid_Incoming'!BM15-'Grid_Requirement'!BM15</f>
        <v/>
      </c>
      <c r="BN15">
        <f>BM15+'Grid_Incoming'!BN15-'Grid_Requirement'!BN15</f>
        <v/>
      </c>
      <c r="BO15">
        <f>BN15+'Grid_Incoming'!BO15-'Grid_Requirement'!BO15</f>
        <v/>
      </c>
      <c r="BP15">
        <f>BO15+'Grid_Incoming'!BP15-'Grid_Requirement'!BP15</f>
        <v/>
      </c>
      <c r="BQ15">
        <f>BP15+'Grid_Incoming'!BQ15-'Grid_Requirement'!BQ15</f>
        <v/>
      </c>
      <c r="BR15">
        <f>BQ15+'Grid_Incoming'!BR15-'Grid_Requirement'!BR15</f>
        <v/>
      </c>
      <c r="BS15">
        <f>BR15+'Grid_Incoming'!BS15-'Grid_Requirement'!BS15</f>
        <v/>
      </c>
      <c r="BT15">
        <f>BS15+'Grid_Incoming'!BT15-'Grid_Requirement'!BT15</f>
        <v/>
      </c>
      <c r="BU15">
        <f>BT15+'Grid_Incoming'!BU15-'Grid_Requirement'!BU15</f>
        <v/>
      </c>
      <c r="BV15">
        <f>BU15+'Grid_Incoming'!BV15-'Grid_Requirement'!BV15</f>
        <v/>
      </c>
      <c r="BW15">
        <f>BV15+'Grid_Incoming'!BW15-'Grid_Requirement'!BW15</f>
        <v/>
      </c>
      <c r="BX15">
        <f>BW15+'Grid_Incoming'!BX15-'Grid_Requirement'!BX15</f>
        <v/>
      </c>
      <c r="BY15">
        <f>BX15+'Grid_Incoming'!BY15-'Grid_Requirement'!BY15</f>
        <v/>
      </c>
      <c r="BZ15">
        <f>BY15+'Grid_Incoming'!BZ15-'Grid_Requirement'!BZ15</f>
        <v/>
      </c>
      <c r="CA15">
        <f>BZ15+'Grid_Incoming'!CA15-'Grid_Requirement'!CA15</f>
        <v/>
      </c>
      <c r="CB15">
        <f>CA15+'Grid_Incoming'!CB15-'Grid_Requirement'!CB15</f>
        <v/>
      </c>
      <c r="CC15">
        <f>CB15+'Grid_Incoming'!CC15-'Grid_Requirement'!CC15</f>
        <v/>
      </c>
      <c r="CD15">
        <f>CC15+'Grid_Incoming'!CD15-'Grid_Requirement'!CD15</f>
        <v/>
      </c>
      <c r="CE15">
        <f>CD15+'Grid_Incoming'!CE15-'Grid_Requirement'!CE15</f>
        <v/>
      </c>
      <c r="CF15">
        <f>CE15+'Grid_Incoming'!CF15-'Grid_Requirement'!CF15</f>
        <v/>
      </c>
      <c r="CG15">
        <f>CF15+'Grid_Incoming'!CG15-'Grid_Requirement'!CG15</f>
        <v/>
      </c>
      <c r="CH15">
        <f>CG15+'Grid_Incoming'!CH15-'Grid_Requirement'!CH15</f>
        <v/>
      </c>
      <c r="CI15">
        <f>CH15+'Grid_Incoming'!CI15-'Grid_Requirement'!CI15</f>
        <v/>
      </c>
      <c r="CJ15">
        <f>CI15+'Grid_Incoming'!CJ15-'Grid_Requirement'!CJ15</f>
        <v/>
      </c>
      <c r="CK15">
        <f>CJ15+'Grid_Incoming'!CK15-'Grid_Requirement'!CK15</f>
        <v/>
      </c>
      <c r="CL15">
        <f>CK15+'Grid_Incoming'!CL15-'Grid_Requirement'!CL15</f>
        <v/>
      </c>
      <c r="CM15">
        <f>CL15+'Grid_Incoming'!CM15-'Grid_Requirement'!CM15</f>
        <v/>
      </c>
      <c r="CN15">
        <f>CM15+'Grid_Incoming'!CN15-'Grid_Requirement'!CN15</f>
        <v/>
      </c>
      <c r="CO15">
        <f>CN15+'Grid_Incoming'!CO15-'Grid_Requirement'!CO15</f>
        <v/>
      </c>
      <c r="CP15">
        <f>CO15+'Grid_Incoming'!CP15-'Grid_Requirement'!CP15</f>
        <v/>
      </c>
      <c r="CQ15">
        <f>CP15+'Grid_Incoming'!CQ15-'Grid_Requirement'!CQ15</f>
        <v/>
      </c>
      <c r="CR15">
        <f>CQ15+'Grid_Incoming'!CR15-'Grid_Requirement'!CR15</f>
        <v/>
      </c>
      <c r="CS15">
        <f>CR15+'Grid_Incoming'!CS15-'Grid_Requirement'!CS15</f>
        <v/>
      </c>
      <c r="CT15">
        <f>CS15+'Grid_Incoming'!CT15-'Grid_Requirement'!CT15</f>
        <v/>
      </c>
      <c r="CU15">
        <f>CT15+'Grid_Incoming'!CU15-'Grid_Requirement'!CU15</f>
        <v/>
      </c>
      <c r="CV15">
        <f>CU15+'Grid_Incoming'!CV15-'Grid_Requirement'!CV15</f>
        <v/>
      </c>
      <c r="CW15">
        <f>CV15+'Grid_Incoming'!CW15-'Grid_Requirement'!CW15</f>
        <v/>
      </c>
      <c r="CX15">
        <f>CW15+'Grid_Incoming'!CX15-'Grid_Requirement'!CX15</f>
        <v/>
      </c>
      <c r="CY15">
        <f>CX15+'Grid_Incoming'!CY15-'Grid_Requirement'!CY15</f>
        <v/>
      </c>
      <c r="CZ15">
        <f>CY15+'Grid_Incoming'!CZ15-'Grid_Requirement'!CZ15</f>
        <v/>
      </c>
      <c r="DA15">
        <f>CZ15+'Grid_Incoming'!DA15-'Grid_Requirement'!DA15</f>
        <v/>
      </c>
    </row>
    <row r="16">
      <c r="A16" t="inlineStr">
        <is>
          <t>8EN</t>
        </is>
      </c>
      <c r="B16">
        <f>IFERROR(INDEX(T_OpeningStock[Opening_Qty],MATCH($A16,T_OpeningStock[Part Name],0)),0)+'Grid_Incoming'!B16-'Grid_Requirement'!B16</f>
        <v/>
      </c>
      <c r="C16">
        <f>B16+'Grid_Incoming'!C16-'Grid_Requirement'!C16</f>
        <v/>
      </c>
      <c r="D16">
        <f>C16+'Grid_Incoming'!D16-'Grid_Requirement'!D16</f>
        <v/>
      </c>
      <c r="E16">
        <f>D16+'Grid_Incoming'!E16-'Grid_Requirement'!E16</f>
        <v/>
      </c>
      <c r="F16">
        <f>E16+'Grid_Incoming'!F16-'Grid_Requirement'!F16</f>
        <v/>
      </c>
      <c r="G16">
        <f>F16+'Grid_Incoming'!G16-'Grid_Requirement'!G16</f>
        <v/>
      </c>
      <c r="H16">
        <f>G16+'Grid_Incoming'!H16-'Grid_Requirement'!H16</f>
        <v/>
      </c>
      <c r="I16">
        <f>H16+'Grid_Incoming'!I16-'Grid_Requirement'!I16</f>
        <v/>
      </c>
      <c r="J16">
        <f>I16+'Grid_Incoming'!J16-'Grid_Requirement'!J16</f>
        <v/>
      </c>
      <c r="K16">
        <f>J16+'Grid_Incoming'!K16-'Grid_Requirement'!K16</f>
        <v/>
      </c>
      <c r="L16">
        <f>K16+'Grid_Incoming'!L16-'Grid_Requirement'!L16</f>
        <v/>
      </c>
      <c r="M16">
        <f>L16+'Grid_Incoming'!M16-'Grid_Requirement'!M16</f>
        <v/>
      </c>
      <c r="N16">
        <f>M16+'Grid_Incoming'!N16-'Grid_Requirement'!N16</f>
        <v/>
      </c>
      <c r="O16">
        <f>N16+'Grid_Incoming'!O16-'Grid_Requirement'!O16</f>
        <v/>
      </c>
      <c r="P16">
        <f>O16+'Grid_Incoming'!P16-'Grid_Requirement'!P16</f>
        <v/>
      </c>
      <c r="Q16">
        <f>P16+'Grid_Incoming'!Q16-'Grid_Requirement'!Q16</f>
        <v/>
      </c>
      <c r="R16">
        <f>Q16+'Grid_Incoming'!R16-'Grid_Requirement'!R16</f>
        <v/>
      </c>
      <c r="S16">
        <f>R16+'Grid_Incoming'!S16-'Grid_Requirement'!S16</f>
        <v/>
      </c>
      <c r="T16">
        <f>S16+'Grid_Incoming'!T16-'Grid_Requirement'!T16</f>
        <v/>
      </c>
      <c r="U16">
        <f>T16+'Grid_Incoming'!U16-'Grid_Requirement'!U16</f>
        <v/>
      </c>
      <c r="V16">
        <f>U16+'Grid_Incoming'!V16-'Grid_Requirement'!V16</f>
        <v/>
      </c>
      <c r="W16">
        <f>V16+'Grid_Incoming'!W16-'Grid_Requirement'!W16</f>
        <v/>
      </c>
      <c r="X16">
        <f>W16+'Grid_Incoming'!X16-'Grid_Requirement'!X16</f>
        <v/>
      </c>
      <c r="Y16">
        <f>X16+'Grid_Incoming'!Y16-'Grid_Requirement'!Y16</f>
        <v/>
      </c>
      <c r="Z16">
        <f>Y16+'Grid_Incoming'!Z16-'Grid_Requirement'!Z16</f>
        <v/>
      </c>
      <c r="AA16">
        <f>Z16+'Grid_Incoming'!AA16-'Grid_Requirement'!AA16</f>
        <v/>
      </c>
      <c r="AB16">
        <f>AA16+'Grid_Incoming'!AB16-'Grid_Requirement'!AB16</f>
        <v/>
      </c>
      <c r="AC16">
        <f>AB16+'Grid_Incoming'!AC16-'Grid_Requirement'!AC16</f>
        <v/>
      </c>
      <c r="AD16">
        <f>AC16+'Grid_Incoming'!AD16-'Grid_Requirement'!AD16</f>
        <v/>
      </c>
      <c r="AE16">
        <f>AD16+'Grid_Incoming'!AE16-'Grid_Requirement'!AE16</f>
        <v/>
      </c>
      <c r="AF16">
        <f>AE16+'Grid_Incoming'!AF16-'Grid_Requirement'!AF16</f>
        <v/>
      </c>
      <c r="AG16">
        <f>AF16+'Grid_Incoming'!AG16-'Grid_Requirement'!AG16</f>
        <v/>
      </c>
      <c r="AH16">
        <f>AG16+'Grid_Incoming'!AH16-'Grid_Requirement'!AH16</f>
        <v/>
      </c>
      <c r="AI16">
        <f>AH16+'Grid_Incoming'!AI16-'Grid_Requirement'!AI16</f>
        <v/>
      </c>
      <c r="AJ16">
        <f>AI16+'Grid_Incoming'!AJ16-'Grid_Requirement'!AJ16</f>
        <v/>
      </c>
      <c r="AK16">
        <f>AJ16+'Grid_Incoming'!AK16-'Grid_Requirement'!AK16</f>
        <v/>
      </c>
      <c r="AL16">
        <f>AK16+'Grid_Incoming'!AL16-'Grid_Requirement'!AL16</f>
        <v/>
      </c>
      <c r="AM16">
        <f>AL16+'Grid_Incoming'!AM16-'Grid_Requirement'!AM16</f>
        <v/>
      </c>
      <c r="AN16">
        <f>AM16+'Grid_Incoming'!AN16-'Grid_Requirement'!AN16</f>
        <v/>
      </c>
      <c r="AO16">
        <f>AN16+'Grid_Incoming'!AO16-'Grid_Requirement'!AO16</f>
        <v/>
      </c>
      <c r="AP16">
        <f>AO16+'Grid_Incoming'!AP16-'Grid_Requirement'!AP16</f>
        <v/>
      </c>
      <c r="AQ16">
        <f>AP16+'Grid_Incoming'!AQ16-'Grid_Requirement'!AQ16</f>
        <v/>
      </c>
      <c r="AR16">
        <f>AQ16+'Grid_Incoming'!AR16-'Grid_Requirement'!AR16</f>
        <v/>
      </c>
      <c r="AS16">
        <f>AR16+'Grid_Incoming'!AS16-'Grid_Requirement'!AS16</f>
        <v/>
      </c>
      <c r="AT16">
        <f>AS16+'Grid_Incoming'!AT16-'Grid_Requirement'!AT16</f>
        <v/>
      </c>
      <c r="AU16">
        <f>AT16+'Grid_Incoming'!AU16-'Grid_Requirement'!AU16</f>
        <v/>
      </c>
      <c r="AV16">
        <f>AU16+'Grid_Incoming'!AV16-'Grid_Requirement'!AV16</f>
        <v/>
      </c>
      <c r="AW16">
        <f>AV16+'Grid_Incoming'!AW16-'Grid_Requirement'!AW16</f>
        <v/>
      </c>
      <c r="AX16">
        <f>AW16+'Grid_Incoming'!AX16-'Grid_Requirement'!AX16</f>
        <v/>
      </c>
      <c r="AY16">
        <f>AX16+'Grid_Incoming'!AY16-'Grid_Requirement'!AY16</f>
        <v/>
      </c>
      <c r="AZ16">
        <f>AY16+'Grid_Incoming'!AZ16-'Grid_Requirement'!AZ16</f>
        <v/>
      </c>
      <c r="BA16">
        <f>AZ16+'Grid_Incoming'!BA16-'Grid_Requirement'!BA16</f>
        <v/>
      </c>
      <c r="BB16">
        <f>BA16+'Grid_Incoming'!BB16-'Grid_Requirement'!BB16</f>
        <v/>
      </c>
      <c r="BC16">
        <f>BB16+'Grid_Incoming'!BC16-'Grid_Requirement'!BC16</f>
        <v/>
      </c>
      <c r="BD16">
        <f>BC16+'Grid_Incoming'!BD16-'Grid_Requirement'!BD16</f>
        <v/>
      </c>
      <c r="BE16">
        <f>BD16+'Grid_Incoming'!BE16-'Grid_Requirement'!BE16</f>
        <v/>
      </c>
      <c r="BF16">
        <f>BE16+'Grid_Incoming'!BF16-'Grid_Requirement'!BF16</f>
        <v/>
      </c>
      <c r="BG16">
        <f>BF16+'Grid_Incoming'!BG16-'Grid_Requirement'!BG16</f>
        <v/>
      </c>
      <c r="BH16">
        <f>BG16+'Grid_Incoming'!BH16-'Grid_Requirement'!BH16</f>
        <v/>
      </c>
      <c r="BI16">
        <f>BH16+'Grid_Incoming'!BI16-'Grid_Requirement'!BI16</f>
        <v/>
      </c>
      <c r="BJ16">
        <f>BI16+'Grid_Incoming'!BJ16-'Grid_Requirement'!BJ16</f>
        <v/>
      </c>
      <c r="BK16">
        <f>BJ16+'Grid_Incoming'!BK16-'Grid_Requirement'!BK16</f>
        <v/>
      </c>
      <c r="BL16">
        <f>BK16+'Grid_Incoming'!BL16-'Grid_Requirement'!BL16</f>
        <v/>
      </c>
      <c r="BM16">
        <f>BL16+'Grid_Incoming'!BM16-'Grid_Requirement'!BM16</f>
        <v/>
      </c>
      <c r="BN16">
        <f>BM16+'Grid_Incoming'!BN16-'Grid_Requirement'!BN16</f>
        <v/>
      </c>
      <c r="BO16">
        <f>BN16+'Grid_Incoming'!BO16-'Grid_Requirement'!BO16</f>
        <v/>
      </c>
      <c r="BP16">
        <f>BO16+'Grid_Incoming'!BP16-'Grid_Requirement'!BP16</f>
        <v/>
      </c>
      <c r="BQ16">
        <f>BP16+'Grid_Incoming'!BQ16-'Grid_Requirement'!BQ16</f>
        <v/>
      </c>
      <c r="BR16">
        <f>BQ16+'Grid_Incoming'!BR16-'Grid_Requirement'!BR16</f>
        <v/>
      </c>
      <c r="BS16">
        <f>BR16+'Grid_Incoming'!BS16-'Grid_Requirement'!BS16</f>
        <v/>
      </c>
      <c r="BT16">
        <f>BS16+'Grid_Incoming'!BT16-'Grid_Requirement'!BT16</f>
        <v/>
      </c>
      <c r="BU16">
        <f>BT16+'Grid_Incoming'!BU16-'Grid_Requirement'!BU16</f>
        <v/>
      </c>
      <c r="BV16">
        <f>BU16+'Grid_Incoming'!BV16-'Grid_Requirement'!BV16</f>
        <v/>
      </c>
      <c r="BW16">
        <f>BV16+'Grid_Incoming'!BW16-'Grid_Requirement'!BW16</f>
        <v/>
      </c>
      <c r="BX16">
        <f>BW16+'Grid_Incoming'!BX16-'Grid_Requirement'!BX16</f>
        <v/>
      </c>
      <c r="BY16">
        <f>BX16+'Grid_Incoming'!BY16-'Grid_Requirement'!BY16</f>
        <v/>
      </c>
      <c r="BZ16">
        <f>BY16+'Grid_Incoming'!BZ16-'Grid_Requirement'!BZ16</f>
        <v/>
      </c>
      <c r="CA16">
        <f>BZ16+'Grid_Incoming'!CA16-'Grid_Requirement'!CA16</f>
        <v/>
      </c>
      <c r="CB16">
        <f>CA16+'Grid_Incoming'!CB16-'Grid_Requirement'!CB16</f>
        <v/>
      </c>
      <c r="CC16">
        <f>CB16+'Grid_Incoming'!CC16-'Grid_Requirement'!CC16</f>
        <v/>
      </c>
      <c r="CD16">
        <f>CC16+'Grid_Incoming'!CD16-'Grid_Requirement'!CD16</f>
        <v/>
      </c>
      <c r="CE16">
        <f>CD16+'Grid_Incoming'!CE16-'Grid_Requirement'!CE16</f>
        <v/>
      </c>
      <c r="CF16">
        <f>CE16+'Grid_Incoming'!CF16-'Grid_Requirement'!CF16</f>
        <v/>
      </c>
      <c r="CG16">
        <f>CF16+'Grid_Incoming'!CG16-'Grid_Requirement'!CG16</f>
        <v/>
      </c>
      <c r="CH16">
        <f>CG16+'Grid_Incoming'!CH16-'Grid_Requirement'!CH16</f>
        <v/>
      </c>
      <c r="CI16">
        <f>CH16+'Grid_Incoming'!CI16-'Grid_Requirement'!CI16</f>
        <v/>
      </c>
      <c r="CJ16">
        <f>CI16+'Grid_Incoming'!CJ16-'Grid_Requirement'!CJ16</f>
        <v/>
      </c>
      <c r="CK16">
        <f>CJ16+'Grid_Incoming'!CK16-'Grid_Requirement'!CK16</f>
        <v/>
      </c>
      <c r="CL16">
        <f>CK16+'Grid_Incoming'!CL16-'Grid_Requirement'!CL16</f>
        <v/>
      </c>
      <c r="CM16">
        <f>CL16+'Grid_Incoming'!CM16-'Grid_Requirement'!CM16</f>
        <v/>
      </c>
      <c r="CN16">
        <f>CM16+'Grid_Incoming'!CN16-'Grid_Requirement'!CN16</f>
        <v/>
      </c>
      <c r="CO16">
        <f>CN16+'Grid_Incoming'!CO16-'Grid_Requirement'!CO16</f>
        <v/>
      </c>
      <c r="CP16">
        <f>CO16+'Grid_Incoming'!CP16-'Grid_Requirement'!CP16</f>
        <v/>
      </c>
      <c r="CQ16">
        <f>CP16+'Grid_Incoming'!CQ16-'Grid_Requirement'!CQ16</f>
        <v/>
      </c>
      <c r="CR16">
        <f>CQ16+'Grid_Incoming'!CR16-'Grid_Requirement'!CR16</f>
        <v/>
      </c>
      <c r="CS16">
        <f>CR16+'Grid_Incoming'!CS16-'Grid_Requirement'!CS16</f>
        <v/>
      </c>
      <c r="CT16">
        <f>CS16+'Grid_Incoming'!CT16-'Grid_Requirement'!CT16</f>
        <v/>
      </c>
      <c r="CU16">
        <f>CT16+'Grid_Incoming'!CU16-'Grid_Requirement'!CU16</f>
        <v/>
      </c>
      <c r="CV16">
        <f>CU16+'Grid_Incoming'!CV16-'Grid_Requirement'!CV16</f>
        <v/>
      </c>
      <c r="CW16">
        <f>CV16+'Grid_Incoming'!CW16-'Grid_Requirement'!CW16</f>
        <v/>
      </c>
      <c r="CX16">
        <f>CW16+'Grid_Incoming'!CX16-'Grid_Requirement'!CX16</f>
        <v/>
      </c>
      <c r="CY16">
        <f>CX16+'Grid_Incoming'!CY16-'Grid_Requirement'!CY16</f>
        <v/>
      </c>
      <c r="CZ16">
        <f>CY16+'Grid_Incoming'!CZ16-'Grid_Requirement'!CZ16</f>
        <v/>
      </c>
      <c r="DA16">
        <f>CZ16+'Grid_Incoming'!DA16-'Grid_Requirement'!DA16</f>
        <v/>
      </c>
    </row>
    <row r="17">
      <c r="A17" t="inlineStr">
        <is>
          <t>9RJ</t>
        </is>
      </c>
      <c r="B17">
        <f>IFERROR(INDEX(T_OpeningStock[Opening_Qty],MATCH($A17,T_OpeningStock[Part Name],0)),0)+'Grid_Incoming'!B17-'Grid_Requirement'!B17</f>
        <v/>
      </c>
      <c r="C17">
        <f>B17+'Grid_Incoming'!C17-'Grid_Requirement'!C17</f>
        <v/>
      </c>
      <c r="D17">
        <f>C17+'Grid_Incoming'!D17-'Grid_Requirement'!D17</f>
        <v/>
      </c>
      <c r="E17">
        <f>D17+'Grid_Incoming'!E17-'Grid_Requirement'!E17</f>
        <v/>
      </c>
      <c r="F17">
        <f>E17+'Grid_Incoming'!F17-'Grid_Requirement'!F17</f>
        <v/>
      </c>
      <c r="G17">
        <f>F17+'Grid_Incoming'!G17-'Grid_Requirement'!G17</f>
        <v/>
      </c>
      <c r="H17">
        <f>G17+'Grid_Incoming'!H17-'Grid_Requirement'!H17</f>
        <v/>
      </c>
      <c r="I17">
        <f>H17+'Grid_Incoming'!I17-'Grid_Requirement'!I17</f>
        <v/>
      </c>
      <c r="J17">
        <f>I17+'Grid_Incoming'!J17-'Grid_Requirement'!J17</f>
        <v/>
      </c>
      <c r="K17">
        <f>J17+'Grid_Incoming'!K17-'Grid_Requirement'!K17</f>
        <v/>
      </c>
      <c r="L17">
        <f>K17+'Grid_Incoming'!L17-'Grid_Requirement'!L17</f>
        <v/>
      </c>
      <c r="M17">
        <f>L17+'Grid_Incoming'!M17-'Grid_Requirement'!M17</f>
        <v/>
      </c>
      <c r="N17">
        <f>M17+'Grid_Incoming'!N17-'Grid_Requirement'!N17</f>
        <v/>
      </c>
      <c r="O17">
        <f>N17+'Grid_Incoming'!O17-'Grid_Requirement'!O17</f>
        <v/>
      </c>
      <c r="P17">
        <f>O17+'Grid_Incoming'!P17-'Grid_Requirement'!P17</f>
        <v/>
      </c>
      <c r="Q17">
        <f>P17+'Grid_Incoming'!Q17-'Grid_Requirement'!Q17</f>
        <v/>
      </c>
      <c r="R17">
        <f>Q17+'Grid_Incoming'!R17-'Grid_Requirement'!R17</f>
        <v/>
      </c>
      <c r="S17">
        <f>R17+'Grid_Incoming'!S17-'Grid_Requirement'!S17</f>
        <v/>
      </c>
      <c r="T17">
        <f>S17+'Grid_Incoming'!T17-'Grid_Requirement'!T17</f>
        <v/>
      </c>
      <c r="U17">
        <f>T17+'Grid_Incoming'!U17-'Grid_Requirement'!U17</f>
        <v/>
      </c>
      <c r="V17">
        <f>U17+'Grid_Incoming'!V17-'Grid_Requirement'!V17</f>
        <v/>
      </c>
      <c r="W17">
        <f>V17+'Grid_Incoming'!W17-'Grid_Requirement'!W17</f>
        <v/>
      </c>
      <c r="X17">
        <f>W17+'Grid_Incoming'!X17-'Grid_Requirement'!X17</f>
        <v/>
      </c>
      <c r="Y17">
        <f>X17+'Grid_Incoming'!Y17-'Grid_Requirement'!Y17</f>
        <v/>
      </c>
      <c r="Z17">
        <f>Y17+'Grid_Incoming'!Z17-'Grid_Requirement'!Z17</f>
        <v/>
      </c>
      <c r="AA17">
        <f>Z17+'Grid_Incoming'!AA17-'Grid_Requirement'!AA17</f>
        <v/>
      </c>
      <c r="AB17">
        <f>AA17+'Grid_Incoming'!AB17-'Grid_Requirement'!AB17</f>
        <v/>
      </c>
      <c r="AC17">
        <f>AB17+'Grid_Incoming'!AC17-'Grid_Requirement'!AC17</f>
        <v/>
      </c>
      <c r="AD17">
        <f>AC17+'Grid_Incoming'!AD17-'Grid_Requirement'!AD17</f>
        <v/>
      </c>
      <c r="AE17">
        <f>AD17+'Grid_Incoming'!AE17-'Grid_Requirement'!AE17</f>
        <v/>
      </c>
      <c r="AF17">
        <f>AE17+'Grid_Incoming'!AF17-'Grid_Requirement'!AF17</f>
        <v/>
      </c>
      <c r="AG17">
        <f>AF17+'Grid_Incoming'!AG17-'Grid_Requirement'!AG17</f>
        <v/>
      </c>
      <c r="AH17">
        <f>AG17+'Grid_Incoming'!AH17-'Grid_Requirement'!AH17</f>
        <v/>
      </c>
      <c r="AI17">
        <f>AH17+'Grid_Incoming'!AI17-'Grid_Requirement'!AI17</f>
        <v/>
      </c>
      <c r="AJ17">
        <f>AI17+'Grid_Incoming'!AJ17-'Grid_Requirement'!AJ17</f>
        <v/>
      </c>
      <c r="AK17">
        <f>AJ17+'Grid_Incoming'!AK17-'Grid_Requirement'!AK17</f>
        <v/>
      </c>
      <c r="AL17">
        <f>AK17+'Grid_Incoming'!AL17-'Grid_Requirement'!AL17</f>
        <v/>
      </c>
      <c r="AM17">
        <f>AL17+'Grid_Incoming'!AM17-'Grid_Requirement'!AM17</f>
        <v/>
      </c>
      <c r="AN17">
        <f>AM17+'Grid_Incoming'!AN17-'Grid_Requirement'!AN17</f>
        <v/>
      </c>
      <c r="AO17">
        <f>AN17+'Grid_Incoming'!AO17-'Grid_Requirement'!AO17</f>
        <v/>
      </c>
      <c r="AP17">
        <f>AO17+'Grid_Incoming'!AP17-'Grid_Requirement'!AP17</f>
        <v/>
      </c>
      <c r="AQ17">
        <f>AP17+'Grid_Incoming'!AQ17-'Grid_Requirement'!AQ17</f>
        <v/>
      </c>
      <c r="AR17">
        <f>AQ17+'Grid_Incoming'!AR17-'Grid_Requirement'!AR17</f>
        <v/>
      </c>
      <c r="AS17">
        <f>AR17+'Grid_Incoming'!AS17-'Grid_Requirement'!AS17</f>
        <v/>
      </c>
      <c r="AT17">
        <f>AS17+'Grid_Incoming'!AT17-'Grid_Requirement'!AT17</f>
        <v/>
      </c>
      <c r="AU17">
        <f>AT17+'Grid_Incoming'!AU17-'Grid_Requirement'!AU17</f>
        <v/>
      </c>
      <c r="AV17">
        <f>AU17+'Grid_Incoming'!AV17-'Grid_Requirement'!AV17</f>
        <v/>
      </c>
      <c r="AW17">
        <f>AV17+'Grid_Incoming'!AW17-'Grid_Requirement'!AW17</f>
        <v/>
      </c>
      <c r="AX17">
        <f>AW17+'Grid_Incoming'!AX17-'Grid_Requirement'!AX17</f>
        <v/>
      </c>
      <c r="AY17">
        <f>AX17+'Grid_Incoming'!AY17-'Grid_Requirement'!AY17</f>
        <v/>
      </c>
      <c r="AZ17">
        <f>AY17+'Grid_Incoming'!AZ17-'Grid_Requirement'!AZ17</f>
        <v/>
      </c>
      <c r="BA17">
        <f>AZ17+'Grid_Incoming'!BA17-'Grid_Requirement'!BA17</f>
        <v/>
      </c>
      <c r="BB17">
        <f>BA17+'Grid_Incoming'!BB17-'Grid_Requirement'!BB17</f>
        <v/>
      </c>
      <c r="BC17">
        <f>BB17+'Grid_Incoming'!BC17-'Grid_Requirement'!BC17</f>
        <v/>
      </c>
      <c r="BD17">
        <f>BC17+'Grid_Incoming'!BD17-'Grid_Requirement'!BD17</f>
        <v/>
      </c>
      <c r="BE17">
        <f>BD17+'Grid_Incoming'!BE17-'Grid_Requirement'!BE17</f>
        <v/>
      </c>
      <c r="BF17">
        <f>BE17+'Grid_Incoming'!BF17-'Grid_Requirement'!BF17</f>
        <v/>
      </c>
      <c r="BG17">
        <f>BF17+'Grid_Incoming'!BG17-'Grid_Requirement'!BG17</f>
        <v/>
      </c>
      <c r="BH17">
        <f>BG17+'Grid_Incoming'!BH17-'Grid_Requirement'!BH17</f>
        <v/>
      </c>
      <c r="BI17">
        <f>BH17+'Grid_Incoming'!BI17-'Grid_Requirement'!BI17</f>
        <v/>
      </c>
      <c r="BJ17">
        <f>BI17+'Grid_Incoming'!BJ17-'Grid_Requirement'!BJ17</f>
        <v/>
      </c>
      <c r="BK17">
        <f>BJ17+'Grid_Incoming'!BK17-'Grid_Requirement'!BK17</f>
        <v/>
      </c>
      <c r="BL17">
        <f>BK17+'Grid_Incoming'!BL17-'Grid_Requirement'!BL17</f>
        <v/>
      </c>
      <c r="BM17">
        <f>BL17+'Grid_Incoming'!BM17-'Grid_Requirement'!BM17</f>
        <v/>
      </c>
      <c r="BN17">
        <f>BM17+'Grid_Incoming'!BN17-'Grid_Requirement'!BN17</f>
        <v/>
      </c>
      <c r="BO17">
        <f>BN17+'Grid_Incoming'!BO17-'Grid_Requirement'!BO17</f>
        <v/>
      </c>
      <c r="BP17">
        <f>BO17+'Grid_Incoming'!BP17-'Grid_Requirement'!BP17</f>
        <v/>
      </c>
      <c r="BQ17">
        <f>BP17+'Grid_Incoming'!BQ17-'Grid_Requirement'!BQ17</f>
        <v/>
      </c>
      <c r="BR17">
        <f>BQ17+'Grid_Incoming'!BR17-'Grid_Requirement'!BR17</f>
        <v/>
      </c>
      <c r="BS17">
        <f>BR17+'Grid_Incoming'!BS17-'Grid_Requirement'!BS17</f>
        <v/>
      </c>
      <c r="BT17">
        <f>BS17+'Grid_Incoming'!BT17-'Grid_Requirement'!BT17</f>
        <v/>
      </c>
      <c r="BU17">
        <f>BT17+'Grid_Incoming'!BU17-'Grid_Requirement'!BU17</f>
        <v/>
      </c>
      <c r="BV17">
        <f>BU17+'Grid_Incoming'!BV17-'Grid_Requirement'!BV17</f>
        <v/>
      </c>
      <c r="BW17">
        <f>BV17+'Grid_Incoming'!BW17-'Grid_Requirement'!BW17</f>
        <v/>
      </c>
      <c r="BX17">
        <f>BW17+'Grid_Incoming'!BX17-'Grid_Requirement'!BX17</f>
        <v/>
      </c>
      <c r="BY17">
        <f>BX17+'Grid_Incoming'!BY17-'Grid_Requirement'!BY17</f>
        <v/>
      </c>
      <c r="BZ17">
        <f>BY17+'Grid_Incoming'!BZ17-'Grid_Requirement'!BZ17</f>
        <v/>
      </c>
      <c r="CA17">
        <f>BZ17+'Grid_Incoming'!CA17-'Grid_Requirement'!CA17</f>
        <v/>
      </c>
      <c r="CB17">
        <f>CA17+'Grid_Incoming'!CB17-'Grid_Requirement'!CB17</f>
        <v/>
      </c>
      <c r="CC17">
        <f>CB17+'Grid_Incoming'!CC17-'Grid_Requirement'!CC17</f>
        <v/>
      </c>
      <c r="CD17">
        <f>CC17+'Grid_Incoming'!CD17-'Grid_Requirement'!CD17</f>
        <v/>
      </c>
      <c r="CE17">
        <f>CD17+'Grid_Incoming'!CE17-'Grid_Requirement'!CE17</f>
        <v/>
      </c>
      <c r="CF17">
        <f>CE17+'Grid_Incoming'!CF17-'Grid_Requirement'!CF17</f>
        <v/>
      </c>
      <c r="CG17">
        <f>CF17+'Grid_Incoming'!CG17-'Grid_Requirement'!CG17</f>
        <v/>
      </c>
      <c r="CH17">
        <f>CG17+'Grid_Incoming'!CH17-'Grid_Requirement'!CH17</f>
        <v/>
      </c>
      <c r="CI17">
        <f>CH17+'Grid_Incoming'!CI17-'Grid_Requirement'!CI17</f>
        <v/>
      </c>
      <c r="CJ17">
        <f>CI17+'Grid_Incoming'!CJ17-'Grid_Requirement'!CJ17</f>
        <v/>
      </c>
      <c r="CK17">
        <f>CJ17+'Grid_Incoming'!CK17-'Grid_Requirement'!CK17</f>
        <v/>
      </c>
      <c r="CL17">
        <f>CK17+'Grid_Incoming'!CL17-'Grid_Requirement'!CL17</f>
        <v/>
      </c>
      <c r="CM17">
        <f>CL17+'Grid_Incoming'!CM17-'Grid_Requirement'!CM17</f>
        <v/>
      </c>
      <c r="CN17">
        <f>CM17+'Grid_Incoming'!CN17-'Grid_Requirement'!CN17</f>
        <v/>
      </c>
      <c r="CO17">
        <f>CN17+'Grid_Incoming'!CO17-'Grid_Requirement'!CO17</f>
        <v/>
      </c>
      <c r="CP17">
        <f>CO17+'Grid_Incoming'!CP17-'Grid_Requirement'!CP17</f>
        <v/>
      </c>
      <c r="CQ17">
        <f>CP17+'Grid_Incoming'!CQ17-'Grid_Requirement'!CQ17</f>
        <v/>
      </c>
      <c r="CR17">
        <f>CQ17+'Grid_Incoming'!CR17-'Grid_Requirement'!CR17</f>
        <v/>
      </c>
      <c r="CS17">
        <f>CR17+'Grid_Incoming'!CS17-'Grid_Requirement'!CS17</f>
        <v/>
      </c>
      <c r="CT17">
        <f>CS17+'Grid_Incoming'!CT17-'Grid_Requirement'!CT17</f>
        <v/>
      </c>
      <c r="CU17">
        <f>CT17+'Grid_Incoming'!CU17-'Grid_Requirement'!CU17</f>
        <v/>
      </c>
      <c r="CV17">
        <f>CU17+'Grid_Incoming'!CV17-'Grid_Requirement'!CV17</f>
        <v/>
      </c>
      <c r="CW17">
        <f>CV17+'Grid_Incoming'!CW17-'Grid_Requirement'!CW17</f>
        <v/>
      </c>
      <c r="CX17">
        <f>CW17+'Grid_Incoming'!CX17-'Grid_Requirement'!CX17</f>
        <v/>
      </c>
      <c r="CY17">
        <f>CX17+'Grid_Incoming'!CY17-'Grid_Requirement'!CY17</f>
        <v/>
      </c>
      <c r="CZ17">
        <f>CY17+'Grid_Incoming'!CZ17-'Grid_Requirement'!CZ17</f>
        <v/>
      </c>
      <c r="DA17">
        <f>CZ17+'Grid_Incoming'!DA17-'Grid_Requirement'!DA17</f>
        <v/>
      </c>
    </row>
    <row r="18">
      <c r="A18" t="inlineStr">
        <is>
          <t>5JK</t>
        </is>
      </c>
      <c r="B18">
        <f>IFERROR(INDEX(T_OpeningStock[Opening_Qty],MATCH($A18,T_OpeningStock[Part Name],0)),0)+'Grid_Incoming'!B18-'Grid_Requirement'!B18</f>
        <v/>
      </c>
      <c r="C18">
        <f>B18+'Grid_Incoming'!C18-'Grid_Requirement'!C18</f>
        <v/>
      </c>
      <c r="D18">
        <f>C18+'Grid_Incoming'!D18-'Grid_Requirement'!D18</f>
        <v/>
      </c>
      <c r="E18">
        <f>D18+'Grid_Incoming'!E18-'Grid_Requirement'!E18</f>
        <v/>
      </c>
      <c r="F18">
        <f>E18+'Grid_Incoming'!F18-'Grid_Requirement'!F18</f>
        <v/>
      </c>
      <c r="G18">
        <f>F18+'Grid_Incoming'!G18-'Grid_Requirement'!G18</f>
        <v/>
      </c>
      <c r="H18">
        <f>G18+'Grid_Incoming'!H18-'Grid_Requirement'!H18</f>
        <v/>
      </c>
      <c r="I18">
        <f>H18+'Grid_Incoming'!I18-'Grid_Requirement'!I18</f>
        <v/>
      </c>
      <c r="J18">
        <f>I18+'Grid_Incoming'!J18-'Grid_Requirement'!J18</f>
        <v/>
      </c>
      <c r="K18">
        <f>J18+'Grid_Incoming'!K18-'Grid_Requirement'!K18</f>
        <v/>
      </c>
      <c r="L18">
        <f>K18+'Grid_Incoming'!L18-'Grid_Requirement'!L18</f>
        <v/>
      </c>
      <c r="M18">
        <f>L18+'Grid_Incoming'!M18-'Grid_Requirement'!M18</f>
        <v/>
      </c>
      <c r="N18">
        <f>M18+'Grid_Incoming'!N18-'Grid_Requirement'!N18</f>
        <v/>
      </c>
      <c r="O18">
        <f>N18+'Grid_Incoming'!O18-'Grid_Requirement'!O18</f>
        <v/>
      </c>
      <c r="P18">
        <f>O18+'Grid_Incoming'!P18-'Grid_Requirement'!P18</f>
        <v/>
      </c>
      <c r="Q18">
        <f>P18+'Grid_Incoming'!Q18-'Grid_Requirement'!Q18</f>
        <v/>
      </c>
      <c r="R18">
        <f>Q18+'Grid_Incoming'!R18-'Grid_Requirement'!R18</f>
        <v/>
      </c>
      <c r="S18">
        <f>R18+'Grid_Incoming'!S18-'Grid_Requirement'!S18</f>
        <v/>
      </c>
      <c r="T18">
        <f>S18+'Grid_Incoming'!T18-'Grid_Requirement'!T18</f>
        <v/>
      </c>
      <c r="U18">
        <f>T18+'Grid_Incoming'!U18-'Grid_Requirement'!U18</f>
        <v/>
      </c>
      <c r="V18">
        <f>U18+'Grid_Incoming'!V18-'Grid_Requirement'!V18</f>
        <v/>
      </c>
      <c r="W18">
        <f>V18+'Grid_Incoming'!W18-'Grid_Requirement'!W18</f>
        <v/>
      </c>
      <c r="X18">
        <f>W18+'Grid_Incoming'!X18-'Grid_Requirement'!X18</f>
        <v/>
      </c>
      <c r="Y18">
        <f>X18+'Grid_Incoming'!Y18-'Grid_Requirement'!Y18</f>
        <v/>
      </c>
      <c r="Z18">
        <f>Y18+'Grid_Incoming'!Z18-'Grid_Requirement'!Z18</f>
        <v/>
      </c>
      <c r="AA18">
        <f>Z18+'Grid_Incoming'!AA18-'Grid_Requirement'!AA18</f>
        <v/>
      </c>
      <c r="AB18">
        <f>AA18+'Grid_Incoming'!AB18-'Grid_Requirement'!AB18</f>
        <v/>
      </c>
      <c r="AC18">
        <f>AB18+'Grid_Incoming'!AC18-'Grid_Requirement'!AC18</f>
        <v/>
      </c>
      <c r="AD18">
        <f>AC18+'Grid_Incoming'!AD18-'Grid_Requirement'!AD18</f>
        <v/>
      </c>
      <c r="AE18">
        <f>AD18+'Grid_Incoming'!AE18-'Grid_Requirement'!AE18</f>
        <v/>
      </c>
      <c r="AF18">
        <f>AE18+'Grid_Incoming'!AF18-'Grid_Requirement'!AF18</f>
        <v/>
      </c>
      <c r="AG18">
        <f>AF18+'Grid_Incoming'!AG18-'Grid_Requirement'!AG18</f>
        <v/>
      </c>
      <c r="AH18">
        <f>AG18+'Grid_Incoming'!AH18-'Grid_Requirement'!AH18</f>
        <v/>
      </c>
      <c r="AI18">
        <f>AH18+'Grid_Incoming'!AI18-'Grid_Requirement'!AI18</f>
        <v/>
      </c>
      <c r="AJ18">
        <f>AI18+'Grid_Incoming'!AJ18-'Grid_Requirement'!AJ18</f>
        <v/>
      </c>
      <c r="AK18">
        <f>AJ18+'Grid_Incoming'!AK18-'Grid_Requirement'!AK18</f>
        <v/>
      </c>
      <c r="AL18">
        <f>AK18+'Grid_Incoming'!AL18-'Grid_Requirement'!AL18</f>
        <v/>
      </c>
      <c r="AM18">
        <f>AL18+'Grid_Incoming'!AM18-'Grid_Requirement'!AM18</f>
        <v/>
      </c>
      <c r="AN18">
        <f>AM18+'Grid_Incoming'!AN18-'Grid_Requirement'!AN18</f>
        <v/>
      </c>
      <c r="AO18">
        <f>AN18+'Grid_Incoming'!AO18-'Grid_Requirement'!AO18</f>
        <v/>
      </c>
      <c r="AP18">
        <f>AO18+'Grid_Incoming'!AP18-'Grid_Requirement'!AP18</f>
        <v/>
      </c>
      <c r="AQ18">
        <f>AP18+'Grid_Incoming'!AQ18-'Grid_Requirement'!AQ18</f>
        <v/>
      </c>
      <c r="AR18">
        <f>AQ18+'Grid_Incoming'!AR18-'Grid_Requirement'!AR18</f>
        <v/>
      </c>
      <c r="AS18">
        <f>AR18+'Grid_Incoming'!AS18-'Grid_Requirement'!AS18</f>
        <v/>
      </c>
      <c r="AT18">
        <f>AS18+'Grid_Incoming'!AT18-'Grid_Requirement'!AT18</f>
        <v/>
      </c>
      <c r="AU18">
        <f>AT18+'Grid_Incoming'!AU18-'Grid_Requirement'!AU18</f>
        <v/>
      </c>
      <c r="AV18">
        <f>AU18+'Grid_Incoming'!AV18-'Grid_Requirement'!AV18</f>
        <v/>
      </c>
      <c r="AW18">
        <f>AV18+'Grid_Incoming'!AW18-'Grid_Requirement'!AW18</f>
        <v/>
      </c>
      <c r="AX18">
        <f>AW18+'Grid_Incoming'!AX18-'Grid_Requirement'!AX18</f>
        <v/>
      </c>
      <c r="AY18">
        <f>AX18+'Grid_Incoming'!AY18-'Grid_Requirement'!AY18</f>
        <v/>
      </c>
      <c r="AZ18">
        <f>AY18+'Grid_Incoming'!AZ18-'Grid_Requirement'!AZ18</f>
        <v/>
      </c>
      <c r="BA18">
        <f>AZ18+'Grid_Incoming'!BA18-'Grid_Requirement'!BA18</f>
        <v/>
      </c>
      <c r="BB18">
        <f>BA18+'Grid_Incoming'!BB18-'Grid_Requirement'!BB18</f>
        <v/>
      </c>
      <c r="BC18">
        <f>BB18+'Grid_Incoming'!BC18-'Grid_Requirement'!BC18</f>
        <v/>
      </c>
      <c r="BD18">
        <f>BC18+'Grid_Incoming'!BD18-'Grid_Requirement'!BD18</f>
        <v/>
      </c>
      <c r="BE18">
        <f>BD18+'Grid_Incoming'!BE18-'Grid_Requirement'!BE18</f>
        <v/>
      </c>
      <c r="BF18">
        <f>BE18+'Grid_Incoming'!BF18-'Grid_Requirement'!BF18</f>
        <v/>
      </c>
      <c r="BG18">
        <f>BF18+'Grid_Incoming'!BG18-'Grid_Requirement'!BG18</f>
        <v/>
      </c>
      <c r="BH18">
        <f>BG18+'Grid_Incoming'!BH18-'Grid_Requirement'!BH18</f>
        <v/>
      </c>
      <c r="BI18">
        <f>BH18+'Grid_Incoming'!BI18-'Grid_Requirement'!BI18</f>
        <v/>
      </c>
      <c r="BJ18">
        <f>BI18+'Grid_Incoming'!BJ18-'Grid_Requirement'!BJ18</f>
        <v/>
      </c>
      <c r="BK18">
        <f>BJ18+'Grid_Incoming'!BK18-'Grid_Requirement'!BK18</f>
        <v/>
      </c>
      <c r="BL18">
        <f>BK18+'Grid_Incoming'!BL18-'Grid_Requirement'!BL18</f>
        <v/>
      </c>
      <c r="BM18">
        <f>BL18+'Grid_Incoming'!BM18-'Grid_Requirement'!BM18</f>
        <v/>
      </c>
      <c r="BN18">
        <f>BM18+'Grid_Incoming'!BN18-'Grid_Requirement'!BN18</f>
        <v/>
      </c>
      <c r="BO18">
        <f>BN18+'Grid_Incoming'!BO18-'Grid_Requirement'!BO18</f>
        <v/>
      </c>
      <c r="BP18">
        <f>BO18+'Grid_Incoming'!BP18-'Grid_Requirement'!BP18</f>
        <v/>
      </c>
      <c r="BQ18">
        <f>BP18+'Grid_Incoming'!BQ18-'Grid_Requirement'!BQ18</f>
        <v/>
      </c>
      <c r="BR18">
        <f>BQ18+'Grid_Incoming'!BR18-'Grid_Requirement'!BR18</f>
        <v/>
      </c>
      <c r="BS18">
        <f>BR18+'Grid_Incoming'!BS18-'Grid_Requirement'!BS18</f>
        <v/>
      </c>
      <c r="BT18">
        <f>BS18+'Grid_Incoming'!BT18-'Grid_Requirement'!BT18</f>
        <v/>
      </c>
      <c r="BU18">
        <f>BT18+'Grid_Incoming'!BU18-'Grid_Requirement'!BU18</f>
        <v/>
      </c>
      <c r="BV18">
        <f>BU18+'Grid_Incoming'!BV18-'Grid_Requirement'!BV18</f>
        <v/>
      </c>
      <c r="BW18">
        <f>BV18+'Grid_Incoming'!BW18-'Grid_Requirement'!BW18</f>
        <v/>
      </c>
      <c r="BX18">
        <f>BW18+'Grid_Incoming'!BX18-'Grid_Requirement'!BX18</f>
        <v/>
      </c>
      <c r="BY18">
        <f>BX18+'Grid_Incoming'!BY18-'Grid_Requirement'!BY18</f>
        <v/>
      </c>
      <c r="BZ18">
        <f>BY18+'Grid_Incoming'!BZ18-'Grid_Requirement'!BZ18</f>
        <v/>
      </c>
      <c r="CA18">
        <f>BZ18+'Grid_Incoming'!CA18-'Grid_Requirement'!CA18</f>
        <v/>
      </c>
      <c r="CB18">
        <f>CA18+'Grid_Incoming'!CB18-'Grid_Requirement'!CB18</f>
        <v/>
      </c>
      <c r="CC18">
        <f>CB18+'Grid_Incoming'!CC18-'Grid_Requirement'!CC18</f>
        <v/>
      </c>
      <c r="CD18">
        <f>CC18+'Grid_Incoming'!CD18-'Grid_Requirement'!CD18</f>
        <v/>
      </c>
      <c r="CE18">
        <f>CD18+'Grid_Incoming'!CE18-'Grid_Requirement'!CE18</f>
        <v/>
      </c>
      <c r="CF18">
        <f>CE18+'Grid_Incoming'!CF18-'Grid_Requirement'!CF18</f>
        <v/>
      </c>
      <c r="CG18">
        <f>CF18+'Grid_Incoming'!CG18-'Grid_Requirement'!CG18</f>
        <v/>
      </c>
      <c r="CH18">
        <f>CG18+'Grid_Incoming'!CH18-'Grid_Requirement'!CH18</f>
        <v/>
      </c>
      <c r="CI18">
        <f>CH18+'Grid_Incoming'!CI18-'Grid_Requirement'!CI18</f>
        <v/>
      </c>
      <c r="CJ18">
        <f>CI18+'Grid_Incoming'!CJ18-'Grid_Requirement'!CJ18</f>
        <v/>
      </c>
      <c r="CK18">
        <f>CJ18+'Grid_Incoming'!CK18-'Grid_Requirement'!CK18</f>
        <v/>
      </c>
      <c r="CL18">
        <f>CK18+'Grid_Incoming'!CL18-'Grid_Requirement'!CL18</f>
        <v/>
      </c>
      <c r="CM18">
        <f>CL18+'Grid_Incoming'!CM18-'Grid_Requirement'!CM18</f>
        <v/>
      </c>
      <c r="CN18">
        <f>CM18+'Grid_Incoming'!CN18-'Grid_Requirement'!CN18</f>
        <v/>
      </c>
      <c r="CO18">
        <f>CN18+'Grid_Incoming'!CO18-'Grid_Requirement'!CO18</f>
        <v/>
      </c>
      <c r="CP18">
        <f>CO18+'Grid_Incoming'!CP18-'Grid_Requirement'!CP18</f>
        <v/>
      </c>
      <c r="CQ18">
        <f>CP18+'Grid_Incoming'!CQ18-'Grid_Requirement'!CQ18</f>
        <v/>
      </c>
      <c r="CR18">
        <f>CQ18+'Grid_Incoming'!CR18-'Grid_Requirement'!CR18</f>
        <v/>
      </c>
      <c r="CS18">
        <f>CR18+'Grid_Incoming'!CS18-'Grid_Requirement'!CS18</f>
        <v/>
      </c>
      <c r="CT18">
        <f>CS18+'Grid_Incoming'!CT18-'Grid_Requirement'!CT18</f>
        <v/>
      </c>
      <c r="CU18">
        <f>CT18+'Grid_Incoming'!CU18-'Grid_Requirement'!CU18</f>
        <v/>
      </c>
      <c r="CV18">
        <f>CU18+'Grid_Incoming'!CV18-'Grid_Requirement'!CV18</f>
        <v/>
      </c>
      <c r="CW18">
        <f>CV18+'Grid_Incoming'!CW18-'Grid_Requirement'!CW18</f>
        <v/>
      </c>
      <c r="CX18">
        <f>CW18+'Grid_Incoming'!CX18-'Grid_Requirement'!CX18</f>
        <v/>
      </c>
      <c r="CY18">
        <f>CX18+'Grid_Incoming'!CY18-'Grid_Requirement'!CY18</f>
        <v/>
      </c>
      <c r="CZ18">
        <f>CY18+'Grid_Incoming'!CZ18-'Grid_Requirement'!CZ18</f>
        <v/>
      </c>
      <c r="DA18">
        <f>CZ18+'Grid_Incoming'!DA18-'Grid_Requirement'!DA18</f>
        <v/>
      </c>
    </row>
    <row r="19">
      <c r="A19" t="inlineStr">
        <is>
          <t>26F</t>
        </is>
      </c>
      <c r="B19">
        <f>IFERROR(INDEX(T_OpeningStock[Opening_Qty],MATCH($A19,T_OpeningStock[Part Name],0)),0)+'Grid_Incoming'!B19-'Grid_Requirement'!B19</f>
        <v/>
      </c>
      <c r="C19">
        <f>B19+'Grid_Incoming'!C19-'Grid_Requirement'!C19</f>
        <v/>
      </c>
      <c r="D19">
        <f>C19+'Grid_Incoming'!D19-'Grid_Requirement'!D19</f>
        <v/>
      </c>
      <c r="E19">
        <f>D19+'Grid_Incoming'!E19-'Grid_Requirement'!E19</f>
        <v/>
      </c>
      <c r="F19">
        <f>E19+'Grid_Incoming'!F19-'Grid_Requirement'!F19</f>
        <v/>
      </c>
      <c r="G19">
        <f>F19+'Grid_Incoming'!G19-'Grid_Requirement'!G19</f>
        <v/>
      </c>
      <c r="H19">
        <f>G19+'Grid_Incoming'!H19-'Grid_Requirement'!H19</f>
        <v/>
      </c>
      <c r="I19">
        <f>H19+'Grid_Incoming'!I19-'Grid_Requirement'!I19</f>
        <v/>
      </c>
      <c r="J19">
        <f>I19+'Grid_Incoming'!J19-'Grid_Requirement'!J19</f>
        <v/>
      </c>
      <c r="K19">
        <f>J19+'Grid_Incoming'!K19-'Grid_Requirement'!K19</f>
        <v/>
      </c>
      <c r="L19">
        <f>K19+'Grid_Incoming'!L19-'Grid_Requirement'!L19</f>
        <v/>
      </c>
      <c r="M19">
        <f>L19+'Grid_Incoming'!M19-'Grid_Requirement'!M19</f>
        <v/>
      </c>
      <c r="N19">
        <f>M19+'Grid_Incoming'!N19-'Grid_Requirement'!N19</f>
        <v/>
      </c>
      <c r="O19">
        <f>N19+'Grid_Incoming'!O19-'Grid_Requirement'!O19</f>
        <v/>
      </c>
      <c r="P19">
        <f>O19+'Grid_Incoming'!P19-'Grid_Requirement'!P19</f>
        <v/>
      </c>
      <c r="Q19">
        <f>P19+'Grid_Incoming'!Q19-'Grid_Requirement'!Q19</f>
        <v/>
      </c>
      <c r="R19">
        <f>Q19+'Grid_Incoming'!R19-'Grid_Requirement'!R19</f>
        <v/>
      </c>
      <c r="S19">
        <f>R19+'Grid_Incoming'!S19-'Grid_Requirement'!S19</f>
        <v/>
      </c>
      <c r="T19">
        <f>S19+'Grid_Incoming'!T19-'Grid_Requirement'!T19</f>
        <v/>
      </c>
      <c r="U19">
        <f>T19+'Grid_Incoming'!U19-'Grid_Requirement'!U19</f>
        <v/>
      </c>
      <c r="V19">
        <f>U19+'Grid_Incoming'!V19-'Grid_Requirement'!V19</f>
        <v/>
      </c>
      <c r="W19">
        <f>V19+'Grid_Incoming'!W19-'Grid_Requirement'!W19</f>
        <v/>
      </c>
      <c r="X19">
        <f>W19+'Grid_Incoming'!X19-'Grid_Requirement'!X19</f>
        <v/>
      </c>
      <c r="Y19">
        <f>X19+'Grid_Incoming'!Y19-'Grid_Requirement'!Y19</f>
        <v/>
      </c>
      <c r="Z19">
        <f>Y19+'Grid_Incoming'!Z19-'Grid_Requirement'!Z19</f>
        <v/>
      </c>
      <c r="AA19">
        <f>Z19+'Grid_Incoming'!AA19-'Grid_Requirement'!AA19</f>
        <v/>
      </c>
      <c r="AB19">
        <f>AA19+'Grid_Incoming'!AB19-'Grid_Requirement'!AB19</f>
        <v/>
      </c>
      <c r="AC19">
        <f>AB19+'Grid_Incoming'!AC19-'Grid_Requirement'!AC19</f>
        <v/>
      </c>
      <c r="AD19">
        <f>AC19+'Grid_Incoming'!AD19-'Grid_Requirement'!AD19</f>
        <v/>
      </c>
      <c r="AE19">
        <f>AD19+'Grid_Incoming'!AE19-'Grid_Requirement'!AE19</f>
        <v/>
      </c>
      <c r="AF19">
        <f>AE19+'Grid_Incoming'!AF19-'Grid_Requirement'!AF19</f>
        <v/>
      </c>
      <c r="AG19">
        <f>AF19+'Grid_Incoming'!AG19-'Grid_Requirement'!AG19</f>
        <v/>
      </c>
      <c r="AH19">
        <f>AG19+'Grid_Incoming'!AH19-'Grid_Requirement'!AH19</f>
        <v/>
      </c>
      <c r="AI19">
        <f>AH19+'Grid_Incoming'!AI19-'Grid_Requirement'!AI19</f>
        <v/>
      </c>
      <c r="AJ19">
        <f>AI19+'Grid_Incoming'!AJ19-'Grid_Requirement'!AJ19</f>
        <v/>
      </c>
      <c r="AK19">
        <f>AJ19+'Grid_Incoming'!AK19-'Grid_Requirement'!AK19</f>
        <v/>
      </c>
      <c r="AL19">
        <f>AK19+'Grid_Incoming'!AL19-'Grid_Requirement'!AL19</f>
        <v/>
      </c>
      <c r="AM19">
        <f>AL19+'Grid_Incoming'!AM19-'Grid_Requirement'!AM19</f>
        <v/>
      </c>
      <c r="AN19">
        <f>AM19+'Grid_Incoming'!AN19-'Grid_Requirement'!AN19</f>
        <v/>
      </c>
      <c r="AO19">
        <f>AN19+'Grid_Incoming'!AO19-'Grid_Requirement'!AO19</f>
        <v/>
      </c>
      <c r="AP19">
        <f>AO19+'Grid_Incoming'!AP19-'Grid_Requirement'!AP19</f>
        <v/>
      </c>
      <c r="AQ19">
        <f>AP19+'Grid_Incoming'!AQ19-'Grid_Requirement'!AQ19</f>
        <v/>
      </c>
      <c r="AR19">
        <f>AQ19+'Grid_Incoming'!AR19-'Grid_Requirement'!AR19</f>
        <v/>
      </c>
      <c r="AS19">
        <f>AR19+'Grid_Incoming'!AS19-'Grid_Requirement'!AS19</f>
        <v/>
      </c>
      <c r="AT19">
        <f>AS19+'Grid_Incoming'!AT19-'Grid_Requirement'!AT19</f>
        <v/>
      </c>
      <c r="AU19">
        <f>AT19+'Grid_Incoming'!AU19-'Grid_Requirement'!AU19</f>
        <v/>
      </c>
      <c r="AV19">
        <f>AU19+'Grid_Incoming'!AV19-'Grid_Requirement'!AV19</f>
        <v/>
      </c>
      <c r="AW19">
        <f>AV19+'Grid_Incoming'!AW19-'Grid_Requirement'!AW19</f>
        <v/>
      </c>
      <c r="AX19">
        <f>AW19+'Grid_Incoming'!AX19-'Grid_Requirement'!AX19</f>
        <v/>
      </c>
      <c r="AY19">
        <f>AX19+'Grid_Incoming'!AY19-'Grid_Requirement'!AY19</f>
        <v/>
      </c>
      <c r="AZ19">
        <f>AY19+'Grid_Incoming'!AZ19-'Grid_Requirement'!AZ19</f>
        <v/>
      </c>
      <c r="BA19">
        <f>AZ19+'Grid_Incoming'!BA19-'Grid_Requirement'!BA19</f>
        <v/>
      </c>
      <c r="BB19">
        <f>BA19+'Grid_Incoming'!BB19-'Grid_Requirement'!BB19</f>
        <v/>
      </c>
      <c r="BC19">
        <f>BB19+'Grid_Incoming'!BC19-'Grid_Requirement'!BC19</f>
        <v/>
      </c>
      <c r="BD19">
        <f>BC19+'Grid_Incoming'!BD19-'Grid_Requirement'!BD19</f>
        <v/>
      </c>
      <c r="BE19">
        <f>BD19+'Grid_Incoming'!BE19-'Grid_Requirement'!BE19</f>
        <v/>
      </c>
      <c r="BF19">
        <f>BE19+'Grid_Incoming'!BF19-'Grid_Requirement'!BF19</f>
        <v/>
      </c>
      <c r="BG19">
        <f>BF19+'Grid_Incoming'!BG19-'Grid_Requirement'!BG19</f>
        <v/>
      </c>
      <c r="BH19">
        <f>BG19+'Grid_Incoming'!BH19-'Grid_Requirement'!BH19</f>
        <v/>
      </c>
      <c r="BI19">
        <f>BH19+'Grid_Incoming'!BI19-'Grid_Requirement'!BI19</f>
        <v/>
      </c>
      <c r="BJ19">
        <f>BI19+'Grid_Incoming'!BJ19-'Grid_Requirement'!BJ19</f>
        <v/>
      </c>
      <c r="BK19">
        <f>BJ19+'Grid_Incoming'!BK19-'Grid_Requirement'!BK19</f>
        <v/>
      </c>
      <c r="BL19">
        <f>BK19+'Grid_Incoming'!BL19-'Grid_Requirement'!BL19</f>
        <v/>
      </c>
      <c r="BM19">
        <f>BL19+'Grid_Incoming'!BM19-'Grid_Requirement'!BM19</f>
        <v/>
      </c>
      <c r="BN19">
        <f>BM19+'Grid_Incoming'!BN19-'Grid_Requirement'!BN19</f>
        <v/>
      </c>
      <c r="BO19">
        <f>BN19+'Grid_Incoming'!BO19-'Grid_Requirement'!BO19</f>
        <v/>
      </c>
      <c r="BP19">
        <f>BO19+'Grid_Incoming'!BP19-'Grid_Requirement'!BP19</f>
        <v/>
      </c>
      <c r="BQ19">
        <f>BP19+'Grid_Incoming'!BQ19-'Grid_Requirement'!BQ19</f>
        <v/>
      </c>
      <c r="BR19">
        <f>BQ19+'Grid_Incoming'!BR19-'Grid_Requirement'!BR19</f>
        <v/>
      </c>
      <c r="BS19">
        <f>BR19+'Grid_Incoming'!BS19-'Grid_Requirement'!BS19</f>
        <v/>
      </c>
      <c r="BT19">
        <f>BS19+'Grid_Incoming'!BT19-'Grid_Requirement'!BT19</f>
        <v/>
      </c>
      <c r="BU19">
        <f>BT19+'Grid_Incoming'!BU19-'Grid_Requirement'!BU19</f>
        <v/>
      </c>
      <c r="BV19">
        <f>BU19+'Grid_Incoming'!BV19-'Grid_Requirement'!BV19</f>
        <v/>
      </c>
      <c r="BW19">
        <f>BV19+'Grid_Incoming'!BW19-'Grid_Requirement'!BW19</f>
        <v/>
      </c>
      <c r="BX19">
        <f>BW19+'Grid_Incoming'!BX19-'Grid_Requirement'!BX19</f>
        <v/>
      </c>
      <c r="BY19">
        <f>BX19+'Grid_Incoming'!BY19-'Grid_Requirement'!BY19</f>
        <v/>
      </c>
      <c r="BZ19">
        <f>BY19+'Grid_Incoming'!BZ19-'Grid_Requirement'!BZ19</f>
        <v/>
      </c>
      <c r="CA19">
        <f>BZ19+'Grid_Incoming'!CA19-'Grid_Requirement'!CA19</f>
        <v/>
      </c>
      <c r="CB19">
        <f>CA19+'Grid_Incoming'!CB19-'Grid_Requirement'!CB19</f>
        <v/>
      </c>
      <c r="CC19">
        <f>CB19+'Grid_Incoming'!CC19-'Grid_Requirement'!CC19</f>
        <v/>
      </c>
      <c r="CD19">
        <f>CC19+'Grid_Incoming'!CD19-'Grid_Requirement'!CD19</f>
        <v/>
      </c>
      <c r="CE19">
        <f>CD19+'Grid_Incoming'!CE19-'Grid_Requirement'!CE19</f>
        <v/>
      </c>
      <c r="CF19">
        <f>CE19+'Grid_Incoming'!CF19-'Grid_Requirement'!CF19</f>
        <v/>
      </c>
      <c r="CG19">
        <f>CF19+'Grid_Incoming'!CG19-'Grid_Requirement'!CG19</f>
        <v/>
      </c>
      <c r="CH19">
        <f>CG19+'Grid_Incoming'!CH19-'Grid_Requirement'!CH19</f>
        <v/>
      </c>
      <c r="CI19">
        <f>CH19+'Grid_Incoming'!CI19-'Grid_Requirement'!CI19</f>
        <v/>
      </c>
      <c r="CJ19">
        <f>CI19+'Grid_Incoming'!CJ19-'Grid_Requirement'!CJ19</f>
        <v/>
      </c>
      <c r="CK19">
        <f>CJ19+'Grid_Incoming'!CK19-'Grid_Requirement'!CK19</f>
        <v/>
      </c>
      <c r="CL19">
        <f>CK19+'Grid_Incoming'!CL19-'Grid_Requirement'!CL19</f>
        <v/>
      </c>
      <c r="CM19">
        <f>CL19+'Grid_Incoming'!CM19-'Grid_Requirement'!CM19</f>
        <v/>
      </c>
      <c r="CN19">
        <f>CM19+'Grid_Incoming'!CN19-'Grid_Requirement'!CN19</f>
        <v/>
      </c>
      <c r="CO19">
        <f>CN19+'Grid_Incoming'!CO19-'Grid_Requirement'!CO19</f>
        <v/>
      </c>
      <c r="CP19">
        <f>CO19+'Grid_Incoming'!CP19-'Grid_Requirement'!CP19</f>
        <v/>
      </c>
      <c r="CQ19">
        <f>CP19+'Grid_Incoming'!CQ19-'Grid_Requirement'!CQ19</f>
        <v/>
      </c>
      <c r="CR19">
        <f>CQ19+'Grid_Incoming'!CR19-'Grid_Requirement'!CR19</f>
        <v/>
      </c>
      <c r="CS19">
        <f>CR19+'Grid_Incoming'!CS19-'Grid_Requirement'!CS19</f>
        <v/>
      </c>
      <c r="CT19">
        <f>CS19+'Grid_Incoming'!CT19-'Grid_Requirement'!CT19</f>
        <v/>
      </c>
      <c r="CU19">
        <f>CT19+'Grid_Incoming'!CU19-'Grid_Requirement'!CU19</f>
        <v/>
      </c>
      <c r="CV19">
        <f>CU19+'Grid_Incoming'!CV19-'Grid_Requirement'!CV19</f>
        <v/>
      </c>
      <c r="CW19">
        <f>CV19+'Grid_Incoming'!CW19-'Grid_Requirement'!CW19</f>
        <v/>
      </c>
      <c r="CX19">
        <f>CW19+'Grid_Incoming'!CX19-'Grid_Requirement'!CX19</f>
        <v/>
      </c>
      <c r="CY19">
        <f>CX19+'Grid_Incoming'!CY19-'Grid_Requirement'!CY19</f>
        <v/>
      </c>
      <c r="CZ19">
        <f>CY19+'Grid_Incoming'!CZ19-'Grid_Requirement'!CZ19</f>
        <v/>
      </c>
      <c r="DA19">
        <f>CZ19+'Grid_Incoming'!DA19-'Grid_Requirement'!DA19</f>
        <v/>
      </c>
    </row>
    <row r="20">
      <c r="A20" t="inlineStr">
        <is>
          <t>73K</t>
        </is>
      </c>
      <c r="B20">
        <f>IFERROR(INDEX(T_OpeningStock[Opening_Qty],MATCH($A20,T_OpeningStock[Part Name],0)),0)+'Grid_Incoming'!B20-'Grid_Requirement'!B20</f>
        <v/>
      </c>
      <c r="C20">
        <f>B20+'Grid_Incoming'!C20-'Grid_Requirement'!C20</f>
        <v/>
      </c>
      <c r="D20">
        <f>C20+'Grid_Incoming'!D20-'Grid_Requirement'!D20</f>
        <v/>
      </c>
      <c r="E20">
        <f>D20+'Grid_Incoming'!E20-'Grid_Requirement'!E20</f>
        <v/>
      </c>
      <c r="F20">
        <f>E20+'Grid_Incoming'!F20-'Grid_Requirement'!F20</f>
        <v/>
      </c>
      <c r="G20">
        <f>F20+'Grid_Incoming'!G20-'Grid_Requirement'!G20</f>
        <v/>
      </c>
      <c r="H20">
        <f>G20+'Grid_Incoming'!H20-'Grid_Requirement'!H20</f>
        <v/>
      </c>
      <c r="I20">
        <f>H20+'Grid_Incoming'!I20-'Grid_Requirement'!I20</f>
        <v/>
      </c>
      <c r="J20">
        <f>I20+'Grid_Incoming'!J20-'Grid_Requirement'!J20</f>
        <v/>
      </c>
      <c r="K20">
        <f>J20+'Grid_Incoming'!K20-'Grid_Requirement'!K20</f>
        <v/>
      </c>
      <c r="L20">
        <f>K20+'Grid_Incoming'!L20-'Grid_Requirement'!L20</f>
        <v/>
      </c>
      <c r="M20">
        <f>L20+'Grid_Incoming'!M20-'Grid_Requirement'!M20</f>
        <v/>
      </c>
      <c r="N20">
        <f>M20+'Grid_Incoming'!N20-'Grid_Requirement'!N20</f>
        <v/>
      </c>
      <c r="O20">
        <f>N20+'Grid_Incoming'!O20-'Grid_Requirement'!O20</f>
        <v/>
      </c>
      <c r="P20">
        <f>O20+'Grid_Incoming'!P20-'Grid_Requirement'!P20</f>
        <v/>
      </c>
      <c r="Q20">
        <f>P20+'Grid_Incoming'!Q20-'Grid_Requirement'!Q20</f>
        <v/>
      </c>
      <c r="R20">
        <f>Q20+'Grid_Incoming'!R20-'Grid_Requirement'!R20</f>
        <v/>
      </c>
      <c r="S20">
        <f>R20+'Grid_Incoming'!S20-'Grid_Requirement'!S20</f>
        <v/>
      </c>
      <c r="T20">
        <f>S20+'Grid_Incoming'!T20-'Grid_Requirement'!T20</f>
        <v/>
      </c>
      <c r="U20">
        <f>T20+'Grid_Incoming'!U20-'Grid_Requirement'!U20</f>
        <v/>
      </c>
      <c r="V20">
        <f>U20+'Grid_Incoming'!V20-'Grid_Requirement'!V20</f>
        <v/>
      </c>
      <c r="W20">
        <f>V20+'Grid_Incoming'!W20-'Grid_Requirement'!W20</f>
        <v/>
      </c>
      <c r="X20">
        <f>W20+'Grid_Incoming'!X20-'Grid_Requirement'!X20</f>
        <v/>
      </c>
      <c r="Y20">
        <f>X20+'Grid_Incoming'!Y20-'Grid_Requirement'!Y20</f>
        <v/>
      </c>
      <c r="Z20">
        <f>Y20+'Grid_Incoming'!Z20-'Grid_Requirement'!Z20</f>
        <v/>
      </c>
      <c r="AA20">
        <f>Z20+'Grid_Incoming'!AA20-'Grid_Requirement'!AA20</f>
        <v/>
      </c>
      <c r="AB20">
        <f>AA20+'Grid_Incoming'!AB20-'Grid_Requirement'!AB20</f>
        <v/>
      </c>
      <c r="AC20">
        <f>AB20+'Grid_Incoming'!AC20-'Grid_Requirement'!AC20</f>
        <v/>
      </c>
      <c r="AD20">
        <f>AC20+'Grid_Incoming'!AD20-'Grid_Requirement'!AD20</f>
        <v/>
      </c>
      <c r="AE20">
        <f>AD20+'Grid_Incoming'!AE20-'Grid_Requirement'!AE20</f>
        <v/>
      </c>
      <c r="AF20">
        <f>AE20+'Grid_Incoming'!AF20-'Grid_Requirement'!AF20</f>
        <v/>
      </c>
      <c r="AG20">
        <f>AF20+'Grid_Incoming'!AG20-'Grid_Requirement'!AG20</f>
        <v/>
      </c>
      <c r="AH20">
        <f>AG20+'Grid_Incoming'!AH20-'Grid_Requirement'!AH20</f>
        <v/>
      </c>
      <c r="AI20">
        <f>AH20+'Grid_Incoming'!AI20-'Grid_Requirement'!AI20</f>
        <v/>
      </c>
      <c r="AJ20">
        <f>AI20+'Grid_Incoming'!AJ20-'Grid_Requirement'!AJ20</f>
        <v/>
      </c>
      <c r="AK20">
        <f>AJ20+'Grid_Incoming'!AK20-'Grid_Requirement'!AK20</f>
        <v/>
      </c>
      <c r="AL20">
        <f>AK20+'Grid_Incoming'!AL20-'Grid_Requirement'!AL20</f>
        <v/>
      </c>
      <c r="AM20">
        <f>AL20+'Grid_Incoming'!AM20-'Grid_Requirement'!AM20</f>
        <v/>
      </c>
      <c r="AN20">
        <f>AM20+'Grid_Incoming'!AN20-'Grid_Requirement'!AN20</f>
        <v/>
      </c>
      <c r="AO20">
        <f>AN20+'Grid_Incoming'!AO20-'Grid_Requirement'!AO20</f>
        <v/>
      </c>
      <c r="AP20">
        <f>AO20+'Grid_Incoming'!AP20-'Grid_Requirement'!AP20</f>
        <v/>
      </c>
      <c r="AQ20">
        <f>AP20+'Grid_Incoming'!AQ20-'Grid_Requirement'!AQ20</f>
        <v/>
      </c>
      <c r="AR20">
        <f>AQ20+'Grid_Incoming'!AR20-'Grid_Requirement'!AR20</f>
        <v/>
      </c>
      <c r="AS20">
        <f>AR20+'Grid_Incoming'!AS20-'Grid_Requirement'!AS20</f>
        <v/>
      </c>
      <c r="AT20">
        <f>AS20+'Grid_Incoming'!AT20-'Grid_Requirement'!AT20</f>
        <v/>
      </c>
      <c r="AU20">
        <f>AT20+'Grid_Incoming'!AU20-'Grid_Requirement'!AU20</f>
        <v/>
      </c>
      <c r="AV20">
        <f>AU20+'Grid_Incoming'!AV20-'Grid_Requirement'!AV20</f>
        <v/>
      </c>
      <c r="AW20">
        <f>AV20+'Grid_Incoming'!AW20-'Grid_Requirement'!AW20</f>
        <v/>
      </c>
      <c r="AX20">
        <f>AW20+'Grid_Incoming'!AX20-'Grid_Requirement'!AX20</f>
        <v/>
      </c>
      <c r="AY20">
        <f>AX20+'Grid_Incoming'!AY20-'Grid_Requirement'!AY20</f>
        <v/>
      </c>
      <c r="AZ20">
        <f>AY20+'Grid_Incoming'!AZ20-'Grid_Requirement'!AZ20</f>
        <v/>
      </c>
      <c r="BA20">
        <f>AZ20+'Grid_Incoming'!BA20-'Grid_Requirement'!BA20</f>
        <v/>
      </c>
      <c r="BB20">
        <f>BA20+'Grid_Incoming'!BB20-'Grid_Requirement'!BB20</f>
        <v/>
      </c>
      <c r="BC20">
        <f>BB20+'Grid_Incoming'!BC20-'Grid_Requirement'!BC20</f>
        <v/>
      </c>
      <c r="BD20">
        <f>BC20+'Grid_Incoming'!BD20-'Grid_Requirement'!BD20</f>
        <v/>
      </c>
      <c r="BE20">
        <f>BD20+'Grid_Incoming'!BE20-'Grid_Requirement'!BE20</f>
        <v/>
      </c>
      <c r="BF20">
        <f>BE20+'Grid_Incoming'!BF20-'Grid_Requirement'!BF20</f>
        <v/>
      </c>
      <c r="BG20">
        <f>BF20+'Grid_Incoming'!BG20-'Grid_Requirement'!BG20</f>
        <v/>
      </c>
      <c r="BH20">
        <f>BG20+'Grid_Incoming'!BH20-'Grid_Requirement'!BH20</f>
        <v/>
      </c>
      <c r="BI20">
        <f>BH20+'Grid_Incoming'!BI20-'Grid_Requirement'!BI20</f>
        <v/>
      </c>
      <c r="BJ20">
        <f>BI20+'Grid_Incoming'!BJ20-'Grid_Requirement'!BJ20</f>
        <v/>
      </c>
      <c r="BK20">
        <f>BJ20+'Grid_Incoming'!BK20-'Grid_Requirement'!BK20</f>
        <v/>
      </c>
      <c r="BL20">
        <f>BK20+'Grid_Incoming'!BL20-'Grid_Requirement'!BL20</f>
        <v/>
      </c>
      <c r="BM20">
        <f>BL20+'Grid_Incoming'!BM20-'Grid_Requirement'!BM20</f>
        <v/>
      </c>
      <c r="BN20">
        <f>BM20+'Grid_Incoming'!BN20-'Grid_Requirement'!BN20</f>
        <v/>
      </c>
      <c r="BO20">
        <f>BN20+'Grid_Incoming'!BO20-'Grid_Requirement'!BO20</f>
        <v/>
      </c>
      <c r="BP20">
        <f>BO20+'Grid_Incoming'!BP20-'Grid_Requirement'!BP20</f>
        <v/>
      </c>
      <c r="BQ20">
        <f>BP20+'Grid_Incoming'!BQ20-'Grid_Requirement'!BQ20</f>
        <v/>
      </c>
      <c r="BR20">
        <f>BQ20+'Grid_Incoming'!BR20-'Grid_Requirement'!BR20</f>
        <v/>
      </c>
      <c r="BS20">
        <f>BR20+'Grid_Incoming'!BS20-'Grid_Requirement'!BS20</f>
        <v/>
      </c>
      <c r="BT20">
        <f>BS20+'Grid_Incoming'!BT20-'Grid_Requirement'!BT20</f>
        <v/>
      </c>
      <c r="BU20">
        <f>BT20+'Grid_Incoming'!BU20-'Grid_Requirement'!BU20</f>
        <v/>
      </c>
      <c r="BV20">
        <f>BU20+'Grid_Incoming'!BV20-'Grid_Requirement'!BV20</f>
        <v/>
      </c>
      <c r="BW20">
        <f>BV20+'Grid_Incoming'!BW20-'Grid_Requirement'!BW20</f>
        <v/>
      </c>
      <c r="BX20">
        <f>BW20+'Grid_Incoming'!BX20-'Grid_Requirement'!BX20</f>
        <v/>
      </c>
      <c r="BY20">
        <f>BX20+'Grid_Incoming'!BY20-'Grid_Requirement'!BY20</f>
        <v/>
      </c>
      <c r="BZ20">
        <f>BY20+'Grid_Incoming'!BZ20-'Grid_Requirement'!BZ20</f>
        <v/>
      </c>
      <c r="CA20">
        <f>BZ20+'Grid_Incoming'!CA20-'Grid_Requirement'!CA20</f>
        <v/>
      </c>
      <c r="CB20">
        <f>CA20+'Grid_Incoming'!CB20-'Grid_Requirement'!CB20</f>
        <v/>
      </c>
      <c r="CC20">
        <f>CB20+'Grid_Incoming'!CC20-'Grid_Requirement'!CC20</f>
        <v/>
      </c>
      <c r="CD20">
        <f>CC20+'Grid_Incoming'!CD20-'Grid_Requirement'!CD20</f>
        <v/>
      </c>
      <c r="CE20">
        <f>CD20+'Grid_Incoming'!CE20-'Grid_Requirement'!CE20</f>
        <v/>
      </c>
      <c r="CF20">
        <f>CE20+'Grid_Incoming'!CF20-'Grid_Requirement'!CF20</f>
        <v/>
      </c>
      <c r="CG20">
        <f>CF20+'Grid_Incoming'!CG20-'Grid_Requirement'!CG20</f>
        <v/>
      </c>
      <c r="CH20">
        <f>CG20+'Grid_Incoming'!CH20-'Grid_Requirement'!CH20</f>
        <v/>
      </c>
      <c r="CI20">
        <f>CH20+'Grid_Incoming'!CI20-'Grid_Requirement'!CI20</f>
        <v/>
      </c>
      <c r="CJ20">
        <f>CI20+'Grid_Incoming'!CJ20-'Grid_Requirement'!CJ20</f>
        <v/>
      </c>
      <c r="CK20">
        <f>CJ20+'Grid_Incoming'!CK20-'Grid_Requirement'!CK20</f>
        <v/>
      </c>
      <c r="CL20">
        <f>CK20+'Grid_Incoming'!CL20-'Grid_Requirement'!CL20</f>
        <v/>
      </c>
      <c r="CM20">
        <f>CL20+'Grid_Incoming'!CM20-'Grid_Requirement'!CM20</f>
        <v/>
      </c>
      <c r="CN20">
        <f>CM20+'Grid_Incoming'!CN20-'Grid_Requirement'!CN20</f>
        <v/>
      </c>
      <c r="CO20">
        <f>CN20+'Grid_Incoming'!CO20-'Grid_Requirement'!CO20</f>
        <v/>
      </c>
      <c r="CP20">
        <f>CO20+'Grid_Incoming'!CP20-'Grid_Requirement'!CP20</f>
        <v/>
      </c>
      <c r="CQ20">
        <f>CP20+'Grid_Incoming'!CQ20-'Grid_Requirement'!CQ20</f>
        <v/>
      </c>
      <c r="CR20">
        <f>CQ20+'Grid_Incoming'!CR20-'Grid_Requirement'!CR20</f>
        <v/>
      </c>
      <c r="CS20">
        <f>CR20+'Grid_Incoming'!CS20-'Grid_Requirement'!CS20</f>
        <v/>
      </c>
      <c r="CT20">
        <f>CS20+'Grid_Incoming'!CT20-'Grid_Requirement'!CT20</f>
        <v/>
      </c>
      <c r="CU20">
        <f>CT20+'Grid_Incoming'!CU20-'Grid_Requirement'!CU20</f>
        <v/>
      </c>
      <c r="CV20">
        <f>CU20+'Grid_Incoming'!CV20-'Grid_Requirement'!CV20</f>
        <v/>
      </c>
      <c r="CW20">
        <f>CV20+'Grid_Incoming'!CW20-'Grid_Requirement'!CW20</f>
        <v/>
      </c>
      <c r="CX20">
        <f>CW20+'Grid_Incoming'!CX20-'Grid_Requirement'!CX20</f>
        <v/>
      </c>
      <c r="CY20">
        <f>CX20+'Grid_Incoming'!CY20-'Grid_Requirement'!CY20</f>
        <v/>
      </c>
      <c r="CZ20">
        <f>CY20+'Grid_Incoming'!CZ20-'Grid_Requirement'!CZ20</f>
        <v/>
      </c>
      <c r="DA20">
        <f>CZ20+'Grid_Incoming'!DA20-'Grid_Requirement'!DA20</f>
        <v/>
      </c>
    </row>
    <row r="21">
      <c r="A21" t="inlineStr">
        <is>
          <t>1JN</t>
        </is>
      </c>
      <c r="B21">
        <f>IFERROR(INDEX(T_OpeningStock[Opening_Qty],MATCH($A21,T_OpeningStock[Part Name],0)),0)+'Grid_Incoming'!B21-'Grid_Requirement'!B21</f>
        <v/>
      </c>
      <c r="C21">
        <f>B21+'Grid_Incoming'!C21-'Grid_Requirement'!C21</f>
        <v/>
      </c>
      <c r="D21">
        <f>C21+'Grid_Incoming'!D21-'Grid_Requirement'!D21</f>
        <v/>
      </c>
      <c r="E21">
        <f>D21+'Grid_Incoming'!E21-'Grid_Requirement'!E21</f>
        <v/>
      </c>
      <c r="F21">
        <f>E21+'Grid_Incoming'!F21-'Grid_Requirement'!F21</f>
        <v/>
      </c>
      <c r="G21">
        <f>F21+'Grid_Incoming'!G21-'Grid_Requirement'!G21</f>
        <v/>
      </c>
      <c r="H21">
        <f>G21+'Grid_Incoming'!H21-'Grid_Requirement'!H21</f>
        <v/>
      </c>
      <c r="I21">
        <f>H21+'Grid_Incoming'!I21-'Grid_Requirement'!I21</f>
        <v/>
      </c>
      <c r="J21">
        <f>I21+'Grid_Incoming'!J21-'Grid_Requirement'!J21</f>
        <v/>
      </c>
      <c r="K21">
        <f>J21+'Grid_Incoming'!K21-'Grid_Requirement'!K21</f>
        <v/>
      </c>
      <c r="L21">
        <f>K21+'Grid_Incoming'!L21-'Grid_Requirement'!L21</f>
        <v/>
      </c>
      <c r="M21">
        <f>L21+'Grid_Incoming'!M21-'Grid_Requirement'!M21</f>
        <v/>
      </c>
      <c r="N21">
        <f>M21+'Grid_Incoming'!N21-'Grid_Requirement'!N21</f>
        <v/>
      </c>
      <c r="O21">
        <f>N21+'Grid_Incoming'!O21-'Grid_Requirement'!O21</f>
        <v/>
      </c>
      <c r="P21">
        <f>O21+'Grid_Incoming'!P21-'Grid_Requirement'!P21</f>
        <v/>
      </c>
      <c r="Q21">
        <f>P21+'Grid_Incoming'!Q21-'Grid_Requirement'!Q21</f>
        <v/>
      </c>
      <c r="R21">
        <f>Q21+'Grid_Incoming'!R21-'Grid_Requirement'!R21</f>
        <v/>
      </c>
      <c r="S21">
        <f>R21+'Grid_Incoming'!S21-'Grid_Requirement'!S21</f>
        <v/>
      </c>
      <c r="T21">
        <f>S21+'Grid_Incoming'!T21-'Grid_Requirement'!T21</f>
        <v/>
      </c>
      <c r="U21">
        <f>T21+'Grid_Incoming'!U21-'Grid_Requirement'!U21</f>
        <v/>
      </c>
      <c r="V21">
        <f>U21+'Grid_Incoming'!V21-'Grid_Requirement'!V21</f>
        <v/>
      </c>
      <c r="W21">
        <f>V21+'Grid_Incoming'!W21-'Grid_Requirement'!W21</f>
        <v/>
      </c>
      <c r="X21">
        <f>W21+'Grid_Incoming'!X21-'Grid_Requirement'!X21</f>
        <v/>
      </c>
      <c r="Y21">
        <f>X21+'Grid_Incoming'!Y21-'Grid_Requirement'!Y21</f>
        <v/>
      </c>
      <c r="Z21">
        <f>Y21+'Grid_Incoming'!Z21-'Grid_Requirement'!Z21</f>
        <v/>
      </c>
      <c r="AA21">
        <f>Z21+'Grid_Incoming'!AA21-'Grid_Requirement'!AA21</f>
        <v/>
      </c>
      <c r="AB21">
        <f>AA21+'Grid_Incoming'!AB21-'Grid_Requirement'!AB21</f>
        <v/>
      </c>
      <c r="AC21">
        <f>AB21+'Grid_Incoming'!AC21-'Grid_Requirement'!AC21</f>
        <v/>
      </c>
      <c r="AD21">
        <f>AC21+'Grid_Incoming'!AD21-'Grid_Requirement'!AD21</f>
        <v/>
      </c>
      <c r="AE21">
        <f>AD21+'Grid_Incoming'!AE21-'Grid_Requirement'!AE21</f>
        <v/>
      </c>
      <c r="AF21">
        <f>AE21+'Grid_Incoming'!AF21-'Grid_Requirement'!AF21</f>
        <v/>
      </c>
      <c r="AG21">
        <f>AF21+'Grid_Incoming'!AG21-'Grid_Requirement'!AG21</f>
        <v/>
      </c>
      <c r="AH21">
        <f>AG21+'Grid_Incoming'!AH21-'Grid_Requirement'!AH21</f>
        <v/>
      </c>
      <c r="AI21">
        <f>AH21+'Grid_Incoming'!AI21-'Grid_Requirement'!AI21</f>
        <v/>
      </c>
      <c r="AJ21">
        <f>AI21+'Grid_Incoming'!AJ21-'Grid_Requirement'!AJ21</f>
        <v/>
      </c>
      <c r="AK21">
        <f>AJ21+'Grid_Incoming'!AK21-'Grid_Requirement'!AK21</f>
        <v/>
      </c>
      <c r="AL21">
        <f>AK21+'Grid_Incoming'!AL21-'Grid_Requirement'!AL21</f>
        <v/>
      </c>
      <c r="AM21">
        <f>AL21+'Grid_Incoming'!AM21-'Grid_Requirement'!AM21</f>
        <v/>
      </c>
      <c r="AN21">
        <f>AM21+'Grid_Incoming'!AN21-'Grid_Requirement'!AN21</f>
        <v/>
      </c>
      <c r="AO21">
        <f>AN21+'Grid_Incoming'!AO21-'Grid_Requirement'!AO21</f>
        <v/>
      </c>
      <c r="AP21">
        <f>AO21+'Grid_Incoming'!AP21-'Grid_Requirement'!AP21</f>
        <v/>
      </c>
      <c r="AQ21">
        <f>AP21+'Grid_Incoming'!AQ21-'Grid_Requirement'!AQ21</f>
        <v/>
      </c>
      <c r="AR21">
        <f>AQ21+'Grid_Incoming'!AR21-'Grid_Requirement'!AR21</f>
        <v/>
      </c>
      <c r="AS21">
        <f>AR21+'Grid_Incoming'!AS21-'Grid_Requirement'!AS21</f>
        <v/>
      </c>
      <c r="AT21">
        <f>AS21+'Grid_Incoming'!AT21-'Grid_Requirement'!AT21</f>
        <v/>
      </c>
      <c r="AU21">
        <f>AT21+'Grid_Incoming'!AU21-'Grid_Requirement'!AU21</f>
        <v/>
      </c>
      <c r="AV21">
        <f>AU21+'Grid_Incoming'!AV21-'Grid_Requirement'!AV21</f>
        <v/>
      </c>
      <c r="AW21">
        <f>AV21+'Grid_Incoming'!AW21-'Grid_Requirement'!AW21</f>
        <v/>
      </c>
      <c r="AX21">
        <f>AW21+'Grid_Incoming'!AX21-'Grid_Requirement'!AX21</f>
        <v/>
      </c>
      <c r="AY21">
        <f>AX21+'Grid_Incoming'!AY21-'Grid_Requirement'!AY21</f>
        <v/>
      </c>
      <c r="AZ21">
        <f>AY21+'Grid_Incoming'!AZ21-'Grid_Requirement'!AZ21</f>
        <v/>
      </c>
      <c r="BA21">
        <f>AZ21+'Grid_Incoming'!BA21-'Grid_Requirement'!BA21</f>
        <v/>
      </c>
      <c r="BB21">
        <f>BA21+'Grid_Incoming'!BB21-'Grid_Requirement'!BB21</f>
        <v/>
      </c>
      <c r="BC21">
        <f>BB21+'Grid_Incoming'!BC21-'Grid_Requirement'!BC21</f>
        <v/>
      </c>
      <c r="BD21">
        <f>BC21+'Grid_Incoming'!BD21-'Grid_Requirement'!BD21</f>
        <v/>
      </c>
      <c r="BE21">
        <f>BD21+'Grid_Incoming'!BE21-'Grid_Requirement'!BE21</f>
        <v/>
      </c>
      <c r="BF21">
        <f>BE21+'Grid_Incoming'!BF21-'Grid_Requirement'!BF21</f>
        <v/>
      </c>
      <c r="BG21">
        <f>BF21+'Grid_Incoming'!BG21-'Grid_Requirement'!BG21</f>
        <v/>
      </c>
      <c r="BH21">
        <f>BG21+'Grid_Incoming'!BH21-'Grid_Requirement'!BH21</f>
        <v/>
      </c>
      <c r="BI21">
        <f>BH21+'Grid_Incoming'!BI21-'Grid_Requirement'!BI21</f>
        <v/>
      </c>
      <c r="BJ21">
        <f>BI21+'Grid_Incoming'!BJ21-'Grid_Requirement'!BJ21</f>
        <v/>
      </c>
      <c r="BK21">
        <f>BJ21+'Grid_Incoming'!BK21-'Grid_Requirement'!BK21</f>
        <v/>
      </c>
      <c r="BL21">
        <f>BK21+'Grid_Incoming'!BL21-'Grid_Requirement'!BL21</f>
        <v/>
      </c>
      <c r="BM21">
        <f>BL21+'Grid_Incoming'!BM21-'Grid_Requirement'!BM21</f>
        <v/>
      </c>
      <c r="BN21">
        <f>BM21+'Grid_Incoming'!BN21-'Grid_Requirement'!BN21</f>
        <v/>
      </c>
      <c r="BO21">
        <f>BN21+'Grid_Incoming'!BO21-'Grid_Requirement'!BO21</f>
        <v/>
      </c>
      <c r="BP21">
        <f>BO21+'Grid_Incoming'!BP21-'Grid_Requirement'!BP21</f>
        <v/>
      </c>
      <c r="BQ21">
        <f>BP21+'Grid_Incoming'!BQ21-'Grid_Requirement'!BQ21</f>
        <v/>
      </c>
      <c r="BR21">
        <f>BQ21+'Grid_Incoming'!BR21-'Grid_Requirement'!BR21</f>
        <v/>
      </c>
      <c r="BS21">
        <f>BR21+'Grid_Incoming'!BS21-'Grid_Requirement'!BS21</f>
        <v/>
      </c>
      <c r="BT21">
        <f>BS21+'Grid_Incoming'!BT21-'Grid_Requirement'!BT21</f>
        <v/>
      </c>
      <c r="BU21">
        <f>BT21+'Grid_Incoming'!BU21-'Grid_Requirement'!BU21</f>
        <v/>
      </c>
      <c r="BV21">
        <f>BU21+'Grid_Incoming'!BV21-'Grid_Requirement'!BV21</f>
        <v/>
      </c>
      <c r="BW21">
        <f>BV21+'Grid_Incoming'!BW21-'Grid_Requirement'!BW21</f>
        <v/>
      </c>
      <c r="BX21">
        <f>BW21+'Grid_Incoming'!BX21-'Grid_Requirement'!BX21</f>
        <v/>
      </c>
      <c r="BY21">
        <f>BX21+'Grid_Incoming'!BY21-'Grid_Requirement'!BY21</f>
        <v/>
      </c>
      <c r="BZ21">
        <f>BY21+'Grid_Incoming'!BZ21-'Grid_Requirement'!BZ21</f>
        <v/>
      </c>
      <c r="CA21">
        <f>BZ21+'Grid_Incoming'!CA21-'Grid_Requirement'!CA21</f>
        <v/>
      </c>
      <c r="CB21">
        <f>CA21+'Grid_Incoming'!CB21-'Grid_Requirement'!CB21</f>
        <v/>
      </c>
      <c r="CC21">
        <f>CB21+'Grid_Incoming'!CC21-'Grid_Requirement'!CC21</f>
        <v/>
      </c>
      <c r="CD21">
        <f>CC21+'Grid_Incoming'!CD21-'Grid_Requirement'!CD21</f>
        <v/>
      </c>
      <c r="CE21">
        <f>CD21+'Grid_Incoming'!CE21-'Grid_Requirement'!CE21</f>
        <v/>
      </c>
      <c r="CF21">
        <f>CE21+'Grid_Incoming'!CF21-'Grid_Requirement'!CF21</f>
        <v/>
      </c>
      <c r="CG21">
        <f>CF21+'Grid_Incoming'!CG21-'Grid_Requirement'!CG21</f>
        <v/>
      </c>
      <c r="CH21">
        <f>CG21+'Grid_Incoming'!CH21-'Grid_Requirement'!CH21</f>
        <v/>
      </c>
      <c r="CI21">
        <f>CH21+'Grid_Incoming'!CI21-'Grid_Requirement'!CI21</f>
        <v/>
      </c>
      <c r="CJ21">
        <f>CI21+'Grid_Incoming'!CJ21-'Grid_Requirement'!CJ21</f>
        <v/>
      </c>
      <c r="CK21">
        <f>CJ21+'Grid_Incoming'!CK21-'Grid_Requirement'!CK21</f>
        <v/>
      </c>
      <c r="CL21">
        <f>CK21+'Grid_Incoming'!CL21-'Grid_Requirement'!CL21</f>
        <v/>
      </c>
      <c r="CM21">
        <f>CL21+'Grid_Incoming'!CM21-'Grid_Requirement'!CM21</f>
        <v/>
      </c>
      <c r="CN21">
        <f>CM21+'Grid_Incoming'!CN21-'Grid_Requirement'!CN21</f>
        <v/>
      </c>
      <c r="CO21">
        <f>CN21+'Grid_Incoming'!CO21-'Grid_Requirement'!CO21</f>
        <v/>
      </c>
      <c r="CP21">
        <f>CO21+'Grid_Incoming'!CP21-'Grid_Requirement'!CP21</f>
        <v/>
      </c>
      <c r="CQ21">
        <f>CP21+'Grid_Incoming'!CQ21-'Grid_Requirement'!CQ21</f>
        <v/>
      </c>
      <c r="CR21">
        <f>CQ21+'Grid_Incoming'!CR21-'Grid_Requirement'!CR21</f>
        <v/>
      </c>
      <c r="CS21">
        <f>CR21+'Grid_Incoming'!CS21-'Grid_Requirement'!CS21</f>
        <v/>
      </c>
      <c r="CT21">
        <f>CS21+'Grid_Incoming'!CT21-'Grid_Requirement'!CT21</f>
        <v/>
      </c>
      <c r="CU21">
        <f>CT21+'Grid_Incoming'!CU21-'Grid_Requirement'!CU21</f>
        <v/>
      </c>
      <c r="CV21">
        <f>CU21+'Grid_Incoming'!CV21-'Grid_Requirement'!CV21</f>
        <v/>
      </c>
      <c r="CW21">
        <f>CV21+'Grid_Incoming'!CW21-'Grid_Requirement'!CW21</f>
        <v/>
      </c>
      <c r="CX21">
        <f>CW21+'Grid_Incoming'!CX21-'Grid_Requirement'!CX21</f>
        <v/>
      </c>
      <c r="CY21">
        <f>CX21+'Grid_Incoming'!CY21-'Grid_Requirement'!CY21</f>
        <v/>
      </c>
      <c r="CZ21">
        <f>CY21+'Grid_Incoming'!CZ21-'Grid_Requirement'!CZ21</f>
        <v/>
      </c>
      <c r="DA21">
        <f>CZ21+'Grid_Incoming'!DA21-'Grid_Requirement'!DA21</f>
        <v/>
      </c>
    </row>
    <row r="22">
      <c r="A22" t="inlineStr">
        <is>
          <t>CHEM-1670</t>
        </is>
      </c>
      <c r="B22">
        <f>IFERROR(INDEX(T_OpeningStock[Opening_Qty],MATCH($A22,T_OpeningStock[Part Name],0)),0)+'Grid_Incoming'!B22-'Grid_Requirement'!B22</f>
        <v/>
      </c>
      <c r="C22">
        <f>B22+'Grid_Incoming'!C22-'Grid_Requirement'!C22</f>
        <v/>
      </c>
      <c r="D22">
        <f>C22+'Grid_Incoming'!D22-'Grid_Requirement'!D22</f>
        <v/>
      </c>
      <c r="E22">
        <f>D22+'Grid_Incoming'!E22-'Grid_Requirement'!E22</f>
        <v/>
      </c>
      <c r="F22">
        <f>E22+'Grid_Incoming'!F22-'Grid_Requirement'!F22</f>
        <v/>
      </c>
      <c r="G22">
        <f>F22+'Grid_Incoming'!G22-'Grid_Requirement'!G22</f>
        <v/>
      </c>
      <c r="H22">
        <f>G22+'Grid_Incoming'!H22-'Grid_Requirement'!H22</f>
        <v/>
      </c>
      <c r="I22">
        <f>H22+'Grid_Incoming'!I22-'Grid_Requirement'!I22</f>
        <v/>
      </c>
      <c r="J22">
        <f>I22+'Grid_Incoming'!J22-'Grid_Requirement'!J22</f>
        <v/>
      </c>
      <c r="K22">
        <f>J22+'Grid_Incoming'!K22-'Grid_Requirement'!K22</f>
        <v/>
      </c>
      <c r="L22">
        <f>K22+'Grid_Incoming'!L22-'Grid_Requirement'!L22</f>
        <v/>
      </c>
      <c r="M22">
        <f>L22+'Grid_Incoming'!M22-'Grid_Requirement'!M22</f>
        <v/>
      </c>
      <c r="N22">
        <f>M22+'Grid_Incoming'!N22-'Grid_Requirement'!N22</f>
        <v/>
      </c>
      <c r="O22">
        <f>N22+'Grid_Incoming'!O22-'Grid_Requirement'!O22</f>
        <v/>
      </c>
      <c r="P22">
        <f>O22+'Grid_Incoming'!P22-'Grid_Requirement'!P22</f>
        <v/>
      </c>
      <c r="Q22">
        <f>P22+'Grid_Incoming'!Q22-'Grid_Requirement'!Q22</f>
        <v/>
      </c>
      <c r="R22">
        <f>Q22+'Grid_Incoming'!R22-'Grid_Requirement'!R22</f>
        <v/>
      </c>
      <c r="S22">
        <f>R22+'Grid_Incoming'!S22-'Grid_Requirement'!S22</f>
        <v/>
      </c>
      <c r="T22">
        <f>S22+'Grid_Incoming'!T22-'Grid_Requirement'!T22</f>
        <v/>
      </c>
      <c r="U22">
        <f>T22+'Grid_Incoming'!U22-'Grid_Requirement'!U22</f>
        <v/>
      </c>
      <c r="V22">
        <f>U22+'Grid_Incoming'!V22-'Grid_Requirement'!V22</f>
        <v/>
      </c>
      <c r="W22">
        <f>V22+'Grid_Incoming'!W22-'Grid_Requirement'!W22</f>
        <v/>
      </c>
      <c r="X22">
        <f>W22+'Grid_Incoming'!X22-'Grid_Requirement'!X22</f>
        <v/>
      </c>
      <c r="Y22">
        <f>X22+'Grid_Incoming'!Y22-'Grid_Requirement'!Y22</f>
        <v/>
      </c>
      <c r="Z22">
        <f>Y22+'Grid_Incoming'!Z22-'Grid_Requirement'!Z22</f>
        <v/>
      </c>
      <c r="AA22">
        <f>Z22+'Grid_Incoming'!AA22-'Grid_Requirement'!AA22</f>
        <v/>
      </c>
      <c r="AB22">
        <f>AA22+'Grid_Incoming'!AB22-'Grid_Requirement'!AB22</f>
        <v/>
      </c>
      <c r="AC22">
        <f>AB22+'Grid_Incoming'!AC22-'Grid_Requirement'!AC22</f>
        <v/>
      </c>
      <c r="AD22">
        <f>AC22+'Grid_Incoming'!AD22-'Grid_Requirement'!AD22</f>
        <v/>
      </c>
      <c r="AE22">
        <f>AD22+'Grid_Incoming'!AE22-'Grid_Requirement'!AE22</f>
        <v/>
      </c>
      <c r="AF22">
        <f>AE22+'Grid_Incoming'!AF22-'Grid_Requirement'!AF22</f>
        <v/>
      </c>
      <c r="AG22">
        <f>AF22+'Grid_Incoming'!AG22-'Grid_Requirement'!AG22</f>
        <v/>
      </c>
      <c r="AH22">
        <f>AG22+'Grid_Incoming'!AH22-'Grid_Requirement'!AH22</f>
        <v/>
      </c>
      <c r="AI22">
        <f>AH22+'Grid_Incoming'!AI22-'Grid_Requirement'!AI22</f>
        <v/>
      </c>
      <c r="AJ22">
        <f>AI22+'Grid_Incoming'!AJ22-'Grid_Requirement'!AJ22</f>
        <v/>
      </c>
      <c r="AK22">
        <f>AJ22+'Grid_Incoming'!AK22-'Grid_Requirement'!AK22</f>
        <v/>
      </c>
      <c r="AL22">
        <f>AK22+'Grid_Incoming'!AL22-'Grid_Requirement'!AL22</f>
        <v/>
      </c>
      <c r="AM22">
        <f>AL22+'Grid_Incoming'!AM22-'Grid_Requirement'!AM22</f>
        <v/>
      </c>
      <c r="AN22">
        <f>AM22+'Grid_Incoming'!AN22-'Grid_Requirement'!AN22</f>
        <v/>
      </c>
      <c r="AO22">
        <f>AN22+'Grid_Incoming'!AO22-'Grid_Requirement'!AO22</f>
        <v/>
      </c>
      <c r="AP22">
        <f>AO22+'Grid_Incoming'!AP22-'Grid_Requirement'!AP22</f>
        <v/>
      </c>
      <c r="AQ22">
        <f>AP22+'Grid_Incoming'!AQ22-'Grid_Requirement'!AQ22</f>
        <v/>
      </c>
      <c r="AR22">
        <f>AQ22+'Grid_Incoming'!AR22-'Grid_Requirement'!AR22</f>
        <v/>
      </c>
      <c r="AS22">
        <f>AR22+'Grid_Incoming'!AS22-'Grid_Requirement'!AS22</f>
        <v/>
      </c>
      <c r="AT22">
        <f>AS22+'Grid_Incoming'!AT22-'Grid_Requirement'!AT22</f>
        <v/>
      </c>
      <c r="AU22">
        <f>AT22+'Grid_Incoming'!AU22-'Grid_Requirement'!AU22</f>
        <v/>
      </c>
      <c r="AV22">
        <f>AU22+'Grid_Incoming'!AV22-'Grid_Requirement'!AV22</f>
        <v/>
      </c>
      <c r="AW22">
        <f>AV22+'Grid_Incoming'!AW22-'Grid_Requirement'!AW22</f>
        <v/>
      </c>
      <c r="AX22">
        <f>AW22+'Grid_Incoming'!AX22-'Grid_Requirement'!AX22</f>
        <v/>
      </c>
      <c r="AY22">
        <f>AX22+'Grid_Incoming'!AY22-'Grid_Requirement'!AY22</f>
        <v/>
      </c>
      <c r="AZ22">
        <f>AY22+'Grid_Incoming'!AZ22-'Grid_Requirement'!AZ22</f>
        <v/>
      </c>
      <c r="BA22">
        <f>AZ22+'Grid_Incoming'!BA22-'Grid_Requirement'!BA22</f>
        <v/>
      </c>
      <c r="BB22">
        <f>BA22+'Grid_Incoming'!BB22-'Grid_Requirement'!BB22</f>
        <v/>
      </c>
      <c r="BC22">
        <f>BB22+'Grid_Incoming'!BC22-'Grid_Requirement'!BC22</f>
        <v/>
      </c>
      <c r="BD22">
        <f>BC22+'Grid_Incoming'!BD22-'Grid_Requirement'!BD22</f>
        <v/>
      </c>
      <c r="BE22">
        <f>BD22+'Grid_Incoming'!BE22-'Grid_Requirement'!BE22</f>
        <v/>
      </c>
      <c r="BF22">
        <f>BE22+'Grid_Incoming'!BF22-'Grid_Requirement'!BF22</f>
        <v/>
      </c>
      <c r="BG22">
        <f>BF22+'Grid_Incoming'!BG22-'Grid_Requirement'!BG22</f>
        <v/>
      </c>
      <c r="BH22">
        <f>BG22+'Grid_Incoming'!BH22-'Grid_Requirement'!BH22</f>
        <v/>
      </c>
      <c r="BI22">
        <f>BH22+'Grid_Incoming'!BI22-'Grid_Requirement'!BI22</f>
        <v/>
      </c>
      <c r="BJ22">
        <f>BI22+'Grid_Incoming'!BJ22-'Grid_Requirement'!BJ22</f>
        <v/>
      </c>
      <c r="BK22">
        <f>BJ22+'Grid_Incoming'!BK22-'Grid_Requirement'!BK22</f>
        <v/>
      </c>
      <c r="BL22">
        <f>BK22+'Grid_Incoming'!BL22-'Grid_Requirement'!BL22</f>
        <v/>
      </c>
      <c r="BM22">
        <f>BL22+'Grid_Incoming'!BM22-'Grid_Requirement'!BM22</f>
        <v/>
      </c>
      <c r="BN22">
        <f>BM22+'Grid_Incoming'!BN22-'Grid_Requirement'!BN22</f>
        <v/>
      </c>
      <c r="BO22">
        <f>BN22+'Grid_Incoming'!BO22-'Grid_Requirement'!BO22</f>
        <v/>
      </c>
      <c r="BP22">
        <f>BO22+'Grid_Incoming'!BP22-'Grid_Requirement'!BP22</f>
        <v/>
      </c>
      <c r="BQ22">
        <f>BP22+'Grid_Incoming'!BQ22-'Grid_Requirement'!BQ22</f>
        <v/>
      </c>
      <c r="BR22">
        <f>BQ22+'Grid_Incoming'!BR22-'Grid_Requirement'!BR22</f>
        <v/>
      </c>
      <c r="BS22">
        <f>BR22+'Grid_Incoming'!BS22-'Grid_Requirement'!BS22</f>
        <v/>
      </c>
      <c r="BT22">
        <f>BS22+'Grid_Incoming'!BT22-'Grid_Requirement'!BT22</f>
        <v/>
      </c>
      <c r="BU22">
        <f>BT22+'Grid_Incoming'!BU22-'Grid_Requirement'!BU22</f>
        <v/>
      </c>
      <c r="BV22">
        <f>BU22+'Grid_Incoming'!BV22-'Grid_Requirement'!BV22</f>
        <v/>
      </c>
      <c r="BW22">
        <f>BV22+'Grid_Incoming'!BW22-'Grid_Requirement'!BW22</f>
        <v/>
      </c>
      <c r="BX22">
        <f>BW22+'Grid_Incoming'!BX22-'Grid_Requirement'!BX22</f>
        <v/>
      </c>
      <c r="BY22">
        <f>BX22+'Grid_Incoming'!BY22-'Grid_Requirement'!BY22</f>
        <v/>
      </c>
      <c r="BZ22">
        <f>BY22+'Grid_Incoming'!BZ22-'Grid_Requirement'!BZ22</f>
        <v/>
      </c>
      <c r="CA22">
        <f>BZ22+'Grid_Incoming'!CA22-'Grid_Requirement'!CA22</f>
        <v/>
      </c>
      <c r="CB22">
        <f>CA22+'Grid_Incoming'!CB22-'Grid_Requirement'!CB22</f>
        <v/>
      </c>
      <c r="CC22">
        <f>CB22+'Grid_Incoming'!CC22-'Grid_Requirement'!CC22</f>
        <v/>
      </c>
      <c r="CD22">
        <f>CC22+'Grid_Incoming'!CD22-'Grid_Requirement'!CD22</f>
        <v/>
      </c>
      <c r="CE22">
        <f>CD22+'Grid_Incoming'!CE22-'Grid_Requirement'!CE22</f>
        <v/>
      </c>
      <c r="CF22">
        <f>CE22+'Grid_Incoming'!CF22-'Grid_Requirement'!CF22</f>
        <v/>
      </c>
      <c r="CG22">
        <f>CF22+'Grid_Incoming'!CG22-'Grid_Requirement'!CG22</f>
        <v/>
      </c>
      <c r="CH22">
        <f>CG22+'Grid_Incoming'!CH22-'Grid_Requirement'!CH22</f>
        <v/>
      </c>
      <c r="CI22">
        <f>CH22+'Grid_Incoming'!CI22-'Grid_Requirement'!CI22</f>
        <v/>
      </c>
      <c r="CJ22">
        <f>CI22+'Grid_Incoming'!CJ22-'Grid_Requirement'!CJ22</f>
        <v/>
      </c>
      <c r="CK22">
        <f>CJ22+'Grid_Incoming'!CK22-'Grid_Requirement'!CK22</f>
        <v/>
      </c>
      <c r="CL22">
        <f>CK22+'Grid_Incoming'!CL22-'Grid_Requirement'!CL22</f>
        <v/>
      </c>
      <c r="CM22">
        <f>CL22+'Grid_Incoming'!CM22-'Grid_Requirement'!CM22</f>
        <v/>
      </c>
      <c r="CN22">
        <f>CM22+'Grid_Incoming'!CN22-'Grid_Requirement'!CN22</f>
        <v/>
      </c>
      <c r="CO22">
        <f>CN22+'Grid_Incoming'!CO22-'Grid_Requirement'!CO22</f>
        <v/>
      </c>
      <c r="CP22">
        <f>CO22+'Grid_Incoming'!CP22-'Grid_Requirement'!CP22</f>
        <v/>
      </c>
      <c r="CQ22">
        <f>CP22+'Grid_Incoming'!CQ22-'Grid_Requirement'!CQ22</f>
        <v/>
      </c>
      <c r="CR22">
        <f>CQ22+'Grid_Incoming'!CR22-'Grid_Requirement'!CR22</f>
        <v/>
      </c>
      <c r="CS22">
        <f>CR22+'Grid_Incoming'!CS22-'Grid_Requirement'!CS22</f>
        <v/>
      </c>
      <c r="CT22">
        <f>CS22+'Grid_Incoming'!CT22-'Grid_Requirement'!CT22</f>
        <v/>
      </c>
      <c r="CU22">
        <f>CT22+'Grid_Incoming'!CU22-'Grid_Requirement'!CU22</f>
        <v/>
      </c>
      <c r="CV22">
        <f>CU22+'Grid_Incoming'!CV22-'Grid_Requirement'!CV22</f>
        <v/>
      </c>
      <c r="CW22">
        <f>CV22+'Grid_Incoming'!CW22-'Grid_Requirement'!CW22</f>
        <v/>
      </c>
      <c r="CX22">
        <f>CW22+'Grid_Incoming'!CX22-'Grid_Requirement'!CX22</f>
        <v/>
      </c>
      <c r="CY22">
        <f>CX22+'Grid_Incoming'!CY22-'Grid_Requirement'!CY22</f>
        <v/>
      </c>
      <c r="CZ22">
        <f>CY22+'Grid_Incoming'!CZ22-'Grid_Requirement'!CZ22</f>
        <v/>
      </c>
      <c r="DA22">
        <f>CZ22+'Grid_Incoming'!DA22-'Grid_Requirement'!DA22</f>
        <v/>
      </c>
    </row>
    <row r="23">
      <c r="A23" t="inlineStr">
        <is>
          <t>CHEM-1110</t>
        </is>
      </c>
      <c r="B23">
        <f>IFERROR(INDEX(T_OpeningStock[Opening_Qty],MATCH($A23,T_OpeningStock[Part Name],0)),0)+'Grid_Incoming'!B23-'Grid_Requirement'!B23</f>
        <v/>
      </c>
      <c r="C23">
        <f>B23+'Grid_Incoming'!C23-'Grid_Requirement'!C23</f>
        <v/>
      </c>
      <c r="D23">
        <f>C23+'Grid_Incoming'!D23-'Grid_Requirement'!D23</f>
        <v/>
      </c>
      <c r="E23">
        <f>D23+'Grid_Incoming'!E23-'Grid_Requirement'!E23</f>
        <v/>
      </c>
      <c r="F23">
        <f>E23+'Grid_Incoming'!F23-'Grid_Requirement'!F23</f>
        <v/>
      </c>
      <c r="G23">
        <f>F23+'Grid_Incoming'!G23-'Grid_Requirement'!G23</f>
        <v/>
      </c>
      <c r="H23">
        <f>G23+'Grid_Incoming'!H23-'Grid_Requirement'!H23</f>
        <v/>
      </c>
      <c r="I23">
        <f>H23+'Grid_Incoming'!I23-'Grid_Requirement'!I23</f>
        <v/>
      </c>
      <c r="J23">
        <f>I23+'Grid_Incoming'!J23-'Grid_Requirement'!J23</f>
        <v/>
      </c>
      <c r="K23">
        <f>J23+'Grid_Incoming'!K23-'Grid_Requirement'!K23</f>
        <v/>
      </c>
      <c r="L23">
        <f>K23+'Grid_Incoming'!L23-'Grid_Requirement'!L23</f>
        <v/>
      </c>
      <c r="M23">
        <f>L23+'Grid_Incoming'!M23-'Grid_Requirement'!M23</f>
        <v/>
      </c>
      <c r="N23">
        <f>M23+'Grid_Incoming'!N23-'Grid_Requirement'!N23</f>
        <v/>
      </c>
      <c r="O23">
        <f>N23+'Grid_Incoming'!O23-'Grid_Requirement'!O23</f>
        <v/>
      </c>
      <c r="P23">
        <f>O23+'Grid_Incoming'!P23-'Grid_Requirement'!P23</f>
        <v/>
      </c>
      <c r="Q23">
        <f>P23+'Grid_Incoming'!Q23-'Grid_Requirement'!Q23</f>
        <v/>
      </c>
      <c r="R23">
        <f>Q23+'Grid_Incoming'!R23-'Grid_Requirement'!R23</f>
        <v/>
      </c>
      <c r="S23">
        <f>R23+'Grid_Incoming'!S23-'Grid_Requirement'!S23</f>
        <v/>
      </c>
      <c r="T23">
        <f>S23+'Grid_Incoming'!T23-'Grid_Requirement'!T23</f>
        <v/>
      </c>
      <c r="U23">
        <f>T23+'Grid_Incoming'!U23-'Grid_Requirement'!U23</f>
        <v/>
      </c>
      <c r="V23">
        <f>U23+'Grid_Incoming'!V23-'Grid_Requirement'!V23</f>
        <v/>
      </c>
      <c r="W23">
        <f>V23+'Grid_Incoming'!W23-'Grid_Requirement'!W23</f>
        <v/>
      </c>
      <c r="X23">
        <f>W23+'Grid_Incoming'!X23-'Grid_Requirement'!X23</f>
        <v/>
      </c>
      <c r="Y23">
        <f>X23+'Grid_Incoming'!Y23-'Grid_Requirement'!Y23</f>
        <v/>
      </c>
      <c r="Z23">
        <f>Y23+'Grid_Incoming'!Z23-'Grid_Requirement'!Z23</f>
        <v/>
      </c>
      <c r="AA23">
        <f>Z23+'Grid_Incoming'!AA23-'Grid_Requirement'!AA23</f>
        <v/>
      </c>
      <c r="AB23">
        <f>AA23+'Grid_Incoming'!AB23-'Grid_Requirement'!AB23</f>
        <v/>
      </c>
      <c r="AC23">
        <f>AB23+'Grid_Incoming'!AC23-'Grid_Requirement'!AC23</f>
        <v/>
      </c>
      <c r="AD23">
        <f>AC23+'Grid_Incoming'!AD23-'Grid_Requirement'!AD23</f>
        <v/>
      </c>
      <c r="AE23">
        <f>AD23+'Grid_Incoming'!AE23-'Grid_Requirement'!AE23</f>
        <v/>
      </c>
      <c r="AF23">
        <f>AE23+'Grid_Incoming'!AF23-'Grid_Requirement'!AF23</f>
        <v/>
      </c>
      <c r="AG23">
        <f>AF23+'Grid_Incoming'!AG23-'Grid_Requirement'!AG23</f>
        <v/>
      </c>
      <c r="AH23">
        <f>AG23+'Grid_Incoming'!AH23-'Grid_Requirement'!AH23</f>
        <v/>
      </c>
      <c r="AI23">
        <f>AH23+'Grid_Incoming'!AI23-'Grid_Requirement'!AI23</f>
        <v/>
      </c>
      <c r="AJ23">
        <f>AI23+'Grid_Incoming'!AJ23-'Grid_Requirement'!AJ23</f>
        <v/>
      </c>
      <c r="AK23">
        <f>AJ23+'Grid_Incoming'!AK23-'Grid_Requirement'!AK23</f>
        <v/>
      </c>
      <c r="AL23">
        <f>AK23+'Grid_Incoming'!AL23-'Grid_Requirement'!AL23</f>
        <v/>
      </c>
      <c r="AM23">
        <f>AL23+'Grid_Incoming'!AM23-'Grid_Requirement'!AM23</f>
        <v/>
      </c>
      <c r="AN23">
        <f>AM23+'Grid_Incoming'!AN23-'Grid_Requirement'!AN23</f>
        <v/>
      </c>
      <c r="AO23">
        <f>AN23+'Grid_Incoming'!AO23-'Grid_Requirement'!AO23</f>
        <v/>
      </c>
      <c r="AP23">
        <f>AO23+'Grid_Incoming'!AP23-'Grid_Requirement'!AP23</f>
        <v/>
      </c>
      <c r="AQ23">
        <f>AP23+'Grid_Incoming'!AQ23-'Grid_Requirement'!AQ23</f>
        <v/>
      </c>
      <c r="AR23">
        <f>AQ23+'Grid_Incoming'!AR23-'Grid_Requirement'!AR23</f>
        <v/>
      </c>
      <c r="AS23">
        <f>AR23+'Grid_Incoming'!AS23-'Grid_Requirement'!AS23</f>
        <v/>
      </c>
      <c r="AT23">
        <f>AS23+'Grid_Incoming'!AT23-'Grid_Requirement'!AT23</f>
        <v/>
      </c>
      <c r="AU23">
        <f>AT23+'Grid_Incoming'!AU23-'Grid_Requirement'!AU23</f>
        <v/>
      </c>
      <c r="AV23">
        <f>AU23+'Grid_Incoming'!AV23-'Grid_Requirement'!AV23</f>
        <v/>
      </c>
      <c r="AW23">
        <f>AV23+'Grid_Incoming'!AW23-'Grid_Requirement'!AW23</f>
        <v/>
      </c>
      <c r="AX23">
        <f>AW23+'Grid_Incoming'!AX23-'Grid_Requirement'!AX23</f>
        <v/>
      </c>
      <c r="AY23">
        <f>AX23+'Grid_Incoming'!AY23-'Grid_Requirement'!AY23</f>
        <v/>
      </c>
      <c r="AZ23">
        <f>AY23+'Grid_Incoming'!AZ23-'Grid_Requirement'!AZ23</f>
        <v/>
      </c>
      <c r="BA23">
        <f>AZ23+'Grid_Incoming'!BA23-'Grid_Requirement'!BA23</f>
        <v/>
      </c>
      <c r="BB23">
        <f>BA23+'Grid_Incoming'!BB23-'Grid_Requirement'!BB23</f>
        <v/>
      </c>
      <c r="BC23">
        <f>BB23+'Grid_Incoming'!BC23-'Grid_Requirement'!BC23</f>
        <v/>
      </c>
      <c r="BD23">
        <f>BC23+'Grid_Incoming'!BD23-'Grid_Requirement'!BD23</f>
        <v/>
      </c>
      <c r="BE23">
        <f>BD23+'Grid_Incoming'!BE23-'Grid_Requirement'!BE23</f>
        <v/>
      </c>
      <c r="BF23">
        <f>BE23+'Grid_Incoming'!BF23-'Grid_Requirement'!BF23</f>
        <v/>
      </c>
      <c r="BG23">
        <f>BF23+'Grid_Incoming'!BG23-'Grid_Requirement'!BG23</f>
        <v/>
      </c>
      <c r="BH23">
        <f>BG23+'Grid_Incoming'!BH23-'Grid_Requirement'!BH23</f>
        <v/>
      </c>
      <c r="BI23">
        <f>BH23+'Grid_Incoming'!BI23-'Grid_Requirement'!BI23</f>
        <v/>
      </c>
      <c r="BJ23">
        <f>BI23+'Grid_Incoming'!BJ23-'Grid_Requirement'!BJ23</f>
        <v/>
      </c>
      <c r="BK23">
        <f>BJ23+'Grid_Incoming'!BK23-'Grid_Requirement'!BK23</f>
        <v/>
      </c>
      <c r="BL23">
        <f>BK23+'Grid_Incoming'!BL23-'Grid_Requirement'!BL23</f>
        <v/>
      </c>
      <c r="BM23">
        <f>BL23+'Grid_Incoming'!BM23-'Grid_Requirement'!BM23</f>
        <v/>
      </c>
      <c r="BN23">
        <f>BM23+'Grid_Incoming'!BN23-'Grid_Requirement'!BN23</f>
        <v/>
      </c>
      <c r="BO23">
        <f>BN23+'Grid_Incoming'!BO23-'Grid_Requirement'!BO23</f>
        <v/>
      </c>
      <c r="BP23">
        <f>BO23+'Grid_Incoming'!BP23-'Grid_Requirement'!BP23</f>
        <v/>
      </c>
      <c r="BQ23">
        <f>BP23+'Grid_Incoming'!BQ23-'Grid_Requirement'!BQ23</f>
        <v/>
      </c>
      <c r="BR23">
        <f>BQ23+'Grid_Incoming'!BR23-'Grid_Requirement'!BR23</f>
        <v/>
      </c>
      <c r="BS23">
        <f>BR23+'Grid_Incoming'!BS23-'Grid_Requirement'!BS23</f>
        <v/>
      </c>
      <c r="BT23">
        <f>BS23+'Grid_Incoming'!BT23-'Grid_Requirement'!BT23</f>
        <v/>
      </c>
      <c r="BU23">
        <f>BT23+'Grid_Incoming'!BU23-'Grid_Requirement'!BU23</f>
        <v/>
      </c>
      <c r="BV23">
        <f>BU23+'Grid_Incoming'!BV23-'Grid_Requirement'!BV23</f>
        <v/>
      </c>
      <c r="BW23">
        <f>BV23+'Grid_Incoming'!BW23-'Grid_Requirement'!BW23</f>
        <v/>
      </c>
      <c r="BX23">
        <f>BW23+'Grid_Incoming'!BX23-'Grid_Requirement'!BX23</f>
        <v/>
      </c>
      <c r="BY23">
        <f>BX23+'Grid_Incoming'!BY23-'Grid_Requirement'!BY23</f>
        <v/>
      </c>
      <c r="BZ23">
        <f>BY23+'Grid_Incoming'!BZ23-'Grid_Requirement'!BZ23</f>
        <v/>
      </c>
      <c r="CA23">
        <f>BZ23+'Grid_Incoming'!CA23-'Grid_Requirement'!CA23</f>
        <v/>
      </c>
      <c r="CB23">
        <f>CA23+'Grid_Incoming'!CB23-'Grid_Requirement'!CB23</f>
        <v/>
      </c>
      <c r="CC23">
        <f>CB23+'Grid_Incoming'!CC23-'Grid_Requirement'!CC23</f>
        <v/>
      </c>
      <c r="CD23">
        <f>CC23+'Grid_Incoming'!CD23-'Grid_Requirement'!CD23</f>
        <v/>
      </c>
      <c r="CE23">
        <f>CD23+'Grid_Incoming'!CE23-'Grid_Requirement'!CE23</f>
        <v/>
      </c>
      <c r="CF23">
        <f>CE23+'Grid_Incoming'!CF23-'Grid_Requirement'!CF23</f>
        <v/>
      </c>
      <c r="CG23">
        <f>CF23+'Grid_Incoming'!CG23-'Grid_Requirement'!CG23</f>
        <v/>
      </c>
      <c r="CH23">
        <f>CG23+'Grid_Incoming'!CH23-'Grid_Requirement'!CH23</f>
        <v/>
      </c>
      <c r="CI23">
        <f>CH23+'Grid_Incoming'!CI23-'Grid_Requirement'!CI23</f>
        <v/>
      </c>
      <c r="CJ23">
        <f>CI23+'Grid_Incoming'!CJ23-'Grid_Requirement'!CJ23</f>
        <v/>
      </c>
      <c r="CK23">
        <f>CJ23+'Grid_Incoming'!CK23-'Grid_Requirement'!CK23</f>
        <v/>
      </c>
      <c r="CL23">
        <f>CK23+'Grid_Incoming'!CL23-'Grid_Requirement'!CL23</f>
        <v/>
      </c>
      <c r="CM23">
        <f>CL23+'Grid_Incoming'!CM23-'Grid_Requirement'!CM23</f>
        <v/>
      </c>
      <c r="CN23">
        <f>CM23+'Grid_Incoming'!CN23-'Grid_Requirement'!CN23</f>
        <v/>
      </c>
      <c r="CO23">
        <f>CN23+'Grid_Incoming'!CO23-'Grid_Requirement'!CO23</f>
        <v/>
      </c>
      <c r="CP23">
        <f>CO23+'Grid_Incoming'!CP23-'Grid_Requirement'!CP23</f>
        <v/>
      </c>
      <c r="CQ23">
        <f>CP23+'Grid_Incoming'!CQ23-'Grid_Requirement'!CQ23</f>
        <v/>
      </c>
      <c r="CR23">
        <f>CQ23+'Grid_Incoming'!CR23-'Grid_Requirement'!CR23</f>
        <v/>
      </c>
      <c r="CS23">
        <f>CR23+'Grid_Incoming'!CS23-'Grid_Requirement'!CS23</f>
        <v/>
      </c>
      <c r="CT23">
        <f>CS23+'Grid_Incoming'!CT23-'Grid_Requirement'!CT23</f>
        <v/>
      </c>
      <c r="CU23">
        <f>CT23+'Grid_Incoming'!CU23-'Grid_Requirement'!CU23</f>
        <v/>
      </c>
      <c r="CV23">
        <f>CU23+'Grid_Incoming'!CV23-'Grid_Requirement'!CV23</f>
        <v/>
      </c>
      <c r="CW23">
        <f>CV23+'Grid_Incoming'!CW23-'Grid_Requirement'!CW23</f>
        <v/>
      </c>
      <c r="CX23">
        <f>CW23+'Grid_Incoming'!CX23-'Grid_Requirement'!CX23</f>
        <v/>
      </c>
      <c r="CY23">
        <f>CX23+'Grid_Incoming'!CY23-'Grid_Requirement'!CY23</f>
        <v/>
      </c>
      <c r="CZ23">
        <f>CY23+'Grid_Incoming'!CZ23-'Grid_Requirement'!CZ23</f>
        <v/>
      </c>
      <c r="DA23">
        <f>CZ23+'Grid_Incoming'!DA23-'Grid_Requirement'!DA23</f>
        <v/>
      </c>
    </row>
    <row r="24">
      <c r="A24" t="inlineStr">
        <is>
          <t>CHEM-1240</t>
        </is>
      </c>
      <c r="B24">
        <f>IFERROR(INDEX(T_OpeningStock[Opening_Qty],MATCH($A24,T_OpeningStock[Part Name],0)),0)+'Grid_Incoming'!B24-'Grid_Requirement'!B24</f>
        <v/>
      </c>
      <c r="C24">
        <f>B24+'Grid_Incoming'!C24-'Grid_Requirement'!C24</f>
        <v/>
      </c>
      <c r="D24">
        <f>C24+'Grid_Incoming'!D24-'Grid_Requirement'!D24</f>
        <v/>
      </c>
      <c r="E24">
        <f>D24+'Grid_Incoming'!E24-'Grid_Requirement'!E24</f>
        <v/>
      </c>
      <c r="F24">
        <f>E24+'Grid_Incoming'!F24-'Grid_Requirement'!F24</f>
        <v/>
      </c>
      <c r="G24">
        <f>F24+'Grid_Incoming'!G24-'Grid_Requirement'!G24</f>
        <v/>
      </c>
      <c r="H24">
        <f>G24+'Grid_Incoming'!H24-'Grid_Requirement'!H24</f>
        <v/>
      </c>
      <c r="I24">
        <f>H24+'Grid_Incoming'!I24-'Grid_Requirement'!I24</f>
        <v/>
      </c>
      <c r="J24">
        <f>I24+'Grid_Incoming'!J24-'Grid_Requirement'!J24</f>
        <v/>
      </c>
      <c r="K24">
        <f>J24+'Grid_Incoming'!K24-'Grid_Requirement'!K24</f>
        <v/>
      </c>
      <c r="L24">
        <f>K24+'Grid_Incoming'!L24-'Grid_Requirement'!L24</f>
        <v/>
      </c>
      <c r="M24">
        <f>L24+'Grid_Incoming'!M24-'Grid_Requirement'!M24</f>
        <v/>
      </c>
      <c r="N24">
        <f>M24+'Grid_Incoming'!N24-'Grid_Requirement'!N24</f>
        <v/>
      </c>
      <c r="O24">
        <f>N24+'Grid_Incoming'!O24-'Grid_Requirement'!O24</f>
        <v/>
      </c>
      <c r="P24">
        <f>O24+'Grid_Incoming'!P24-'Grid_Requirement'!P24</f>
        <v/>
      </c>
      <c r="Q24">
        <f>P24+'Grid_Incoming'!Q24-'Grid_Requirement'!Q24</f>
        <v/>
      </c>
      <c r="R24">
        <f>Q24+'Grid_Incoming'!R24-'Grid_Requirement'!R24</f>
        <v/>
      </c>
      <c r="S24">
        <f>R24+'Grid_Incoming'!S24-'Grid_Requirement'!S24</f>
        <v/>
      </c>
      <c r="T24">
        <f>S24+'Grid_Incoming'!T24-'Grid_Requirement'!T24</f>
        <v/>
      </c>
      <c r="U24">
        <f>T24+'Grid_Incoming'!U24-'Grid_Requirement'!U24</f>
        <v/>
      </c>
      <c r="V24">
        <f>U24+'Grid_Incoming'!V24-'Grid_Requirement'!V24</f>
        <v/>
      </c>
      <c r="W24">
        <f>V24+'Grid_Incoming'!W24-'Grid_Requirement'!W24</f>
        <v/>
      </c>
      <c r="X24">
        <f>W24+'Grid_Incoming'!X24-'Grid_Requirement'!X24</f>
        <v/>
      </c>
      <c r="Y24">
        <f>X24+'Grid_Incoming'!Y24-'Grid_Requirement'!Y24</f>
        <v/>
      </c>
      <c r="Z24">
        <f>Y24+'Grid_Incoming'!Z24-'Grid_Requirement'!Z24</f>
        <v/>
      </c>
      <c r="AA24">
        <f>Z24+'Grid_Incoming'!AA24-'Grid_Requirement'!AA24</f>
        <v/>
      </c>
      <c r="AB24">
        <f>AA24+'Grid_Incoming'!AB24-'Grid_Requirement'!AB24</f>
        <v/>
      </c>
      <c r="AC24">
        <f>AB24+'Grid_Incoming'!AC24-'Grid_Requirement'!AC24</f>
        <v/>
      </c>
      <c r="AD24">
        <f>AC24+'Grid_Incoming'!AD24-'Grid_Requirement'!AD24</f>
        <v/>
      </c>
      <c r="AE24">
        <f>AD24+'Grid_Incoming'!AE24-'Grid_Requirement'!AE24</f>
        <v/>
      </c>
      <c r="AF24">
        <f>AE24+'Grid_Incoming'!AF24-'Grid_Requirement'!AF24</f>
        <v/>
      </c>
      <c r="AG24">
        <f>AF24+'Grid_Incoming'!AG24-'Grid_Requirement'!AG24</f>
        <v/>
      </c>
      <c r="AH24">
        <f>AG24+'Grid_Incoming'!AH24-'Grid_Requirement'!AH24</f>
        <v/>
      </c>
      <c r="AI24">
        <f>AH24+'Grid_Incoming'!AI24-'Grid_Requirement'!AI24</f>
        <v/>
      </c>
      <c r="AJ24">
        <f>AI24+'Grid_Incoming'!AJ24-'Grid_Requirement'!AJ24</f>
        <v/>
      </c>
      <c r="AK24">
        <f>AJ24+'Grid_Incoming'!AK24-'Grid_Requirement'!AK24</f>
        <v/>
      </c>
      <c r="AL24">
        <f>AK24+'Grid_Incoming'!AL24-'Grid_Requirement'!AL24</f>
        <v/>
      </c>
      <c r="AM24">
        <f>AL24+'Grid_Incoming'!AM24-'Grid_Requirement'!AM24</f>
        <v/>
      </c>
      <c r="AN24">
        <f>AM24+'Grid_Incoming'!AN24-'Grid_Requirement'!AN24</f>
        <v/>
      </c>
      <c r="AO24">
        <f>AN24+'Grid_Incoming'!AO24-'Grid_Requirement'!AO24</f>
        <v/>
      </c>
      <c r="AP24">
        <f>AO24+'Grid_Incoming'!AP24-'Grid_Requirement'!AP24</f>
        <v/>
      </c>
      <c r="AQ24">
        <f>AP24+'Grid_Incoming'!AQ24-'Grid_Requirement'!AQ24</f>
        <v/>
      </c>
      <c r="AR24">
        <f>AQ24+'Grid_Incoming'!AR24-'Grid_Requirement'!AR24</f>
        <v/>
      </c>
      <c r="AS24">
        <f>AR24+'Grid_Incoming'!AS24-'Grid_Requirement'!AS24</f>
        <v/>
      </c>
      <c r="AT24">
        <f>AS24+'Grid_Incoming'!AT24-'Grid_Requirement'!AT24</f>
        <v/>
      </c>
      <c r="AU24">
        <f>AT24+'Grid_Incoming'!AU24-'Grid_Requirement'!AU24</f>
        <v/>
      </c>
      <c r="AV24">
        <f>AU24+'Grid_Incoming'!AV24-'Grid_Requirement'!AV24</f>
        <v/>
      </c>
      <c r="AW24">
        <f>AV24+'Grid_Incoming'!AW24-'Grid_Requirement'!AW24</f>
        <v/>
      </c>
      <c r="AX24">
        <f>AW24+'Grid_Incoming'!AX24-'Grid_Requirement'!AX24</f>
        <v/>
      </c>
      <c r="AY24">
        <f>AX24+'Grid_Incoming'!AY24-'Grid_Requirement'!AY24</f>
        <v/>
      </c>
      <c r="AZ24">
        <f>AY24+'Grid_Incoming'!AZ24-'Grid_Requirement'!AZ24</f>
        <v/>
      </c>
      <c r="BA24">
        <f>AZ24+'Grid_Incoming'!BA24-'Grid_Requirement'!BA24</f>
        <v/>
      </c>
      <c r="BB24">
        <f>BA24+'Grid_Incoming'!BB24-'Grid_Requirement'!BB24</f>
        <v/>
      </c>
      <c r="BC24">
        <f>BB24+'Grid_Incoming'!BC24-'Grid_Requirement'!BC24</f>
        <v/>
      </c>
      <c r="BD24">
        <f>BC24+'Grid_Incoming'!BD24-'Grid_Requirement'!BD24</f>
        <v/>
      </c>
      <c r="BE24">
        <f>BD24+'Grid_Incoming'!BE24-'Grid_Requirement'!BE24</f>
        <v/>
      </c>
      <c r="BF24">
        <f>BE24+'Grid_Incoming'!BF24-'Grid_Requirement'!BF24</f>
        <v/>
      </c>
      <c r="BG24">
        <f>BF24+'Grid_Incoming'!BG24-'Grid_Requirement'!BG24</f>
        <v/>
      </c>
      <c r="BH24">
        <f>BG24+'Grid_Incoming'!BH24-'Grid_Requirement'!BH24</f>
        <v/>
      </c>
      <c r="BI24">
        <f>BH24+'Grid_Incoming'!BI24-'Grid_Requirement'!BI24</f>
        <v/>
      </c>
      <c r="BJ24">
        <f>BI24+'Grid_Incoming'!BJ24-'Grid_Requirement'!BJ24</f>
        <v/>
      </c>
      <c r="BK24">
        <f>BJ24+'Grid_Incoming'!BK24-'Grid_Requirement'!BK24</f>
        <v/>
      </c>
      <c r="BL24">
        <f>BK24+'Grid_Incoming'!BL24-'Grid_Requirement'!BL24</f>
        <v/>
      </c>
      <c r="BM24">
        <f>BL24+'Grid_Incoming'!BM24-'Grid_Requirement'!BM24</f>
        <v/>
      </c>
      <c r="BN24">
        <f>BM24+'Grid_Incoming'!BN24-'Grid_Requirement'!BN24</f>
        <v/>
      </c>
      <c r="BO24">
        <f>BN24+'Grid_Incoming'!BO24-'Grid_Requirement'!BO24</f>
        <v/>
      </c>
      <c r="BP24">
        <f>BO24+'Grid_Incoming'!BP24-'Grid_Requirement'!BP24</f>
        <v/>
      </c>
      <c r="BQ24">
        <f>BP24+'Grid_Incoming'!BQ24-'Grid_Requirement'!BQ24</f>
        <v/>
      </c>
      <c r="BR24">
        <f>BQ24+'Grid_Incoming'!BR24-'Grid_Requirement'!BR24</f>
        <v/>
      </c>
      <c r="BS24">
        <f>BR24+'Grid_Incoming'!BS24-'Grid_Requirement'!BS24</f>
        <v/>
      </c>
      <c r="BT24">
        <f>BS24+'Grid_Incoming'!BT24-'Grid_Requirement'!BT24</f>
        <v/>
      </c>
      <c r="BU24">
        <f>BT24+'Grid_Incoming'!BU24-'Grid_Requirement'!BU24</f>
        <v/>
      </c>
      <c r="BV24">
        <f>BU24+'Grid_Incoming'!BV24-'Grid_Requirement'!BV24</f>
        <v/>
      </c>
      <c r="BW24">
        <f>BV24+'Grid_Incoming'!BW24-'Grid_Requirement'!BW24</f>
        <v/>
      </c>
      <c r="BX24">
        <f>BW24+'Grid_Incoming'!BX24-'Grid_Requirement'!BX24</f>
        <v/>
      </c>
      <c r="BY24">
        <f>BX24+'Grid_Incoming'!BY24-'Grid_Requirement'!BY24</f>
        <v/>
      </c>
      <c r="BZ24">
        <f>BY24+'Grid_Incoming'!BZ24-'Grid_Requirement'!BZ24</f>
        <v/>
      </c>
      <c r="CA24">
        <f>BZ24+'Grid_Incoming'!CA24-'Grid_Requirement'!CA24</f>
        <v/>
      </c>
      <c r="CB24">
        <f>CA24+'Grid_Incoming'!CB24-'Grid_Requirement'!CB24</f>
        <v/>
      </c>
      <c r="CC24">
        <f>CB24+'Grid_Incoming'!CC24-'Grid_Requirement'!CC24</f>
        <v/>
      </c>
      <c r="CD24">
        <f>CC24+'Grid_Incoming'!CD24-'Grid_Requirement'!CD24</f>
        <v/>
      </c>
      <c r="CE24">
        <f>CD24+'Grid_Incoming'!CE24-'Grid_Requirement'!CE24</f>
        <v/>
      </c>
      <c r="CF24">
        <f>CE24+'Grid_Incoming'!CF24-'Grid_Requirement'!CF24</f>
        <v/>
      </c>
      <c r="CG24">
        <f>CF24+'Grid_Incoming'!CG24-'Grid_Requirement'!CG24</f>
        <v/>
      </c>
      <c r="CH24">
        <f>CG24+'Grid_Incoming'!CH24-'Grid_Requirement'!CH24</f>
        <v/>
      </c>
      <c r="CI24">
        <f>CH24+'Grid_Incoming'!CI24-'Grid_Requirement'!CI24</f>
        <v/>
      </c>
      <c r="CJ24">
        <f>CI24+'Grid_Incoming'!CJ24-'Grid_Requirement'!CJ24</f>
        <v/>
      </c>
      <c r="CK24">
        <f>CJ24+'Grid_Incoming'!CK24-'Grid_Requirement'!CK24</f>
        <v/>
      </c>
      <c r="CL24">
        <f>CK24+'Grid_Incoming'!CL24-'Grid_Requirement'!CL24</f>
        <v/>
      </c>
      <c r="CM24">
        <f>CL24+'Grid_Incoming'!CM24-'Grid_Requirement'!CM24</f>
        <v/>
      </c>
      <c r="CN24">
        <f>CM24+'Grid_Incoming'!CN24-'Grid_Requirement'!CN24</f>
        <v/>
      </c>
      <c r="CO24">
        <f>CN24+'Grid_Incoming'!CO24-'Grid_Requirement'!CO24</f>
        <v/>
      </c>
      <c r="CP24">
        <f>CO24+'Grid_Incoming'!CP24-'Grid_Requirement'!CP24</f>
        <v/>
      </c>
      <c r="CQ24">
        <f>CP24+'Grid_Incoming'!CQ24-'Grid_Requirement'!CQ24</f>
        <v/>
      </c>
      <c r="CR24">
        <f>CQ24+'Grid_Incoming'!CR24-'Grid_Requirement'!CR24</f>
        <v/>
      </c>
      <c r="CS24">
        <f>CR24+'Grid_Incoming'!CS24-'Grid_Requirement'!CS24</f>
        <v/>
      </c>
      <c r="CT24">
        <f>CS24+'Grid_Incoming'!CT24-'Grid_Requirement'!CT24</f>
        <v/>
      </c>
      <c r="CU24">
        <f>CT24+'Grid_Incoming'!CU24-'Grid_Requirement'!CU24</f>
        <v/>
      </c>
      <c r="CV24">
        <f>CU24+'Grid_Incoming'!CV24-'Grid_Requirement'!CV24</f>
        <v/>
      </c>
      <c r="CW24">
        <f>CV24+'Grid_Incoming'!CW24-'Grid_Requirement'!CW24</f>
        <v/>
      </c>
      <c r="CX24">
        <f>CW24+'Grid_Incoming'!CX24-'Grid_Requirement'!CX24</f>
        <v/>
      </c>
      <c r="CY24">
        <f>CX24+'Grid_Incoming'!CY24-'Grid_Requirement'!CY24</f>
        <v/>
      </c>
      <c r="CZ24">
        <f>CY24+'Grid_Incoming'!CZ24-'Grid_Requirement'!CZ24</f>
        <v/>
      </c>
      <c r="DA24">
        <f>CZ24+'Grid_Incoming'!DA24-'Grid_Requirement'!DA24</f>
        <v/>
      </c>
    </row>
    <row r="25">
      <c r="A25" t="inlineStr">
        <is>
          <t>CHEM-1510</t>
        </is>
      </c>
      <c r="B25">
        <f>IFERROR(INDEX(T_OpeningStock[Opening_Qty],MATCH($A25,T_OpeningStock[Part Name],0)),0)+'Grid_Incoming'!B25-'Grid_Requirement'!B25</f>
        <v/>
      </c>
      <c r="C25">
        <f>B25+'Grid_Incoming'!C25-'Grid_Requirement'!C25</f>
        <v/>
      </c>
      <c r="D25">
        <f>C25+'Grid_Incoming'!D25-'Grid_Requirement'!D25</f>
        <v/>
      </c>
      <c r="E25">
        <f>D25+'Grid_Incoming'!E25-'Grid_Requirement'!E25</f>
        <v/>
      </c>
      <c r="F25">
        <f>E25+'Grid_Incoming'!F25-'Grid_Requirement'!F25</f>
        <v/>
      </c>
      <c r="G25">
        <f>F25+'Grid_Incoming'!G25-'Grid_Requirement'!G25</f>
        <v/>
      </c>
      <c r="H25">
        <f>G25+'Grid_Incoming'!H25-'Grid_Requirement'!H25</f>
        <v/>
      </c>
      <c r="I25">
        <f>H25+'Grid_Incoming'!I25-'Grid_Requirement'!I25</f>
        <v/>
      </c>
      <c r="J25">
        <f>I25+'Grid_Incoming'!J25-'Grid_Requirement'!J25</f>
        <v/>
      </c>
      <c r="K25">
        <f>J25+'Grid_Incoming'!K25-'Grid_Requirement'!K25</f>
        <v/>
      </c>
      <c r="L25">
        <f>K25+'Grid_Incoming'!L25-'Grid_Requirement'!L25</f>
        <v/>
      </c>
      <c r="M25">
        <f>L25+'Grid_Incoming'!M25-'Grid_Requirement'!M25</f>
        <v/>
      </c>
      <c r="N25">
        <f>M25+'Grid_Incoming'!N25-'Grid_Requirement'!N25</f>
        <v/>
      </c>
      <c r="O25">
        <f>N25+'Grid_Incoming'!O25-'Grid_Requirement'!O25</f>
        <v/>
      </c>
      <c r="P25">
        <f>O25+'Grid_Incoming'!P25-'Grid_Requirement'!P25</f>
        <v/>
      </c>
      <c r="Q25">
        <f>P25+'Grid_Incoming'!Q25-'Grid_Requirement'!Q25</f>
        <v/>
      </c>
      <c r="R25">
        <f>Q25+'Grid_Incoming'!R25-'Grid_Requirement'!R25</f>
        <v/>
      </c>
      <c r="S25">
        <f>R25+'Grid_Incoming'!S25-'Grid_Requirement'!S25</f>
        <v/>
      </c>
      <c r="T25">
        <f>S25+'Grid_Incoming'!T25-'Grid_Requirement'!T25</f>
        <v/>
      </c>
      <c r="U25">
        <f>T25+'Grid_Incoming'!U25-'Grid_Requirement'!U25</f>
        <v/>
      </c>
      <c r="V25">
        <f>U25+'Grid_Incoming'!V25-'Grid_Requirement'!V25</f>
        <v/>
      </c>
      <c r="W25">
        <f>V25+'Grid_Incoming'!W25-'Grid_Requirement'!W25</f>
        <v/>
      </c>
      <c r="X25">
        <f>W25+'Grid_Incoming'!X25-'Grid_Requirement'!X25</f>
        <v/>
      </c>
      <c r="Y25">
        <f>X25+'Grid_Incoming'!Y25-'Grid_Requirement'!Y25</f>
        <v/>
      </c>
      <c r="Z25">
        <f>Y25+'Grid_Incoming'!Z25-'Grid_Requirement'!Z25</f>
        <v/>
      </c>
      <c r="AA25">
        <f>Z25+'Grid_Incoming'!AA25-'Grid_Requirement'!AA25</f>
        <v/>
      </c>
      <c r="AB25">
        <f>AA25+'Grid_Incoming'!AB25-'Grid_Requirement'!AB25</f>
        <v/>
      </c>
      <c r="AC25">
        <f>AB25+'Grid_Incoming'!AC25-'Grid_Requirement'!AC25</f>
        <v/>
      </c>
      <c r="AD25">
        <f>AC25+'Grid_Incoming'!AD25-'Grid_Requirement'!AD25</f>
        <v/>
      </c>
      <c r="AE25">
        <f>AD25+'Grid_Incoming'!AE25-'Grid_Requirement'!AE25</f>
        <v/>
      </c>
      <c r="AF25">
        <f>AE25+'Grid_Incoming'!AF25-'Grid_Requirement'!AF25</f>
        <v/>
      </c>
      <c r="AG25">
        <f>AF25+'Grid_Incoming'!AG25-'Grid_Requirement'!AG25</f>
        <v/>
      </c>
      <c r="AH25">
        <f>AG25+'Grid_Incoming'!AH25-'Grid_Requirement'!AH25</f>
        <v/>
      </c>
      <c r="AI25">
        <f>AH25+'Grid_Incoming'!AI25-'Grid_Requirement'!AI25</f>
        <v/>
      </c>
      <c r="AJ25">
        <f>AI25+'Grid_Incoming'!AJ25-'Grid_Requirement'!AJ25</f>
        <v/>
      </c>
      <c r="AK25">
        <f>AJ25+'Grid_Incoming'!AK25-'Grid_Requirement'!AK25</f>
        <v/>
      </c>
      <c r="AL25">
        <f>AK25+'Grid_Incoming'!AL25-'Grid_Requirement'!AL25</f>
        <v/>
      </c>
      <c r="AM25">
        <f>AL25+'Grid_Incoming'!AM25-'Grid_Requirement'!AM25</f>
        <v/>
      </c>
      <c r="AN25">
        <f>AM25+'Grid_Incoming'!AN25-'Grid_Requirement'!AN25</f>
        <v/>
      </c>
      <c r="AO25">
        <f>AN25+'Grid_Incoming'!AO25-'Grid_Requirement'!AO25</f>
        <v/>
      </c>
      <c r="AP25">
        <f>AO25+'Grid_Incoming'!AP25-'Grid_Requirement'!AP25</f>
        <v/>
      </c>
      <c r="AQ25">
        <f>AP25+'Grid_Incoming'!AQ25-'Grid_Requirement'!AQ25</f>
        <v/>
      </c>
      <c r="AR25">
        <f>AQ25+'Grid_Incoming'!AR25-'Grid_Requirement'!AR25</f>
        <v/>
      </c>
      <c r="AS25">
        <f>AR25+'Grid_Incoming'!AS25-'Grid_Requirement'!AS25</f>
        <v/>
      </c>
      <c r="AT25">
        <f>AS25+'Grid_Incoming'!AT25-'Grid_Requirement'!AT25</f>
        <v/>
      </c>
      <c r="AU25">
        <f>AT25+'Grid_Incoming'!AU25-'Grid_Requirement'!AU25</f>
        <v/>
      </c>
      <c r="AV25">
        <f>AU25+'Grid_Incoming'!AV25-'Grid_Requirement'!AV25</f>
        <v/>
      </c>
      <c r="AW25">
        <f>AV25+'Grid_Incoming'!AW25-'Grid_Requirement'!AW25</f>
        <v/>
      </c>
      <c r="AX25">
        <f>AW25+'Grid_Incoming'!AX25-'Grid_Requirement'!AX25</f>
        <v/>
      </c>
      <c r="AY25">
        <f>AX25+'Grid_Incoming'!AY25-'Grid_Requirement'!AY25</f>
        <v/>
      </c>
      <c r="AZ25">
        <f>AY25+'Grid_Incoming'!AZ25-'Grid_Requirement'!AZ25</f>
        <v/>
      </c>
      <c r="BA25">
        <f>AZ25+'Grid_Incoming'!BA25-'Grid_Requirement'!BA25</f>
        <v/>
      </c>
      <c r="BB25">
        <f>BA25+'Grid_Incoming'!BB25-'Grid_Requirement'!BB25</f>
        <v/>
      </c>
      <c r="BC25">
        <f>BB25+'Grid_Incoming'!BC25-'Grid_Requirement'!BC25</f>
        <v/>
      </c>
      <c r="BD25">
        <f>BC25+'Grid_Incoming'!BD25-'Grid_Requirement'!BD25</f>
        <v/>
      </c>
      <c r="BE25">
        <f>BD25+'Grid_Incoming'!BE25-'Grid_Requirement'!BE25</f>
        <v/>
      </c>
      <c r="BF25">
        <f>BE25+'Grid_Incoming'!BF25-'Grid_Requirement'!BF25</f>
        <v/>
      </c>
      <c r="BG25">
        <f>BF25+'Grid_Incoming'!BG25-'Grid_Requirement'!BG25</f>
        <v/>
      </c>
      <c r="BH25">
        <f>BG25+'Grid_Incoming'!BH25-'Grid_Requirement'!BH25</f>
        <v/>
      </c>
      <c r="BI25">
        <f>BH25+'Grid_Incoming'!BI25-'Grid_Requirement'!BI25</f>
        <v/>
      </c>
      <c r="BJ25">
        <f>BI25+'Grid_Incoming'!BJ25-'Grid_Requirement'!BJ25</f>
        <v/>
      </c>
      <c r="BK25">
        <f>BJ25+'Grid_Incoming'!BK25-'Grid_Requirement'!BK25</f>
        <v/>
      </c>
      <c r="BL25">
        <f>BK25+'Grid_Incoming'!BL25-'Grid_Requirement'!BL25</f>
        <v/>
      </c>
      <c r="BM25">
        <f>BL25+'Grid_Incoming'!BM25-'Grid_Requirement'!BM25</f>
        <v/>
      </c>
      <c r="BN25">
        <f>BM25+'Grid_Incoming'!BN25-'Grid_Requirement'!BN25</f>
        <v/>
      </c>
      <c r="BO25">
        <f>BN25+'Grid_Incoming'!BO25-'Grid_Requirement'!BO25</f>
        <v/>
      </c>
      <c r="BP25">
        <f>BO25+'Grid_Incoming'!BP25-'Grid_Requirement'!BP25</f>
        <v/>
      </c>
      <c r="BQ25">
        <f>BP25+'Grid_Incoming'!BQ25-'Grid_Requirement'!BQ25</f>
        <v/>
      </c>
      <c r="BR25">
        <f>BQ25+'Grid_Incoming'!BR25-'Grid_Requirement'!BR25</f>
        <v/>
      </c>
      <c r="BS25">
        <f>BR25+'Grid_Incoming'!BS25-'Grid_Requirement'!BS25</f>
        <v/>
      </c>
      <c r="BT25">
        <f>BS25+'Grid_Incoming'!BT25-'Grid_Requirement'!BT25</f>
        <v/>
      </c>
      <c r="BU25">
        <f>BT25+'Grid_Incoming'!BU25-'Grid_Requirement'!BU25</f>
        <v/>
      </c>
      <c r="BV25">
        <f>BU25+'Grid_Incoming'!BV25-'Grid_Requirement'!BV25</f>
        <v/>
      </c>
      <c r="BW25">
        <f>BV25+'Grid_Incoming'!BW25-'Grid_Requirement'!BW25</f>
        <v/>
      </c>
      <c r="BX25">
        <f>BW25+'Grid_Incoming'!BX25-'Grid_Requirement'!BX25</f>
        <v/>
      </c>
      <c r="BY25">
        <f>BX25+'Grid_Incoming'!BY25-'Grid_Requirement'!BY25</f>
        <v/>
      </c>
      <c r="BZ25">
        <f>BY25+'Grid_Incoming'!BZ25-'Grid_Requirement'!BZ25</f>
        <v/>
      </c>
      <c r="CA25">
        <f>BZ25+'Grid_Incoming'!CA25-'Grid_Requirement'!CA25</f>
        <v/>
      </c>
      <c r="CB25">
        <f>CA25+'Grid_Incoming'!CB25-'Grid_Requirement'!CB25</f>
        <v/>
      </c>
      <c r="CC25">
        <f>CB25+'Grid_Incoming'!CC25-'Grid_Requirement'!CC25</f>
        <v/>
      </c>
      <c r="CD25">
        <f>CC25+'Grid_Incoming'!CD25-'Grid_Requirement'!CD25</f>
        <v/>
      </c>
      <c r="CE25">
        <f>CD25+'Grid_Incoming'!CE25-'Grid_Requirement'!CE25</f>
        <v/>
      </c>
      <c r="CF25">
        <f>CE25+'Grid_Incoming'!CF25-'Grid_Requirement'!CF25</f>
        <v/>
      </c>
      <c r="CG25">
        <f>CF25+'Grid_Incoming'!CG25-'Grid_Requirement'!CG25</f>
        <v/>
      </c>
      <c r="CH25">
        <f>CG25+'Grid_Incoming'!CH25-'Grid_Requirement'!CH25</f>
        <v/>
      </c>
      <c r="CI25">
        <f>CH25+'Grid_Incoming'!CI25-'Grid_Requirement'!CI25</f>
        <v/>
      </c>
      <c r="CJ25">
        <f>CI25+'Grid_Incoming'!CJ25-'Grid_Requirement'!CJ25</f>
        <v/>
      </c>
      <c r="CK25">
        <f>CJ25+'Grid_Incoming'!CK25-'Grid_Requirement'!CK25</f>
        <v/>
      </c>
      <c r="CL25">
        <f>CK25+'Grid_Incoming'!CL25-'Grid_Requirement'!CL25</f>
        <v/>
      </c>
      <c r="CM25">
        <f>CL25+'Grid_Incoming'!CM25-'Grid_Requirement'!CM25</f>
        <v/>
      </c>
      <c r="CN25">
        <f>CM25+'Grid_Incoming'!CN25-'Grid_Requirement'!CN25</f>
        <v/>
      </c>
      <c r="CO25">
        <f>CN25+'Grid_Incoming'!CO25-'Grid_Requirement'!CO25</f>
        <v/>
      </c>
      <c r="CP25">
        <f>CO25+'Grid_Incoming'!CP25-'Grid_Requirement'!CP25</f>
        <v/>
      </c>
      <c r="CQ25">
        <f>CP25+'Grid_Incoming'!CQ25-'Grid_Requirement'!CQ25</f>
        <v/>
      </c>
      <c r="CR25">
        <f>CQ25+'Grid_Incoming'!CR25-'Grid_Requirement'!CR25</f>
        <v/>
      </c>
      <c r="CS25">
        <f>CR25+'Grid_Incoming'!CS25-'Grid_Requirement'!CS25</f>
        <v/>
      </c>
      <c r="CT25">
        <f>CS25+'Grid_Incoming'!CT25-'Grid_Requirement'!CT25</f>
        <v/>
      </c>
      <c r="CU25">
        <f>CT25+'Grid_Incoming'!CU25-'Grid_Requirement'!CU25</f>
        <v/>
      </c>
      <c r="CV25">
        <f>CU25+'Grid_Incoming'!CV25-'Grid_Requirement'!CV25</f>
        <v/>
      </c>
      <c r="CW25">
        <f>CV25+'Grid_Incoming'!CW25-'Grid_Requirement'!CW25</f>
        <v/>
      </c>
      <c r="CX25">
        <f>CW25+'Grid_Incoming'!CX25-'Grid_Requirement'!CX25</f>
        <v/>
      </c>
      <c r="CY25">
        <f>CX25+'Grid_Incoming'!CY25-'Grid_Requirement'!CY25</f>
        <v/>
      </c>
      <c r="CZ25">
        <f>CY25+'Grid_Incoming'!CZ25-'Grid_Requirement'!CZ25</f>
        <v/>
      </c>
      <c r="DA25">
        <f>CZ25+'Grid_Incoming'!DA25-'Grid_Requirement'!DA25</f>
        <v/>
      </c>
    </row>
    <row r="26">
      <c r="A26" t="inlineStr">
        <is>
          <t>CHEM-1580</t>
        </is>
      </c>
      <c r="B26">
        <f>IFERROR(INDEX(T_OpeningStock[Opening_Qty],MATCH($A26,T_OpeningStock[Part Name],0)),0)+'Grid_Incoming'!B26-'Grid_Requirement'!B26</f>
        <v/>
      </c>
      <c r="C26">
        <f>B26+'Grid_Incoming'!C26-'Grid_Requirement'!C26</f>
        <v/>
      </c>
      <c r="D26">
        <f>C26+'Grid_Incoming'!D26-'Grid_Requirement'!D26</f>
        <v/>
      </c>
      <c r="E26">
        <f>D26+'Grid_Incoming'!E26-'Grid_Requirement'!E26</f>
        <v/>
      </c>
      <c r="F26">
        <f>E26+'Grid_Incoming'!F26-'Grid_Requirement'!F26</f>
        <v/>
      </c>
      <c r="G26">
        <f>F26+'Grid_Incoming'!G26-'Grid_Requirement'!G26</f>
        <v/>
      </c>
      <c r="H26">
        <f>G26+'Grid_Incoming'!H26-'Grid_Requirement'!H26</f>
        <v/>
      </c>
      <c r="I26">
        <f>H26+'Grid_Incoming'!I26-'Grid_Requirement'!I26</f>
        <v/>
      </c>
      <c r="J26">
        <f>I26+'Grid_Incoming'!J26-'Grid_Requirement'!J26</f>
        <v/>
      </c>
      <c r="K26">
        <f>J26+'Grid_Incoming'!K26-'Grid_Requirement'!K26</f>
        <v/>
      </c>
      <c r="L26">
        <f>K26+'Grid_Incoming'!L26-'Grid_Requirement'!L26</f>
        <v/>
      </c>
      <c r="M26">
        <f>L26+'Grid_Incoming'!M26-'Grid_Requirement'!M26</f>
        <v/>
      </c>
      <c r="N26">
        <f>M26+'Grid_Incoming'!N26-'Grid_Requirement'!N26</f>
        <v/>
      </c>
      <c r="O26">
        <f>N26+'Grid_Incoming'!O26-'Grid_Requirement'!O26</f>
        <v/>
      </c>
      <c r="P26">
        <f>O26+'Grid_Incoming'!P26-'Grid_Requirement'!P26</f>
        <v/>
      </c>
      <c r="Q26">
        <f>P26+'Grid_Incoming'!Q26-'Grid_Requirement'!Q26</f>
        <v/>
      </c>
      <c r="R26">
        <f>Q26+'Grid_Incoming'!R26-'Grid_Requirement'!R26</f>
        <v/>
      </c>
      <c r="S26">
        <f>R26+'Grid_Incoming'!S26-'Grid_Requirement'!S26</f>
        <v/>
      </c>
      <c r="T26">
        <f>S26+'Grid_Incoming'!T26-'Grid_Requirement'!T26</f>
        <v/>
      </c>
      <c r="U26">
        <f>T26+'Grid_Incoming'!U26-'Grid_Requirement'!U26</f>
        <v/>
      </c>
      <c r="V26">
        <f>U26+'Grid_Incoming'!V26-'Grid_Requirement'!V26</f>
        <v/>
      </c>
      <c r="W26">
        <f>V26+'Grid_Incoming'!W26-'Grid_Requirement'!W26</f>
        <v/>
      </c>
      <c r="X26">
        <f>W26+'Grid_Incoming'!X26-'Grid_Requirement'!X26</f>
        <v/>
      </c>
      <c r="Y26">
        <f>X26+'Grid_Incoming'!Y26-'Grid_Requirement'!Y26</f>
        <v/>
      </c>
      <c r="Z26">
        <f>Y26+'Grid_Incoming'!Z26-'Grid_Requirement'!Z26</f>
        <v/>
      </c>
      <c r="AA26">
        <f>Z26+'Grid_Incoming'!AA26-'Grid_Requirement'!AA26</f>
        <v/>
      </c>
      <c r="AB26">
        <f>AA26+'Grid_Incoming'!AB26-'Grid_Requirement'!AB26</f>
        <v/>
      </c>
      <c r="AC26">
        <f>AB26+'Grid_Incoming'!AC26-'Grid_Requirement'!AC26</f>
        <v/>
      </c>
      <c r="AD26">
        <f>AC26+'Grid_Incoming'!AD26-'Grid_Requirement'!AD26</f>
        <v/>
      </c>
      <c r="AE26">
        <f>AD26+'Grid_Incoming'!AE26-'Grid_Requirement'!AE26</f>
        <v/>
      </c>
      <c r="AF26">
        <f>AE26+'Grid_Incoming'!AF26-'Grid_Requirement'!AF26</f>
        <v/>
      </c>
      <c r="AG26">
        <f>AF26+'Grid_Incoming'!AG26-'Grid_Requirement'!AG26</f>
        <v/>
      </c>
      <c r="AH26">
        <f>AG26+'Grid_Incoming'!AH26-'Grid_Requirement'!AH26</f>
        <v/>
      </c>
      <c r="AI26">
        <f>AH26+'Grid_Incoming'!AI26-'Grid_Requirement'!AI26</f>
        <v/>
      </c>
      <c r="AJ26">
        <f>AI26+'Grid_Incoming'!AJ26-'Grid_Requirement'!AJ26</f>
        <v/>
      </c>
      <c r="AK26">
        <f>AJ26+'Grid_Incoming'!AK26-'Grid_Requirement'!AK26</f>
        <v/>
      </c>
      <c r="AL26">
        <f>AK26+'Grid_Incoming'!AL26-'Grid_Requirement'!AL26</f>
        <v/>
      </c>
      <c r="AM26">
        <f>AL26+'Grid_Incoming'!AM26-'Grid_Requirement'!AM26</f>
        <v/>
      </c>
      <c r="AN26">
        <f>AM26+'Grid_Incoming'!AN26-'Grid_Requirement'!AN26</f>
        <v/>
      </c>
      <c r="AO26">
        <f>AN26+'Grid_Incoming'!AO26-'Grid_Requirement'!AO26</f>
        <v/>
      </c>
      <c r="AP26">
        <f>AO26+'Grid_Incoming'!AP26-'Grid_Requirement'!AP26</f>
        <v/>
      </c>
      <c r="AQ26">
        <f>AP26+'Grid_Incoming'!AQ26-'Grid_Requirement'!AQ26</f>
        <v/>
      </c>
      <c r="AR26">
        <f>AQ26+'Grid_Incoming'!AR26-'Grid_Requirement'!AR26</f>
        <v/>
      </c>
      <c r="AS26">
        <f>AR26+'Grid_Incoming'!AS26-'Grid_Requirement'!AS26</f>
        <v/>
      </c>
      <c r="AT26">
        <f>AS26+'Grid_Incoming'!AT26-'Grid_Requirement'!AT26</f>
        <v/>
      </c>
      <c r="AU26">
        <f>AT26+'Grid_Incoming'!AU26-'Grid_Requirement'!AU26</f>
        <v/>
      </c>
      <c r="AV26">
        <f>AU26+'Grid_Incoming'!AV26-'Grid_Requirement'!AV26</f>
        <v/>
      </c>
      <c r="AW26">
        <f>AV26+'Grid_Incoming'!AW26-'Grid_Requirement'!AW26</f>
        <v/>
      </c>
      <c r="AX26">
        <f>AW26+'Grid_Incoming'!AX26-'Grid_Requirement'!AX26</f>
        <v/>
      </c>
      <c r="AY26">
        <f>AX26+'Grid_Incoming'!AY26-'Grid_Requirement'!AY26</f>
        <v/>
      </c>
      <c r="AZ26">
        <f>AY26+'Grid_Incoming'!AZ26-'Grid_Requirement'!AZ26</f>
        <v/>
      </c>
      <c r="BA26">
        <f>AZ26+'Grid_Incoming'!BA26-'Grid_Requirement'!BA26</f>
        <v/>
      </c>
      <c r="BB26">
        <f>BA26+'Grid_Incoming'!BB26-'Grid_Requirement'!BB26</f>
        <v/>
      </c>
      <c r="BC26">
        <f>BB26+'Grid_Incoming'!BC26-'Grid_Requirement'!BC26</f>
        <v/>
      </c>
      <c r="BD26">
        <f>BC26+'Grid_Incoming'!BD26-'Grid_Requirement'!BD26</f>
        <v/>
      </c>
      <c r="BE26">
        <f>BD26+'Grid_Incoming'!BE26-'Grid_Requirement'!BE26</f>
        <v/>
      </c>
      <c r="BF26">
        <f>BE26+'Grid_Incoming'!BF26-'Grid_Requirement'!BF26</f>
        <v/>
      </c>
      <c r="BG26">
        <f>BF26+'Grid_Incoming'!BG26-'Grid_Requirement'!BG26</f>
        <v/>
      </c>
      <c r="BH26">
        <f>BG26+'Grid_Incoming'!BH26-'Grid_Requirement'!BH26</f>
        <v/>
      </c>
      <c r="BI26">
        <f>BH26+'Grid_Incoming'!BI26-'Grid_Requirement'!BI26</f>
        <v/>
      </c>
      <c r="BJ26">
        <f>BI26+'Grid_Incoming'!BJ26-'Grid_Requirement'!BJ26</f>
        <v/>
      </c>
      <c r="BK26">
        <f>BJ26+'Grid_Incoming'!BK26-'Grid_Requirement'!BK26</f>
        <v/>
      </c>
      <c r="BL26">
        <f>BK26+'Grid_Incoming'!BL26-'Grid_Requirement'!BL26</f>
        <v/>
      </c>
      <c r="BM26">
        <f>BL26+'Grid_Incoming'!BM26-'Grid_Requirement'!BM26</f>
        <v/>
      </c>
      <c r="BN26">
        <f>BM26+'Grid_Incoming'!BN26-'Grid_Requirement'!BN26</f>
        <v/>
      </c>
      <c r="BO26">
        <f>BN26+'Grid_Incoming'!BO26-'Grid_Requirement'!BO26</f>
        <v/>
      </c>
      <c r="BP26">
        <f>BO26+'Grid_Incoming'!BP26-'Grid_Requirement'!BP26</f>
        <v/>
      </c>
      <c r="BQ26">
        <f>BP26+'Grid_Incoming'!BQ26-'Grid_Requirement'!BQ26</f>
        <v/>
      </c>
      <c r="BR26">
        <f>BQ26+'Grid_Incoming'!BR26-'Grid_Requirement'!BR26</f>
        <v/>
      </c>
      <c r="BS26">
        <f>BR26+'Grid_Incoming'!BS26-'Grid_Requirement'!BS26</f>
        <v/>
      </c>
      <c r="BT26">
        <f>BS26+'Grid_Incoming'!BT26-'Grid_Requirement'!BT26</f>
        <v/>
      </c>
      <c r="BU26">
        <f>BT26+'Grid_Incoming'!BU26-'Grid_Requirement'!BU26</f>
        <v/>
      </c>
      <c r="BV26">
        <f>BU26+'Grid_Incoming'!BV26-'Grid_Requirement'!BV26</f>
        <v/>
      </c>
      <c r="BW26">
        <f>BV26+'Grid_Incoming'!BW26-'Grid_Requirement'!BW26</f>
        <v/>
      </c>
      <c r="BX26">
        <f>BW26+'Grid_Incoming'!BX26-'Grid_Requirement'!BX26</f>
        <v/>
      </c>
      <c r="BY26">
        <f>BX26+'Grid_Incoming'!BY26-'Grid_Requirement'!BY26</f>
        <v/>
      </c>
      <c r="BZ26">
        <f>BY26+'Grid_Incoming'!BZ26-'Grid_Requirement'!BZ26</f>
        <v/>
      </c>
      <c r="CA26">
        <f>BZ26+'Grid_Incoming'!CA26-'Grid_Requirement'!CA26</f>
        <v/>
      </c>
      <c r="CB26">
        <f>CA26+'Grid_Incoming'!CB26-'Grid_Requirement'!CB26</f>
        <v/>
      </c>
      <c r="CC26">
        <f>CB26+'Grid_Incoming'!CC26-'Grid_Requirement'!CC26</f>
        <v/>
      </c>
      <c r="CD26">
        <f>CC26+'Grid_Incoming'!CD26-'Grid_Requirement'!CD26</f>
        <v/>
      </c>
      <c r="CE26">
        <f>CD26+'Grid_Incoming'!CE26-'Grid_Requirement'!CE26</f>
        <v/>
      </c>
      <c r="CF26">
        <f>CE26+'Grid_Incoming'!CF26-'Grid_Requirement'!CF26</f>
        <v/>
      </c>
      <c r="CG26">
        <f>CF26+'Grid_Incoming'!CG26-'Grid_Requirement'!CG26</f>
        <v/>
      </c>
      <c r="CH26">
        <f>CG26+'Grid_Incoming'!CH26-'Grid_Requirement'!CH26</f>
        <v/>
      </c>
      <c r="CI26">
        <f>CH26+'Grid_Incoming'!CI26-'Grid_Requirement'!CI26</f>
        <v/>
      </c>
      <c r="CJ26">
        <f>CI26+'Grid_Incoming'!CJ26-'Grid_Requirement'!CJ26</f>
        <v/>
      </c>
      <c r="CK26">
        <f>CJ26+'Grid_Incoming'!CK26-'Grid_Requirement'!CK26</f>
        <v/>
      </c>
      <c r="CL26">
        <f>CK26+'Grid_Incoming'!CL26-'Grid_Requirement'!CL26</f>
        <v/>
      </c>
      <c r="CM26">
        <f>CL26+'Grid_Incoming'!CM26-'Grid_Requirement'!CM26</f>
        <v/>
      </c>
      <c r="CN26">
        <f>CM26+'Grid_Incoming'!CN26-'Grid_Requirement'!CN26</f>
        <v/>
      </c>
      <c r="CO26">
        <f>CN26+'Grid_Incoming'!CO26-'Grid_Requirement'!CO26</f>
        <v/>
      </c>
      <c r="CP26">
        <f>CO26+'Grid_Incoming'!CP26-'Grid_Requirement'!CP26</f>
        <v/>
      </c>
      <c r="CQ26">
        <f>CP26+'Grid_Incoming'!CQ26-'Grid_Requirement'!CQ26</f>
        <v/>
      </c>
      <c r="CR26">
        <f>CQ26+'Grid_Incoming'!CR26-'Grid_Requirement'!CR26</f>
        <v/>
      </c>
      <c r="CS26">
        <f>CR26+'Grid_Incoming'!CS26-'Grid_Requirement'!CS26</f>
        <v/>
      </c>
      <c r="CT26">
        <f>CS26+'Grid_Incoming'!CT26-'Grid_Requirement'!CT26</f>
        <v/>
      </c>
      <c r="CU26">
        <f>CT26+'Grid_Incoming'!CU26-'Grid_Requirement'!CU26</f>
        <v/>
      </c>
      <c r="CV26">
        <f>CU26+'Grid_Incoming'!CV26-'Grid_Requirement'!CV26</f>
        <v/>
      </c>
      <c r="CW26">
        <f>CV26+'Grid_Incoming'!CW26-'Grid_Requirement'!CW26</f>
        <v/>
      </c>
      <c r="CX26">
        <f>CW26+'Grid_Incoming'!CX26-'Grid_Requirement'!CX26</f>
        <v/>
      </c>
      <c r="CY26">
        <f>CX26+'Grid_Incoming'!CY26-'Grid_Requirement'!CY26</f>
        <v/>
      </c>
      <c r="CZ26">
        <f>CY26+'Grid_Incoming'!CZ26-'Grid_Requirement'!CZ26</f>
        <v/>
      </c>
      <c r="DA26">
        <f>CZ26+'Grid_Incoming'!DA26-'Grid_Requirement'!DA26</f>
        <v/>
      </c>
    </row>
    <row r="27">
      <c r="A27" t="inlineStr">
        <is>
          <t>CHEM-1250</t>
        </is>
      </c>
      <c r="B27">
        <f>IFERROR(INDEX(T_OpeningStock[Opening_Qty],MATCH($A27,T_OpeningStock[Part Name],0)),0)+'Grid_Incoming'!B27-'Grid_Requirement'!B27</f>
        <v/>
      </c>
      <c r="C27">
        <f>B27+'Grid_Incoming'!C27-'Grid_Requirement'!C27</f>
        <v/>
      </c>
      <c r="D27">
        <f>C27+'Grid_Incoming'!D27-'Grid_Requirement'!D27</f>
        <v/>
      </c>
      <c r="E27">
        <f>D27+'Grid_Incoming'!E27-'Grid_Requirement'!E27</f>
        <v/>
      </c>
      <c r="F27">
        <f>E27+'Grid_Incoming'!F27-'Grid_Requirement'!F27</f>
        <v/>
      </c>
      <c r="G27">
        <f>F27+'Grid_Incoming'!G27-'Grid_Requirement'!G27</f>
        <v/>
      </c>
      <c r="H27">
        <f>G27+'Grid_Incoming'!H27-'Grid_Requirement'!H27</f>
        <v/>
      </c>
      <c r="I27">
        <f>H27+'Grid_Incoming'!I27-'Grid_Requirement'!I27</f>
        <v/>
      </c>
      <c r="J27">
        <f>I27+'Grid_Incoming'!J27-'Grid_Requirement'!J27</f>
        <v/>
      </c>
      <c r="K27">
        <f>J27+'Grid_Incoming'!K27-'Grid_Requirement'!K27</f>
        <v/>
      </c>
      <c r="L27">
        <f>K27+'Grid_Incoming'!L27-'Grid_Requirement'!L27</f>
        <v/>
      </c>
      <c r="M27">
        <f>L27+'Grid_Incoming'!M27-'Grid_Requirement'!M27</f>
        <v/>
      </c>
      <c r="N27">
        <f>M27+'Grid_Incoming'!N27-'Grid_Requirement'!N27</f>
        <v/>
      </c>
      <c r="O27">
        <f>N27+'Grid_Incoming'!O27-'Grid_Requirement'!O27</f>
        <v/>
      </c>
      <c r="P27">
        <f>O27+'Grid_Incoming'!P27-'Grid_Requirement'!P27</f>
        <v/>
      </c>
      <c r="Q27">
        <f>P27+'Grid_Incoming'!Q27-'Grid_Requirement'!Q27</f>
        <v/>
      </c>
      <c r="R27">
        <f>Q27+'Grid_Incoming'!R27-'Grid_Requirement'!R27</f>
        <v/>
      </c>
      <c r="S27">
        <f>R27+'Grid_Incoming'!S27-'Grid_Requirement'!S27</f>
        <v/>
      </c>
      <c r="T27">
        <f>S27+'Grid_Incoming'!T27-'Grid_Requirement'!T27</f>
        <v/>
      </c>
      <c r="U27">
        <f>T27+'Grid_Incoming'!U27-'Grid_Requirement'!U27</f>
        <v/>
      </c>
      <c r="V27">
        <f>U27+'Grid_Incoming'!V27-'Grid_Requirement'!V27</f>
        <v/>
      </c>
      <c r="W27">
        <f>V27+'Grid_Incoming'!W27-'Grid_Requirement'!W27</f>
        <v/>
      </c>
      <c r="X27">
        <f>W27+'Grid_Incoming'!X27-'Grid_Requirement'!X27</f>
        <v/>
      </c>
      <c r="Y27">
        <f>X27+'Grid_Incoming'!Y27-'Grid_Requirement'!Y27</f>
        <v/>
      </c>
      <c r="Z27">
        <f>Y27+'Grid_Incoming'!Z27-'Grid_Requirement'!Z27</f>
        <v/>
      </c>
      <c r="AA27">
        <f>Z27+'Grid_Incoming'!AA27-'Grid_Requirement'!AA27</f>
        <v/>
      </c>
      <c r="AB27">
        <f>AA27+'Grid_Incoming'!AB27-'Grid_Requirement'!AB27</f>
        <v/>
      </c>
      <c r="AC27">
        <f>AB27+'Grid_Incoming'!AC27-'Grid_Requirement'!AC27</f>
        <v/>
      </c>
      <c r="AD27">
        <f>AC27+'Grid_Incoming'!AD27-'Grid_Requirement'!AD27</f>
        <v/>
      </c>
      <c r="AE27">
        <f>AD27+'Grid_Incoming'!AE27-'Grid_Requirement'!AE27</f>
        <v/>
      </c>
      <c r="AF27">
        <f>AE27+'Grid_Incoming'!AF27-'Grid_Requirement'!AF27</f>
        <v/>
      </c>
      <c r="AG27">
        <f>AF27+'Grid_Incoming'!AG27-'Grid_Requirement'!AG27</f>
        <v/>
      </c>
      <c r="AH27">
        <f>AG27+'Grid_Incoming'!AH27-'Grid_Requirement'!AH27</f>
        <v/>
      </c>
      <c r="AI27">
        <f>AH27+'Grid_Incoming'!AI27-'Grid_Requirement'!AI27</f>
        <v/>
      </c>
      <c r="AJ27">
        <f>AI27+'Grid_Incoming'!AJ27-'Grid_Requirement'!AJ27</f>
        <v/>
      </c>
      <c r="AK27">
        <f>AJ27+'Grid_Incoming'!AK27-'Grid_Requirement'!AK27</f>
        <v/>
      </c>
      <c r="AL27">
        <f>AK27+'Grid_Incoming'!AL27-'Grid_Requirement'!AL27</f>
        <v/>
      </c>
      <c r="AM27">
        <f>AL27+'Grid_Incoming'!AM27-'Grid_Requirement'!AM27</f>
        <v/>
      </c>
      <c r="AN27">
        <f>AM27+'Grid_Incoming'!AN27-'Grid_Requirement'!AN27</f>
        <v/>
      </c>
      <c r="AO27">
        <f>AN27+'Grid_Incoming'!AO27-'Grid_Requirement'!AO27</f>
        <v/>
      </c>
      <c r="AP27">
        <f>AO27+'Grid_Incoming'!AP27-'Grid_Requirement'!AP27</f>
        <v/>
      </c>
      <c r="AQ27">
        <f>AP27+'Grid_Incoming'!AQ27-'Grid_Requirement'!AQ27</f>
        <v/>
      </c>
      <c r="AR27">
        <f>AQ27+'Grid_Incoming'!AR27-'Grid_Requirement'!AR27</f>
        <v/>
      </c>
      <c r="AS27">
        <f>AR27+'Grid_Incoming'!AS27-'Grid_Requirement'!AS27</f>
        <v/>
      </c>
      <c r="AT27">
        <f>AS27+'Grid_Incoming'!AT27-'Grid_Requirement'!AT27</f>
        <v/>
      </c>
      <c r="AU27">
        <f>AT27+'Grid_Incoming'!AU27-'Grid_Requirement'!AU27</f>
        <v/>
      </c>
      <c r="AV27">
        <f>AU27+'Grid_Incoming'!AV27-'Grid_Requirement'!AV27</f>
        <v/>
      </c>
      <c r="AW27">
        <f>AV27+'Grid_Incoming'!AW27-'Grid_Requirement'!AW27</f>
        <v/>
      </c>
      <c r="AX27">
        <f>AW27+'Grid_Incoming'!AX27-'Grid_Requirement'!AX27</f>
        <v/>
      </c>
      <c r="AY27">
        <f>AX27+'Grid_Incoming'!AY27-'Grid_Requirement'!AY27</f>
        <v/>
      </c>
      <c r="AZ27">
        <f>AY27+'Grid_Incoming'!AZ27-'Grid_Requirement'!AZ27</f>
        <v/>
      </c>
      <c r="BA27">
        <f>AZ27+'Grid_Incoming'!BA27-'Grid_Requirement'!BA27</f>
        <v/>
      </c>
      <c r="BB27">
        <f>BA27+'Grid_Incoming'!BB27-'Grid_Requirement'!BB27</f>
        <v/>
      </c>
      <c r="BC27">
        <f>BB27+'Grid_Incoming'!BC27-'Grid_Requirement'!BC27</f>
        <v/>
      </c>
      <c r="BD27">
        <f>BC27+'Grid_Incoming'!BD27-'Grid_Requirement'!BD27</f>
        <v/>
      </c>
      <c r="BE27">
        <f>BD27+'Grid_Incoming'!BE27-'Grid_Requirement'!BE27</f>
        <v/>
      </c>
      <c r="BF27">
        <f>BE27+'Grid_Incoming'!BF27-'Grid_Requirement'!BF27</f>
        <v/>
      </c>
      <c r="BG27">
        <f>BF27+'Grid_Incoming'!BG27-'Grid_Requirement'!BG27</f>
        <v/>
      </c>
      <c r="BH27">
        <f>BG27+'Grid_Incoming'!BH27-'Grid_Requirement'!BH27</f>
        <v/>
      </c>
      <c r="BI27">
        <f>BH27+'Grid_Incoming'!BI27-'Grid_Requirement'!BI27</f>
        <v/>
      </c>
      <c r="BJ27">
        <f>BI27+'Grid_Incoming'!BJ27-'Grid_Requirement'!BJ27</f>
        <v/>
      </c>
      <c r="BK27">
        <f>BJ27+'Grid_Incoming'!BK27-'Grid_Requirement'!BK27</f>
        <v/>
      </c>
      <c r="BL27">
        <f>BK27+'Grid_Incoming'!BL27-'Grid_Requirement'!BL27</f>
        <v/>
      </c>
      <c r="BM27">
        <f>BL27+'Grid_Incoming'!BM27-'Grid_Requirement'!BM27</f>
        <v/>
      </c>
      <c r="BN27">
        <f>BM27+'Grid_Incoming'!BN27-'Grid_Requirement'!BN27</f>
        <v/>
      </c>
      <c r="BO27">
        <f>BN27+'Grid_Incoming'!BO27-'Grid_Requirement'!BO27</f>
        <v/>
      </c>
      <c r="BP27">
        <f>BO27+'Grid_Incoming'!BP27-'Grid_Requirement'!BP27</f>
        <v/>
      </c>
      <c r="BQ27">
        <f>BP27+'Grid_Incoming'!BQ27-'Grid_Requirement'!BQ27</f>
        <v/>
      </c>
      <c r="BR27">
        <f>BQ27+'Grid_Incoming'!BR27-'Grid_Requirement'!BR27</f>
        <v/>
      </c>
      <c r="BS27">
        <f>BR27+'Grid_Incoming'!BS27-'Grid_Requirement'!BS27</f>
        <v/>
      </c>
      <c r="BT27">
        <f>BS27+'Grid_Incoming'!BT27-'Grid_Requirement'!BT27</f>
        <v/>
      </c>
      <c r="BU27">
        <f>BT27+'Grid_Incoming'!BU27-'Grid_Requirement'!BU27</f>
        <v/>
      </c>
      <c r="BV27">
        <f>BU27+'Grid_Incoming'!BV27-'Grid_Requirement'!BV27</f>
        <v/>
      </c>
      <c r="BW27">
        <f>BV27+'Grid_Incoming'!BW27-'Grid_Requirement'!BW27</f>
        <v/>
      </c>
      <c r="BX27">
        <f>BW27+'Grid_Incoming'!BX27-'Grid_Requirement'!BX27</f>
        <v/>
      </c>
      <c r="BY27">
        <f>BX27+'Grid_Incoming'!BY27-'Grid_Requirement'!BY27</f>
        <v/>
      </c>
      <c r="BZ27">
        <f>BY27+'Grid_Incoming'!BZ27-'Grid_Requirement'!BZ27</f>
        <v/>
      </c>
      <c r="CA27">
        <f>BZ27+'Grid_Incoming'!CA27-'Grid_Requirement'!CA27</f>
        <v/>
      </c>
      <c r="CB27">
        <f>CA27+'Grid_Incoming'!CB27-'Grid_Requirement'!CB27</f>
        <v/>
      </c>
      <c r="CC27">
        <f>CB27+'Grid_Incoming'!CC27-'Grid_Requirement'!CC27</f>
        <v/>
      </c>
      <c r="CD27">
        <f>CC27+'Grid_Incoming'!CD27-'Grid_Requirement'!CD27</f>
        <v/>
      </c>
      <c r="CE27">
        <f>CD27+'Grid_Incoming'!CE27-'Grid_Requirement'!CE27</f>
        <v/>
      </c>
      <c r="CF27">
        <f>CE27+'Grid_Incoming'!CF27-'Grid_Requirement'!CF27</f>
        <v/>
      </c>
      <c r="CG27">
        <f>CF27+'Grid_Incoming'!CG27-'Grid_Requirement'!CG27</f>
        <v/>
      </c>
      <c r="CH27">
        <f>CG27+'Grid_Incoming'!CH27-'Grid_Requirement'!CH27</f>
        <v/>
      </c>
      <c r="CI27">
        <f>CH27+'Grid_Incoming'!CI27-'Grid_Requirement'!CI27</f>
        <v/>
      </c>
      <c r="CJ27">
        <f>CI27+'Grid_Incoming'!CJ27-'Grid_Requirement'!CJ27</f>
        <v/>
      </c>
      <c r="CK27">
        <f>CJ27+'Grid_Incoming'!CK27-'Grid_Requirement'!CK27</f>
        <v/>
      </c>
      <c r="CL27">
        <f>CK27+'Grid_Incoming'!CL27-'Grid_Requirement'!CL27</f>
        <v/>
      </c>
      <c r="CM27">
        <f>CL27+'Grid_Incoming'!CM27-'Grid_Requirement'!CM27</f>
        <v/>
      </c>
      <c r="CN27">
        <f>CM27+'Grid_Incoming'!CN27-'Grid_Requirement'!CN27</f>
        <v/>
      </c>
      <c r="CO27">
        <f>CN27+'Grid_Incoming'!CO27-'Grid_Requirement'!CO27</f>
        <v/>
      </c>
      <c r="CP27">
        <f>CO27+'Grid_Incoming'!CP27-'Grid_Requirement'!CP27</f>
        <v/>
      </c>
      <c r="CQ27">
        <f>CP27+'Grid_Incoming'!CQ27-'Grid_Requirement'!CQ27</f>
        <v/>
      </c>
      <c r="CR27">
        <f>CQ27+'Grid_Incoming'!CR27-'Grid_Requirement'!CR27</f>
        <v/>
      </c>
      <c r="CS27">
        <f>CR27+'Grid_Incoming'!CS27-'Grid_Requirement'!CS27</f>
        <v/>
      </c>
      <c r="CT27">
        <f>CS27+'Grid_Incoming'!CT27-'Grid_Requirement'!CT27</f>
        <v/>
      </c>
      <c r="CU27">
        <f>CT27+'Grid_Incoming'!CU27-'Grid_Requirement'!CU27</f>
        <v/>
      </c>
      <c r="CV27">
        <f>CU27+'Grid_Incoming'!CV27-'Grid_Requirement'!CV27</f>
        <v/>
      </c>
      <c r="CW27">
        <f>CV27+'Grid_Incoming'!CW27-'Grid_Requirement'!CW27</f>
        <v/>
      </c>
      <c r="CX27">
        <f>CW27+'Grid_Incoming'!CX27-'Grid_Requirement'!CX27</f>
        <v/>
      </c>
      <c r="CY27">
        <f>CX27+'Grid_Incoming'!CY27-'Grid_Requirement'!CY27</f>
        <v/>
      </c>
      <c r="CZ27">
        <f>CY27+'Grid_Incoming'!CZ27-'Grid_Requirement'!CZ27</f>
        <v/>
      </c>
      <c r="DA27">
        <f>CZ27+'Grid_Incoming'!DA27-'Grid_Requirement'!DA27</f>
        <v/>
      </c>
    </row>
    <row r="28">
      <c r="A28" t="inlineStr">
        <is>
          <t>CHEM-1600</t>
        </is>
      </c>
      <c r="B28">
        <f>IFERROR(INDEX(T_OpeningStock[Opening_Qty],MATCH($A28,T_OpeningStock[Part Name],0)),0)+'Grid_Incoming'!B28-'Grid_Requirement'!B28</f>
        <v/>
      </c>
      <c r="C28">
        <f>B28+'Grid_Incoming'!C28-'Grid_Requirement'!C28</f>
        <v/>
      </c>
      <c r="D28">
        <f>C28+'Grid_Incoming'!D28-'Grid_Requirement'!D28</f>
        <v/>
      </c>
      <c r="E28">
        <f>D28+'Grid_Incoming'!E28-'Grid_Requirement'!E28</f>
        <v/>
      </c>
      <c r="F28">
        <f>E28+'Grid_Incoming'!F28-'Grid_Requirement'!F28</f>
        <v/>
      </c>
      <c r="G28">
        <f>F28+'Grid_Incoming'!G28-'Grid_Requirement'!G28</f>
        <v/>
      </c>
      <c r="H28">
        <f>G28+'Grid_Incoming'!H28-'Grid_Requirement'!H28</f>
        <v/>
      </c>
      <c r="I28">
        <f>H28+'Grid_Incoming'!I28-'Grid_Requirement'!I28</f>
        <v/>
      </c>
      <c r="J28">
        <f>I28+'Grid_Incoming'!J28-'Grid_Requirement'!J28</f>
        <v/>
      </c>
      <c r="K28">
        <f>J28+'Grid_Incoming'!K28-'Grid_Requirement'!K28</f>
        <v/>
      </c>
      <c r="L28">
        <f>K28+'Grid_Incoming'!L28-'Grid_Requirement'!L28</f>
        <v/>
      </c>
      <c r="M28">
        <f>L28+'Grid_Incoming'!M28-'Grid_Requirement'!M28</f>
        <v/>
      </c>
      <c r="N28">
        <f>M28+'Grid_Incoming'!N28-'Grid_Requirement'!N28</f>
        <v/>
      </c>
      <c r="O28">
        <f>N28+'Grid_Incoming'!O28-'Grid_Requirement'!O28</f>
        <v/>
      </c>
      <c r="P28">
        <f>O28+'Grid_Incoming'!P28-'Grid_Requirement'!P28</f>
        <v/>
      </c>
      <c r="Q28">
        <f>P28+'Grid_Incoming'!Q28-'Grid_Requirement'!Q28</f>
        <v/>
      </c>
      <c r="R28">
        <f>Q28+'Grid_Incoming'!R28-'Grid_Requirement'!R28</f>
        <v/>
      </c>
      <c r="S28">
        <f>R28+'Grid_Incoming'!S28-'Grid_Requirement'!S28</f>
        <v/>
      </c>
      <c r="T28">
        <f>S28+'Grid_Incoming'!T28-'Grid_Requirement'!T28</f>
        <v/>
      </c>
      <c r="U28">
        <f>T28+'Grid_Incoming'!U28-'Grid_Requirement'!U28</f>
        <v/>
      </c>
      <c r="V28">
        <f>U28+'Grid_Incoming'!V28-'Grid_Requirement'!V28</f>
        <v/>
      </c>
      <c r="W28">
        <f>V28+'Grid_Incoming'!W28-'Grid_Requirement'!W28</f>
        <v/>
      </c>
      <c r="X28">
        <f>W28+'Grid_Incoming'!X28-'Grid_Requirement'!X28</f>
        <v/>
      </c>
      <c r="Y28">
        <f>X28+'Grid_Incoming'!Y28-'Grid_Requirement'!Y28</f>
        <v/>
      </c>
      <c r="Z28">
        <f>Y28+'Grid_Incoming'!Z28-'Grid_Requirement'!Z28</f>
        <v/>
      </c>
      <c r="AA28">
        <f>Z28+'Grid_Incoming'!AA28-'Grid_Requirement'!AA28</f>
        <v/>
      </c>
      <c r="AB28">
        <f>AA28+'Grid_Incoming'!AB28-'Grid_Requirement'!AB28</f>
        <v/>
      </c>
      <c r="AC28">
        <f>AB28+'Grid_Incoming'!AC28-'Grid_Requirement'!AC28</f>
        <v/>
      </c>
      <c r="AD28">
        <f>AC28+'Grid_Incoming'!AD28-'Grid_Requirement'!AD28</f>
        <v/>
      </c>
      <c r="AE28">
        <f>AD28+'Grid_Incoming'!AE28-'Grid_Requirement'!AE28</f>
        <v/>
      </c>
      <c r="AF28">
        <f>AE28+'Grid_Incoming'!AF28-'Grid_Requirement'!AF28</f>
        <v/>
      </c>
      <c r="AG28">
        <f>AF28+'Grid_Incoming'!AG28-'Grid_Requirement'!AG28</f>
        <v/>
      </c>
      <c r="AH28">
        <f>AG28+'Grid_Incoming'!AH28-'Grid_Requirement'!AH28</f>
        <v/>
      </c>
      <c r="AI28">
        <f>AH28+'Grid_Incoming'!AI28-'Grid_Requirement'!AI28</f>
        <v/>
      </c>
      <c r="AJ28">
        <f>AI28+'Grid_Incoming'!AJ28-'Grid_Requirement'!AJ28</f>
        <v/>
      </c>
      <c r="AK28">
        <f>AJ28+'Grid_Incoming'!AK28-'Grid_Requirement'!AK28</f>
        <v/>
      </c>
      <c r="AL28">
        <f>AK28+'Grid_Incoming'!AL28-'Grid_Requirement'!AL28</f>
        <v/>
      </c>
      <c r="AM28">
        <f>AL28+'Grid_Incoming'!AM28-'Grid_Requirement'!AM28</f>
        <v/>
      </c>
      <c r="AN28">
        <f>AM28+'Grid_Incoming'!AN28-'Grid_Requirement'!AN28</f>
        <v/>
      </c>
      <c r="AO28">
        <f>AN28+'Grid_Incoming'!AO28-'Grid_Requirement'!AO28</f>
        <v/>
      </c>
      <c r="AP28">
        <f>AO28+'Grid_Incoming'!AP28-'Grid_Requirement'!AP28</f>
        <v/>
      </c>
      <c r="AQ28">
        <f>AP28+'Grid_Incoming'!AQ28-'Grid_Requirement'!AQ28</f>
        <v/>
      </c>
      <c r="AR28">
        <f>AQ28+'Grid_Incoming'!AR28-'Grid_Requirement'!AR28</f>
        <v/>
      </c>
      <c r="AS28">
        <f>AR28+'Grid_Incoming'!AS28-'Grid_Requirement'!AS28</f>
        <v/>
      </c>
      <c r="AT28">
        <f>AS28+'Grid_Incoming'!AT28-'Grid_Requirement'!AT28</f>
        <v/>
      </c>
      <c r="AU28">
        <f>AT28+'Grid_Incoming'!AU28-'Grid_Requirement'!AU28</f>
        <v/>
      </c>
      <c r="AV28">
        <f>AU28+'Grid_Incoming'!AV28-'Grid_Requirement'!AV28</f>
        <v/>
      </c>
      <c r="AW28">
        <f>AV28+'Grid_Incoming'!AW28-'Grid_Requirement'!AW28</f>
        <v/>
      </c>
      <c r="AX28">
        <f>AW28+'Grid_Incoming'!AX28-'Grid_Requirement'!AX28</f>
        <v/>
      </c>
      <c r="AY28">
        <f>AX28+'Grid_Incoming'!AY28-'Grid_Requirement'!AY28</f>
        <v/>
      </c>
      <c r="AZ28">
        <f>AY28+'Grid_Incoming'!AZ28-'Grid_Requirement'!AZ28</f>
        <v/>
      </c>
      <c r="BA28">
        <f>AZ28+'Grid_Incoming'!BA28-'Grid_Requirement'!BA28</f>
        <v/>
      </c>
      <c r="BB28">
        <f>BA28+'Grid_Incoming'!BB28-'Grid_Requirement'!BB28</f>
        <v/>
      </c>
      <c r="BC28">
        <f>BB28+'Grid_Incoming'!BC28-'Grid_Requirement'!BC28</f>
        <v/>
      </c>
      <c r="BD28">
        <f>BC28+'Grid_Incoming'!BD28-'Grid_Requirement'!BD28</f>
        <v/>
      </c>
      <c r="BE28">
        <f>BD28+'Grid_Incoming'!BE28-'Grid_Requirement'!BE28</f>
        <v/>
      </c>
      <c r="BF28">
        <f>BE28+'Grid_Incoming'!BF28-'Grid_Requirement'!BF28</f>
        <v/>
      </c>
      <c r="BG28">
        <f>BF28+'Grid_Incoming'!BG28-'Grid_Requirement'!BG28</f>
        <v/>
      </c>
      <c r="BH28">
        <f>BG28+'Grid_Incoming'!BH28-'Grid_Requirement'!BH28</f>
        <v/>
      </c>
      <c r="BI28">
        <f>BH28+'Grid_Incoming'!BI28-'Grid_Requirement'!BI28</f>
        <v/>
      </c>
      <c r="BJ28">
        <f>BI28+'Grid_Incoming'!BJ28-'Grid_Requirement'!BJ28</f>
        <v/>
      </c>
      <c r="BK28">
        <f>BJ28+'Grid_Incoming'!BK28-'Grid_Requirement'!BK28</f>
        <v/>
      </c>
      <c r="BL28">
        <f>BK28+'Grid_Incoming'!BL28-'Grid_Requirement'!BL28</f>
        <v/>
      </c>
      <c r="BM28">
        <f>BL28+'Grid_Incoming'!BM28-'Grid_Requirement'!BM28</f>
        <v/>
      </c>
      <c r="BN28">
        <f>BM28+'Grid_Incoming'!BN28-'Grid_Requirement'!BN28</f>
        <v/>
      </c>
      <c r="BO28">
        <f>BN28+'Grid_Incoming'!BO28-'Grid_Requirement'!BO28</f>
        <v/>
      </c>
      <c r="BP28">
        <f>BO28+'Grid_Incoming'!BP28-'Grid_Requirement'!BP28</f>
        <v/>
      </c>
      <c r="BQ28">
        <f>BP28+'Grid_Incoming'!BQ28-'Grid_Requirement'!BQ28</f>
        <v/>
      </c>
      <c r="BR28">
        <f>BQ28+'Grid_Incoming'!BR28-'Grid_Requirement'!BR28</f>
        <v/>
      </c>
      <c r="BS28">
        <f>BR28+'Grid_Incoming'!BS28-'Grid_Requirement'!BS28</f>
        <v/>
      </c>
      <c r="BT28">
        <f>BS28+'Grid_Incoming'!BT28-'Grid_Requirement'!BT28</f>
        <v/>
      </c>
      <c r="BU28">
        <f>BT28+'Grid_Incoming'!BU28-'Grid_Requirement'!BU28</f>
        <v/>
      </c>
      <c r="BV28">
        <f>BU28+'Grid_Incoming'!BV28-'Grid_Requirement'!BV28</f>
        <v/>
      </c>
      <c r="BW28">
        <f>BV28+'Grid_Incoming'!BW28-'Grid_Requirement'!BW28</f>
        <v/>
      </c>
      <c r="BX28">
        <f>BW28+'Grid_Incoming'!BX28-'Grid_Requirement'!BX28</f>
        <v/>
      </c>
      <c r="BY28">
        <f>BX28+'Grid_Incoming'!BY28-'Grid_Requirement'!BY28</f>
        <v/>
      </c>
      <c r="BZ28">
        <f>BY28+'Grid_Incoming'!BZ28-'Grid_Requirement'!BZ28</f>
        <v/>
      </c>
      <c r="CA28">
        <f>BZ28+'Grid_Incoming'!CA28-'Grid_Requirement'!CA28</f>
        <v/>
      </c>
      <c r="CB28">
        <f>CA28+'Grid_Incoming'!CB28-'Grid_Requirement'!CB28</f>
        <v/>
      </c>
      <c r="CC28">
        <f>CB28+'Grid_Incoming'!CC28-'Grid_Requirement'!CC28</f>
        <v/>
      </c>
      <c r="CD28">
        <f>CC28+'Grid_Incoming'!CD28-'Grid_Requirement'!CD28</f>
        <v/>
      </c>
      <c r="CE28">
        <f>CD28+'Grid_Incoming'!CE28-'Grid_Requirement'!CE28</f>
        <v/>
      </c>
      <c r="CF28">
        <f>CE28+'Grid_Incoming'!CF28-'Grid_Requirement'!CF28</f>
        <v/>
      </c>
      <c r="CG28">
        <f>CF28+'Grid_Incoming'!CG28-'Grid_Requirement'!CG28</f>
        <v/>
      </c>
      <c r="CH28">
        <f>CG28+'Grid_Incoming'!CH28-'Grid_Requirement'!CH28</f>
        <v/>
      </c>
      <c r="CI28">
        <f>CH28+'Grid_Incoming'!CI28-'Grid_Requirement'!CI28</f>
        <v/>
      </c>
      <c r="CJ28">
        <f>CI28+'Grid_Incoming'!CJ28-'Grid_Requirement'!CJ28</f>
        <v/>
      </c>
      <c r="CK28">
        <f>CJ28+'Grid_Incoming'!CK28-'Grid_Requirement'!CK28</f>
        <v/>
      </c>
      <c r="CL28">
        <f>CK28+'Grid_Incoming'!CL28-'Grid_Requirement'!CL28</f>
        <v/>
      </c>
      <c r="CM28">
        <f>CL28+'Grid_Incoming'!CM28-'Grid_Requirement'!CM28</f>
        <v/>
      </c>
      <c r="CN28">
        <f>CM28+'Grid_Incoming'!CN28-'Grid_Requirement'!CN28</f>
        <v/>
      </c>
      <c r="CO28">
        <f>CN28+'Grid_Incoming'!CO28-'Grid_Requirement'!CO28</f>
        <v/>
      </c>
      <c r="CP28">
        <f>CO28+'Grid_Incoming'!CP28-'Grid_Requirement'!CP28</f>
        <v/>
      </c>
      <c r="CQ28">
        <f>CP28+'Grid_Incoming'!CQ28-'Grid_Requirement'!CQ28</f>
        <v/>
      </c>
      <c r="CR28">
        <f>CQ28+'Grid_Incoming'!CR28-'Grid_Requirement'!CR28</f>
        <v/>
      </c>
      <c r="CS28">
        <f>CR28+'Grid_Incoming'!CS28-'Grid_Requirement'!CS28</f>
        <v/>
      </c>
      <c r="CT28">
        <f>CS28+'Grid_Incoming'!CT28-'Grid_Requirement'!CT28</f>
        <v/>
      </c>
      <c r="CU28">
        <f>CT28+'Grid_Incoming'!CU28-'Grid_Requirement'!CU28</f>
        <v/>
      </c>
      <c r="CV28">
        <f>CU28+'Grid_Incoming'!CV28-'Grid_Requirement'!CV28</f>
        <v/>
      </c>
      <c r="CW28">
        <f>CV28+'Grid_Incoming'!CW28-'Grid_Requirement'!CW28</f>
        <v/>
      </c>
      <c r="CX28">
        <f>CW28+'Grid_Incoming'!CX28-'Grid_Requirement'!CX28</f>
        <v/>
      </c>
      <c r="CY28">
        <f>CX28+'Grid_Incoming'!CY28-'Grid_Requirement'!CY28</f>
        <v/>
      </c>
      <c r="CZ28">
        <f>CY28+'Grid_Incoming'!CZ28-'Grid_Requirement'!CZ28</f>
        <v/>
      </c>
      <c r="DA28">
        <f>CZ28+'Grid_Incoming'!DA28-'Grid_Requirement'!DA28</f>
        <v/>
      </c>
    </row>
    <row r="29">
      <c r="A29" t="inlineStr">
        <is>
          <t>CHEM-1120</t>
        </is>
      </c>
      <c r="B29">
        <f>IFERROR(INDEX(T_OpeningStock[Opening_Qty],MATCH($A29,T_OpeningStock[Part Name],0)),0)+'Grid_Incoming'!B29-'Grid_Requirement'!B29</f>
        <v/>
      </c>
      <c r="C29">
        <f>B29+'Grid_Incoming'!C29-'Grid_Requirement'!C29</f>
        <v/>
      </c>
      <c r="D29">
        <f>C29+'Grid_Incoming'!D29-'Grid_Requirement'!D29</f>
        <v/>
      </c>
      <c r="E29">
        <f>D29+'Grid_Incoming'!E29-'Grid_Requirement'!E29</f>
        <v/>
      </c>
      <c r="F29">
        <f>E29+'Grid_Incoming'!F29-'Grid_Requirement'!F29</f>
        <v/>
      </c>
      <c r="G29">
        <f>F29+'Grid_Incoming'!G29-'Grid_Requirement'!G29</f>
        <v/>
      </c>
      <c r="H29">
        <f>G29+'Grid_Incoming'!H29-'Grid_Requirement'!H29</f>
        <v/>
      </c>
      <c r="I29">
        <f>H29+'Grid_Incoming'!I29-'Grid_Requirement'!I29</f>
        <v/>
      </c>
      <c r="J29">
        <f>I29+'Grid_Incoming'!J29-'Grid_Requirement'!J29</f>
        <v/>
      </c>
      <c r="K29">
        <f>J29+'Grid_Incoming'!K29-'Grid_Requirement'!K29</f>
        <v/>
      </c>
      <c r="L29">
        <f>K29+'Grid_Incoming'!L29-'Grid_Requirement'!L29</f>
        <v/>
      </c>
      <c r="M29">
        <f>L29+'Grid_Incoming'!M29-'Grid_Requirement'!M29</f>
        <v/>
      </c>
      <c r="N29">
        <f>M29+'Grid_Incoming'!N29-'Grid_Requirement'!N29</f>
        <v/>
      </c>
      <c r="O29">
        <f>N29+'Grid_Incoming'!O29-'Grid_Requirement'!O29</f>
        <v/>
      </c>
      <c r="P29">
        <f>O29+'Grid_Incoming'!P29-'Grid_Requirement'!P29</f>
        <v/>
      </c>
      <c r="Q29">
        <f>P29+'Grid_Incoming'!Q29-'Grid_Requirement'!Q29</f>
        <v/>
      </c>
      <c r="R29">
        <f>Q29+'Grid_Incoming'!R29-'Grid_Requirement'!R29</f>
        <v/>
      </c>
      <c r="S29">
        <f>R29+'Grid_Incoming'!S29-'Grid_Requirement'!S29</f>
        <v/>
      </c>
      <c r="T29">
        <f>S29+'Grid_Incoming'!T29-'Grid_Requirement'!T29</f>
        <v/>
      </c>
      <c r="U29">
        <f>T29+'Grid_Incoming'!U29-'Grid_Requirement'!U29</f>
        <v/>
      </c>
      <c r="V29">
        <f>U29+'Grid_Incoming'!V29-'Grid_Requirement'!V29</f>
        <v/>
      </c>
      <c r="W29">
        <f>V29+'Grid_Incoming'!W29-'Grid_Requirement'!W29</f>
        <v/>
      </c>
      <c r="X29">
        <f>W29+'Grid_Incoming'!X29-'Grid_Requirement'!X29</f>
        <v/>
      </c>
      <c r="Y29">
        <f>X29+'Grid_Incoming'!Y29-'Grid_Requirement'!Y29</f>
        <v/>
      </c>
      <c r="Z29">
        <f>Y29+'Grid_Incoming'!Z29-'Grid_Requirement'!Z29</f>
        <v/>
      </c>
      <c r="AA29">
        <f>Z29+'Grid_Incoming'!AA29-'Grid_Requirement'!AA29</f>
        <v/>
      </c>
      <c r="AB29">
        <f>AA29+'Grid_Incoming'!AB29-'Grid_Requirement'!AB29</f>
        <v/>
      </c>
      <c r="AC29">
        <f>AB29+'Grid_Incoming'!AC29-'Grid_Requirement'!AC29</f>
        <v/>
      </c>
      <c r="AD29">
        <f>AC29+'Grid_Incoming'!AD29-'Grid_Requirement'!AD29</f>
        <v/>
      </c>
      <c r="AE29">
        <f>AD29+'Grid_Incoming'!AE29-'Grid_Requirement'!AE29</f>
        <v/>
      </c>
      <c r="AF29">
        <f>AE29+'Grid_Incoming'!AF29-'Grid_Requirement'!AF29</f>
        <v/>
      </c>
      <c r="AG29">
        <f>AF29+'Grid_Incoming'!AG29-'Grid_Requirement'!AG29</f>
        <v/>
      </c>
      <c r="AH29">
        <f>AG29+'Grid_Incoming'!AH29-'Grid_Requirement'!AH29</f>
        <v/>
      </c>
      <c r="AI29">
        <f>AH29+'Grid_Incoming'!AI29-'Grid_Requirement'!AI29</f>
        <v/>
      </c>
      <c r="AJ29">
        <f>AI29+'Grid_Incoming'!AJ29-'Grid_Requirement'!AJ29</f>
        <v/>
      </c>
      <c r="AK29">
        <f>AJ29+'Grid_Incoming'!AK29-'Grid_Requirement'!AK29</f>
        <v/>
      </c>
      <c r="AL29">
        <f>AK29+'Grid_Incoming'!AL29-'Grid_Requirement'!AL29</f>
        <v/>
      </c>
      <c r="AM29">
        <f>AL29+'Grid_Incoming'!AM29-'Grid_Requirement'!AM29</f>
        <v/>
      </c>
      <c r="AN29">
        <f>AM29+'Grid_Incoming'!AN29-'Grid_Requirement'!AN29</f>
        <v/>
      </c>
      <c r="AO29">
        <f>AN29+'Grid_Incoming'!AO29-'Grid_Requirement'!AO29</f>
        <v/>
      </c>
      <c r="AP29">
        <f>AO29+'Grid_Incoming'!AP29-'Grid_Requirement'!AP29</f>
        <v/>
      </c>
      <c r="AQ29">
        <f>AP29+'Grid_Incoming'!AQ29-'Grid_Requirement'!AQ29</f>
        <v/>
      </c>
      <c r="AR29">
        <f>AQ29+'Grid_Incoming'!AR29-'Grid_Requirement'!AR29</f>
        <v/>
      </c>
      <c r="AS29">
        <f>AR29+'Grid_Incoming'!AS29-'Grid_Requirement'!AS29</f>
        <v/>
      </c>
      <c r="AT29">
        <f>AS29+'Grid_Incoming'!AT29-'Grid_Requirement'!AT29</f>
        <v/>
      </c>
      <c r="AU29">
        <f>AT29+'Grid_Incoming'!AU29-'Grid_Requirement'!AU29</f>
        <v/>
      </c>
      <c r="AV29">
        <f>AU29+'Grid_Incoming'!AV29-'Grid_Requirement'!AV29</f>
        <v/>
      </c>
      <c r="AW29">
        <f>AV29+'Grid_Incoming'!AW29-'Grid_Requirement'!AW29</f>
        <v/>
      </c>
      <c r="AX29">
        <f>AW29+'Grid_Incoming'!AX29-'Grid_Requirement'!AX29</f>
        <v/>
      </c>
      <c r="AY29">
        <f>AX29+'Grid_Incoming'!AY29-'Grid_Requirement'!AY29</f>
        <v/>
      </c>
      <c r="AZ29">
        <f>AY29+'Grid_Incoming'!AZ29-'Grid_Requirement'!AZ29</f>
        <v/>
      </c>
      <c r="BA29">
        <f>AZ29+'Grid_Incoming'!BA29-'Grid_Requirement'!BA29</f>
        <v/>
      </c>
      <c r="BB29">
        <f>BA29+'Grid_Incoming'!BB29-'Grid_Requirement'!BB29</f>
        <v/>
      </c>
      <c r="BC29">
        <f>BB29+'Grid_Incoming'!BC29-'Grid_Requirement'!BC29</f>
        <v/>
      </c>
      <c r="BD29">
        <f>BC29+'Grid_Incoming'!BD29-'Grid_Requirement'!BD29</f>
        <v/>
      </c>
      <c r="BE29">
        <f>BD29+'Grid_Incoming'!BE29-'Grid_Requirement'!BE29</f>
        <v/>
      </c>
      <c r="BF29">
        <f>BE29+'Grid_Incoming'!BF29-'Grid_Requirement'!BF29</f>
        <v/>
      </c>
      <c r="BG29">
        <f>BF29+'Grid_Incoming'!BG29-'Grid_Requirement'!BG29</f>
        <v/>
      </c>
      <c r="BH29">
        <f>BG29+'Grid_Incoming'!BH29-'Grid_Requirement'!BH29</f>
        <v/>
      </c>
      <c r="BI29">
        <f>BH29+'Grid_Incoming'!BI29-'Grid_Requirement'!BI29</f>
        <v/>
      </c>
      <c r="BJ29">
        <f>BI29+'Grid_Incoming'!BJ29-'Grid_Requirement'!BJ29</f>
        <v/>
      </c>
      <c r="BK29">
        <f>BJ29+'Grid_Incoming'!BK29-'Grid_Requirement'!BK29</f>
        <v/>
      </c>
      <c r="BL29">
        <f>BK29+'Grid_Incoming'!BL29-'Grid_Requirement'!BL29</f>
        <v/>
      </c>
      <c r="BM29">
        <f>BL29+'Grid_Incoming'!BM29-'Grid_Requirement'!BM29</f>
        <v/>
      </c>
      <c r="BN29">
        <f>BM29+'Grid_Incoming'!BN29-'Grid_Requirement'!BN29</f>
        <v/>
      </c>
      <c r="BO29">
        <f>BN29+'Grid_Incoming'!BO29-'Grid_Requirement'!BO29</f>
        <v/>
      </c>
      <c r="BP29">
        <f>BO29+'Grid_Incoming'!BP29-'Grid_Requirement'!BP29</f>
        <v/>
      </c>
      <c r="BQ29">
        <f>BP29+'Grid_Incoming'!BQ29-'Grid_Requirement'!BQ29</f>
        <v/>
      </c>
      <c r="BR29">
        <f>BQ29+'Grid_Incoming'!BR29-'Grid_Requirement'!BR29</f>
        <v/>
      </c>
      <c r="BS29">
        <f>BR29+'Grid_Incoming'!BS29-'Grid_Requirement'!BS29</f>
        <v/>
      </c>
      <c r="BT29">
        <f>BS29+'Grid_Incoming'!BT29-'Grid_Requirement'!BT29</f>
        <v/>
      </c>
      <c r="BU29">
        <f>BT29+'Grid_Incoming'!BU29-'Grid_Requirement'!BU29</f>
        <v/>
      </c>
      <c r="BV29">
        <f>BU29+'Grid_Incoming'!BV29-'Grid_Requirement'!BV29</f>
        <v/>
      </c>
      <c r="BW29">
        <f>BV29+'Grid_Incoming'!BW29-'Grid_Requirement'!BW29</f>
        <v/>
      </c>
      <c r="BX29">
        <f>BW29+'Grid_Incoming'!BX29-'Grid_Requirement'!BX29</f>
        <v/>
      </c>
      <c r="BY29">
        <f>BX29+'Grid_Incoming'!BY29-'Grid_Requirement'!BY29</f>
        <v/>
      </c>
      <c r="BZ29">
        <f>BY29+'Grid_Incoming'!BZ29-'Grid_Requirement'!BZ29</f>
        <v/>
      </c>
      <c r="CA29">
        <f>BZ29+'Grid_Incoming'!CA29-'Grid_Requirement'!CA29</f>
        <v/>
      </c>
      <c r="CB29">
        <f>CA29+'Grid_Incoming'!CB29-'Grid_Requirement'!CB29</f>
        <v/>
      </c>
      <c r="CC29">
        <f>CB29+'Grid_Incoming'!CC29-'Grid_Requirement'!CC29</f>
        <v/>
      </c>
      <c r="CD29">
        <f>CC29+'Grid_Incoming'!CD29-'Grid_Requirement'!CD29</f>
        <v/>
      </c>
      <c r="CE29">
        <f>CD29+'Grid_Incoming'!CE29-'Grid_Requirement'!CE29</f>
        <v/>
      </c>
      <c r="CF29">
        <f>CE29+'Grid_Incoming'!CF29-'Grid_Requirement'!CF29</f>
        <v/>
      </c>
      <c r="CG29">
        <f>CF29+'Grid_Incoming'!CG29-'Grid_Requirement'!CG29</f>
        <v/>
      </c>
      <c r="CH29">
        <f>CG29+'Grid_Incoming'!CH29-'Grid_Requirement'!CH29</f>
        <v/>
      </c>
      <c r="CI29">
        <f>CH29+'Grid_Incoming'!CI29-'Grid_Requirement'!CI29</f>
        <v/>
      </c>
      <c r="CJ29">
        <f>CI29+'Grid_Incoming'!CJ29-'Grid_Requirement'!CJ29</f>
        <v/>
      </c>
      <c r="CK29">
        <f>CJ29+'Grid_Incoming'!CK29-'Grid_Requirement'!CK29</f>
        <v/>
      </c>
      <c r="CL29">
        <f>CK29+'Grid_Incoming'!CL29-'Grid_Requirement'!CL29</f>
        <v/>
      </c>
      <c r="CM29">
        <f>CL29+'Grid_Incoming'!CM29-'Grid_Requirement'!CM29</f>
        <v/>
      </c>
      <c r="CN29">
        <f>CM29+'Grid_Incoming'!CN29-'Grid_Requirement'!CN29</f>
        <v/>
      </c>
      <c r="CO29">
        <f>CN29+'Grid_Incoming'!CO29-'Grid_Requirement'!CO29</f>
        <v/>
      </c>
      <c r="CP29">
        <f>CO29+'Grid_Incoming'!CP29-'Grid_Requirement'!CP29</f>
        <v/>
      </c>
      <c r="CQ29">
        <f>CP29+'Grid_Incoming'!CQ29-'Grid_Requirement'!CQ29</f>
        <v/>
      </c>
      <c r="CR29">
        <f>CQ29+'Grid_Incoming'!CR29-'Grid_Requirement'!CR29</f>
        <v/>
      </c>
      <c r="CS29">
        <f>CR29+'Grid_Incoming'!CS29-'Grid_Requirement'!CS29</f>
        <v/>
      </c>
      <c r="CT29">
        <f>CS29+'Grid_Incoming'!CT29-'Grid_Requirement'!CT29</f>
        <v/>
      </c>
      <c r="CU29">
        <f>CT29+'Grid_Incoming'!CU29-'Grid_Requirement'!CU29</f>
        <v/>
      </c>
      <c r="CV29">
        <f>CU29+'Grid_Incoming'!CV29-'Grid_Requirement'!CV29</f>
        <v/>
      </c>
      <c r="CW29">
        <f>CV29+'Grid_Incoming'!CW29-'Grid_Requirement'!CW29</f>
        <v/>
      </c>
      <c r="CX29">
        <f>CW29+'Grid_Incoming'!CX29-'Grid_Requirement'!CX29</f>
        <v/>
      </c>
      <c r="CY29">
        <f>CX29+'Grid_Incoming'!CY29-'Grid_Requirement'!CY29</f>
        <v/>
      </c>
      <c r="CZ29">
        <f>CY29+'Grid_Incoming'!CZ29-'Grid_Requirement'!CZ29</f>
        <v/>
      </c>
      <c r="DA29">
        <f>CZ29+'Grid_Incoming'!DA29-'Grid_Requirement'!DA29</f>
        <v/>
      </c>
    </row>
    <row r="30">
      <c r="A30" t="inlineStr">
        <is>
          <t>CHEM-1550</t>
        </is>
      </c>
      <c r="B30">
        <f>IFERROR(INDEX(T_OpeningStock[Opening_Qty],MATCH($A30,T_OpeningStock[Part Name],0)),0)+'Grid_Incoming'!B30-'Grid_Requirement'!B30</f>
        <v/>
      </c>
      <c r="C30">
        <f>B30+'Grid_Incoming'!C30-'Grid_Requirement'!C30</f>
        <v/>
      </c>
      <c r="D30">
        <f>C30+'Grid_Incoming'!D30-'Grid_Requirement'!D30</f>
        <v/>
      </c>
      <c r="E30">
        <f>D30+'Grid_Incoming'!E30-'Grid_Requirement'!E30</f>
        <v/>
      </c>
      <c r="F30">
        <f>E30+'Grid_Incoming'!F30-'Grid_Requirement'!F30</f>
        <v/>
      </c>
      <c r="G30">
        <f>F30+'Grid_Incoming'!G30-'Grid_Requirement'!G30</f>
        <v/>
      </c>
      <c r="H30">
        <f>G30+'Grid_Incoming'!H30-'Grid_Requirement'!H30</f>
        <v/>
      </c>
      <c r="I30">
        <f>H30+'Grid_Incoming'!I30-'Grid_Requirement'!I30</f>
        <v/>
      </c>
      <c r="J30">
        <f>I30+'Grid_Incoming'!J30-'Grid_Requirement'!J30</f>
        <v/>
      </c>
      <c r="K30">
        <f>J30+'Grid_Incoming'!K30-'Grid_Requirement'!K30</f>
        <v/>
      </c>
      <c r="L30">
        <f>K30+'Grid_Incoming'!L30-'Grid_Requirement'!L30</f>
        <v/>
      </c>
      <c r="M30">
        <f>L30+'Grid_Incoming'!M30-'Grid_Requirement'!M30</f>
        <v/>
      </c>
      <c r="N30">
        <f>M30+'Grid_Incoming'!N30-'Grid_Requirement'!N30</f>
        <v/>
      </c>
      <c r="O30">
        <f>N30+'Grid_Incoming'!O30-'Grid_Requirement'!O30</f>
        <v/>
      </c>
      <c r="P30">
        <f>O30+'Grid_Incoming'!P30-'Grid_Requirement'!P30</f>
        <v/>
      </c>
      <c r="Q30">
        <f>P30+'Grid_Incoming'!Q30-'Grid_Requirement'!Q30</f>
        <v/>
      </c>
      <c r="R30">
        <f>Q30+'Grid_Incoming'!R30-'Grid_Requirement'!R30</f>
        <v/>
      </c>
      <c r="S30">
        <f>R30+'Grid_Incoming'!S30-'Grid_Requirement'!S30</f>
        <v/>
      </c>
      <c r="T30">
        <f>S30+'Grid_Incoming'!T30-'Grid_Requirement'!T30</f>
        <v/>
      </c>
      <c r="U30">
        <f>T30+'Grid_Incoming'!U30-'Grid_Requirement'!U30</f>
        <v/>
      </c>
      <c r="V30">
        <f>U30+'Grid_Incoming'!V30-'Grid_Requirement'!V30</f>
        <v/>
      </c>
      <c r="W30">
        <f>V30+'Grid_Incoming'!W30-'Grid_Requirement'!W30</f>
        <v/>
      </c>
      <c r="X30">
        <f>W30+'Grid_Incoming'!X30-'Grid_Requirement'!X30</f>
        <v/>
      </c>
      <c r="Y30">
        <f>X30+'Grid_Incoming'!Y30-'Grid_Requirement'!Y30</f>
        <v/>
      </c>
      <c r="Z30">
        <f>Y30+'Grid_Incoming'!Z30-'Grid_Requirement'!Z30</f>
        <v/>
      </c>
      <c r="AA30">
        <f>Z30+'Grid_Incoming'!AA30-'Grid_Requirement'!AA30</f>
        <v/>
      </c>
      <c r="AB30">
        <f>AA30+'Grid_Incoming'!AB30-'Grid_Requirement'!AB30</f>
        <v/>
      </c>
      <c r="AC30">
        <f>AB30+'Grid_Incoming'!AC30-'Grid_Requirement'!AC30</f>
        <v/>
      </c>
      <c r="AD30">
        <f>AC30+'Grid_Incoming'!AD30-'Grid_Requirement'!AD30</f>
        <v/>
      </c>
      <c r="AE30">
        <f>AD30+'Grid_Incoming'!AE30-'Grid_Requirement'!AE30</f>
        <v/>
      </c>
      <c r="AF30">
        <f>AE30+'Grid_Incoming'!AF30-'Grid_Requirement'!AF30</f>
        <v/>
      </c>
      <c r="AG30">
        <f>AF30+'Grid_Incoming'!AG30-'Grid_Requirement'!AG30</f>
        <v/>
      </c>
      <c r="AH30">
        <f>AG30+'Grid_Incoming'!AH30-'Grid_Requirement'!AH30</f>
        <v/>
      </c>
      <c r="AI30">
        <f>AH30+'Grid_Incoming'!AI30-'Grid_Requirement'!AI30</f>
        <v/>
      </c>
      <c r="AJ30">
        <f>AI30+'Grid_Incoming'!AJ30-'Grid_Requirement'!AJ30</f>
        <v/>
      </c>
      <c r="AK30">
        <f>AJ30+'Grid_Incoming'!AK30-'Grid_Requirement'!AK30</f>
        <v/>
      </c>
      <c r="AL30">
        <f>AK30+'Grid_Incoming'!AL30-'Grid_Requirement'!AL30</f>
        <v/>
      </c>
      <c r="AM30">
        <f>AL30+'Grid_Incoming'!AM30-'Grid_Requirement'!AM30</f>
        <v/>
      </c>
      <c r="AN30">
        <f>AM30+'Grid_Incoming'!AN30-'Grid_Requirement'!AN30</f>
        <v/>
      </c>
      <c r="AO30">
        <f>AN30+'Grid_Incoming'!AO30-'Grid_Requirement'!AO30</f>
        <v/>
      </c>
      <c r="AP30">
        <f>AO30+'Grid_Incoming'!AP30-'Grid_Requirement'!AP30</f>
        <v/>
      </c>
      <c r="AQ30">
        <f>AP30+'Grid_Incoming'!AQ30-'Grid_Requirement'!AQ30</f>
        <v/>
      </c>
      <c r="AR30">
        <f>AQ30+'Grid_Incoming'!AR30-'Grid_Requirement'!AR30</f>
        <v/>
      </c>
      <c r="AS30">
        <f>AR30+'Grid_Incoming'!AS30-'Grid_Requirement'!AS30</f>
        <v/>
      </c>
      <c r="AT30">
        <f>AS30+'Grid_Incoming'!AT30-'Grid_Requirement'!AT30</f>
        <v/>
      </c>
      <c r="AU30">
        <f>AT30+'Grid_Incoming'!AU30-'Grid_Requirement'!AU30</f>
        <v/>
      </c>
      <c r="AV30">
        <f>AU30+'Grid_Incoming'!AV30-'Grid_Requirement'!AV30</f>
        <v/>
      </c>
      <c r="AW30">
        <f>AV30+'Grid_Incoming'!AW30-'Grid_Requirement'!AW30</f>
        <v/>
      </c>
      <c r="AX30">
        <f>AW30+'Grid_Incoming'!AX30-'Grid_Requirement'!AX30</f>
        <v/>
      </c>
      <c r="AY30">
        <f>AX30+'Grid_Incoming'!AY30-'Grid_Requirement'!AY30</f>
        <v/>
      </c>
      <c r="AZ30">
        <f>AY30+'Grid_Incoming'!AZ30-'Grid_Requirement'!AZ30</f>
        <v/>
      </c>
      <c r="BA30">
        <f>AZ30+'Grid_Incoming'!BA30-'Grid_Requirement'!BA30</f>
        <v/>
      </c>
      <c r="BB30">
        <f>BA30+'Grid_Incoming'!BB30-'Grid_Requirement'!BB30</f>
        <v/>
      </c>
      <c r="BC30">
        <f>BB30+'Grid_Incoming'!BC30-'Grid_Requirement'!BC30</f>
        <v/>
      </c>
      <c r="BD30">
        <f>BC30+'Grid_Incoming'!BD30-'Grid_Requirement'!BD30</f>
        <v/>
      </c>
      <c r="BE30">
        <f>BD30+'Grid_Incoming'!BE30-'Grid_Requirement'!BE30</f>
        <v/>
      </c>
      <c r="BF30">
        <f>BE30+'Grid_Incoming'!BF30-'Grid_Requirement'!BF30</f>
        <v/>
      </c>
      <c r="BG30">
        <f>BF30+'Grid_Incoming'!BG30-'Grid_Requirement'!BG30</f>
        <v/>
      </c>
      <c r="BH30">
        <f>BG30+'Grid_Incoming'!BH30-'Grid_Requirement'!BH30</f>
        <v/>
      </c>
      <c r="BI30">
        <f>BH30+'Grid_Incoming'!BI30-'Grid_Requirement'!BI30</f>
        <v/>
      </c>
      <c r="BJ30">
        <f>BI30+'Grid_Incoming'!BJ30-'Grid_Requirement'!BJ30</f>
        <v/>
      </c>
      <c r="BK30">
        <f>BJ30+'Grid_Incoming'!BK30-'Grid_Requirement'!BK30</f>
        <v/>
      </c>
      <c r="BL30">
        <f>BK30+'Grid_Incoming'!BL30-'Grid_Requirement'!BL30</f>
        <v/>
      </c>
      <c r="BM30">
        <f>BL30+'Grid_Incoming'!BM30-'Grid_Requirement'!BM30</f>
        <v/>
      </c>
      <c r="BN30">
        <f>BM30+'Grid_Incoming'!BN30-'Grid_Requirement'!BN30</f>
        <v/>
      </c>
      <c r="BO30">
        <f>BN30+'Grid_Incoming'!BO30-'Grid_Requirement'!BO30</f>
        <v/>
      </c>
      <c r="BP30">
        <f>BO30+'Grid_Incoming'!BP30-'Grid_Requirement'!BP30</f>
        <v/>
      </c>
      <c r="BQ30">
        <f>BP30+'Grid_Incoming'!BQ30-'Grid_Requirement'!BQ30</f>
        <v/>
      </c>
      <c r="BR30">
        <f>BQ30+'Grid_Incoming'!BR30-'Grid_Requirement'!BR30</f>
        <v/>
      </c>
      <c r="BS30">
        <f>BR30+'Grid_Incoming'!BS30-'Grid_Requirement'!BS30</f>
        <v/>
      </c>
      <c r="BT30">
        <f>BS30+'Grid_Incoming'!BT30-'Grid_Requirement'!BT30</f>
        <v/>
      </c>
      <c r="BU30">
        <f>BT30+'Grid_Incoming'!BU30-'Grid_Requirement'!BU30</f>
        <v/>
      </c>
      <c r="BV30">
        <f>BU30+'Grid_Incoming'!BV30-'Grid_Requirement'!BV30</f>
        <v/>
      </c>
      <c r="BW30">
        <f>BV30+'Grid_Incoming'!BW30-'Grid_Requirement'!BW30</f>
        <v/>
      </c>
      <c r="BX30">
        <f>BW30+'Grid_Incoming'!BX30-'Grid_Requirement'!BX30</f>
        <v/>
      </c>
      <c r="BY30">
        <f>BX30+'Grid_Incoming'!BY30-'Grid_Requirement'!BY30</f>
        <v/>
      </c>
      <c r="BZ30">
        <f>BY30+'Grid_Incoming'!BZ30-'Grid_Requirement'!BZ30</f>
        <v/>
      </c>
      <c r="CA30">
        <f>BZ30+'Grid_Incoming'!CA30-'Grid_Requirement'!CA30</f>
        <v/>
      </c>
      <c r="CB30">
        <f>CA30+'Grid_Incoming'!CB30-'Grid_Requirement'!CB30</f>
        <v/>
      </c>
      <c r="CC30">
        <f>CB30+'Grid_Incoming'!CC30-'Grid_Requirement'!CC30</f>
        <v/>
      </c>
      <c r="CD30">
        <f>CC30+'Grid_Incoming'!CD30-'Grid_Requirement'!CD30</f>
        <v/>
      </c>
      <c r="CE30">
        <f>CD30+'Grid_Incoming'!CE30-'Grid_Requirement'!CE30</f>
        <v/>
      </c>
      <c r="CF30">
        <f>CE30+'Grid_Incoming'!CF30-'Grid_Requirement'!CF30</f>
        <v/>
      </c>
      <c r="CG30">
        <f>CF30+'Grid_Incoming'!CG30-'Grid_Requirement'!CG30</f>
        <v/>
      </c>
      <c r="CH30">
        <f>CG30+'Grid_Incoming'!CH30-'Grid_Requirement'!CH30</f>
        <v/>
      </c>
      <c r="CI30">
        <f>CH30+'Grid_Incoming'!CI30-'Grid_Requirement'!CI30</f>
        <v/>
      </c>
      <c r="CJ30">
        <f>CI30+'Grid_Incoming'!CJ30-'Grid_Requirement'!CJ30</f>
        <v/>
      </c>
      <c r="CK30">
        <f>CJ30+'Grid_Incoming'!CK30-'Grid_Requirement'!CK30</f>
        <v/>
      </c>
      <c r="CL30">
        <f>CK30+'Grid_Incoming'!CL30-'Grid_Requirement'!CL30</f>
        <v/>
      </c>
      <c r="CM30">
        <f>CL30+'Grid_Incoming'!CM30-'Grid_Requirement'!CM30</f>
        <v/>
      </c>
      <c r="CN30">
        <f>CM30+'Grid_Incoming'!CN30-'Grid_Requirement'!CN30</f>
        <v/>
      </c>
      <c r="CO30">
        <f>CN30+'Grid_Incoming'!CO30-'Grid_Requirement'!CO30</f>
        <v/>
      </c>
      <c r="CP30">
        <f>CO30+'Grid_Incoming'!CP30-'Grid_Requirement'!CP30</f>
        <v/>
      </c>
      <c r="CQ30">
        <f>CP30+'Grid_Incoming'!CQ30-'Grid_Requirement'!CQ30</f>
        <v/>
      </c>
      <c r="CR30">
        <f>CQ30+'Grid_Incoming'!CR30-'Grid_Requirement'!CR30</f>
        <v/>
      </c>
      <c r="CS30">
        <f>CR30+'Grid_Incoming'!CS30-'Grid_Requirement'!CS30</f>
        <v/>
      </c>
      <c r="CT30">
        <f>CS30+'Grid_Incoming'!CT30-'Grid_Requirement'!CT30</f>
        <v/>
      </c>
      <c r="CU30">
        <f>CT30+'Grid_Incoming'!CU30-'Grid_Requirement'!CU30</f>
        <v/>
      </c>
      <c r="CV30">
        <f>CU30+'Grid_Incoming'!CV30-'Grid_Requirement'!CV30</f>
        <v/>
      </c>
      <c r="CW30">
        <f>CV30+'Grid_Incoming'!CW30-'Grid_Requirement'!CW30</f>
        <v/>
      </c>
      <c r="CX30">
        <f>CW30+'Grid_Incoming'!CX30-'Grid_Requirement'!CX30</f>
        <v/>
      </c>
      <c r="CY30">
        <f>CX30+'Grid_Incoming'!CY30-'Grid_Requirement'!CY30</f>
        <v/>
      </c>
      <c r="CZ30">
        <f>CY30+'Grid_Incoming'!CZ30-'Grid_Requirement'!CZ30</f>
        <v/>
      </c>
      <c r="DA30">
        <f>CZ30+'Grid_Incoming'!DA30-'Grid_Requirement'!DA30</f>
        <v/>
      </c>
    </row>
    <row r="31">
      <c r="A31" t="inlineStr">
        <is>
          <t>CHEM-1440</t>
        </is>
      </c>
      <c r="B31">
        <f>IFERROR(INDEX(T_OpeningStock[Opening_Qty],MATCH($A31,T_OpeningStock[Part Name],0)),0)+'Grid_Incoming'!B31-'Grid_Requirement'!B31</f>
        <v/>
      </c>
      <c r="C31">
        <f>B31+'Grid_Incoming'!C31-'Grid_Requirement'!C31</f>
        <v/>
      </c>
      <c r="D31">
        <f>C31+'Grid_Incoming'!D31-'Grid_Requirement'!D31</f>
        <v/>
      </c>
      <c r="E31">
        <f>D31+'Grid_Incoming'!E31-'Grid_Requirement'!E31</f>
        <v/>
      </c>
      <c r="F31">
        <f>E31+'Grid_Incoming'!F31-'Grid_Requirement'!F31</f>
        <v/>
      </c>
      <c r="G31">
        <f>F31+'Grid_Incoming'!G31-'Grid_Requirement'!G31</f>
        <v/>
      </c>
      <c r="H31">
        <f>G31+'Grid_Incoming'!H31-'Grid_Requirement'!H31</f>
        <v/>
      </c>
      <c r="I31">
        <f>H31+'Grid_Incoming'!I31-'Grid_Requirement'!I31</f>
        <v/>
      </c>
      <c r="J31">
        <f>I31+'Grid_Incoming'!J31-'Grid_Requirement'!J31</f>
        <v/>
      </c>
      <c r="K31">
        <f>J31+'Grid_Incoming'!K31-'Grid_Requirement'!K31</f>
        <v/>
      </c>
      <c r="L31">
        <f>K31+'Grid_Incoming'!L31-'Grid_Requirement'!L31</f>
        <v/>
      </c>
      <c r="M31">
        <f>L31+'Grid_Incoming'!M31-'Grid_Requirement'!M31</f>
        <v/>
      </c>
      <c r="N31">
        <f>M31+'Grid_Incoming'!N31-'Grid_Requirement'!N31</f>
        <v/>
      </c>
      <c r="O31">
        <f>N31+'Grid_Incoming'!O31-'Grid_Requirement'!O31</f>
        <v/>
      </c>
      <c r="P31">
        <f>O31+'Grid_Incoming'!P31-'Grid_Requirement'!P31</f>
        <v/>
      </c>
      <c r="Q31">
        <f>P31+'Grid_Incoming'!Q31-'Grid_Requirement'!Q31</f>
        <v/>
      </c>
      <c r="R31">
        <f>Q31+'Grid_Incoming'!R31-'Grid_Requirement'!R31</f>
        <v/>
      </c>
      <c r="S31">
        <f>R31+'Grid_Incoming'!S31-'Grid_Requirement'!S31</f>
        <v/>
      </c>
      <c r="T31">
        <f>S31+'Grid_Incoming'!T31-'Grid_Requirement'!T31</f>
        <v/>
      </c>
      <c r="U31">
        <f>T31+'Grid_Incoming'!U31-'Grid_Requirement'!U31</f>
        <v/>
      </c>
      <c r="V31">
        <f>U31+'Grid_Incoming'!V31-'Grid_Requirement'!V31</f>
        <v/>
      </c>
      <c r="W31">
        <f>V31+'Grid_Incoming'!W31-'Grid_Requirement'!W31</f>
        <v/>
      </c>
      <c r="X31">
        <f>W31+'Grid_Incoming'!X31-'Grid_Requirement'!X31</f>
        <v/>
      </c>
      <c r="Y31">
        <f>X31+'Grid_Incoming'!Y31-'Grid_Requirement'!Y31</f>
        <v/>
      </c>
      <c r="Z31">
        <f>Y31+'Grid_Incoming'!Z31-'Grid_Requirement'!Z31</f>
        <v/>
      </c>
      <c r="AA31">
        <f>Z31+'Grid_Incoming'!AA31-'Grid_Requirement'!AA31</f>
        <v/>
      </c>
      <c r="AB31">
        <f>AA31+'Grid_Incoming'!AB31-'Grid_Requirement'!AB31</f>
        <v/>
      </c>
      <c r="AC31">
        <f>AB31+'Grid_Incoming'!AC31-'Grid_Requirement'!AC31</f>
        <v/>
      </c>
      <c r="AD31">
        <f>AC31+'Grid_Incoming'!AD31-'Grid_Requirement'!AD31</f>
        <v/>
      </c>
      <c r="AE31">
        <f>AD31+'Grid_Incoming'!AE31-'Grid_Requirement'!AE31</f>
        <v/>
      </c>
      <c r="AF31">
        <f>AE31+'Grid_Incoming'!AF31-'Grid_Requirement'!AF31</f>
        <v/>
      </c>
      <c r="AG31">
        <f>AF31+'Grid_Incoming'!AG31-'Grid_Requirement'!AG31</f>
        <v/>
      </c>
      <c r="AH31">
        <f>AG31+'Grid_Incoming'!AH31-'Grid_Requirement'!AH31</f>
        <v/>
      </c>
      <c r="AI31">
        <f>AH31+'Grid_Incoming'!AI31-'Grid_Requirement'!AI31</f>
        <v/>
      </c>
      <c r="AJ31">
        <f>AI31+'Grid_Incoming'!AJ31-'Grid_Requirement'!AJ31</f>
        <v/>
      </c>
      <c r="AK31">
        <f>AJ31+'Grid_Incoming'!AK31-'Grid_Requirement'!AK31</f>
        <v/>
      </c>
      <c r="AL31">
        <f>AK31+'Grid_Incoming'!AL31-'Grid_Requirement'!AL31</f>
        <v/>
      </c>
      <c r="AM31">
        <f>AL31+'Grid_Incoming'!AM31-'Grid_Requirement'!AM31</f>
        <v/>
      </c>
      <c r="AN31">
        <f>AM31+'Grid_Incoming'!AN31-'Grid_Requirement'!AN31</f>
        <v/>
      </c>
      <c r="AO31">
        <f>AN31+'Grid_Incoming'!AO31-'Grid_Requirement'!AO31</f>
        <v/>
      </c>
      <c r="AP31">
        <f>AO31+'Grid_Incoming'!AP31-'Grid_Requirement'!AP31</f>
        <v/>
      </c>
      <c r="AQ31">
        <f>AP31+'Grid_Incoming'!AQ31-'Grid_Requirement'!AQ31</f>
        <v/>
      </c>
      <c r="AR31">
        <f>AQ31+'Grid_Incoming'!AR31-'Grid_Requirement'!AR31</f>
        <v/>
      </c>
      <c r="AS31">
        <f>AR31+'Grid_Incoming'!AS31-'Grid_Requirement'!AS31</f>
        <v/>
      </c>
      <c r="AT31">
        <f>AS31+'Grid_Incoming'!AT31-'Grid_Requirement'!AT31</f>
        <v/>
      </c>
      <c r="AU31">
        <f>AT31+'Grid_Incoming'!AU31-'Grid_Requirement'!AU31</f>
        <v/>
      </c>
      <c r="AV31">
        <f>AU31+'Grid_Incoming'!AV31-'Grid_Requirement'!AV31</f>
        <v/>
      </c>
      <c r="AW31">
        <f>AV31+'Grid_Incoming'!AW31-'Grid_Requirement'!AW31</f>
        <v/>
      </c>
      <c r="AX31">
        <f>AW31+'Grid_Incoming'!AX31-'Grid_Requirement'!AX31</f>
        <v/>
      </c>
      <c r="AY31">
        <f>AX31+'Grid_Incoming'!AY31-'Grid_Requirement'!AY31</f>
        <v/>
      </c>
      <c r="AZ31">
        <f>AY31+'Grid_Incoming'!AZ31-'Grid_Requirement'!AZ31</f>
        <v/>
      </c>
      <c r="BA31">
        <f>AZ31+'Grid_Incoming'!BA31-'Grid_Requirement'!BA31</f>
        <v/>
      </c>
      <c r="BB31">
        <f>BA31+'Grid_Incoming'!BB31-'Grid_Requirement'!BB31</f>
        <v/>
      </c>
      <c r="BC31">
        <f>BB31+'Grid_Incoming'!BC31-'Grid_Requirement'!BC31</f>
        <v/>
      </c>
      <c r="BD31">
        <f>BC31+'Grid_Incoming'!BD31-'Grid_Requirement'!BD31</f>
        <v/>
      </c>
      <c r="BE31">
        <f>BD31+'Grid_Incoming'!BE31-'Grid_Requirement'!BE31</f>
        <v/>
      </c>
      <c r="BF31">
        <f>BE31+'Grid_Incoming'!BF31-'Grid_Requirement'!BF31</f>
        <v/>
      </c>
      <c r="BG31">
        <f>BF31+'Grid_Incoming'!BG31-'Grid_Requirement'!BG31</f>
        <v/>
      </c>
      <c r="BH31">
        <f>BG31+'Grid_Incoming'!BH31-'Grid_Requirement'!BH31</f>
        <v/>
      </c>
      <c r="BI31">
        <f>BH31+'Grid_Incoming'!BI31-'Grid_Requirement'!BI31</f>
        <v/>
      </c>
      <c r="BJ31">
        <f>BI31+'Grid_Incoming'!BJ31-'Grid_Requirement'!BJ31</f>
        <v/>
      </c>
      <c r="BK31">
        <f>BJ31+'Grid_Incoming'!BK31-'Grid_Requirement'!BK31</f>
        <v/>
      </c>
      <c r="BL31">
        <f>BK31+'Grid_Incoming'!BL31-'Grid_Requirement'!BL31</f>
        <v/>
      </c>
      <c r="BM31">
        <f>BL31+'Grid_Incoming'!BM31-'Grid_Requirement'!BM31</f>
        <v/>
      </c>
      <c r="BN31">
        <f>BM31+'Grid_Incoming'!BN31-'Grid_Requirement'!BN31</f>
        <v/>
      </c>
      <c r="BO31">
        <f>BN31+'Grid_Incoming'!BO31-'Grid_Requirement'!BO31</f>
        <v/>
      </c>
      <c r="BP31">
        <f>BO31+'Grid_Incoming'!BP31-'Grid_Requirement'!BP31</f>
        <v/>
      </c>
      <c r="BQ31">
        <f>BP31+'Grid_Incoming'!BQ31-'Grid_Requirement'!BQ31</f>
        <v/>
      </c>
      <c r="BR31">
        <f>BQ31+'Grid_Incoming'!BR31-'Grid_Requirement'!BR31</f>
        <v/>
      </c>
      <c r="BS31">
        <f>BR31+'Grid_Incoming'!BS31-'Grid_Requirement'!BS31</f>
        <v/>
      </c>
      <c r="BT31">
        <f>BS31+'Grid_Incoming'!BT31-'Grid_Requirement'!BT31</f>
        <v/>
      </c>
      <c r="BU31">
        <f>BT31+'Grid_Incoming'!BU31-'Grid_Requirement'!BU31</f>
        <v/>
      </c>
      <c r="BV31">
        <f>BU31+'Grid_Incoming'!BV31-'Grid_Requirement'!BV31</f>
        <v/>
      </c>
      <c r="BW31">
        <f>BV31+'Grid_Incoming'!BW31-'Grid_Requirement'!BW31</f>
        <v/>
      </c>
      <c r="BX31">
        <f>BW31+'Grid_Incoming'!BX31-'Grid_Requirement'!BX31</f>
        <v/>
      </c>
      <c r="BY31">
        <f>BX31+'Grid_Incoming'!BY31-'Grid_Requirement'!BY31</f>
        <v/>
      </c>
      <c r="BZ31">
        <f>BY31+'Grid_Incoming'!BZ31-'Grid_Requirement'!BZ31</f>
        <v/>
      </c>
      <c r="CA31">
        <f>BZ31+'Grid_Incoming'!CA31-'Grid_Requirement'!CA31</f>
        <v/>
      </c>
      <c r="CB31">
        <f>CA31+'Grid_Incoming'!CB31-'Grid_Requirement'!CB31</f>
        <v/>
      </c>
      <c r="CC31">
        <f>CB31+'Grid_Incoming'!CC31-'Grid_Requirement'!CC31</f>
        <v/>
      </c>
      <c r="CD31">
        <f>CC31+'Grid_Incoming'!CD31-'Grid_Requirement'!CD31</f>
        <v/>
      </c>
      <c r="CE31">
        <f>CD31+'Grid_Incoming'!CE31-'Grid_Requirement'!CE31</f>
        <v/>
      </c>
      <c r="CF31">
        <f>CE31+'Grid_Incoming'!CF31-'Grid_Requirement'!CF31</f>
        <v/>
      </c>
      <c r="CG31">
        <f>CF31+'Grid_Incoming'!CG31-'Grid_Requirement'!CG31</f>
        <v/>
      </c>
      <c r="CH31">
        <f>CG31+'Grid_Incoming'!CH31-'Grid_Requirement'!CH31</f>
        <v/>
      </c>
      <c r="CI31">
        <f>CH31+'Grid_Incoming'!CI31-'Grid_Requirement'!CI31</f>
        <v/>
      </c>
      <c r="CJ31">
        <f>CI31+'Grid_Incoming'!CJ31-'Grid_Requirement'!CJ31</f>
        <v/>
      </c>
      <c r="CK31">
        <f>CJ31+'Grid_Incoming'!CK31-'Grid_Requirement'!CK31</f>
        <v/>
      </c>
      <c r="CL31">
        <f>CK31+'Grid_Incoming'!CL31-'Grid_Requirement'!CL31</f>
        <v/>
      </c>
      <c r="CM31">
        <f>CL31+'Grid_Incoming'!CM31-'Grid_Requirement'!CM31</f>
        <v/>
      </c>
      <c r="CN31">
        <f>CM31+'Grid_Incoming'!CN31-'Grid_Requirement'!CN31</f>
        <v/>
      </c>
      <c r="CO31">
        <f>CN31+'Grid_Incoming'!CO31-'Grid_Requirement'!CO31</f>
        <v/>
      </c>
      <c r="CP31">
        <f>CO31+'Grid_Incoming'!CP31-'Grid_Requirement'!CP31</f>
        <v/>
      </c>
      <c r="CQ31">
        <f>CP31+'Grid_Incoming'!CQ31-'Grid_Requirement'!CQ31</f>
        <v/>
      </c>
      <c r="CR31">
        <f>CQ31+'Grid_Incoming'!CR31-'Grid_Requirement'!CR31</f>
        <v/>
      </c>
      <c r="CS31">
        <f>CR31+'Grid_Incoming'!CS31-'Grid_Requirement'!CS31</f>
        <v/>
      </c>
      <c r="CT31">
        <f>CS31+'Grid_Incoming'!CT31-'Grid_Requirement'!CT31</f>
        <v/>
      </c>
      <c r="CU31">
        <f>CT31+'Grid_Incoming'!CU31-'Grid_Requirement'!CU31</f>
        <v/>
      </c>
      <c r="CV31">
        <f>CU31+'Grid_Incoming'!CV31-'Grid_Requirement'!CV31</f>
        <v/>
      </c>
      <c r="CW31">
        <f>CV31+'Grid_Incoming'!CW31-'Grid_Requirement'!CW31</f>
        <v/>
      </c>
      <c r="CX31">
        <f>CW31+'Grid_Incoming'!CX31-'Grid_Requirement'!CX31</f>
        <v/>
      </c>
      <c r="CY31">
        <f>CX31+'Grid_Incoming'!CY31-'Grid_Requirement'!CY31</f>
        <v/>
      </c>
      <c r="CZ31">
        <f>CY31+'Grid_Incoming'!CZ31-'Grid_Requirement'!CZ31</f>
        <v/>
      </c>
      <c r="DA31">
        <f>CZ31+'Grid_Incoming'!DA31-'Grid_Requirement'!DA31</f>
        <v/>
      </c>
    </row>
    <row r="32">
      <c r="A32" t="inlineStr">
        <is>
          <t>CHEM-1780</t>
        </is>
      </c>
      <c r="B32">
        <f>IFERROR(INDEX(T_OpeningStock[Opening_Qty],MATCH($A32,T_OpeningStock[Part Name],0)),0)+'Grid_Incoming'!B32-'Grid_Requirement'!B32</f>
        <v/>
      </c>
      <c r="C32">
        <f>B32+'Grid_Incoming'!C32-'Grid_Requirement'!C32</f>
        <v/>
      </c>
      <c r="D32">
        <f>C32+'Grid_Incoming'!D32-'Grid_Requirement'!D32</f>
        <v/>
      </c>
      <c r="E32">
        <f>D32+'Grid_Incoming'!E32-'Grid_Requirement'!E32</f>
        <v/>
      </c>
      <c r="F32">
        <f>E32+'Grid_Incoming'!F32-'Grid_Requirement'!F32</f>
        <v/>
      </c>
      <c r="G32">
        <f>F32+'Grid_Incoming'!G32-'Grid_Requirement'!G32</f>
        <v/>
      </c>
      <c r="H32">
        <f>G32+'Grid_Incoming'!H32-'Grid_Requirement'!H32</f>
        <v/>
      </c>
      <c r="I32">
        <f>H32+'Grid_Incoming'!I32-'Grid_Requirement'!I32</f>
        <v/>
      </c>
      <c r="J32">
        <f>I32+'Grid_Incoming'!J32-'Grid_Requirement'!J32</f>
        <v/>
      </c>
      <c r="K32">
        <f>J32+'Grid_Incoming'!K32-'Grid_Requirement'!K32</f>
        <v/>
      </c>
      <c r="L32">
        <f>K32+'Grid_Incoming'!L32-'Grid_Requirement'!L32</f>
        <v/>
      </c>
      <c r="M32">
        <f>L32+'Grid_Incoming'!M32-'Grid_Requirement'!M32</f>
        <v/>
      </c>
      <c r="N32">
        <f>M32+'Grid_Incoming'!N32-'Grid_Requirement'!N32</f>
        <v/>
      </c>
      <c r="O32">
        <f>N32+'Grid_Incoming'!O32-'Grid_Requirement'!O32</f>
        <v/>
      </c>
      <c r="P32">
        <f>O32+'Grid_Incoming'!P32-'Grid_Requirement'!P32</f>
        <v/>
      </c>
      <c r="Q32">
        <f>P32+'Grid_Incoming'!Q32-'Grid_Requirement'!Q32</f>
        <v/>
      </c>
      <c r="R32">
        <f>Q32+'Grid_Incoming'!R32-'Grid_Requirement'!R32</f>
        <v/>
      </c>
      <c r="S32">
        <f>R32+'Grid_Incoming'!S32-'Grid_Requirement'!S32</f>
        <v/>
      </c>
      <c r="T32">
        <f>S32+'Grid_Incoming'!T32-'Grid_Requirement'!T32</f>
        <v/>
      </c>
      <c r="U32">
        <f>T32+'Grid_Incoming'!U32-'Grid_Requirement'!U32</f>
        <v/>
      </c>
      <c r="V32">
        <f>U32+'Grid_Incoming'!V32-'Grid_Requirement'!V32</f>
        <v/>
      </c>
      <c r="W32">
        <f>V32+'Grid_Incoming'!W32-'Grid_Requirement'!W32</f>
        <v/>
      </c>
      <c r="X32">
        <f>W32+'Grid_Incoming'!X32-'Grid_Requirement'!X32</f>
        <v/>
      </c>
      <c r="Y32">
        <f>X32+'Grid_Incoming'!Y32-'Grid_Requirement'!Y32</f>
        <v/>
      </c>
      <c r="Z32">
        <f>Y32+'Grid_Incoming'!Z32-'Grid_Requirement'!Z32</f>
        <v/>
      </c>
      <c r="AA32">
        <f>Z32+'Grid_Incoming'!AA32-'Grid_Requirement'!AA32</f>
        <v/>
      </c>
      <c r="AB32">
        <f>AA32+'Grid_Incoming'!AB32-'Grid_Requirement'!AB32</f>
        <v/>
      </c>
      <c r="AC32">
        <f>AB32+'Grid_Incoming'!AC32-'Grid_Requirement'!AC32</f>
        <v/>
      </c>
      <c r="AD32">
        <f>AC32+'Grid_Incoming'!AD32-'Grid_Requirement'!AD32</f>
        <v/>
      </c>
      <c r="AE32">
        <f>AD32+'Grid_Incoming'!AE32-'Grid_Requirement'!AE32</f>
        <v/>
      </c>
      <c r="AF32">
        <f>AE32+'Grid_Incoming'!AF32-'Grid_Requirement'!AF32</f>
        <v/>
      </c>
      <c r="AG32">
        <f>AF32+'Grid_Incoming'!AG32-'Grid_Requirement'!AG32</f>
        <v/>
      </c>
      <c r="AH32">
        <f>AG32+'Grid_Incoming'!AH32-'Grid_Requirement'!AH32</f>
        <v/>
      </c>
      <c r="AI32">
        <f>AH32+'Grid_Incoming'!AI32-'Grid_Requirement'!AI32</f>
        <v/>
      </c>
      <c r="AJ32">
        <f>AI32+'Grid_Incoming'!AJ32-'Grid_Requirement'!AJ32</f>
        <v/>
      </c>
      <c r="AK32">
        <f>AJ32+'Grid_Incoming'!AK32-'Grid_Requirement'!AK32</f>
        <v/>
      </c>
      <c r="AL32">
        <f>AK32+'Grid_Incoming'!AL32-'Grid_Requirement'!AL32</f>
        <v/>
      </c>
      <c r="AM32">
        <f>AL32+'Grid_Incoming'!AM32-'Grid_Requirement'!AM32</f>
        <v/>
      </c>
      <c r="AN32">
        <f>AM32+'Grid_Incoming'!AN32-'Grid_Requirement'!AN32</f>
        <v/>
      </c>
      <c r="AO32">
        <f>AN32+'Grid_Incoming'!AO32-'Grid_Requirement'!AO32</f>
        <v/>
      </c>
      <c r="AP32">
        <f>AO32+'Grid_Incoming'!AP32-'Grid_Requirement'!AP32</f>
        <v/>
      </c>
      <c r="AQ32">
        <f>AP32+'Grid_Incoming'!AQ32-'Grid_Requirement'!AQ32</f>
        <v/>
      </c>
      <c r="AR32">
        <f>AQ32+'Grid_Incoming'!AR32-'Grid_Requirement'!AR32</f>
        <v/>
      </c>
      <c r="AS32">
        <f>AR32+'Grid_Incoming'!AS32-'Grid_Requirement'!AS32</f>
        <v/>
      </c>
      <c r="AT32">
        <f>AS32+'Grid_Incoming'!AT32-'Grid_Requirement'!AT32</f>
        <v/>
      </c>
      <c r="AU32">
        <f>AT32+'Grid_Incoming'!AU32-'Grid_Requirement'!AU32</f>
        <v/>
      </c>
      <c r="AV32">
        <f>AU32+'Grid_Incoming'!AV32-'Grid_Requirement'!AV32</f>
        <v/>
      </c>
      <c r="AW32">
        <f>AV32+'Grid_Incoming'!AW32-'Grid_Requirement'!AW32</f>
        <v/>
      </c>
      <c r="AX32">
        <f>AW32+'Grid_Incoming'!AX32-'Grid_Requirement'!AX32</f>
        <v/>
      </c>
      <c r="AY32">
        <f>AX32+'Grid_Incoming'!AY32-'Grid_Requirement'!AY32</f>
        <v/>
      </c>
      <c r="AZ32">
        <f>AY32+'Grid_Incoming'!AZ32-'Grid_Requirement'!AZ32</f>
        <v/>
      </c>
      <c r="BA32">
        <f>AZ32+'Grid_Incoming'!BA32-'Grid_Requirement'!BA32</f>
        <v/>
      </c>
      <c r="BB32">
        <f>BA32+'Grid_Incoming'!BB32-'Grid_Requirement'!BB32</f>
        <v/>
      </c>
      <c r="BC32">
        <f>BB32+'Grid_Incoming'!BC32-'Grid_Requirement'!BC32</f>
        <v/>
      </c>
      <c r="BD32">
        <f>BC32+'Grid_Incoming'!BD32-'Grid_Requirement'!BD32</f>
        <v/>
      </c>
      <c r="BE32">
        <f>BD32+'Grid_Incoming'!BE32-'Grid_Requirement'!BE32</f>
        <v/>
      </c>
      <c r="BF32">
        <f>BE32+'Grid_Incoming'!BF32-'Grid_Requirement'!BF32</f>
        <v/>
      </c>
      <c r="BG32">
        <f>BF32+'Grid_Incoming'!BG32-'Grid_Requirement'!BG32</f>
        <v/>
      </c>
      <c r="BH32">
        <f>BG32+'Grid_Incoming'!BH32-'Grid_Requirement'!BH32</f>
        <v/>
      </c>
      <c r="BI32">
        <f>BH32+'Grid_Incoming'!BI32-'Grid_Requirement'!BI32</f>
        <v/>
      </c>
      <c r="BJ32">
        <f>BI32+'Grid_Incoming'!BJ32-'Grid_Requirement'!BJ32</f>
        <v/>
      </c>
      <c r="BK32">
        <f>BJ32+'Grid_Incoming'!BK32-'Grid_Requirement'!BK32</f>
        <v/>
      </c>
      <c r="BL32">
        <f>BK32+'Grid_Incoming'!BL32-'Grid_Requirement'!BL32</f>
        <v/>
      </c>
      <c r="BM32">
        <f>BL32+'Grid_Incoming'!BM32-'Grid_Requirement'!BM32</f>
        <v/>
      </c>
      <c r="BN32">
        <f>BM32+'Grid_Incoming'!BN32-'Grid_Requirement'!BN32</f>
        <v/>
      </c>
      <c r="BO32">
        <f>BN32+'Grid_Incoming'!BO32-'Grid_Requirement'!BO32</f>
        <v/>
      </c>
      <c r="BP32">
        <f>BO32+'Grid_Incoming'!BP32-'Grid_Requirement'!BP32</f>
        <v/>
      </c>
      <c r="BQ32">
        <f>BP32+'Grid_Incoming'!BQ32-'Grid_Requirement'!BQ32</f>
        <v/>
      </c>
      <c r="BR32">
        <f>BQ32+'Grid_Incoming'!BR32-'Grid_Requirement'!BR32</f>
        <v/>
      </c>
      <c r="BS32">
        <f>BR32+'Grid_Incoming'!BS32-'Grid_Requirement'!BS32</f>
        <v/>
      </c>
      <c r="BT32">
        <f>BS32+'Grid_Incoming'!BT32-'Grid_Requirement'!BT32</f>
        <v/>
      </c>
      <c r="BU32">
        <f>BT32+'Grid_Incoming'!BU32-'Grid_Requirement'!BU32</f>
        <v/>
      </c>
      <c r="BV32">
        <f>BU32+'Grid_Incoming'!BV32-'Grid_Requirement'!BV32</f>
        <v/>
      </c>
      <c r="BW32">
        <f>BV32+'Grid_Incoming'!BW32-'Grid_Requirement'!BW32</f>
        <v/>
      </c>
      <c r="BX32">
        <f>BW32+'Grid_Incoming'!BX32-'Grid_Requirement'!BX32</f>
        <v/>
      </c>
      <c r="BY32">
        <f>BX32+'Grid_Incoming'!BY32-'Grid_Requirement'!BY32</f>
        <v/>
      </c>
      <c r="BZ32">
        <f>BY32+'Grid_Incoming'!BZ32-'Grid_Requirement'!BZ32</f>
        <v/>
      </c>
      <c r="CA32">
        <f>BZ32+'Grid_Incoming'!CA32-'Grid_Requirement'!CA32</f>
        <v/>
      </c>
      <c r="CB32">
        <f>CA32+'Grid_Incoming'!CB32-'Grid_Requirement'!CB32</f>
        <v/>
      </c>
      <c r="CC32">
        <f>CB32+'Grid_Incoming'!CC32-'Grid_Requirement'!CC32</f>
        <v/>
      </c>
      <c r="CD32">
        <f>CC32+'Grid_Incoming'!CD32-'Grid_Requirement'!CD32</f>
        <v/>
      </c>
      <c r="CE32">
        <f>CD32+'Grid_Incoming'!CE32-'Grid_Requirement'!CE32</f>
        <v/>
      </c>
      <c r="CF32">
        <f>CE32+'Grid_Incoming'!CF32-'Grid_Requirement'!CF32</f>
        <v/>
      </c>
      <c r="CG32">
        <f>CF32+'Grid_Incoming'!CG32-'Grid_Requirement'!CG32</f>
        <v/>
      </c>
      <c r="CH32">
        <f>CG32+'Grid_Incoming'!CH32-'Grid_Requirement'!CH32</f>
        <v/>
      </c>
      <c r="CI32">
        <f>CH32+'Grid_Incoming'!CI32-'Grid_Requirement'!CI32</f>
        <v/>
      </c>
      <c r="CJ32">
        <f>CI32+'Grid_Incoming'!CJ32-'Grid_Requirement'!CJ32</f>
        <v/>
      </c>
      <c r="CK32">
        <f>CJ32+'Grid_Incoming'!CK32-'Grid_Requirement'!CK32</f>
        <v/>
      </c>
      <c r="CL32">
        <f>CK32+'Grid_Incoming'!CL32-'Grid_Requirement'!CL32</f>
        <v/>
      </c>
      <c r="CM32">
        <f>CL32+'Grid_Incoming'!CM32-'Grid_Requirement'!CM32</f>
        <v/>
      </c>
      <c r="CN32">
        <f>CM32+'Grid_Incoming'!CN32-'Grid_Requirement'!CN32</f>
        <v/>
      </c>
      <c r="CO32">
        <f>CN32+'Grid_Incoming'!CO32-'Grid_Requirement'!CO32</f>
        <v/>
      </c>
      <c r="CP32">
        <f>CO32+'Grid_Incoming'!CP32-'Grid_Requirement'!CP32</f>
        <v/>
      </c>
      <c r="CQ32">
        <f>CP32+'Grid_Incoming'!CQ32-'Grid_Requirement'!CQ32</f>
        <v/>
      </c>
      <c r="CR32">
        <f>CQ32+'Grid_Incoming'!CR32-'Grid_Requirement'!CR32</f>
        <v/>
      </c>
      <c r="CS32">
        <f>CR32+'Grid_Incoming'!CS32-'Grid_Requirement'!CS32</f>
        <v/>
      </c>
      <c r="CT32">
        <f>CS32+'Grid_Incoming'!CT32-'Grid_Requirement'!CT32</f>
        <v/>
      </c>
      <c r="CU32">
        <f>CT32+'Grid_Incoming'!CU32-'Grid_Requirement'!CU32</f>
        <v/>
      </c>
      <c r="CV32">
        <f>CU32+'Grid_Incoming'!CV32-'Grid_Requirement'!CV32</f>
        <v/>
      </c>
      <c r="CW32">
        <f>CV32+'Grid_Incoming'!CW32-'Grid_Requirement'!CW32</f>
        <v/>
      </c>
      <c r="CX32">
        <f>CW32+'Grid_Incoming'!CX32-'Grid_Requirement'!CX32</f>
        <v/>
      </c>
      <c r="CY32">
        <f>CX32+'Grid_Incoming'!CY32-'Grid_Requirement'!CY32</f>
        <v/>
      </c>
      <c r="CZ32">
        <f>CY32+'Grid_Incoming'!CZ32-'Grid_Requirement'!CZ32</f>
        <v/>
      </c>
      <c r="DA32">
        <f>CZ32+'Grid_Incoming'!DA32-'Grid_Requirement'!DA32</f>
        <v/>
      </c>
    </row>
    <row r="33">
      <c r="A33" t="inlineStr">
        <is>
          <t>CHEM-1400</t>
        </is>
      </c>
      <c r="B33">
        <f>IFERROR(INDEX(T_OpeningStock[Opening_Qty],MATCH($A33,T_OpeningStock[Part Name],0)),0)+'Grid_Incoming'!B33-'Grid_Requirement'!B33</f>
        <v/>
      </c>
      <c r="C33">
        <f>B33+'Grid_Incoming'!C33-'Grid_Requirement'!C33</f>
        <v/>
      </c>
      <c r="D33">
        <f>C33+'Grid_Incoming'!D33-'Grid_Requirement'!D33</f>
        <v/>
      </c>
      <c r="E33">
        <f>D33+'Grid_Incoming'!E33-'Grid_Requirement'!E33</f>
        <v/>
      </c>
      <c r="F33">
        <f>E33+'Grid_Incoming'!F33-'Grid_Requirement'!F33</f>
        <v/>
      </c>
      <c r="G33">
        <f>F33+'Grid_Incoming'!G33-'Grid_Requirement'!G33</f>
        <v/>
      </c>
      <c r="H33">
        <f>G33+'Grid_Incoming'!H33-'Grid_Requirement'!H33</f>
        <v/>
      </c>
      <c r="I33">
        <f>H33+'Grid_Incoming'!I33-'Grid_Requirement'!I33</f>
        <v/>
      </c>
      <c r="J33">
        <f>I33+'Grid_Incoming'!J33-'Grid_Requirement'!J33</f>
        <v/>
      </c>
      <c r="K33">
        <f>J33+'Grid_Incoming'!K33-'Grid_Requirement'!K33</f>
        <v/>
      </c>
      <c r="L33">
        <f>K33+'Grid_Incoming'!L33-'Grid_Requirement'!L33</f>
        <v/>
      </c>
      <c r="M33">
        <f>L33+'Grid_Incoming'!M33-'Grid_Requirement'!M33</f>
        <v/>
      </c>
      <c r="N33">
        <f>M33+'Grid_Incoming'!N33-'Grid_Requirement'!N33</f>
        <v/>
      </c>
      <c r="O33">
        <f>N33+'Grid_Incoming'!O33-'Grid_Requirement'!O33</f>
        <v/>
      </c>
      <c r="P33">
        <f>O33+'Grid_Incoming'!P33-'Grid_Requirement'!P33</f>
        <v/>
      </c>
      <c r="Q33">
        <f>P33+'Grid_Incoming'!Q33-'Grid_Requirement'!Q33</f>
        <v/>
      </c>
      <c r="R33">
        <f>Q33+'Grid_Incoming'!R33-'Grid_Requirement'!R33</f>
        <v/>
      </c>
      <c r="S33">
        <f>R33+'Grid_Incoming'!S33-'Grid_Requirement'!S33</f>
        <v/>
      </c>
      <c r="T33">
        <f>S33+'Grid_Incoming'!T33-'Grid_Requirement'!T33</f>
        <v/>
      </c>
      <c r="U33">
        <f>T33+'Grid_Incoming'!U33-'Grid_Requirement'!U33</f>
        <v/>
      </c>
      <c r="V33">
        <f>U33+'Grid_Incoming'!V33-'Grid_Requirement'!V33</f>
        <v/>
      </c>
      <c r="W33">
        <f>V33+'Grid_Incoming'!W33-'Grid_Requirement'!W33</f>
        <v/>
      </c>
      <c r="X33">
        <f>W33+'Grid_Incoming'!X33-'Grid_Requirement'!X33</f>
        <v/>
      </c>
      <c r="Y33">
        <f>X33+'Grid_Incoming'!Y33-'Grid_Requirement'!Y33</f>
        <v/>
      </c>
      <c r="Z33">
        <f>Y33+'Grid_Incoming'!Z33-'Grid_Requirement'!Z33</f>
        <v/>
      </c>
      <c r="AA33">
        <f>Z33+'Grid_Incoming'!AA33-'Grid_Requirement'!AA33</f>
        <v/>
      </c>
      <c r="AB33">
        <f>AA33+'Grid_Incoming'!AB33-'Grid_Requirement'!AB33</f>
        <v/>
      </c>
      <c r="AC33">
        <f>AB33+'Grid_Incoming'!AC33-'Grid_Requirement'!AC33</f>
        <v/>
      </c>
      <c r="AD33">
        <f>AC33+'Grid_Incoming'!AD33-'Grid_Requirement'!AD33</f>
        <v/>
      </c>
      <c r="AE33">
        <f>AD33+'Grid_Incoming'!AE33-'Grid_Requirement'!AE33</f>
        <v/>
      </c>
      <c r="AF33">
        <f>AE33+'Grid_Incoming'!AF33-'Grid_Requirement'!AF33</f>
        <v/>
      </c>
      <c r="AG33">
        <f>AF33+'Grid_Incoming'!AG33-'Grid_Requirement'!AG33</f>
        <v/>
      </c>
      <c r="AH33">
        <f>AG33+'Grid_Incoming'!AH33-'Grid_Requirement'!AH33</f>
        <v/>
      </c>
      <c r="AI33">
        <f>AH33+'Grid_Incoming'!AI33-'Grid_Requirement'!AI33</f>
        <v/>
      </c>
      <c r="AJ33">
        <f>AI33+'Grid_Incoming'!AJ33-'Grid_Requirement'!AJ33</f>
        <v/>
      </c>
      <c r="AK33">
        <f>AJ33+'Grid_Incoming'!AK33-'Grid_Requirement'!AK33</f>
        <v/>
      </c>
      <c r="AL33">
        <f>AK33+'Grid_Incoming'!AL33-'Grid_Requirement'!AL33</f>
        <v/>
      </c>
      <c r="AM33">
        <f>AL33+'Grid_Incoming'!AM33-'Grid_Requirement'!AM33</f>
        <v/>
      </c>
      <c r="AN33">
        <f>AM33+'Grid_Incoming'!AN33-'Grid_Requirement'!AN33</f>
        <v/>
      </c>
      <c r="AO33">
        <f>AN33+'Grid_Incoming'!AO33-'Grid_Requirement'!AO33</f>
        <v/>
      </c>
      <c r="AP33">
        <f>AO33+'Grid_Incoming'!AP33-'Grid_Requirement'!AP33</f>
        <v/>
      </c>
      <c r="AQ33">
        <f>AP33+'Grid_Incoming'!AQ33-'Grid_Requirement'!AQ33</f>
        <v/>
      </c>
      <c r="AR33">
        <f>AQ33+'Grid_Incoming'!AR33-'Grid_Requirement'!AR33</f>
        <v/>
      </c>
      <c r="AS33">
        <f>AR33+'Grid_Incoming'!AS33-'Grid_Requirement'!AS33</f>
        <v/>
      </c>
      <c r="AT33">
        <f>AS33+'Grid_Incoming'!AT33-'Grid_Requirement'!AT33</f>
        <v/>
      </c>
      <c r="AU33">
        <f>AT33+'Grid_Incoming'!AU33-'Grid_Requirement'!AU33</f>
        <v/>
      </c>
      <c r="AV33">
        <f>AU33+'Grid_Incoming'!AV33-'Grid_Requirement'!AV33</f>
        <v/>
      </c>
      <c r="AW33">
        <f>AV33+'Grid_Incoming'!AW33-'Grid_Requirement'!AW33</f>
        <v/>
      </c>
      <c r="AX33">
        <f>AW33+'Grid_Incoming'!AX33-'Grid_Requirement'!AX33</f>
        <v/>
      </c>
      <c r="AY33">
        <f>AX33+'Grid_Incoming'!AY33-'Grid_Requirement'!AY33</f>
        <v/>
      </c>
      <c r="AZ33">
        <f>AY33+'Grid_Incoming'!AZ33-'Grid_Requirement'!AZ33</f>
        <v/>
      </c>
      <c r="BA33">
        <f>AZ33+'Grid_Incoming'!BA33-'Grid_Requirement'!BA33</f>
        <v/>
      </c>
      <c r="BB33">
        <f>BA33+'Grid_Incoming'!BB33-'Grid_Requirement'!BB33</f>
        <v/>
      </c>
      <c r="BC33">
        <f>BB33+'Grid_Incoming'!BC33-'Grid_Requirement'!BC33</f>
        <v/>
      </c>
      <c r="BD33">
        <f>BC33+'Grid_Incoming'!BD33-'Grid_Requirement'!BD33</f>
        <v/>
      </c>
      <c r="BE33">
        <f>BD33+'Grid_Incoming'!BE33-'Grid_Requirement'!BE33</f>
        <v/>
      </c>
      <c r="BF33">
        <f>BE33+'Grid_Incoming'!BF33-'Grid_Requirement'!BF33</f>
        <v/>
      </c>
      <c r="BG33">
        <f>BF33+'Grid_Incoming'!BG33-'Grid_Requirement'!BG33</f>
        <v/>
      </c>
      <c r="BH33">
        <f>BG33+'Grid_Incoming'!BH33-'Grid_Requirement'!BH33</f>
        <v/>
      </c>
      <c r="BI33">
        <f>BH33+'Grid_Incoming'!BI33-'Grid_Requirement'!BI33</f>
        <v/>
      </c>
      <c r="BJ33">
        <f>BI33+'Grid_Incoming'!BJ33-'Grid_Requirement'!BJ33</f>
        <v/>
      </c>
      <c r="BK33">
        <f>BJ33+'Grid_Incoming'!BK33-'Grid_Requirement'!BK33</f>
        <v/>
      </c>
      <c r="BL33">
        <f>BK33+'Grid_Incoming'!BL33-'Grid_Requirement'!BL33</f>
        <v/>
      </c>
      <c r="BM33">
        <f>BL33+'Grid_Incoming'!BM33-'Grid_Requirement'!BM33</f>
        <v/>
      </c>
      <c r="BN33">
        <f>BM33+'Grid_Incoming'!BN33-'Grid_Requirement'!BN33</f>
        <v/>
      </c>
      <c r="BO33">
        <f>BN33+'Grid_Incoming'!BO33-'Grid_Requirement'!BO33</f>
        <v/>
      </c>
      <c r="BP33">
        <f>BO33+'Grid_Incoming'!BP33-'Grid_Requirement'!BP33</f>
        <v/>
      </c>
      <c r="BQ33">
        <f>BP33+'Grid_Incoming'!BQ33-'Grid_Requirement'!BQ33</f>
        <v/>
      </c>
      <c r="BR33">
        <f>BQ33+'Grid_Incoming'!BR33-'Grid_Requirement'!BR33</f>
        <v/>
      </c>
      <c r="BS33">
        <f>BR33+'Grid_Incoming'!BS33-'Grid_Requirement'!BS33</f>
        <v/>
      </c>
      <c r="BT33">
        <f>BS33+'Grid_Incoming'!BT33-'Grid_Requirement'!BT33</f>
        <v/>
      </c>
      <c r="BU33">
        <f>BT33+'Grid_Incoming'!BU33-'Grid_Requirement'!BU33</f>
        <v/>
      </c>
      <c r="BV33">
        <f>BU33+'Grid_Incoming'!BV33-'Grid_Requirement'!BV33</f>
        <v/>
      </c>
      <c r="BW33">
        <f>BV33+'Grid_Incoming'!BW33-'Grid_Requirement'!BW33</f>
        <v/>
      </c>
      <c r="BX33">
        <f>BW33+'Grid_Incoming'!BX33-'Grid_Requirement'!BX33</f>
        <v/>
      </c>
      <c r="BY33">
        <f>BX33+'Grid_Incoming'!BY33-'Grid_Requirement'!BY33</f>
        <v/>
      </c>
      <c r="BZ33">
        <f>BY33+'Grid_Incoming'!BZ33-'Grid_Requirement'!BZ33</f>
        <v/>
      </c>
      <c r="CA33">
        <f>BZ33+'Grid_Incoming'!CA33-'Grid_Requirement'!CA33</f>
        <v/>
      </c>
      <c r="CB33">
        <f>CA33+'Grid_Incoming'!CB33-'Grid_Requirement'!CB33</f>
        <v/>
      </c>
      <c r="CC33">
        <f>CB33+'Grid_Incoming'!CC33-'Grid_Requirement'!CC33</f>
        <v/>
      </c>
      <c r="CD33">
        <f>CC33+'Grid_Incoming'!CD33-'Grid_Requirement'!CD33</f>
        <v/>
      </c>
      <c r="CE33">
        <f>CD33+'Grid_Incoming'!CE33-'Grid_Requirement'!CE33</f>
        <v/>
      </c>
      <c r="CF33">
        <f>CE33+'Grid_Incoming'!CF33-'Grid_Requirement'!CF33</f>
        <v/>
      </c>
      <c r="CG33">
        <f>CF33+'Grid_Incoming'!CG33-'Grid_Requirement'!CG33</f>
        <v/>
      </c>
      <c r="CH33">
        <f>CG33+'Grid_Incoming'!CH33-'Grid_Requirement'!CH33</f>
        <v/>
      </c>
      <c r="CI33">
        <f>CH33+'Grid_Incoming'!CI33-'Grid_Requirement'!CI33</f>
        <v/>
      </c>
      <c r="CJ33">
        <f>CI33+'Grid_Incoming'!CJ33-'Grid_Requirement'!CJ33</f>
        <v/>
      </c>
      <c r="CK33">
        <f>CJ33+'Grid_Incoming'!CK33-'Grid_Requirement'!CK33</f>
        <v/>
      </c>
      <c r="CL33">
        <f>CK33+'Grid_Incoming'!CL33-'Grid_Requirement'!CL33</f>
        <v/>
      </c>
      <c r="CM33">
        <f>CL33+'Grid_Incoming'!CM33-'Grid_Requirement'!CM33</f>
        <v/>
      </c>
      <c r="CN33">
        <f>CM33+'Grid_Incoming'!CN33-'Grid_Requirement'!CN33</f>
        <v/>
      </c>
      <c r="CO33">
        <f>CN33+'Grid_Incoming'!CO33-'Grid_Requirement'!CO33</f>
        <v/>
      </c>
      <c r="CP33">
        <f>CO33+'Grid_Incoming'!CP33-'Grid_Requirement'!CP33</f>
        <v/>
      </c>
      <c r="CQ33">
        <f>CP33+'Grid_Incoming'!CQ33-'Grid_Requirement'!CQ33</f>
        <v/>
      </c>
      <c r="CR33">
        <f>CQ33+'Grid_Incoming'!CR33-'Grid_Requirement'!CR33</f>
        <v/>
      </c>
      <c r="CS33">
        <f>CR33+'Grid_Incoming'!CS33-'Grid_Requirement'!CS33</f>
        <v/>
      </c>
      <c r="CT33">
        <f>CS33+'Grid_Incoming'!CT33-'Grid_Requirement'!CT33</f>
        <v/>
      </c>
      <c r="CU33">
        <f>CT33+'Grid_Incoming'!CU33-'Grid_Requirement'!CU33</f>
        <v/>
      </c>
      <c r="CV33">
        <f>CU33+'Grid_Incoming'!CV33-'Grid_Requirement'!CV33</f>
        <v/>
      </c>
      <c r="CW33">
        <f>CV33+'Grid_Incoming'!CW33-'Grid_Requirement'!CW33</f>
        <v/>
      </c>
      <c r="CX33">
        <f>CW33+'Grid_Incoming'!CX33-'Grid_Requirement'!CX33</f>
        <v/>
      </c>
      <c r="CY33">
        <f>CX33+'Grid_Incoming'!CY33-'Grid_Requirement'!CY33</f>
        <v/>
      </c>
      <c r="CZ33">
        <f>CY33+'Grid_Incoming'!CZ33-'Grid_Requirement'!CZ33</f>
        <v/>
      </c>
      <c r="DA33">
        <f>CZ33+'Grid_Incoming'!DA33-'Grid_Requirement'!DA33</f>
        <v/>
      </c>
    </row>
    <row r="34">
      <c r="A34" t="inlineStr">
        <is>
          <t>CHEM-1650</t>
        </is>
      </c>
      <c r="B34">
        <f>IFERROR(INDEX(T_OpeningStock[Opening_Qty],MATCH($A34,T_OpeningStock[Part Name],0)),0)+'Grid_Incoming'!B34-'Grid_Requirement'!B34</f>
        <v/>
      </c>
      <c r="C34">
        <f>B34+'Grid_Incoming'!C34-'Grid_Requirement'!C34</f>
        <v/>
      </c>
      <c r="D34">
        <f>C34+'Grid_Incoming'!D34-'Grid_Requirement'!D34</f>
        <v/>
      </c>
      <c r="E34">
        <f>D34+'Grid_Incoming'!E34-'Grid_Requirement'!E34</f>
        <v/>
      </c>
      <c r="F34">
        <f>E34+'Grid_Incoming'!F34-'Grid_Requirement'!F34</f>
        <v/>
      </c>
      <c r="G34">
        <f>F34+'Grid_Incoming'!G34-'Grid_Requirement'!G34</f>
        <v/>
      </c>
      <c r="H34">
        <f>G34+'Grid_Incoming'!H34-'Grid_Requirement'!H34</f>
        <v/>
      </c>
      <c r="I34">
        <f>H34+'Grid_Incoming'!I34-'Grid_Requirement'!I34</f>
        <v/>
      </c>
      <c r="J34">
        <f>I34+'Grid_Incoming'!J34-'Grid_Requirement'!J34</f>
        <v/>
      </c>
      <c r="K34">
        <f>J34+'Grid_Incoming'!K34-'Grid_Requirement'!K34</f>
        <v/>
      </c>
      <c r="L34">
        <f>K34+'Grid_Incoming'!L34-'Grid_Requirement'!L34</f>
        <v/>
      </c>
      <c r="M34">
        <f>L34+'Grid_Incoming'!M34-'Grid_Requirement'!M34</f>
        <v/>
      </c>
      <c r="N34">
        <f>M34+'Grid_Incoming'!N34-'Grid_Requirement'!N34</f>
        <v/>
      </c>
      <c r="O34">
        <f>N34+'Grid_Incoming'!O34-'Grid_Requirement'!O34</f>
        <v/>
      </c>
      <c r="P34">
        <f>O34+'Grid_Incoming'!P34-'Grid_Requirement'!P34</f>
        <v/>
      </c>
      <c r="Q34">
        <f>P34+'Grid_Incoming'!Q34-'Grid_Requirement'!Q34</f>
        <v/>
      </c>
      <c r="R34">
        <f>Q34+'Grid_Incoming'!R34-'Grid_Requirement'!R34</f>
        <v/>
      </c>
      <c r="S34">
        <f>R34+'Grid_Incoming'!S34-'Grid_Requirement'!S34</f>
        <v/>
      </c>
      <c r="T34">
        <f>S34+'Grid_Incoming'!T34-'Grid_Requirement'!T34</f>
        <v/>
      </c>
      <c r="U34">
        <f>T34+'Grid_Incoming'!U34-'Grid_Requirement'!U34</f>
        <v/>
      </c>
      <c r="V34">
        <f>U34+'Grid_Incoming'!V34-'Grid_Requirement'!V34</f>
        <v/>
      </c>
      <c r="W34">
        <f>V34+'Grid_Incoming'!W34-'Grid_Requirement'!W34</f>
        <v/>
      </c>
      <c r="X34">
        <f>W34+'Grid_Incoming'!X34-'Grid_Requirement'!X34</f>
        <v/>
      </c>
      <c r="Y34">
        <f>X34+'Grid_Incoming'!Y34-'Grid_Requirement'!Y34</f>
        <v/>
      </c>
      <c r="Z34">
        <f>Y34+'Grid_Incoming'!Z34-'Grid_Requirement'!Z34</f>
        <v/>
      </c>
      <c r="AA34">
        <f>Z34+'Grid_Incoming'!AA34-'Grid_Requirement'!AA34</f>
        <v/>
      </c>
      <c r="AB34">
        <f>AA34+'Grid_Incoming'!AB34-'Grid_Requirement'!AB34</f>
        <v/>
      </c>
      <c r="AC34">
        <f>AB34+'Grid_Incoming'!AC34-'Grid_Requirement'!AC34</f>
        <v/>
      </c>
      <c r="AD34">
        <f>AC34+'Grid_Incoming'!AD34-'Grid_Requirement'!AD34</f>
        <v/>
      </c>
      <c r="AE34">
        <f>AD34+'Grid_Incoming'!AE34-'Grid_Requirement'!AE34</f>
        <v/>
      </c>
      <c r="AF34">
        <f>AE34+'Grid_Incoming'!AF34-'Grid_Requirement'!AF34</f>
        <v/>
      </c>
      <c r="AG34">
        <f>AF34+'Grid_Incoming'!AG34-'Grid_Requirement'!AG34</f>
        <v/>
      </c>
      <c r="AH34">
        <f>AG34+'Grid_Incoming'!AH34-'Grid_Requirement'!AH34</f>
        <v/>
      </c>
      <c r="AI34">
        <f>AH34+'Grid_Incoming'!AI34-'Grid_Requirement'!AI34</f>
        <v/>
      </c>
      <c r="AJ34">
        <f>AI34+'Grid_Incoming'!AJ34-'Grid_Requirement'!AJ34</f>
        <v/>
      </c>
      <c r="AK34">
        <f>AJ34+'Grid_Incoming'!AK34-'Grid_Requirement'!AK34</f>
        <v/>
      </c>
      <c r="AL34">
        <f>AK34+'Grid_Incoming'!AL34-'Grid_Requirement'!AL34</f>
        <v/>
      </c>
      <c r="AM34">
        <f>AL34+'Grid_Incoming'!AM34-'Grid_Requirement'!AM34</f>
        <v/>
      </c>
      <c r="AN34">
        <f>AM34+'Grid_Incoming'!AN34-'Grid_Requirement'!AN34</f>
        <v/>
      </c>
      <c r="AO34">
        <f>AN34+'Grid_Incoming'!AO34-'Grid_Requirement'!AO34</f>
        <v/>
      </c>
      <c r="AP34">
        <f>AO34+'Grid_Incoming'!AP34-'Grid_Requirement'!AP34</f>
        <v/>
      </c>
      <c r="AQ34">
        <f>AP34+'Grid_Incoming'!AQ34-'Grid_Requirement'!AQ34</f>
        <v/>
      </c>
      <c r="AR34">
        <f>AQ34+'Grid_Incoming'!AR34-'Grid_Requirement'!AR34</f>
        <v/>
      </c>
      <c r="AS34">
        <f>AR34+'Grid_Incoming'!AS34-'Grid_Requirement'!AS34</f>
        <v/>
      </c>
      <c r="AT34">
        <f>AS34+'Grid_Incoming'!AT34-'Grid_Requirement'!AT34</f>
        <v/>
      </c>
      <c r="AU34">
        <f>AT34+'Grid_Incoming'!AU34-'Grid_Requirement'!AU34</f>
        <v/>
      </c>
      <c r="AV34">
        <f>AU34+'Grid_Incoming'!AV34-'Grid_Requirement'!AV34</f>
        <v/>
      </c>
      <c r="AW34">
        <f>AV34+'Grid_Incoming'!AW34-'Grid_Requirement'!AW34</f>
        <v/>
      </c>
      <c r="AX34">
        <f>AW34+'Grid_Incoming'!AX34-'Grid_Requirement'!AX34</f>
        <v/>
      </c>
      <c r="AY34">
        <f>AX34+'Grid_Incoming'!AY34-'Grid_Requirement'!AY34</f>
        <v/>
      </c>
      <c r="AZ34">
        <f>AY34+'Grid_Incoming'!AZ34-'Grid_Requirement'!AZ34</f>
        <v/>
      </c>
      <c r="BA34">
        <f>AZ34+'Grid_Incoming'!BA34-'Grid_Requirement'!BA34</f>
        <v/>
      </c>
      <c r="BB34">
        <f>BA34+'Grid_Incoming'!BB34-'Grid_Requirement'!BB34</f>
        <v/>
      </c>
      <c r="BC34">
        <f>BB34+'Grid_Incoming'!BC34-'Grid_Requirement'!BC34</f>
        <v/>
      </c>
      <c r="BD34">
        <f>BC34+'Grid_Incoming'!BD34-'Grid_Requirement'!BD34</f>
        <v/>
      </c>
      <c r="BE34">
        <f>BD34+'Grid_Incoming'!BE34-'Grid_Requirement'!BE34</f>
        <v/>
      </c>
      <c r="BF34">
        <f>BE34+'Grid_Incoming'!BF34-'Grid_Requirement'!BF34</f>
        <v/>
      </c>
      <c r="BG34">
        <f>BF34+'Grid_Incoming'!BG34-'Grid_Requirement'!BG34</f>
        <v/>
      </c>
      <c r="BH34">
        <f>BG34+'Grid_Incoming'!BH34-'Grid_Requirement'!BH34</f>
        <v/>
      </c>
      <c r="BI34">
        <f>BH34+'Grid_Incoming'!BI34-'Grid_Requirement'!BI34</f>
        <v/>
      </c>
      <c r="BJ34">
        <f>BI34+'Grid_Incoming'!BJ34-'Grid_Requirement'!BJ34</f>
        <v/>
      </c>
      <c r="BK34">
        <f>BJ34+'Grid_Incoming'!BK34-'Grid_Requirement'!BK34</f>
        <v/>
      </c>
      <c r="BL34">
        <f>BK34+'Grid_Incoming'!BL34-'Grid_Requirement'!BL34</f>
        <v/>
      </c>
      <c r="BM34">
        <f>BL34+'Grid_Incoming'!BM34-'Grid_Requirement'!BM34</f>
        <v/>
      </c>
      <c r="BN34">
        <f>BM34+'Grid_Incoming'!BN34-'Grid_Requirement'!BN34</f>
        <v/>
      </c>
      <c r="BO34">
        <f>BN34+'Grid_Incoming'!BO34-'Grid_Requirement'!BO34</f>
        <v/>
      </c>
      <c r="BP34">
        <f>BO34+'Grid_Incoming'!BP34-'Grid_Requirement'!BP34</f>
        <v/>
      </c>
      <c r="BQ34">
        <f>BP34+'Grid_Incoming'!BQ34-'Grid_Requirement'!BQ34</f>
        <v/>
      </c>
      <c r="BR34">
        <f>BQ34+'Grid_Incoming'!BR34-'Grid_Requirement'!BR34</f>
        <v/>
      </c>
      <c r="BS34">
        <f>BR34+'Grid_Incoming'!BS34-'Grid_Requirement'!BS34</f>
        <v/>
      </c>
      <c r="BT34">
        <f>BS34+'Grid_Incoming'!BT34-'Grid_Requirement'!BT34</f>
        <v/>
      </c>
      <c r="BU34">
        <f>BT34+'Grid_Incoming'!BU34-'Grid_Requirement'!BU34</f>
        <v/>
      </c>
      <c r="BV34">
        <f>BU34+'Grid_Incoming'!BV34-'Grid_Requirement'!BV34</f>
        <v/>
      </c>
      <c r="BW34">
        <f>BV34+'Grid_Incoming'!BW34-'Grid_Requirement'!BW34</f>
        <v/>
      </c>
      <c r="BX34">
        <f>BW34+'Grid_Incoming'!BX34-'Grid_Requirement'!BX34</f>
        <v/>
      </c>
      <c r="BY34">
        <f>BX34+'Grid_Incoming'!BY34-'Grid_Requirement'!BY34</f>
        <v/>
      </c>
      <c r="BZ34">
        <f>BY34+'Grid_Incoming'!BZ34-'Grid_Requirement'!BZ34</f>
        <v/>
      </c>
      <c r="CA34">
        <f>BZ34+'Grid_Incoming'!CA34-'Grid_Requirement'!CA34</f>
        <v/>
      </c>
      <c r="CB34">
        <f>CA34+'Grid_Incoming'!CB34-'Grid_Requirement'!CB34</f>
        <v/>
      </c>
      <c r="CC34">
        <f>CB34+'Grid_Incoming'!CC34-'Grid_Requirement'!CC34</f>
        <v/>
      </c>
      <c r="CD34">
        <f>CC34+'Grid_Incoming'!CD34-'Grid_Requirement'!CD34</f>
        <v/>
      </c>
      <c r="CE34">
        <f>CD34+'Grid_Incoming'!CE34-'Grid_Requirement'!CE34</f>
        <v/>
      </c>
      <c r="CF34">
        <f>CE34+'Grid_Incoming'!CF34-'Grid_Requirement'!CF34</f>
        <v/>
      </c>
      <c r="CG34">
        <f>CF34+'Grid_Incoming'!CG34-'Grid_Requirement'!CG34</f>
        <v/>
      </c>
      <c r="CH34">
        <f>CG34+'Grid_Incoming'!CH34-'Grid_Requirement'!CH34</f>
        <v/>
      </c>
      <c r="CI34">
        <f>CH34+'Grid_Incoming'!CI34-'Grid_Requirement'!CI34</f>
        <v/>
      </c>
      <c r="CJ34">
        <f>CI34+'Grid_Incoming'!CJ34-'Grid_Requirement'!CJ34</f>
        <v/>
      </c>
      <c r="CK34">
        <f>CJ34+'Grid_Incoming'!CK34-'Grid_Requirement'!CK34</f>
        <v/>
      </c>
      <c r="CL34">
        <f>CK34+'Grid_Incoming'!CL34-'Grid_Requirement'!CL34</f>
        <v/>
      </c>
      <c r="CM34">
        <f>CL34+'Grid_Incoming'!CM34-'Grid_Requirement'!CM34</f>
        <v/>
      </c>
      <c r="CN34">
        <f>CM34+'Grid_Incoming'!CN34-'Grid_Requirement'!CN34</f>
        <v/>
      </c>
      <c r="CO34">
        <f>CN34+'Grid_Incoming'!CO34-'Grid_Requirement'!CO34</f>
        <v/>
      </c>
      <c r="CP34">
        <f>CO34+'Grid_Incoming'!CP34-'Grid_Requirement'!CP34</f>
        <v/>
      </c>
      <c r="CQ34">
        <f>CP34+'Grid_Incoming'!CQ34-'Grid_Requirement'!CQ34</f>
        <v/>
      </c>
      <c r="CR34">
        <f>CQ34+'Grid_Incoming'!CR34-'Grid_Requirement'!CR34</f>
        <v/>
      </c>
      <c r="CS34">
        <f>CR34+'Grid_Incoming'!CS34-'Grid_Requirement'!CS34</f>
        <v/>
      </c>
      <c r="CT34">
        <f>CS34+'Grid_Incoming'!CT34-'Grid_Requirement'!CT34</f>
        <v/>
      </c>
      <c r="CU34">
        <f>CT34+'Grid_Incoming'!CU34-'Grid_Requirement'!CU34</f>
        <v/>
      </c>
      <c r="CV34">
        <f>CU34+'Grid_Incoming'!CV34-'Grid_Requirement'!CV34</f>
        <v/>
      </c>
      <c r="CW34">
        <f>CV34+'Grid_Incoming'!CW34-'Grid_Requirement'!CW34</f>
        <v/>
      </c>
      <c r="CX34">
        <f>CW34+'Grid_Incoming'!CX34-'Grid_Requirement'!CX34</f>
        <v/>
      </c>
      <c r="CY34">
        <f>CX34+'Grid_Incoming'!CY34-'Grid_Requirement'!CY34</f>
        <v/>
      </c>
      <c r="CZ34">
        <f>CY34+'Grid_Incoming'!CZ34-'Grid_Requirement'!CZ34</f>
        <v/>
      </c>
      <c r="DA34">
        <f>CZ34+'Grid_Incoming'!DA34-'Grid_Requirement'!DA34</f>
        <v/>
      </c>
    </row>
    <row r="35">
      <c r="A35" t="inlineStr">
        <is>
          <t>CHEM-1660</t>
        </is>
      </c>
      <c r="B35">
        <f>IFERROR(INDEX(T_OpeningStock[Opening_Qty],MATCH($A35,T_OpeningStock[Part Name],0)),0)+'Grid_Incoming'!B35-'Grid_Requirement'!B35</f>
        <v/>
      </c>
      <c r="C35">
        <f>B35+'Grid_Incoming'!C35-'Grid_Requirement'!C35</f>
        <v/>
      </c>
      <c r="D35">
        <f>C35+'Grid_Incoming'!D35-'Grid_Requirement'!D35</f>
        <v/>
      </c>
      <c r="E35">
        <f>D35+'Grid_Incoming'!E35-'Grid_Requirement'!E35</f>
        <v/>
      </c>
      <c r="F35">
        <f>E35+'Grid_Incoming'!F35-'Grid_Requirement'!F35</f>
        <v/>
      </c>
      <c r="G35">
        <f>F35+'Grid_Incoming'!G35-'Grid_Requirement'!G35</f>
        <v/>
      </c>
      <c r="H35">
        <f>G35+'Grid_Incoming'!H35-'Grid_Requirement'!H35</f>
        <v/>
      </c>
      <c r="I35">
        <f>H35+'Grid_Incoming'!I35-'Grid_Requirement'!I35</f>
        <v/>
      </c>
      <c r="J35">
        <f>I35+'Grid_Incoming'!J35-'Grid_Requirement'!J35</f>
        <v/>
      </c>
      <c r="K35">
        <f>J35+'Grid_Incoming'!K35-'Grid_Requirement'!K35</f>
        <v/>
      </c>
      <c r="L35">
        <f>K35+'Grid_Incoming'!L35-'Grid_Requirement'!L35</f>
        <v/>
      </c>
      <c r="M35">
        <f>L35+'Grid_Incoming'!M35-'Grid_Requirement'!M35</f>
        <v/>
      </c>
      <c r="N35">
        <f>M35+'Grid_Incoming'!N35-'Grid_Requirement'!N35</f>
        <v/>
      </c>
      <c r="O35">
        <f>N35+'Grid_Incoming'!O35-'Grid_Requirement'!O35</f>
        <v/>
      </c>
      <c r="P35">
        <f>O35+'Grid_Incoming'!P35-'Grid_Requirement'!P35</f>
        <v/>
      </c>
      <c r="Q35">
        <f>P35+'Grid_Incoming'!Q35-'Grid_Requirement'!Q35</f>
        <v/>
      </c>
      <c r="R35">
        <f>Q35+'Grid_Incoming'!R35-'Grid_Requirement'!R35</f>
        <v/>
      </c>
      <c r="S35">
        <f>R35+'Grid_Incoming'!S35-'Grid_Requirement'!S35</f>
        <v/>
      </c>
      <c r="T35">
        <f>S35+'Grid_Incoming'!T35-'Grid_Requirement'!T35</f>
        <v/>
      </c>
      <c r="U35">
        <f>T35+'Grid_Incoming'!U35-'Grid_Requirement'!U35</f>
        <v/>
      </c>
      <c r="V35">
        <f>U35+'Grid_Incoming'!V35-'Grid_Requirement'!V35</f>
        <v/>
      </c>
      <c r="W35">
        <f>V35+'Grid_Incoming'!W35-'Grid_Requirement'!W35</f>
        <v/>
      </c>
      <c r="X35">
        <f>W35+'Grid_Incoming'!X35-'Grid_Requirement'!X35</f>
        <v/>
      </c>
      <c r="Y35">
        <f>X35+'Grid_Incoming'!Y35-'Grid_Requirement'!Y35</f>
        <v/>
      </c>
      <c r="Z35">
        <f>Y35+'Grid_Incoming'!Z35-'Grid_Requirement'!Z35</f>
        <v/>
      </c>
      <c r="AA35">
        <f>Z35+'Grid_Incoming'!AA35-'Grid_Requirement'!AA35</f>
        <v/>
      </c>
      <c r="AB35">
        <f>AA35+'Grid_Incoming'!AB35-'Grid_Requirement'!AB35</f>
        <v/>
      </c>
      <c r="AC35">
        <f>AB35+'Grid_Incoming'!AC35-'Grid_Requirement'!AC35</f>
        <v/>
      </c>
      <c r="AD35">
        <f>AC35+'Grid_Incoming'!AD35-'Grid_Requirement'!AD35</f>
        <v/>
      </c>
      <c r="AE35">
        <f>AD35+'Grid_Incoming'!AE35-'Grid_Requirement'!AE35</f>
        <v/>
      </c>
      <c r="AF35">
        <f>AE35+'Grid_Incoming'!AF35-'Grid_Requirement'!AF35</f>
        <v/>
      </c>
      <c r="AG35">
        <f>AF35+'Grid_Incoming'!AG35-'Grid_Requirement'!AG35</f>
        <v/>
      </c>
      <c r="AH35">
        <f>AG35+'Grid_Incoming'!AH35-'Grid_Requirement'!AH35</f>
        <v/>
      </c>
      <c r="AI35">
        <f>AH35+'Grid_Incoming'!AI35-'Grid_Requirement'!AI35</f>
        <v/>
      </c>
      <c r="AJ35">
        <f>AI35+'Grid_Incoming'!AJ35-'Grid_Requirement'!AJ35</f>
        <v/>
      </c>
      <c r="AK35">
        <f>AJ35+'Grid_Incoming'!AK35-'Grid_Requirement'!AK35</f>
        <v/>
      </c>
      <c r="AL35">
        <f>AK35+'Grid_Incoming'!AL35-'Grid_Requirement'!AL35</f>
        <v/>
      </c>
      <c r="AM35">
        <f>AL35+'Grid_Incoming'!AM35-'Grid_Requirement'!AM35</f>
        <v/>
      </c>
      <c r="AN35">
        <f>AM35+'Grid_Incoming'!AN35-'Grid_Requirement'!AN35</f>
        <v/>
      </c>
      <c r="AO35">
        <f>AN35+'Grid_Incoming'!AO35-'Grid_Requirement'!AO35</f>
        <v/>
      </c>
      <c r="AP35">
        <f>AO35+'Grid_Incoming'!AP35-'Grid_Requirement'!AP35</f>
        <v/>
      </c>
      <c r="AQ35">
        <f>AP35+'Grid_Incoming'!AQ35-'Grid_Requirement'!AQ35</f>
        <v/>
      </c>
      <c r="AR35">
        <f>AQ35+'Grid_Incoming'!AR35-'Grid_Requirement'!AR35</f>
        <v/>
      </c>
      <c r="AS35">
        <f>AR35+'Grid_Incoming'!AS35-'Grid_Requirement'!AS35</f>
        <v/>
      </c>
      <c r="AT35">
        <f>AS35+'Grid_Incoming'!AT35-'Grid_Requirement'!AT35</f>
        <v/>
      </c>
      <c r="AU35">
        <f>AT35+'Grid_Incoming'!AU35-'Grid_Requirement'!AU35</f>
        <v/>
      </c>
      <c r="AV35">
        <f>AU35+'Grid_Incoming'!AV35-'Grid_Requirement'!AV35</f>
        <v/>
      </c>
      <c r="AW35">
        <f>AV35+'Grid_Incoming'!AW35-'Grid_Requirement'!AW35</f>
        <v/>
      </c>
      <c r="AX35">
        <f>AW35+'Grid_Incoming'!AX35-'Grid_Requirement'!AX35</f>
        <v/>
      </c>
      <c r="AY35">
        <f>AX35+'Grid_Incoming'!AY35-'Grid_Requirement'!AY35</f>
        <v/>
      </c>
      <c r="AZ35">
        <f>AY35+'Grid_Incoming'!AZ35-'Grid_Requirement'!AZ35</f>
        <v/>
      </c>
      <c r="BA35">
        <f>AZ35+'Grid_Incoming'!BA35-'Grid_Requirement'!BA35</f>
        <v/>
      </c>
      <c r="BB35">
        <f>BA35+'Grid_Incoming'!BB35-'Grid_Requirement'!BB35</f>
        <v/>
      </c>
      <c r="BC35">
        <f>BB35+'Grid_Incoming'!BC35-'Grid_Requirement'!BC35</f>
        <v/>
      </c>
      <c r="BD35">
        <f>BC35+'Grid_Incoming'!BD35-'Grid_Requirement'!BD35</f>
        <v/>
      </c>
      <c r="BE35">
        <f>BD35+'Grid_Incoming'!BE35-'Grid_Requirement'!BE35</f>
        <v/>
      </c>
      <c r="BF35">
        <f>BE35+'Grid_Incoming'!BF35-'Grid_Requirement'!BF35</f>
        <v/>
      </c>
      <c r="BG35">
        <f>BF35+'Grid_Incoming'!BG35-'Grid_Requirement'!BG35</f>
        <v/>
      </c>
      <c r="BH35">
        <f>BG35+'Grid_Incoming'!BH35-'Grid_Requirement'!BH35</f>
        <v/>
      </c>
      <c r="BI35">
        <f>BH35+'Grid_Incoming'!BI35-'Grid_Requirement'!BI35</f>
        <v/>
      </c>
      <c r="BJ35">
        <f>BI35+'Grid_Incoming'!BJ35-'Grid_Requirement'!BJ35</f>
        <v/>
      </c>
      <c r="BK35">
        <f>BJ35+'Grid_Incoming'!BK35-'Grid_Requirement'!BK35</f>
        <v/>
      </c>
      <c r="BL35">
        <f>BK35+'Grid_Incoming'!BL35-'Grid_Requirement'!BL35</f>
        <v/>
      </c>
      <c r="BM35">
        <f>BL35+'Grid_Incoming'!BM35-'Grid_Requirement'!BM35</f>
        <v/>
      </c>
      <c r="BN35">
        <f>BM35+'Grid_Incoming'!BN35-'Grid_Requirement'!BN35</f>
        <v/>
      </c>
      <c r="BO35">
        <f>BN35+'Grid_Incoming'!BO35-'Grid_Requirement'!BO35</f>
        <v/>
      </c>
      <c r="BP35">
        <f>BO35+'Grid_Incoming'!BP35-'Grid_Requirement'!BP35</f>
        <v/>
      </c>
      <c r="BQ35">
        <f>BP35+'Grid_Incoming'!BQ35-'Grid_Requirement'!BQ35</f>
        <v/>
      </c>
      <c r="BR35">
        <f>BQ35+'Grid_Incoming'!BR35-'Grid_Requirement'!BR35</f>
        <v/>
      </c>
      <c r="BS35">
        <f>BR35+'Grid_Incoming'!BS35-'Grid_Requirement'!BS35</f>
        <v/>
      </c>
      <c r="BT35">
        <f>BS35+'Grid_Incoming'!BT35-'Grid_Requirement'!BT35</f>
        <v/>
      </c>
      <c r="BU35">
        <f>BT35+'Grid_Incoming'!BU35-'Grid_Requirement'!BU35</f>
        <v/>
      </c>
      <c r="BV35">
        <f>BU35+'Grid_Incoming'!BV35-'Grid_Requirement'!BV35</f>
        <v/>
      </c>
      <c r="BW35">
        <f>BV35+'Grid_Incoming'!BW35-'Grid_Requirement'!BW35</f>
        <v/>
      </c>
      <c r="BX35">
        <f>BW35+'Grid_Incoming'!BX35-'Grid_Requirement'!BX35</f>
        <v/>
      </c>
      <c r="BY35">
        <f>BX35+'Grid_Incoming'!BY35-'Grid_Requirement'!BY35</f>
        <v/>
      </c>
      <c r="BZ35">
        <f>BY35+'Grid_Incoming'!BZ35-'Grid_Requirement'!BZ35</f>
        <v/>
      </c>
      <c r="CA35">
        <f>BZ35+'Grid_Incoming'!CA35-'Grid_Requirement'!CA35</f>
        <v/>
      </c>
      <c r="CB35">
        <f>CA35+'Grid_Incoming'!CB35-'Grid_Requirement'!CB35</f>
        <v/>
      </c>
      <c r="CC35">
        <f>CB35+'Grid_Incoming'!CC35-'Grid_Requirement'!CC35</f>
        <v/>
      </c>
      <c r="CD35">
        <f>CC35+'Grid_Incoming'!CD35-'Grid_Requirement'!CD35</f>
        <v/>
      </c>
      <c r="CE35">
        <f>CD35+'Grid_Incoming'!CE35-'Grid_Requirement'!CE35</f>
        <v/>
      </c>
      <c r="CF35">
        <f>CE35+'Grid_Incoming'!CF35-'Grid_Requirement'!CF35</f>
        <v/>
      </c>
      <c r="CG35">
        <f>CF35+'Grid_Incoming'!CG35-'Grid_Requirement'!CG35</f>
        <v/>
      </c>
      <c r="CH35">
        <f>CG35+'Grid_Incoming'!CH35-'Grid_Requirement'!CH35</f>
        <v/>
      </c>
      <c r="CI35">
        <f>CH35+'Grid_Incoming'!CI35-'Grid_Requirement'!CI35</f>
        <v/>
      </c>
      <c r="CJ35">
        <f>CI35+'Grid_Incoming'!CJ35-'Grid_Requirement'!CJ35</f>
        <v/>
      </c>
      <c r="CK35">
        <f>CJ35+'Grid_Incoming'!CK35-'Grid_Requirement'!CK35</f>
        <v/>
      </c>
      <c r="CL35">
        <f>CK35+'Grid_Incoming'!CL35-'Grid_Requirement'!CL35</f>
        <v/>
      </c>
      <c r="CM35">
        <f>CL35+'Grid_Incoming'!CM35-'Grid_Requirement'!CM35</f>
        <v/>
      </c>
      <c r="CN35">
        <f>CM35+'Grid_Incoming'!CN35-'Grid_Requirement'!CN35</f>
        <v/>
      </c>
      <c r="CO35">
        <f>CN35+'Grid_Incoming'!CO35-'Grid_Requirement'!CO35</f>
        <v/>
      </c>
      <c r="CP35">
        <f>CO35+'Grid_Incoming'!CP35-'Grid_Requirement'!CP35</f>
        <v/>
      </c>
      <c r="CQ35">
        <f>CP35+'Grid_Incoming'!CQ35-'Grid_Requirement'!CQ35</f>
        <v/>
      </c>
      <c r="CR35">
        <f>CQ35+'Grid_Incoming'!CR35-'Grid_Requirement'!CR35</f>
        <v/>
      </c>
      <c r="CS35">
        <f>CR35+'Grid_Incoming'!CS35-'Grid_Requirement'!CS35</f>
        <v/>
      </c>
      <c r="CT35">
        <f>CS35+'Grid_Incoming'!CT35-'Grid_Requirement'!CT35</f>
        <v/>
      </c>
      <c r="CU35">
        <f>CT35+'Grid_Incoming'!CU35-'Grid_Requirement'!CU35</f>
        <v/>
      </c>
      <c r="CV35">
        <f>CU35+'Grid_Incoming'!CV35-'Grid_Requirement'!CV35</f>
        <v/>
      </c>
      <c r="CW35">
        <f>CV35+'Grid_Incoming'!CW35-'Grid_Requirement'!CW35</f>
        <v/>
      </c>
      <c r="CX35">
        <f>CW35+'Grid_Incoming'!CX35-'Grid_Requirement'!CX35</f>
        <v/>
      </c>
      <c r="CY35">
        <f>CX35+'Grid_Incoming'!CY35-'Grid_Requirement'!CY35</f>
        <v/>
      </c>
      <c r="CZ35">
        <f>CY35+'Grid_Incoming'!CZ35-'Grid_Requirement'!CZ35</f>
        <v/>
      </c>
      <c r="DA35">
        <f>CZ35+'Grid_Incoming'!DA35-'Grid_Requirement'!DA35</f>
        <v/>
      </c>
    </row>
    <row r="36">
      <c r="A36" t="inlineStr">
        <is>
          <t>CHEM-1420</t>
        </is>
      </c>
      <c r="B36">
        <f>IFERROR(INDEX(T_OpeningStock[Opening_Qty],MATCH($A36,T_OpeningStock[Part Name],0)),0)+'Grid_Incoming'!B36-'Grid_Requirement'!B36</f>
        <v/>
      </c>
      <c r="C36">
        <f>B36+'Grid_Incoming'!C36-'Grid_Requirement'!C36</f>
        <v/>
      </c>
      <c r="D36">
        <f>C36+'Grid_Incoming'!D36-'Grid_Requirement'!D36</f>
        <v/>
      </c>
      <c r="E36">
        <f>D36+'Grid_Incoming'!E36-'Grid_Requirement'!E36</f>
        <v/>
      </c>
      <c r="F36">
        <f>E36+'Grid_Incoming'!F36-'Grid_Requirement'!F36</f>
        <v/>
      </c>
      <c r="G36">
        <f>F36+'Grid_Incoming'!G36-'Grid_Requirement'!G36</f>
        <v/>
      </c>
      <c r="H36">
        <f>G36+'Grid_Incoming'!H36-'Grid_Requirement'!H36</f>
        <v/>
      </c>
      <c r="I36">
        <f>H36+'Grid_Incoming'!I36-'Grid_Requirement'!I36</f>
        <v/>
      </c>
      <c r="J36">
        <f>I36+'Grid_Incoming'!J36-'Grid_Requirement'!J36</f>
        <v/>
      </c>
      <c r="K36">
        <f>J36+'Grid_Incoming'!K36-'Grid_Requirement'!K36</f>
        <v/>
      </c>
      <c r="L36">
        <f>K36+'Grid_Incoming'!L36-'Grid_Requirement'!L36</f>
        <v/>
      </c>
      <c r="M36">
        <f>L36+'Grid_Incoming'!M36-'Grid_Requirement'!M36</f>
        <v/>
      </c>
      <c r="N36">
        <f>M36+'Grid_Incoming'!N36-'Grid_Requirement'!N36</f>
        <v/>
      </c>
      <c r="O36">
        <f>N36+'Grid_Incoming'!O36-'Grid_Requirement'!O36</f>
        <v/>
      </c>
      <c r="P36">
        <f>O36+'Grid_Incoming'!P36-'Grid_Requirement'!P36</f>
        <v/>
      </c>
      <c r="Q36">
        <f>P36+'Grid_Incoming'!Q36-'Grid_Requirement'!Q36</f>
        <v/>
      </c>
      <c r="R36">
        <f>Q36+'Grid_Incoming'!R36-'Grid_Requirement'!R36</f>
        <v/>
      </c>
      <c r="S36">
        <f>R36+'Grid_Incoming'!S36-'Grid_Requirement'!S36</f>
        <v/>
      </c>
      <c r="T36">
        <f>S36+'Grid_Incoming'!T36-'Grid_Requirement'!T36</f>
        <v/>
      </c>
      <c r="U36">
        <f>T36+'Grid_Incoming'!U36-'Grid_Requirement'!U36</f>
        <v/>
      </c>
      <c r="V36">
        <f>U36+'Grid_Incoming'!V36-'Grid_Requirement'!V36</f>
        <v/>
      </c>
      <c r="W36">
        <f>V36+'Grid_Incoming'!W36-'Grid_Requirement'!W36</f>
        <v/>
      </c>
      <c r="X36">
        <f>W36+'Grid_Incoming'!X36-'Grid_Requirement'!X36</f>
        <v/>
      </c>
      <c r="Y36">
        <f>X36+'Grid_Incoming'!Y36-'Grid_Requirement'!Y36</f>
        <v/>
      </c>
      <c r="Z36">
        <f>Y36+'Grid_Incoming'!Z36-'Grid_Requirement'!Z36</f>
        <v/>
      </c>
      <c r="AA36">
        <f>Z36+'Grid_Incoming'!AA36-'Grid_Requirement'!AA36</f>
        <v/>
      </c>
      <c r="AB36">
        <f>AA36+'Grid_Incoming'!AB36-'Grid_Requirement'!AB36</f>
        <v/>
      </c>
      <c r="AC36">
        <f>AB36+'Grid_Incoming'!AC36-'Grid_Requirement'!AC36</f>
        <v/>
      </c>
      <c r="AD36">
        <f>AC36+'Grid_Incoming'!AD36-'Grid_Requirement'!AD36</f>
        <v/>
      </c>
      <c r="AE36">
        <f>AD36+'Grid_Incoming'!AE36-'Grid_Requirement'!AE36</f>
        <v/>
      </c>
      <c r="AF36">
        <f>AE36+'Grid_Incoming'!AF36-'Grid_Requirement'!AF36</f>
        <v/>
      </c>
      <c r="AG36">
        <f>AF36+'Grid_Incoming'!AG36-'Grid_Requirement'!AG36</f>
        <v/>
      </c>
      <c r="AH36">
        <f>AG36+'Grid_Incoming'!AH36-'Grid_Requirement'!AH36</f>
        <v/>
      </c>
      <c r="AI36">
        <f>AH36+'Grid_Incoming'!AI36-'Grid_Requirement'!AI36</f>
        <v/>
      </c>
      <c r="AJ36">
        <f>AI36+'Grid_Incoming'!AJ36-'Grid_Requirement'!AJ36</f>
        <v/>
      </c>
      <c r="AK36">
        <f>AJ36+'Grid_Incoming'!AK36-'Grid_Requirement'!AK36</f>
        <v/>
      </c>
      <c r="AL36">
        <f>AK36+'Grid_Incoming'!AL36-'Grid_Requirement'!AL36</f>
        <v/>
      </c>
      <c r="AM36">
        <f>AL36+'Grid_Incoming'!AM36-'Grid_Requirement'!AM36</f>
        <v/>
      </c>
      <c r="AN36">
        <f>AM36+'Grid_Incoming'!AN36-'Grid_Requirement'!AN36</f>
        <v/>
      </c>
      <c r="AO36">
        <f>AN36+'Grid_Incoming'!AO36-'Grid_Requirement'!AO36</f>
        <v/>
      </c>
      <c r="AP36">
        <f>AO36+'Grid_Incoming'!AP36-'Grid_Requirement'!AP36</f>
        <v/>
      </c>
      <c r="AQ36">
        <f>AP36+'Grid_Incoming'!AQ36-'Grid_Requirement'!AQ36</f>
        <v/>
      </c>
      <c r="AR36">
        <f>AQ36+'Grid_Incoming'!AR36-'Grid_Requirement'!AR36</f>
        <v/>
      </c>
      <c r="AS36">
        <f>AR36+'Grid_Incoming'!AS36-'Grid_Requirement'!AS36</f>
        <v/>
      </c>
      <c r="AT36">
        <f>AS36+'Grid_Incoming'!AT36-'Grid_Requirement'!AT36</f>
        <v/>
      </c>
      <c r="AU36">
        <f>AT36+'Grid_Incoming'!AU36-'Grid_Requirement'!AU36</f>
        <v/>
      </c>
      <c r="AV36">
        <f>AU36+'Grid_Incoming'!AV36-'Grid_Requirement'!AV36</f>
        <v/>
      </c>
      <c r="AW36">
        <f>AV36+'Grid_Incoming'!AW36-'Grid_Requirement'!AW36</f>
        <v/>
      </c>
      <c r="AX36">
        <f>AW36+'Grid_Incoming'!AX36-'Grid_Requirement'!AX36</f>
        <v/>
      </c>
      <c r="AY36">
        <f>AX36+'Grid_Incoming'!AY36-'Grid_Requirement'!AY36</f>
        <v/>
      </c>
      <c r="AZ36">
        <f>AY36+'Grid_Incoming'!AZ36-'Grid_Requirement'!AZ36</f>
        <v/>
      </c>
      <c r="BA36">
        <f>AZ36+'Grid_Incoming'!BA36-'Grid_Requirement'!BA36</f>
        <v/>
      </c>
      <c r="BB36">
        <f>BA36+'Grid_Incoming'!BB36-'Grid_Requirement'!BB36</f>
        <v/>
      </c>
      <c r="BC36">
        <f>BB36+'Grid_Incoming'!BC36-'Grid_Requirement'!BC36</f>
        <v/>
      </c>
      <c r="BD36">
        <f>BC36+'Grid_Incoming'!BD36-'Grid_Requirement'!BD36</f>
        <v/>
      </c>
      <c r="BE36">
        <f>BD36+'Grid_Incoming'!BE36-'Grid_Requirement'!BE36</f>
        <v/>
      </c>
      <c r="BF36">
        <f>BE36+'Grid_Incoming'!BF36-'Grid_Requirement'!BF36</f>
        <v/>
      </c>
      <c r="BG36">
        <f>BF36+'Grid_Incoming'!BG36-'Grid_Requirement'!BG36</f>
        <v/>
      </c>
      <c r="BH36">
        <f>BG36+'Grid_Incoming'!BH36-'Grid_Requirement'!BH36</f>
        <v/>
      </c>
      <c r="BI36">
        <f>BH36+'Grid_Incoming'!BI36-'Grid_Requirement'!BI36</f>
        <v/>
      </c>
      <c r="BJ36">
        <f>BI36+'Grid_Incoming'!BJ36-'Grid_Requirement'!BJ36</f>
        <v/>
      </c>
      <c r="BK36">
        <f>BJ36+'Grid_Incoming'!BK36-'Grid_Requirement'!BK36</f>
        <v/>
      </c>
      <c r="BL36">
        <f>BK36+'Grid_Incoming'!BL36-'Grid_Requirement'!BL36</f>
        <v/>
      </c>
      <c r="BM36">
        <f>BL36+'Grid_Incoming'!BM36-'Grid_Requirement'!BM36</f>
        <v/>
      </c>
      <c r="BN36">
        <f>BM36+'Grid_Incoming'!BN36-'Grid_Requirement'!BN36</f>
        <v/>
      </c>
      <c r="BO36">
        <f>BN36+'Grid_Incoming'!BO36-'Grid_Requirement'!BO36</f>
        <v/>
      </c>
      <c r="BP36">
        <f>BO36+'Grid_Incoming'!BP36-'Grid_Requirement'!BP36</f>
        <v/>
      </c>
      <c r="BQ36">
        <f>BP36+'Grid_Incoming'!BQ36-'Grid_Requirement'!BQ36</f>
        <v/>
      </c>
      <c r="BR36">
        <f>BQ36+'Grid_Incoming'!BR36-'Grid_Requirement'!BR36</f>
        <v/>
      </c>
      <c r="BS36">
        <f>BR36+'Grid_Incoming'!BS36-'Grid_Requirement'!BS36</f>
        <v/>
      </c>
      <c r="BT36">
        <f>BS36+'Grid_Incoming'!BT36-'Grid_Requirement'!BT36</f>
        <v/>
      </c>
      <c r="BU36">
        <f>BT36+'Grid_Incoming'!BU36-'Grid_Requirement'!BU36</f>
        <v/>
      </c>
      <c r="BV36">
        <f>BU36+'Grid_Incoming'!BV36-'Grid_Requirement'!BV36</f>
        <v/>
      </c>
      <c r="BW36">
        <f>BV36+'Grid_Incoming'!BW36-'Grid_Requirement'!BW36</f>
        <v/>
      </c>
      <c r="BX36">
        <f>BW36+'Grid_Incoming'!BX36-'Grid_Requirement'!BX36</f>
        <v/>
      </c>
      <c r="BY36">
        <f>BX36+'Grid_Incoming'!BY36-'Grid_Requirement'!BY36</f>
        <v/>
      </c>
      <c r="BZ36">
        <f>BY36+'Grid_Incoming'!BZ36-'Grid_Requirement'!BZ36</f>
        <v/>
      </c>
      <c r="CA36">
        <f>BZ36+'Grid_Incoming'!CA36-'Grid_Requirement'!CA36</f>
        <v/>
      </c>
      <c r="CB36">
        <f>CA36+'Grid_Incoming'!CB36-'Grid_Requirement'!CB36</f>
        <v/>
      </c>
      <c r="CC36">
        <f>CB36+'Grid_Incoming'!CC36-'Grid_Requirement'!CC36</f>
        <v/>
      </c>
      <c r="CD36">
        <f>CC36+'Grid_Incoming'!CD36-'Grid_Requirement'!CD36</f>
        <v/>
      </c>
      <c r="CE36">
        <f>CD36+'Grid_Incoming'!CE36-'Grid_Requirement'!CE36</f>
        <v/>
      </c>
      <c r="CF36">
        <f>CE36+'Grid_Incoming'!CF36-'Grid_Requirement'!CF36</f>
        <v/>
      </c>
      <c r="CG36">
        <f>CF36+'Grid_Incoming'!CG36-'Grid_Requirement'!CG36</f>
        <v/>
      </c>
      <c r="CH36">
        <f>CG36+'Grid_Incoming'!CH36-'Grid_Requirement'!CH36</f>
        <v/>
      </c>
      <c r="CI36">
        <f>CH36+'Grid_Incoming'!CI36-'Grid_Requirement'!CI36</f>
        <v/>
      </c>
      <c r="CJ36">
        <f>CI36+'Grid_Incoming'!CJ36-'Grid_Requirement'!CJ36</f>
        <v/>
      </c>
      <c r="CK36">
        <f>CJ36+'Grid_Incoming'!CK36-'Grid_Requirement'!CK36</f>
        <v/>
      </c>
      <c r="CL36">
        <f>CK36+'Grid_Incoming'!CL36-'Grid_Requirement'!CL36</f>
        <v/>
      </c>
      <c r="CM36">
        <f>CL36+'Grid_Incoming'!CM36-'Grid_Requirement'!CM36</f>
        <v/>
      </c>
      <c r="CN36">
        <f>CM36+'Grid_Incoming'!CN36-'Grid_Requirement'!CN36</f>
        <v/>
      </c>
      <c r="CO36">
        <f>CN36+'Grid_Incoming'!CO36-'Grid_Requirement'!CO36</f>
        <v/>
      </c>
      <c r="CP36">
        <f>CO36+'Grid_Incoming'!CP36-'Grid_Requirement'!CP36</f>
        <v/>
      </c>
      <c r="CQ36">
        <f>CP36+'Grid_Incoming'!CQ36-'Grid_Requirement'!CQ36</f>
        <v/>
      </c>
      <c r="CR36">
        <f>CQ36+'Grid_Incoming'!CR36-'Grid_Requirement'!CR36</f>
        <v/>
      </c>
      <c r="CS36">
        <f>CR36+'Grid_Incoming'!CS36-'Grid_Requirement'!CS36</f>
        <v/>
      </c>
      <c r="CT36">
        <f>CS36+'Grid_Incoming'!CT36-'Grid_Requirement'!CT36</f>
        <v/>
      </c>
      <c r="CU36">
        <f>CT36+'Grid_Incoming'!CU36-'Grid_Requirement'!CU36</f>
        <v/>
      </c>
      <c r="CV36">
        <f>CU36+'Grid_Incoming'!CV36-'Grid_Requirement'!CV36</f>
        <v/>
      </c>
      <c r="CW36">
        <f>CV36+'Grid_Incoming'!CW36-'Grid_Requirement'!CW36</f>
        <v/>
      </c>
      <c r="CX36">
        <f>CW36+'Grid_Incoming'!CX36-'Grid_Requirement'!CX36</f>
        <v/>
      </c>
      <c r="CY36">
        <f>CX36+'Grid_Incoming'!CY36-'Grid_Requirement'!CY36</f>
        <v/>
      </c>
      <c r="CZ36">
        <f>CY36+'Grid_Incoming'!CZ36-'Grid_Requirement'!CZ36</f>
        <v/>
      </c>
      <c r="DA36">
        <f>CZ36+'Grid_Incoming'!DA36-'Grid_Requirement'!DA36</f>
        <v/>
      </c>
    </row>
    <row r="37">
      <c r="A37" t="inlineStr">
        <is>
          <t>CHEM-1530</t>
        </is>
      </c>
      <c r="B37">
        <f>IFERROR(INDEX(T_OpeningStock[Opening_Qty],MATCH($A37,T_OpeningStock[Part Name],0)),0)+'Grid_Incoming'!B37-'Grid_Requirement'!B37</f>
        <v/>
      </c>
      <c r="C37">
        <f>B37+'Grid_Incoming'!C37-'Grid_Requirement'!C37</f>
        <v/>
      </c>
      <c r="D37">
        <f>C37+'Grid_Incoming'!D37-'Grid_Requirement'!D37</f>
        <v/>
      </c>
      <c r="E37">
        <f>D37+'Grid_Incoming'!E37-'Grid_Requirement'!E37</f>
        <v/>
      </c>
      <c r="F37">
        <f>E37+'Grid_Incoming'!F37-'Grid_Requirement'!F37</f>
        <v/>
      </c>
      <c r="G37">
        <f>F37+'Grid_Incoming'!G37-'Grid_Requirement'!G37</f>
        <v/>
      </c>
      <c r="H37">
        <f>G37+'Grid_Incoming'!H37-'Grid_Requirement'!H37</f>
        <v/>
      </c>
      <c r="I37">
        <f>H37+'Grid_Incoming'!I37-'Grid_Requirement'!I37</f>
        <v/>
      </c>
      <c r="J37">
        <f>I37+'Grid_Incoming'!J37-'Grid_Requirement'!J37</f>
        <v/>
      </c>
      <c r="K37">
        <f>J37+'Grid_Incoming'!K37-'Grid_Requirement'!K37</f>
        <v/>
      </c>
      <c r="L37">
        <f>K37+'Grid_Incoming'!L37-'Grid_Requirement'!L37</f>
        <v/>
      </c>
      <c r="M37">
        <f>L37+'Grid_Incoming'!M37-'Grid_Requirement'!M37</f>
        <v/>
      </c>
      <c r="N37">
        <f>M37+'Grid_Incoming'!N37-'Grid_Requirement'!N37</f>
        <v/>
      </c>
      <c r="O37">
        <f>N37+'Grid_Incoming'!O37-'Grid_Requirement'!O37</f>
        <v/>
      </c>
      <c r="P37">
        <f>O37+'Grid_Incoming'!P37-'Grid_Requirement'!P37</f>
        <v/>
      </c>
      <c r="Q37">
        <f>P37+'Grid_Incoming'!Q37-'Grid_Requirement'!Q37</f>
        <v/>
      </c>
      <c r="R37">
        <f>Q37+'Grid_Incoming'!R37-'Grid_Requirement'!R37</f>
        <v/>
      </c>
      <c r="S37">
        <f>R37+'Grid_Incoming'!S37-'Grid_Requirement'!S37</f>
        <v/>
      </c>
      <c r="T37">
        <f>S37+'Grid_Incoming'!T37-'Grid_Requirement'!T37</f>
        <v/>
      </c>
      <c r="U37">
        <f>T37+'Grid_Incoming'!U37-'Grid_Requirement'!U37</f>
        <v/>
      </c>
      <c r="V37">
        <f>U37+'Grid_Incoming'!V37-'Grid_Requirement'!V37</f>
        <v/>
      </c>
      <c r="W37">
        <f>V37+'Grid_Incoming'!W37-'Grid_Requirement'!W37</f>
        <v/>
      </c>
      <c r="X37">
        <f>W37+'Grid_Incoming'!X37-'Grid_Requirement'!X37</f>
        <v/>
      </c>
      <c r="Y37">
        <f>X37+'Grid_Incoming'!Y37-'Grid_Requirement'!Y37</f>
        <v/>
      </c>
      <c r="Z37">
        <f>Y37+'Grid_Incoming'!Z37-'Grid_Requirement'!Z37</f>
        <v/>
      </c>
      <c r="AA37">
        <f>Z37+'Grid_Incoming'!AA37-'Grid_Requirement'!AA37</f>
        <v/>
      </c>
      <c r="AB37">
        <f>AA37+'Grid_Incoming'!AB37-'Grid_Requirement'!AB37</f>
        <v/>
      </c>
      <c r="AC37">
        <f>AB37+'Grid_Incoming'!AC37-'Grid_Requirement'!AC37</f>
        <v/>
      </c>
      <c r="AD37">
        <f>AC37+'Grid_Incoming'!AD37-'Grid_Requirement'!AD37</f>
        <v/>
      </c>
      <c r="AE37">
        <f>AD37+'Grid_Incoming'!AE37-'Grid_Requirement'!AE37</f>
        <v/>
      </c>
      <c r="AF37">
        <f>AE37+'Grid_Incoming'!AF37-'Grid_Requirement'!AF37</f>
        <v/>
      </c>
      <c r="AG37">
        <f>AF37+'Grid_Incoming'!AG37-'Grid_Requirement'!AG37</f>
        <v/>
      </c>
      <c r="AH37">
        <f>AG37+'Grid_Incoming'!AH37-'Grid_Requirement'!AH37</f>
        <v/>
      </c>
      <c r="AI37">
        <f>AH37+'Grid_Incoming'!AI37-'Grid_Requirement'!AI37</f>
        <v/>
      </c>
      <c r="AJ37">
        <f>AI37+'Grid_Incoming'!AJ37-'Grid_Requirement'!AJ37</f>
        <v/>
      </c>
      <c r="AK37">
        <f>AJ37+'Grid_Incoming'!AK37-'Grid_Requirement'!AK37</f>
        <v/>
      </c>
      <c r="AL37">
        <f>AK37+'Grid_Incoming'!AL37-'Grid_Requirement'!AL37</f>
        <v/>
      </c>
      <c r="AM37">
        <f>AL37+'Grid_Incoming'!AM37-'Grid_Requirement'!AM37</f>
        <v/>
      </c>
      <c r="AN37">
        <f>AM37+'Grid_Incoming'!AN37-'Grid_Requirement'!AN37</f>
        <v/>
      </c>
      <c r="AO37">
        <f>AN37+'Grid_Incoming'!AO37-'Grid_Requirement'!AO37</f>
        <v/>
      </c>
      <c r="AP37">
        <f>AO37+'Grid_Incoming'!AP37-'Grid_Requirement'!AP37</f>
        <v/>
      </c>
      <c r="AQ37">
        <f>AP37+'Grid_Incoming'!AQ37-'Grid_Requirement'!AQ37</f>
        <v/>
      </c>
      <c r="AR37">
        <f>AQ37+'Grid_Incoming'!AR37-'Grid_Requirement'!AR37</f>
        <v/>
      </c>
      <c r="AS37">
        <f>AR37+'Grid_Incoming'!AS37-'Grid_Requirement'!AS37</f>
        <v/>
      </c>
      <c r="AT37">
        <f>AS37+'Grid_Incoming'!AT37-'Grid_Requirement'!AT37</f>
        <v/>
      </c>
      <c r="AU37">
        <f>AT37+'Grid_Incoming'!AU37-'Grid_Requirement'!AU37</f>
        <v/>
      </c>
      <c r="AV37">
        <f>AU37+'Grid_Incoming'!AV37-'Grid_Requirement'!AV37</f>
        <v/>
      </c>
      <c r="AW37">
        <f>AV37+'Grid_Incoming'!AW37-'Grid_Requirement'!AW37</f>
        <v/>
      </c>
      <c r="AX37">
        <f>AW37+'Grid_Incoming'!AX37-'Grid_Requirement'!AX37</f>
        <v/>
      </c>
      <c r="AY37">
        <f>AX37+'Grid_Incoming'!AY37-'Grid_Requirement'!AY37</f>
        <v/>
      </c>
      <c r="AZ37">
        <f>AY37+'Grid_Incoming'!AZ37-'Grid_Requirement'!AZ37</f>
        <v/>
      </c>
      <c r="BA37">
        <f>AZ37+'Grid_Incoming'!BA37-'Grid_Requirement'!BA37</f>
        <v/>
      </c>
      <c r="BB37">
        <f>BA37+'Grid_Incoming'!BB37-'Grid_Requirement'!BB37</f>
        <v/>
      </c>
      <c r="BC37">
        <f>BB37+'Grid_Incoming'!BC37-'Grid_Requirement'!BC37</f>
        <v/>
      </c>
      <c r="BD37">
        <f>BC37+'Grid_Incoming'!BD37-'Grid_Requirement'!BD37</f>
        <v/>
      </c>
      <c r="BE37">
        <f>BD37+'Grid_Incoming'!BE37-'Grid_Requirement'!BE37</f>
        <v/>
      </c>
      <c r="BF37">
        <f>BE37+'Grid_Incoming'!BF37-'Grid_Requirement'!BF37</f>
        <v/>
      </c>
      <c r="BG37">
        <f>BF37+'Grid_Incoming'!BG37-'Grid_Requirement'!BG37</f>
        <v/>
      </c>
      <c r="BH37">
        <f>BG37+'Grid_Incoming'!BH37-'Grid_Requirement'!BH37</f>
        <v/>
      </c>
      <c r="BI37">
        <f>BH37+'Grid_Incoming'!BI37-'Grid_Requirement'!BI37</f>
        <v/>
      </c>
      <c r="BJ37">
        <f>BI37+'Grid_Incoming'!BJ37-'Grid_Requirement'!BJ37</f>
        <v/>
      </c>
      <c r="BK37">
        <f>BJ37+'Grid_Incoming'!BK37-'Grid_Requirement'!BK37</f>
        <v/>
      </c>
      <c r="BL37">
        <f>BK37+'Grid_Incoming'!BL37-'Grid_Requirement'!BL37</f>
        <v/>
      </c>
      <c r="BM37">
        <f>BL37+'Grid_Incoming'!BM37-'Grid_Requirement'!BM37</f>
        <v/>
      </c>
      <c r="BN37">
        <f>BM37+'Grid_Incoming'!BN37-'Grid_Requirement'!BN37</f>
        <v/>
      </c>
      <c r="BO37">
        <f>BN37+'Grid_Incoming'!BO37-'Grid_Requirement'!BO37</f>
        <v/>
      </c>
      <c r="BP37">
        <f>BO37+'Grid_Incoming'!BP37-'Grid_Requirement'!BP37</f>
        <v/>
      </c>
      <c r="BQ37">
        <f>BP37+'Grid_Incoming'!BQ37-'Grid_Requirement'!BQ37</f>
        <v/>
      </c>
      <c r="BR37">
        <f>BQ37+'Grid_Incoming'!BR37-'Grid_Requirement'!BR37</f>
        <v/>
      </c>
      <c r="BS37">
        <f>BR37+'Grid_Incoming'!BS37-'Grid_Requirement'!BS37</f>
        <v/>
      </c>
      <c r="BT37">
        <f>BS37+'Grid_Incoming'!BT37-'Grid_Requirement'!BT37</f>
        <v/>
      </c>
      <c r="BU37">
        <f>BT37+'Grid_Incoming'!BU37-'Grid_Requirement'!BU37</f>
        <v/>
      </c>
      <c r="BV37">
        <f>BU37+'Grid_Incoming'!BV37-'Grid_Requirement'!BV37</f>
        <v/>
      </c>
      <c r="BW37">
        <f>BV37+'Grid_Incoming'!BW37-'Grid_Requirement'!BW37</f>
        <v/>
      </c>
      <c r="BX37">
        <f>BW37+'Grid_Incoming'!BX37-'Grid_Requirement'!BX37</f>
        <v/>
      </c>
      <c r="BY37">
        <f>BX37+'Grid_Incoming'!BY37-'Grid_Requirement'!BY37</f>
        <v/>
      </c>
      <c r="BZ37">
        <f>BY37+'Grid_Incoming'!BZ37-'Grid_Requirement'!BZ37</f>
        <v/>
      </c>
      <c r="CA37">
        <f>BZ37+'Grid_Incoming'!CA37-'Grid_Requirement'!CA37</f>
        <v/>
      </c>
      <c r="CB37">
        <f>CA37+'Grid_Incoming'!CB37-'Grid_Requirement'!CB37</f>
        <v/>
      </c>
      <c r="CC37">
        <f>CB37+'Grid_Incoming'!CC37-'Grid_Requirement'!CC37</f>
        <v/>
      </c>
      <c r="CD37">
        <f>CC37+'Grid_Incoming'!CD37-'Grid_Requirement'!CD37</f>
        <v/>
      </c>
      <c r="CE37">
        <f>CD37+'Grid_Incoming'!CE37-'Grid_Requirement'!CE37</f>
        <v/>
      </c>
      <c r="CF37">
        <f>CE37+'Grid_Incoming'!CF37-'Grid_Requirement'!CF37</f>
        <v/>
      </c>
      <c r="CG37">
        <f>CF37+'Grid_Incoming'!CG37-'Grid_Requirement'!CG37</f>
        <v/>
      </c>
      <c r="CH37">
        <f>CG37+'Grid_Incoming'!CH37-'Grid_Requirement'!CH37</f>
        <v/>
      </c>
      <c r="CI37">
        <f>CH37+'Grid_Incoming'!CI37-'Grid_Requirement'!CI37</f>
        <v/>
      </c>
      <c r="CJ37">
        <f>CI37+'Grid_Incoming'!CJ37-'Grid_Requirement'!CJ37</f>
        <v/>
      </c>
      <c r="CK37">
        <f>CJ37+'Grid_Incoming'!CK37-'Grid_Requirement'!CK37</f>
        <v/>
      </c>
      <c r="CL37">
        <f>CK37+'Grid_Incoming'!CL37-'Grid_Requirement'!CL37</f>
        <v/>
      </c>
      <c r="CM37">
        <f>CL37+'Grid_Incoming'!CM37-'Grid_Requirement'!CM37</f>
        <v/>
      </c>
      <c r="CN37">
        <f>CM37+'Grid_Incoming'!CN37-'Grid_Requirement'!CN37</f>
        <v/>
      </c>
      <c r="CO37">
        <f>CN37+'Grid_Incoming'!CO37-'Grid_Requirement'!CO37</f>
        <v/>
      </c>
      <c r="CP37">
        <f>CO37+'Grid_Incoming'!CP37-'Grid_Requirement'!CP37</f>
        <v/>
      </c>
      <c r="CQ37">
        <f>CP37+'Grid_Incoming'!CQ37-'Grid_Requirement'!CQ37</f>
        <v/>
      </c>
      <c r="CR37">
        <f>CQ37+'Grid_Incoming'!CR37-'Grid_Requirement'!CR37</f>
        <v/>
      </c>
      <c r="CS37">
        <f>CR37+'Grid_Incoming'!CS37-'Grid_Requirement'!CS37</f>
        <v/>
      </c>
      <c r="CT37">
        <f>CS37+'Grid_Incoming'!CT37-'Grid_Requirement'!CT37</f>
        <v/>
      </c>
      <c r="CU37">
        <f>CT37+'Grid_Incoming'!CU37-'Grid_Requirement'!CU37</f>
        <v/>
      </c>
      <c r="CV37">
        <f>CU37+'Grid_Incoming'!CV37-'Grid_Requirement'!CV37</f>
        <v/>
      </c>
      <c r="CW37">
        <f>CV37+'Grid_Incoming'!CW37-'Grid_Requirement'!CW37</f>
        <v/>
      </c>
      <c r="CX37">
        <f>CW37+'Grid_Incoming'!CX37-'Grid_Requirement'!CX37</f>
        <v/>
      </c>
      <c r="CY37">
        <f>CX37+'Grid_Incoming'!CY37-'Grid_Requirement'!CY37</f>
        <v/>
      </c>
      <c r="CZ37">
        <f>CY37+'Grid_Incoming'!CZ37-'Grid_Requirement'!CZ37</f>
        <v/>
      </c>
      <c r="DA37">
        <f>CZ37+'Grid_Incoming'!DA37-'Grid_Requirement'!DA37</f>
        <v/>
      </c>
    </row>
    <row r="38">
      <c r="A38" t="inlineStr">
        <is>
          <t>CHEM-1480</t>
        </is>
      </c>
      <c r="B38">
        <f>IFERROR(INDEX(T_OpeningStock[Opening_Qty],MATCH($A38,T_OpeningStock[Part Name],0)),0)+'Grid_Incoming'!B38-'Grid_Requirement'!B38</f>
        <v/>
      </c>
      <c r="C38">
        <f>B38+'Grid_Incoming'!C38-'Grid_Requirement'!C38</f>
        <v/>
      </c>
      <c r="D38">
        <f>C38+'Grid_Incoming'!D38-'Grid_Requirement'!D38</f>
        <v/>
      </c>
      <c r="E38">
        <f>D38+'Grid_Incoming'!E38-'Grid_Requirement'!E38</f>
        <v/>
      </c>
      <c r="F38">
        <f>E38+'Grid_Incoming'!F38-'Grid_Requirement'!F38</f>
        <v/>
      </c>
      <c r="G38">
        <f>F38+'Grid_Incoming'!G38-'Grid_Requirement'!G38</f>
        <v/>
      </c>
      <c r="H38">
        <f>G38+'Grid_Incoming'!H38-'Grid_Requirement'!H38</f>
        <v/>
      </c>
      <c r="I38">
        <f>H38+'Grid_Incoming'!I38-'Grid_Requirement'!I38</f>
        <v/>
      </c>
      <c r="J38">
        <f>I38+'Grid_Incoming'!J38-'Grid_Requirement'!J38</f>
        <v/>
      </c>
      <c r="K38">
        <f>J38+'Grid_Incoming'!K38-'Grid_Requirement'!K38</f>
        <v/>
      </c>
      <c r="L38">
        <f>K38+'Grid_Incoming'!L38-'Grid_Requirement'!L38</f>
        <v/>
      </c>
      <c r="M38">
        <f>L38+'Grid_Incoming'!M38-'Grid_Requirement'!M38</f>
        <v/>
      </c>
      <c r="N38">
        <f>M38+'Grid_Incoming'!N38-'Grid_Requirement'!N38</f>
        <v/>
      </c>
      <c r="O38">
        <f>N38+'Grid_Incoming'!O38-'Grid_Requirement'!O38</f>
        <v/>
      </c>
      <c r="P38">
        <f>O38+'Grid_Incoming'!P38-'Grid_Requirement'!P38</f>
        <v/>
      </c>
      <c r="Q38">
        <f>P38+'Grid_Incoming'!Q38-'Grid_Requirement'!Q38</f>
        <v/>
      </c>
      <c r="R38">
        <f>Q38+'Grid_Incoming'!R38-'Grid_Requirement'!R38</f>
        <v/>
      </c>
      <c r="S38">
        <f>R38+'Grid_Incoming'!S38-'Grid_Requirement'!S38</f>
        <v/>
      </c>
      <c r="T38">
        <f>S38+'Grid_Incoming'!T38-'Grid_Requirement'!T38</f>
        <v/>
      </c>
      <c r="U38">
        <f>T38+'Grid_Incoming'!U38-'Grid_Requirement'!U38</f>
        <v/>
      </c>
      <c r="V38">
        <f>U38+'Grid_Incoming'!V38-'Grid_Requirement'!V38</f>
        <v/>
      </c>
      <c r="W38">
        <f>V38+'Grid_Incoming'!W38-'Grid_Requirement'!W38</f>
        <v/>
      </c>
      <c r="X38">
        <f>W38+'Grid_Incoming'!X38-'Grid_Requirement'!X38</f>
        <v/>
      </c>
      <c r="Y38">
        <f>X38+'Grid_Incoming'!Y38-'Grid_Requirement'!Y38</f>
        <v/>
      </c>
      <c r="Z38">
        <f>Y38+'Grid_Incoming'!Z38-'Grid_Requirement'!Z38</f>
        <v/>
      </c>
      <c r="AA38">
        <f>Z38+'Grid_Incoming'!AA38-'Grid_Requirement'!AA38</f>
        <v/>
      </c>
      <c r="AB38">
        <f>AA38+'Grid_Incoming'!AB38-'Grid_Requirement'!AB38</f>
        <v/>
      </c>
      <c r="AC38">
        <f>AB38+'Grid_Incoming'!AC38-'Grid_Requirement'!AC38</f>
        <v/>
      </c>
      <c r="AD38">
        <f>AC38+'Grid_Incoming'!AD38-'Grid_Requirement'!AD38</f>
        <v/>
      </c>
      <c r="AE38">
        <f>AD38+'Grid_Incoming'!AE38-'Grid_Requirement'!AE38</f>
        <v/>
      </c>
      <c r="AF38">
        <f>AE38+'Grid_Incoming'!AF38-'Grid_Requirement'!AF38</f>
        <v/>
      </c>
      <c r="AG38">
        <f>AF38+'Grid_Incoming'!AG38-'Grid_Requirement'!AG38</f>
        <v/>
      </c>
      <c r="AH38">
        <f>AG38+'Grid_Incoming'!AH38-'Grid_Requirement'!AH38</f>
        <v/>
      </c>
      <c r="AI38">
        <f>AH38+'Grid_Incoming'!AI38-'Grid_Requirement'!AI38</f>
        <v/>
      </c>
      <c r="AJ38">
        <f>AI38+'Grid_Incoming'!AJ38-'Grid_Requirement'!AJ38</f>
        <v/>
      </c>
      <c r="AK38">
        <f>AJ38+'Grid_Incoming'!AK38-'Grid_Requirement'!AK38</f>
        <v/>
      </c>
      <c r="AL38">
        <f>AK38+'Grid_Incoming'!AL38-'Grid_Requirement'!AL38</f>
        <v/>
      </c>
      <c r="AM38">
        <f>AL38+'Grid_Incoming'!AM38-'Grid_Requirement'!AM38</f>
        <v/>
      </c>
      <c r="AN38">
        <f>AM38+'Grid_Incoming'!AN38-'Grid_Requirement'!AN38</f>
        <v/>
      </c>
      <c r="AO38">
        <f>AN38+'Grid_Incoming'!AO38-'Grid_Requirement'!AO38</f>
        <v/>
      </c>
      <c r="AP38">
        <f>AO38+'Grid_Incoming'!AP38-'Grid_Requirement'!AP38</f>
        <v/>
      </c>
      <c r="AQ38">
        <f>AP38+'Grid_Incoming'!AQ38-'Grid_Requirement'!AQ38</f>
        <v/>
      </c>
      <c r="AR38">
        <f>AQ38+'Grid_Incoming'!AR38-'Grid_Requirement'!AR38</f>
        <v/>
      </c>
      <c r="AS38">
        <f>AR38+'Grid_Incoming'!AS38-'Grid_Requirement'!AS38</f>
        <v/>
      </c>
      <c r="AT38">
        <f>AS38+'Grid_Incoming'!AT38-'Grid_Requirement'!AT38</f>
        <v/>
      </c>
      <c r="AU38">
        <f>AT38+'Grid_Incoming'!AU38-'Grid_Requirement'!AU38</f>
        <v/>
      </c>
      <c r="AV38">
        <f>AU38+'Grid_Incoming'!AV38-'Grid_Requirement'!AV38</f>
        <v/>
      </c>
      <c r="AW38">
        <f>AV38+'Grid_Incoming'!AW38-'Grid_Requirement'!AW38</f>
        <v/>
      </c>
      <c r="AX38">
        <f>AW38+'Grid_Incoming'!AX38-'Grid_Requirement'!AX38</f>
        <v/>
      </c>
      <c r="AY38">
        <f>AX38+'Grid_Incoming'!AY38-'Grid_Requirement'!AY38</f>
        <v/>
      </c>
      <c r="AZ38">
        <f>AY38+'Grid_Incoming'!AZ38-'Grid_Requirement'!AZ38</f>
        <v/>
      </c>
      <c r="BA38">
        <f>AZ38+'Grid_Incoming'!BA38-'Grid_Requirement'!BA38</f>
        <v/>
      </c>
      <c r="BB38">
        <f>BA38+'Grid_Incoming'!BB38-'Grid_Requirement'!BB38</f>
        <v/>
      </c>
      <c r="BC38">
        <f>BB38+'Grid_Incoming'!BC38-'Grid_Requirement'!BC38</f>
        <v/>
      </c>
      <c r="BD38">
        <f>BC38+'Grid_Incoming'!BD38-'Grid_Requirement'!BD38</f>
        <v/>
      </c>
      <c r="BE38">
        <f>BD38+'Grid_Incoming'!BE38-'Grid_Requirement'!BE38</f>
        <v/>
      </c>
      <c r="BF38">
        <f>BE38+'Grid_Incoming'!BF38-'Grid_Requirement'!BF38</f>
        <v/>
      </c>
      <c r="BG38">
        <f>BF38+'Grid_Incoming'!BG38-'Grid_Requirement'!BG38</f>
        <v/>
      </c>
      <c r="BH38">
        <f>BG38+'Grid_Incoming'!BH38-'Grid_Requirement'!BH38</f>
        <v/>
      </c>
      <c r="BI38">
        <f>BH38+'Grid_Incoming'!BI38-'Grid_Requirement'!BI38</f>
        <v/>
      </c>
      <c r="BJ38">
        <f>BI38+'Grid_Incoming'!BJ38-'Grid_Requirement'!BJ38</f>
        <v/>
      </c>
      <c r="BK38">
        <f>BJ38+'Grid_Incoming'!BK38-'Grid_Requirement'!BK38</f>
        <v/>
      </c>
      <c r="BL38">
        <f>BK38+'Grid_Incoming'!BL38-'Grid_Requirement'!BL38</f>
        <v/>
      </c>
      <c r="BM38">
        <f>BL38+'Grid_Incoming'!BM38-'Grid_Requirement'!BM38</f>
        <v/>
      </c>
      <c r="BN38">
        <f>BM38+'Grid_Incoming'!BN38-'Grid_Requirement'!BN38</f>
        <v/>
      </c>
      <c r="BO38">
        <f>BN38+'Grid_Incoming'!BO38-'Grid_Requirement'!BO38</f>
        <v/>
      </c>
      <c r="BP38">
        <f>BO38+'Grid_Incoming'!BP38-'Grid_Requirement'!BP38</f>
        <v/>
      </c>
      <c r="BQ38">
        <f>BP38+'Grid_Incoming'!BQ38-'Grid_Requirement'!BQ38</f>
        <v/>
      </c>
      <c r="BR38">
        <f>BQ38+'Grid_Incoming'!BR38-'Grid_Requirement'!BR38</f>
        <v/>
      </c>
      <c r="BS38">
        <f>BR38+'Grid_Incoming'!BS38-'Grid_Requirement'!BS38</f>
        <v/>
      </c>
      <c r="BT38">
        <f>BS38+'Grid_Incoming'!BT38-'Grid_Requirement'!BT38</f>
        <v/>
      </c>
      <c r="BU38">
        <f>BT38+'Grid_Incoming'!BU38-'Grid_Requirement'!BU38</f>
        <v/>
      </c>
      <c r="BV38">
        <f>BU38+'Grid_Incoming'!BV38-'Grid_Requirement'!BV38</f>
        <v/>
      </c>
      <c r="BW38">
        <f>BV38+'Grid_Incoming'!BW38-'Grid_Requirement'!BW38</f>
        <v/>
      </c>
      <c r="BX38">
        <f>BW38+'Grid_Incoming'!BX38-'Grid_Requirement'!BX38</f>
        <v/>
      </c>
      <c r="BY38">
        <f>BX38+'Grid_Incoming'!BY38-'Grid_Requirement'!BY38</f>
        <v/>
      </c>
      <c r="BZ38">
        <f>BY38+'Grid_Incoming'!BZ38-'Grid_Requirement'!BZ38</f>
        <v/>
      </c>
      <c r="CA38">
        <f>BZ38+'Grid_Incoming'!CA38-'Grid_Requirement'!CA38</f>
        <v/>
      </c>
      <c r="CB38">
        <f>CA38+'Grid_Incoming'!CB38-'Grid_Requirement'!CB38</f>
        <v/>
      </c>
      <c r="CC38">
        <f>CB38+'Grid_Incoming'!CC38-'Grid_Requirement'!CC38</f>
        <v/>
      </c>
      <c r="CD38">
        <f>CC38+'Grid_Incoming'!CD38-'Grid_Requirement'!CD38</f>
        <v/>
      </c>
      <c r="CE38">
        <f>CD38+'Grid_Incoming'!CE38-'Grid_Requirement'!CE38</f>
        <v/>
      </c>
      <c r="CF38">
        <f>CE38+'Grid_Incoming'!CF38-'Grid_Requirement'!CF38</f>
        <v/>
      </c>
      <c r="CG38">
        <f>CF38+'Grid_Incoming'!CG38-'Grid_Requirement'!CG38</f>
        <v/>
      </c>
      <c r="CH38">
        <f>CG38+'Grid_Incoming'!CH38-'Grid_Requirement'!CH38</f>
        <v/>
      </c>
      <c r="CI38">
        <f>CH38+'Grid_Incoming'!CI38-'Grid_Requirement'!CI38</f>
        <v/>
      </c>
      <c r="CJ38">
        <f>CI38+'Grid_Incoming'!CJ38-'Grid_Requirement'!CJ38</f>
        <v/>
      </c>
      <c r="CK38">
        <f>CJ38+'Grid_Incoming'!CK38-'Grid_Requirement'!CK38</f>
        <v/>
      </c>
      <c r="CL38">
        <f>CK38+'Grid_Incoming'!CL38-'Grid_Requirement'!CL38</f>
        <v/>
      </c>
      <c r="CM38">
        <f>CL38+'Grid_Incoming'!CM38-'Grid_Requirement'!CM38</f>
        <v/>
      </c>
      <c r="CN38">
        <f>CM38+'Grid_Incoming'!CN38-'Grid_Requirement'!CN38</f>
        <v/>
      </c>
      <c r="CO38">
        <f>CN38+'Grid_Incoming'!CO38-'Grid_Requirement'!CO38</f>
        <v/>
      </c>
      <c r="CP38">
        <f>CO38+'Grid_Incoming'!CP38-'Grid_Requirement'!CP38</f>
        <v/>
      </c>
      <c r="CQ38">
        <f>CP38+'Grid_Incoming'!CQ38-'Grid_Requirement'!CQ38</f>
        <v/>
      </c>
      <c r="CR38">
        <f>CQ38+'Grid_Incoming'!CR38-'Grid_Requirement'!CR38</f>
        <v/>
      </c>
      <c r="CS38">
        <f>CR38+'Grid_Incoming'!CS38-'Grid_Requirement'!CS38</f>
        <v/>
      </c>
      <c r="CT38">
        <f>CS38+'Grid_Incoming'!CT38-'Grid_Requirement'!CT38</f>
        <v/>
      </c>
      <c r="CU38">
        <f>CT38+'Grid_Incoming'!CU38-'Grid_Requirement'!CU38</f>
        <v/>
      </c>
      <c r="CV38">
        <f>CU38+'Grid_Incoming'!CV38-'Grid_Requirement'!CV38</f>
        <v/>
      </c>
      <c r="CW38">
        <f>CV38+'Grid_Incoming'!CW38-'Grid_Requirement'!CW38</f>
        <v/>
      </c>
      <c r="CX38">
        <f>CW38+'Grid_Incoming'!CX38-'Grid_Requirement'!CX38</f>
        <v/>
      </c>
      <c r="CY38">
        <f>CX38+'Grid_Incoming'!CY38-'Grid_Requirement'!CY38</f>
        <v/>
      </c>
      <c r="CZ38">
        <f>CY38+'Grid_Incoming'!CZ38-'Grid_Requirement'!CZ38</f>
        <v/>
      </c>
      <c r="DA38">
        <f>CZ38+'Grid_Incoming'!DA38-'Grid_Requirement'!DA38</f>
        <v/>
      </c>
    </row>
    <row r="39">
      <c r="A39" t="inlineStr">
        <is>
          <t>CHEM-1540</t>
        </is>
      </c>
      <c r="B39">
        <f>IFERROR(INDEX(T_OpeningStock[Opening_Qty],MATCH($A39,T_OpeningStock[Part Name],0)),0)+'Grid_Incoming'!B39-'Grid_Requirement'!B39</f>
        <v/>
      </c>
      <c r="C39">
        <f>B39+'Grid_Incoming'!C39-'Grid_Requirement'!C39</f>
        <v/>
      </c>
      <c r="D39">
        <f>C39+'Grid_Incoming'!D39-'Grid_Requirement'!D39</f>
        <v/>
      </c>
      <c r="E39">
        <f>D39+'Grid_Incoming'!E39-'Grid_Requirement'!E39</f>
        <v/>
      </c>
      <c r="F39">
        <f>E39+'Grid_Incoming'!F39-'Grid_Requirement'!F39</f>
        <v/>
      </c>
      <c r="G39">
        <f>F39+'Grid_Incoming'!G39-'Grid_Requirement'!G39</f>
        <v/>
      </c>
      <c r="H39">
        <f>G39+'Grid_Incoming'!H39-'Grid_Requirement'!H39</f>
        <v/>
      </c>
      <c r="I39">
        <f>H39+'Grid_Incoming'!I39-'Grid_Requirement'!I39</f>
        <v/>
      </c>
      <c r="J39">
        <f>I39+'Grid_Incoming'!J39-'Grid_Requirement'!J39</f>
        <v/>
      </c>
      <c r="K39">
        <f>J39+'Grid_Incoming'!K39-'Grid_Requirement'!K39</f>
        <v/>
      </c>
      <c r="L39">
        <f>K39+'Grid_Incoming'!L39-'Grid_Requirement'!L39</f>
        <v/>
      </c>
      <c r="M39">
        <f>L39+'Grid_Incoming'!M39-'Grid_Requirement'!M39</f>
        <v/>
      </c>
      <c r="N39">
        <f>M39+'Grid_Incoming'!N39-'Grid_Requirement'!N39</f>
        <v/>
      </c>
      <c r="O39">
        <f>N39+'Grid_Incoming'!O39-'Grid_Requirement'!O39</f>
        <v/>
      </c>
      <c r="P39">
        <f>O39+'Grid_Incoming'!P39-'Grid_Requirement'!P39</f>
        <v/>
      </c>
      <c r="Q39">
        <f>P39+'Grid_Incoming'!Q39-'Grid_Requirement'!Q39</f>
        <v/>
      </c>
      <c r="R39">
        <f>Q39+'Grid_Incoming'!R39-'Grid_Requirement'!R39</f>
        <v/>
      </c>
      <c r="S39">
        <f>R39+'Grid_Incoming'!S39-'Grid_Requirement'!S39</f>
        <v/>
      </c>
      <c r="T39">
        <f>S39+'Grid_Incoming'!T39-'Grid_Requirement'!T39</f>
        <v/>
      </c>
      <c r="U39">
        <f>T39+'Grid_Incoming'!U39-'Grid_Requirement'!U39</f>
        <v/>
      </c>
      <c r="V39">
        <f>U39+'Grid_Incoming'!V39-'Grid_Requirement'!V39</f>
        <v/>
      </c>
      <c r="W39">
        <f>V39+'Grid_Incoming'!W39-'Grid_Requirement'!W39</f>
        <v/>
      </c>
      <c r="X39">
        <f>W39+'Grid_Incoming'!X39-'Grid_Requirement'!X39</f>
        <v/>
      </c>
      <c r="Y39">
        <f>X39+'Grid_Incoming'!Y39-'Grid_Requirement'!Y39</f>
        <v/>
      </c>
      <c r="Z39">
        <f>Y39+'Grid_Incoming'!Z39-'Grid_Requirement'!Z39</f>
        <v/>
      </c>
      <c r="AA39">
        <f>Z39+'Grid_Incoming'!AA39-'Grid_Requirement'!AA39</f>
        <v/>
      </c>
      <c r="AB39">
        <f>AA39+'Grid_Incoming'!AB39-'Grid_Requirement'!AB39</f>
        <v/>
      </c>
      <c r="AC39">
        <f>AB39+'Grid_Incoming'!AC39-'Grid_Requirement'!AC39</f>
        <v/>
      </c>
      <c r="AD39">
        <f>AC39+'Grid_Incoming'!AD39-'Grid_Requirement'!AD39</f>
        <v/>
      </c>
      <c r="AE39">
        <f>AD39+'Grid_Incoming'!AE39-'Grid_Requirement'!AE39</f>
        <v/>
      </c>
      <c r="AF39">
        <f>AE39+'Grid_Incoming'!AF39-'Grid_Requirement'!AF39</f>
        <v/>
      </c>
      <c r="AG39">
        <f>AF39+'Grid_Incoming'!AG39-'Grid_Requirement'!AG39</f>
        <v/>
      </c>
      <c r="AH39">
        <f>AG39+'Grid_Incoming'!AH39-'Grid_Requirement'!AH39</f>
        <v/>
      </c>
      <c r="AI39">
        <f>AH39+'Grid_Incoming'!AI39-'Grid_Requirement'!AI39</f>
        <v/>
      </c>
      <c r="AJ39">
        <f>AI39+'Grid_Incoming'!AJ39-'Grid_Requirement'!AJ39</f>
        <v/>
      </c>
      <c r="AK39">
        <f>AJ39+'Grid_Incoming'!AK39-'Grid_Requirement'!AK39</f>
        <v/>
      </c>
      <c r="AL39">
        <f>AK39+'Grid_Incoming'!AL39-'Grid_Requirement'!AL39</f>
        <v/>
      </c>
      <c r="AM39">
        <f>AL39+'Grid_Incoming'!AM39-'Grid_Requirement'!AM39</f>
        <v/>
      </c>
      <c r="AN39">
        <f>AM39+'Grid_Incoming'!AN39-'Grid_Requirement'!AN39</f>
        <v/>
      </c>
      <c r="AO39">
        <f>AN39+'Grid_Incoming'!AO39-'Grid_Requirement'!AO39</f>
        <v/>
      </c>
      <c r="AP39">
        <f>AO39+'Grid_Incoming'!AP39-'Grid_Requirement'!AP39</f>
        <v/>
      </c>
      <c r="AQ39">
        <f>AP39+'Grid_Incoming'!AQ39-'Grid_Requirement'!AQ39</f>
        <v/>
      </c>
      <c r="AR39">
        <f>AQ39+'Grid_Incoming'!AR39-'Grid_Requirement'!AR39</f>
        <v/>
      </c>
      <c r="AS39">
        <f>AR39+'Grid_Incoming'!AS39-'Grid_Requirement'!AS39</f>
        <v/>
      </c>
      <c r="AT39">
        <f>AS39+'Grid_Incoming'!AT39-'Grid_Requirement'!AT39</f>
        <v/>
      </c>
      <c r="AU39">
        <f>AT39+'Grid_Incoming'!AU39-'Grid_Requirement'!AU39</f>
        <v/>
      </c>
      <c r="AV39">
        <f>AU39+'Grid_Incoming'!AV39-'Grid_Requirement'!AV39</f>
        <v/>
      </c>
      <c r="AW39">
        <f>AV39+'Grid_Incoming'!AW39-'Grid_Requirement'!AW39</f>
        <v/>
      </c>
      <c r="AX39">
        <f>AW39+'Grid_Incoming'!AX39-'Grid_Requirement'!AX39</f>
        <v/>
      </c>
      <c r="AY39">
        <f>AX39+'Grid_Incoming'!AY39-'Grid_Requirement'!AY39</f>
        <v/>
      </c>
      <c r="AZ39">
        <f>AY39+'Grid_Incoming'!AZ39-'Grid_Requirement'!AZ39</f>
        <v/>
      </c>
      <c r="BA39">
        <f>AZ39+'Grid_Incoming'!BA39-'Grid_Requirement'!BA39</f>
        <v/>
      </c>
      <c r="BB39">
        <f>BA39+'Grid_Incoming'!BB39-'Grid_Requirement'!BB39</f>
        <v/>
      </c>
      <c r="BC39">
        <f>BB39+'Grid_Incoming'!BC39-'Grid_Requirement'!BC39</f>
        <v/>
      </c>
      <c r="BD39">
        <f>BC39+'Grid_Incoming'!BD39-'Grid_Requirement'!BD39</f>
        <v/>
      </c>
      <c r="BE39">
        <f>BD39+'Grid_Incoming'!BE39-'Grid_Requirement'!BE39</f>
        <v/>
      </c>
      <c r="BF39">
        <f>BE39+'Grid_Incoming'!BF39-'Grid_Requirement'!BF39</f>
        <v/>
      </c>
      <c r="BG39">
        <f>BF39+'Grid_Incoming'!BG39-'Grid_Requirement'!BG39</f>
        <v/>
      </c>
      <c r="BH39">
        <f>BG39+'Grid_Incoming'!BH39-'Grid_Requirement'!BH39</f>
        <v/>
      </c>
      <c r="BI39">
        <f>BH39+'Grid_Incoming'!BI39-'Grid_Requirement'!BI39</f>
        <v/>
      </c>
      <c r="BJ39">
        <f>BI39+'Grid_Incoming'!BJ39-'Grid_Requirement'!BJ39</f>
        <v/>
      </c>
      <c r="BK39">
        <f>BJ39+'Grid_Incoming'!BK39-'Grid_Requirement'!BK39</f>
        <v/>
      </c>
      <c r="BL39">
        <f>BK39+'Grid_Incoming'!BL39-'Grid_Requirement'!BL39</f>
        <v/>
      </c>
      <c r="BM39">
        <f>BL39+'Grid_Incoming'!BM39-'Grid_Requirement'!BM39</f>
        <v/>
      </c>
      <c r="BN39">
        <f>BM39+'Grid_Incoming'!BN39-'Grid_Requirement'!BN39</f>
        <v/>
      </c>
      <c r="BO39">
        <f>BN39+'Grid_Incoming'!BO39-'Grid_Requirement'!BO39</f>
        <v/>
      </c>
      <c r="BP39">
        <f>BO39+'Grid_Incoming'!BP39-'Grid_Requirement'!BP39</f>
        <v/>
      </c>
      <c r="BQ39">
        <f>BP39+'Grid_Incoming'!BQ39-'Grid_Requirement'!BQ39</f>
        <v/>
      </c>
      <c r="BR39">
        <f>BQ39+'Grid_Incoming'!BR39-'Grid_Requirement'!BR39</f>
        <v/>
      </c>
      <c r="BS39">
        <f>BR39+'Grid_Incoming'!BS39-'Grid_Requirement'!BS39</f>
        <v/>
      </c>
      <c r="BT39">
        <f>BS39+'Grid_Incoming'!BT39-'Grid_Requirement'!BT39</f>
        <v/>
      </c>
      <c r="BU39">
        <f>BT39+'Grid_Incoming'!BU39-'Grid_Requirement'!BU39</f>
        <v/>
      </c>
      <c r="BV39">
        <f>BU39+'Grid_Incoming'!BV39-'Grid_Requirement'!BV39</f>
        <v/>
      </c>
      <c r="BW39">
        <f>BV39+'Grid_Incoming'!BW39-'Grid_Requirement'!BW39</f>
        <v/>
      </c>
      <c r="BX39">
        <f>BW39+'Grid_Incoming'!BX39-'Grid_Requirement'!BX39</f>
        <v/>
      </c>
      <c r="BY39">
        <f>BX39+'Grid_Incoming'!BY39-'Grid_Requirement'!BY39</f>
        <v/>
      </c>
      <c r="BZ39">
        <f>BY39+'Grid_Incoming'!BZ39-'Grid_Requirement'!BZ39</f>
        <v/>
      </c>
      <c r="CA39">
        <f>BZ39+'Grid_Incoming'!CA39-'Grid_Requirement'!CA39</f>
        <v/>
      </c>
      <c r="CB39">
        <f>CA39+'Grid_Incoming'!CB39-'Grid_Requirement'!CB39</f>
        <v/>
      </c>
      <c r="CC39">
        <f>CB39+'Grid_Incoming'!CC39-'Grid_Requirement'!CC39</f>
        <v/>
      </c>
      <c r="CD39">
        <f>CC39+'Grid_Incoming'!CD39-'Grid_Requirement'!CD39</f>
        <v/>
      </c>
      <c r="CE39">
        <f>CD39+'Grid_Incoming'!CE39-'Grid_Requirement'!CE39</f>
        <v/>
      </c>
      <c r="CF39">
        <f>CE39+'Grid_Incoming'!CF39-'Grid_Requirement'!CF39</f>
        <v/>
      </c>
      <c r="CG39">
        <f>CF39+'Grid_Incoming'!CG39-'Grid_Requirement'!CG39</f>
        <v/>
      </c>
      <c r="CH39">
        <f>CG39+'Grid_Incoming'!CH39-'Grid_Requirement'!CH39</f>
        <v/>
      </c>
      <c r="CI39">
        <f>CH39+'Grid_Incoming'!CI39-'Grid_Requirement'!CI39</f>
        <v/>
      </c>
      <c r="CJ39">
        <f>CI39+'Grid_Incoming'!CJ39-'Grid_Requirement'!CJ39</f>
        <v/>
      </c>
      <c r="CK39">
        <f>CJ39+'Grid_Incoming'!CK39-'Grid_Requirement'!CK39</f>
        <v/>
      </c>
      <c r="CL39">
        <f>CK39+'Grid_Incoming'!CL39-'Grid_Requirement'!CL39</f>
        <v/>
      </c>
      <c r="CM39">
        <f>CL39+'Grid_Incoming'!CM39-'Grid_Requirement'!CM39</f>
        <v/>
      </c>
      <c r="CN39">
        <f>CM39+'Grid_Incoming'!CN39-'Grid_Requirement'!CN39</f>
        <v/>
      </c>
      <c r="CO39">
        <f>CN39+'Grid_Incoming'!CO39-'Grid_Requirement'!CO39</f>
        <v/>
      </c>
      <c r="CP39">
        <f>CO39+'Grid_Incoming'!CP39-'Grid_Requirement'!CP39</f>
        <v/>
      </c>
      <c r="CQ39">
        <f>CP39+'Grid_Incoming'!CQ39-'Grid_Requirement'!CQ39</f>
        <v/>
      </c>
      <c r="CR39">
        <f>CQ39+'Grid_Incoming'!CR39-'Grid_Requirement'!CR39</f>
        <v/>
      </c>
      <c r="CS39">
        <f>CR39+'Grid_Incoming'!CS39-'Grid_Requirement'!CS39</f>
        <v/>
      </c>
      <c r="CT39">
        <f>CS39+'Grid_Incoming'!CT39-'Grid_Requirement'!CT39</f>
        <v/>
      </c>
      <c r="CU39">
        <f>CT39+'Grid_Incoming'!CU39-'Grid_Requirement'!CU39</f>
        <v/>
      </c>
      <c r="CV39">
        <f>CU39+'Grid_Incoming'!CV39-'Grid_Requirement'!CV39</f>
        <v/>
      </c>
      <c r="CW39">
        <f>CV39+'Grid_Incoming'!CW39-'Grid_Requirement'!CW39</f>
        <v/>
      </c>
      <c r="CX39">
        <f>CW39+'Grid_Incoming'!CX39-'Grid_Requirement'!CX39</f>
        <v/>
      </c>
      <c r="CY39">
        <f>CX39+'Grid_Incoming'!CY39-'Grid_Requirement'!CY39</f>
        <v/>
      </c>
      <c r="CZ39">
        <f>CY39+'Grid_Incoming'!CZ39-'Grid_Requirement'!CZ39</f>
        <v/>
      </c>
      <c r="DA39">
        <f>CZ39+'Grid_Incoming'!DA39-'Grid_Requirement'!DA39</f>
        <v/>
      </c>
    </row>
    <row r="40">
      <c r="A40" t="inlineStr">
        <is>
          <t>CHEM-1680</t>
        </is>
      </c>
      <c r="B40">
        <f>IFERROR(INDEX(T_OpeningStock[Opening_Qty],MATCH($A40,T_OpeningStock[Part Name],0)),0)+'Grid_Incoming'!B40-'Grid_Requirement'!B40</f>
        <v/>
      </c>
      <c r="C40">
        <f>B40+'Grid_Incoming'!C40-'Grid_Requirement'!C40</f>
        <v/>
      </c>
      <c r="D40">
        <f>C40+'Grid_Incoming'!D40-'Grid_Requirement'!D40</f>
        <v/>
      </c>
      <c r="E40">
        <f>D40+'Grid_Incoming'!E40-'Grid_Requirement'!E40</f>
        <v/>
      </c>
      <c r="F40">
        <f>E40+'Grid_Incoming'!F40-'Grid_Requirement'!F40</f>
        <v/>
      </c>
      <c r="G40">
        <f>F40+'Grid_Incoming'!G40-'Grid_Requirement'!G40</f>
        <v/>
      </c>
      <c r="H40">
        <f>G40+'Grid_Incoming'!H40-'Grid_Requirement'!H40</f>
        <v/>
      </c>
      <c r="I40">
        <f>H40+'Grid_Incoming'!I40-'Grid_Requirement'!I40</f>
        <v/>
      </c>
      <c r="J40">
        <f>I40+'Grid_Incoming'!J40-'Grid_Requirement'!J40</f>
        <v/>
      </c>
      <c r="K40">
        <f>J40+'Grid_Incoming'!K40-'Grid_Requirement'!K40</f>
        <v/>
      </c>
      <c r="L40">
        <f>K40+'Grid_Incoming'!L40-'Grid_Requirement'!L40</f>
        <v/>
      </c>
      <c r="M40">
        <f>L40+'Grid_Incoming'!M40-'Grid_Requirement'!M40</f>
        <v/>
      </c>
      <c r="N40">
        <f>M40+'Grid_Incoming'!N40-'Grid_Requirement'!N40</f>
        <v/>
      </c>
      <c r="O40">
        <f>N40+'Grid_Incoming'!O40-'Grid_Requirement'!O40</f>
        <v/>
      </c>
      <c r="P40">
        <f>O40+'Grid_Incoming'!P40-'Grid_Requirement'!P40</f>
        <v/>
      </c>
      <c r="Q40">
        <f>P40+'Grid_Incoming'!Q40-'Grid_Requirement'!Q40</f>
        <v/>
      </c>
      <c r="R40">
        <f>Q40+'Grid_Incoming'!R40-'Grid_Requirement'!R40</f>
        <v/>
      </c>
      <c r="S40">
        <f>R40+'Grid_Incoming'!S40-'Grid_Requirement'!S40</f>
        <v/>
      </c>
      <c r="T40">
        <f>S40+'Grid_Incoming'!T40-'Grid_Requirement'!T40</f>
        <v/>
      </c>
      <c r="U40">
        <f>T40+'Grid_Incoming'!U40-'Grid_Requirement'!U40</f>
        <v/>
      </c>
      <c r="V40">
        <f>U40+'Grid_Incoming'!V40-'Grid_Requirement'!V40</f>
        <v/>
      </c>
      <c r="W40">
        <f>V40+'Grid_Incoming'!W40-'Grid_Requirement'!W40</f>
        <v/>
      </c>
      <c r="X40">
        <f>W40+'Grid_Incoming'!X40-'Grid_Requirement'!X40</f>
        <v/>
      </c>
      <c r="Y40">
        <f>X40+'Grid_Incoming'!Y40-'Grid_Requirement'!Y40</f>
        <v/>
      </c>
      <c r="Z40">
        <f>Y40+'Grid_Incoming'!Z40-'Grid_Requirement'!Z40</f>
        <v/>
      </c>
      <c r="AA40">
        <f>Z40+'Grid_Incoming'!AA40-'Grid_Requirement'!AA40</f>
        <v/>
      </c>
      <c r="AB40">
        <f>AA40+'Grid_Incoming'!AB40-'Grid_Requirement'!AB40</f>
        <v/>
      </c>
      <c r="AC40">
        <f>AB40+'Grid_Incoming'!AC40-'Grid_Requirement'!AC40</f>
        <v/>
      </c>
      <c r="AD40">
        <f>AC40+'Grid_Incoming'!AD40-'Grid_Requirement'!AD40</f>
        <v/>
      </c>
      <c r="AE40">
        <f>AD40+'Grid_Incoming'!AE40-'Grid_Requirement'!AE40</f>
        <v/>
      </c>
      <c r="AF40">
        <f>AE40+'Grid_Incoming'!AF40-'Grid_Requirement'!AF40</f>
        <v/>
      </c>
      <c r="AG40">
        <f>AF40+'Grid_Incoming'!AG40-'Grid_Requirement'!AG40</f>
        <v/>
      </c>
      <c r="AH40">
        <f>AG40+'Grid_Incoming'!AH40-'Grid_Requirement'!AH40</f>
        <v/>
      </c>
      <c r="AI40">
        <f>AH40+'Grid_Incoming'!AI40-'Grid_Requirement'!AI40</f>
        <v/>
      </c>
      <c r="AJ40">
        <f>AI40+'Grid_Incoming'!AJ40-'Grid_Requirement'!AJ40</f>
        <v/>
      </c>
      <c r="AK40">
        <f>AJ40+'Grid_Incoming'!AK40-'Grid_Requirement'!AK40</f>
        <v/>
      </c>
      <c r="AL40">
        <f>AK40+'Grid_Incoming'!AL40-'Grid_Requirement'!AL40</f>
        <v/>
      </c>
      <c r="AM40">
        <f>AL40+'Grid_Incoming'!AM40-'Grid_Requirement'!AM40</f>
        <v/>
      </c>
      <c r="AN40">
        <f>AM40+'Grid_Incoming'!AN40-'Grid_Requirement'!AN40</f>
        <v/>
      </c>
      <c r="AO40">
        <f>AN40+'Grid_Incoming'!AO40-'Grid_Requirement'!AO40</f>
        <v/>
      </c>
      <c r="AP40">
        <f>AO40+'Grid_Incoming'!AP40-'Grid_Requirement'!AP40</f>
        <v/>
      </c>
      <c r="AQ40">
        <f>AP40+'Grid_Incoming'!AQ40-'Grid_Requirement'!AQ40</f>
        <v/>
      </c>
      <c r="AR40">
        <f>AQ40+'Grid_Incoming'!AR40-'Grid_Requirement'!AR40</f>
        <v/>
      </c>
      <c r="AS40">
        <f>AR40+'Grid_Incoming'!AS40-'Grid_Requirement'!AS40</f>
        <v/>
      </c>
      <c r="AT40">
        <f>AS40+'Grid_Incoming'!AT40-'Grid_Requirement'!AT40</f>
        <v/>
      </c>
      <c r="AU40">
        <f>AT40+'Grid_Incoming'!AU40-'Grid_Requirement'!AU40</f>
        <v/>
      </c>
      <c r="AV40">
        <f>AU40+'Grid_Incoming'!AV40-'Grid_Requirement'!AV40</f>
        <v/>
      </c>
      <c r="AW40">
        <f>AV40+'Grid_Incoming'!AW40-'Grid_Requirement'!AW40</f>
        <v/>
      </c>
      <c r="AX40">
        <f>AW40+'Grid_Incoming'!AX40-'Grid_Requirement'!AX40</f>
        <v/>
      </c>
      <c r="AY40">
        <f>AX40+'Grid_Incoming'!AY40-'Grid_Requirement'!AY40</f>
        <v/>
      </c>
      <c r="AZ40">
        <f>AY40+'Grid_Incoming'!AZ40-'Grid_Requirement'!AZ40</f>
        <v/>
      </c>
      <c r="BA40">
        <f>AZ40+'Grid_Incoming'!BA40-'Grid_Requirement'!BA40</f>
        <v/>
      </c>
      <c r="BB40">
        <f>BA40+'Grid_Incoming'!BB40-'Grid_Requirement'!BB40</f>
        <v/>
      </c>
      <c r="BC40">
        <f>BB40+'Grid_Incoming'!BC40-'Grid_Requirement'!BC40</f>
        <v/>
      </c>
      <c r="BD40">
        <f>BC40+'Grid_Incoming'!BD40-'Grid_Requirement'!BD40</f>
        <v/>
      </c>
      <c r="BE40">
        <f>BD40+'Grid_Incoming'!BE40-'Grid_Requirement'!BE40</f>
        <v/>
      </c>
      <c r="BF40">
        <f>BE40+'Grid_Incoming'!BF40-'Grid_Requirement'!BF40</f>
        <v/>
      </c>
      <c r="BG40">
        <f>BF40+'Grid_Incoming'!BG40-'Grid_Requirement'!BG40</f>
        <v/>
      </c>
      <c r="BH40">
        <f>BG40+'Grid_Incoming'!BH40-'Grid_Requirement'!BH40</f>
        <v/>
      </c>
      <c r="BI40">
        <f>BH40+'Grid_Incoming'!BI40-'Grid_Requirement'!BI40</f>
        <v/>
      </c>
      <c r="BJ40">
        <f>BI40+'Grid_Incoming'!BJ40-'Grid_Requirement'!BJ40</f>
        <v/>
      </c>
      <c r="BK40">
        <f>BJ40+'Grid_Incoming'!BK40-'Grid_Requirement'!BK40</f>
        <v/>
      </c>
      <c r="BL40">
        <f>BK40+'Grid_Incoming'!BL40-'Grid_Requirement'!BL40</f>
        <v/>
      </c>
      <c r="BM40">
        <f>BL40+'Grid_Incoming'!BM40-'Grid_Requirement'!BM40</f>
        <v/>
      </c>
      <c r="BN40">
        <f>BM40+'Grid_Incoming'!BN40-'Grid_Requirement'!BN40</f>
        <v/>
      </c>
      <c r="BO40">
        <f>BN40+'Grid_Incoming'!BO40-'Grid_Requirement'!BO40</f>
        <v/>
      </c>
      <c r="BP40">
        <f>BO40+'Grid_Incoming'!BP40-'Grid_Requirement'!BP40</f>
        <v/>
      </c>
      <c r="BQ40">
        <f>BP40+'Grid_Incoming'!BQ40-'Grid_Requirement'!BQ40</f>
        <v/>
      </c>
      <c r="BR40">
        <f>BQ40+'Grid_Incoming'!BR40-'Grid_Requirement'!BR40</f>
        <v/>
      </c>
      <c r="BS40">
        <f>BR40+'Grid_Incoming'!BS40-'Grid_Requirement'!BS40</f>
        <v/>
      </c>
      <c r="BT40">
        <f>BS40+'Grid_Incoming'!BT40-'Grid_Requirement'!BT40</f>
        <v/>
      </c>
      <c r="BU40">
        <f>BT40+'Grid_Incoming'!BU40-'Grid_Requirement'!BU40</f>
        <v/>
      </c>
      <c r="BV40">
        <f>BU40+'Grid_Incoming'!BV40-'Grid_Requirement'!BV40</f>
        <v/>
      </c>
      <c r="BW40">
        <f>BV40+'Grid_Incoming'!BW40-'Grid_Requirement'!BW40</f>
        <v/>
      </c>
      <c r="BX40">
        <f>BW40+'Grid_Incoming'!BX40-'Grid_Requirement'!BX40</f>
        <v/>
      </c>
      <c r="BY40">
        <f>BX40+'Grid_Incoming'!BY40-'Grid_Requirement'!BY40</f>
        <v/>
      </c>
      <c r="BZ40">
        <f>BY40+'Grid_Incoming'!BZ40-'Grid_Requirement'!BZ40</f>
        <v/>
      </c>
      <c r="CA40">
        <f>BZ40+'Grid_Incoming'!CA40-'Grid_Requirement'!CA40</f>
        <v/>
      </c>
      <c r="CB40">
        <f>CA40+'Grid_Incoming'!CB40-'Grid_Requirement'!CB40</f>
        <v/>
      </c>
      <c r="CC40">
        <f>CB40+'Grid_Incoming'!CC40-'Grid_Requirement'!CC40</f>
        <v/>
      </c>
      <c r="CD40">
        <f>CC40+'Grid_Incoming'!CD40-'Grid_Requirement'!CD40</f>
        <v/>
      </c>
      <c r="CE40">
        <f>CD40+'Grid_Incoming'!CE40-'Grid_Requirement'!CE40</f>
        <v/>
      </c>
      <c r="CF40">
        <f>CE40+'Grid_Incoming'!CF40-'Grid_Requirement'!CF40</f>
        <v/>
      </c>
      <c r="CG40">
        <f>CF40+'Grid_Incoming'!CG40-'Grid_Requirement'!CG40</f>
        <v/>
      </c>
      <c r="CH40">
        <f>CG40+'Grid_Incoming'!CH40-'Grid_Requirement'!CH40</f>
        <v/>
      </c>
      <c r="CI40">
        <f>CH40+'Grid_Incoming'!CI40-'Grid_Requirement'!CI40</f>
        <v/>
      </c>
      <c r="CJ40">
        <f>CI40+'Grid_Incoming'!CJ40-'Grid_Requirement'!CJ40</f>
        <v/>
      </c>
      <c r="CK40">
        <f>CJ40+'Grid_Incoming'!CK40-'Grid_Requirement'!CK40</f>
        <v/>
      </c>
      <c r="CL40">
        <f>CK40+'Grid_Incoming'!CL40-'Grid_Requirement'!CL40</f>
        <v/>
      </c>
      <c r="CM40">
        <f>CL40+'Grid_Incoming'!CM40-'Grid_Requirement'!CM40</f>
        <v/>
      </c>
      <c r="CN40">
        <f>CM40+'Grid_Incoming'!CN40-'Grid_Requirement'!CN40</f>
        <v/>
      </c>
      <c r="CO40">
        <f>CN40+'Grid_Incoming'!CO40-'Grid_Requirement'!CO40</f>
        <v/>
      </c>
      <c r="CP40">
        <f>CO40+'Grid_Incoming'!CP40-'Grid_Requirement'!CP40</f>
        <v/>
      </c>
      <c r="CQ40">
        <f>CP40+'Grid_Incoming'!CQ40-'Grid_Requirement'!CQ40</f>
        <v/>
      </c>
      <c r="CR40">
        <f>CQ40+'Grid_Incoming'!CR40-'Grid_Requirement'!CR40</f>
        <v/>
      </c>
      <c r="CS40">
        <f>CR40+'Grid_Incoming'!CS40-'Grid_Requirement'!CS40</f>
        <v/>
      </c>
      <c r="CT40">
        <f>CS40+'Grid_Incoming'!CT40-'Grid_Requirement'!CT40</f>
        <v/>
      </c>
      <c r="CU40">
        <f>CT40+'Grid_Incoming'!CU40-'Grid_Requirement'!CU40</f>
        <v/>
      </c>
      <c r="CV40">
        <f>CU40+'Grid_Incoming'!CV40-'Grid_Requirement'!CV40</f>
        <v/>
      </c>
      <c r="CW40">
        <f>CV40+'Grid_Incoming'!CW40-'Grid_Requirement'!CW40</f>
        <v/>
      </c>
      <c r="CX40">
        <f>CW40+'Grid_Incoming'!CX40-'Grid_Requirement'!CX40</f>
        <v/>
      </c>
      <c r="CY40">
        <f>CX40+'Grid_Incoming'!CY40-'Grid_Requirement'!CY40</f>
        <v/>
      </c>
      <c r="CZ40">
        <f>CY40+'Grid_Incoming'!CZ40-'Grid_Requirement'!CZ40</f>
        <v/>
      </c>
      <c r="DA40">
        <f>CZ40+'Grid_Incoming'!DA40-'Grid_Requirement'!DA40</f>
        <v/>
      </c>
    </row>
    <row r="41">
      <c r="A41" t="inlineStr">
        <is>
          <t>CHEM-1730</t>
        </is>
      </c>
      <c r="B41">
        <f>IFERROR(INDEX(T_OpeningStock[Opening_Qty],MATCH($A41,T_OpeningStock[Part Name],0)),0)+'Grid_Incoming'!B41-'Grid_Requirement'!B41</f>
        <v/>
      </c>
      <c r="C41">
        <f>B41+'Grid_Incoming'!C41-'Grid_Requirement'!C41</f>
        <v/>
      </c>
      <c r="D41">
        <f>C41+'Grid_Incoming'!D41-'Grid_Requirement'!D41</f>
        <v/>
      </c>
      <c r="E41">
        <f>D41+'Grid_Incoming'!E41-'Grid_Requirement'!E41</f>
        <v/>
      </c>
      <c r="F41">
        <f>E41+'Grid_Incoming'!F41-'Grid_Requirement'!F41</f>
        <v/>
      </c>
      <c r="G41">
        <f>F41+'Grid_Incoming'!G41-'Grid_Requirement'!G41</f>
        <v/>
      </c>
      <c r="H41">
        <f>G41+'Grid_Incoming'!H41-'Grid_Requirement'!H41</f>
        <v/>
      </c>
      <c r="I41">
        <f>H41+'Grid_Incoming'!I41-'Grid_Requirement'!I41</f>
        <v/>
      </c>
      <c r="J41">
        <f>I41+'Grid_Incoming'!J41-'Grid_Requirement'!J41</f>
        <v/>
      </c>
      <c r="K41">
        <f>J41+'Grid_Incoming'!K41-'Grid_Requirement'!K41</f>
        <v/>
      </c>
      <c r="L41">
        <f>K41+'Grid_Incoming'!L41-'Grid_Requirement'!L41</f>
        <v/>
      </c>
      <c r="M41">
        <f>L41+'Grid_Incoming'!M41-'Grid_Requirement'!M41</f>
        <v/>
      </c>
      <c r="N41">
        <f>M41+'Grid_Incoming'!N41-'Grid_Requirement'!N41</f>
        <v/>
      </c>
      <c r="O41">
        <f>N41+'Grid_Incoming'!O41-'Grid_Requirement'!O41</f>
        <v/>
      </c>
      <c r="P41">
        <f>O41+'Grid_Incoming'!P41-'Grid_Requirement'!P41</f>
        <v/>
      </c>
      <c r="Q41">
        <f>P41+'Grid_Incoming'!Q41-'Grid_Requirement'!Q41</f>
        <v/>
      </c>
      <c r="R41">
        <f>Q41+'Grid_Incoming'!R41-'Grid_Requirement'!R41</f>
        <v/>
      </c>
      <c r="S41">
        <f>R41+'Grid_Incoming'!S41-'Grid_Requirement'!S41</f>
        <v/>
      </c>
      <c r="T41">
        <f>S41+'Grid_Incoming'!T41-'Grid_Requirement'!T41</f>
        <v/>
      </c>
      <c r="U41">
        <f>T41+'Grid_Incoming'!U41-'Grid_Requirement'!U41</f>
        <v/>
      </c>
      <c r="V41">
        <f>U41+'Grid_Incoming'!V41-'Grid_Requirement'!V41</f>
        <v/>
      </c>
      <c r="W41">
        <f>V41+'Grid_Incoming'!W41-'Grid_Requirement'!W41</f>
        <v/>
      </c>
      <c r="X41">
        <f>W41+'Grid_Incoming'!X41-'Grid_Requirement'!X41</f>
        <v/>
      </c>
      <c r="Y41">
        <f>X41+'Grid_Incoming'!Y41-'Grid_Requirement'!Y41</f>
        <v/>
      </c>
      <c r="Z41">
        <f>Y41+'Grid_Incoming'!Z41-'Grid_Requirement'!Z41</f>
        <v/>
      </c>
      <c r="AA41">
        <f>Z41+'Grid_Incoming'!AA41-'Grid_Requirement'!AA41</f>
        <v/>
      </c>
      <c r="AB41">
        <f>AA41+'Grid_Incoming'!AB41-'Grid_Requirement'!AB41</f>
        <v/>
      </c>
      <c r="AC41">
        <f>AB41+'Grid_Incoming'!AC41-'Grid_Requirement'!AC41</f>
        <v/>
      </c>
      <c r="AD41">
        <f>AC41+'Grid_Incoming'!AD41-'Grid_Requirement'!AD41</f>
        <v/>
      </c>
      <c r="AE41">
        <f>AD41+'Grid_Incoming'!AE41-'Grid_Requirement'!AE41</f>
        <v/>
      </c>
      <c r="AF41">
        <f>AE41+'Grid_Incoming'!AF41-'Grid_Requirement'!AF41</f>
        <v/>
      </c>
      <c r="AG41">
        <f>AF41+'Grid_Incoming'!AG41-'Grid_Requirement'!AG41</f>
        <v/>
      </c>
      <c r="AH41">
        <f>AG41+'Grid_Incoming'!AH41-'Grid_Requirement'!AH41</f>
        <v/>
      </c>
      <c r="AI41">
        <f>AH41+'Grid_Incoming'!AI41-'Grid_Requirement'!AI41</f>
        <v/>
      </c>
      <c r="AJ41">
        <f>AI41+'Grid_Incoming'!AJ41-'Grid_Requirement'!AJ41</f>
        <v/>
      </c>
      <c r="AK41">
        <f>AJ41+'Grid_Incoming'!AK41-'Grid_Requirement'!AK41</f>
        <v/>
      </c>
      <c r="AL41">
        <f>AK41+'Grid_Incoming'!AL41-'Grid_Requirement'!AL41</f>
        <v/>
      </c>
      <c r="AM41">
        <f>AL41+'Grid_Incoming'!AM41-'Grid_Requirement'!AM41</f>
        <v/>
      </c>
      <c r="AN41">
        <f>AM41+'Grid_Incoming'!AN41-'Grid_Requirement'!AN41</f>
        <v/>
      </c>
      <c r="AO41">
        <f>AN41+'Grid_Incoming'!AO41-'Grid_Requirement'!AO41</f>
        <v/>
      </c>
      <c r="AP41">
        <f>AO41+'Grid_Incoming'!AP41-'Grid_Requirement'!AP41</f>
        <v/>
      </c>
      <c r="AQ41">
        <f>AP41+'Grid_Incoming'!AQ41-'Grid_Requirement'!AQ41</f>
        <v/>
      </c>
      <c r="AR41">
        <f>AQ41+'Grid_Incoming'!AR41-'Grid_Requirement'!AR41</f>
        <v/>
      </c>
      <c r="AS41">
        <f>AR41+'Grid_Incoming'!AS41-'Grid_Requirement'!AS41</f>
        <v/>
      </c>
      <c r="AT41">
        <f>AS41+'Grid_Incoming'!AT41-'Grid_Requirement'!AT41</f>
        <v/>
      </c>
      <c r="AU41">
        <f>AT41+'Grid_Incoming'!AU41-'Grid_Requirement'!AU41</f>
        <v/>
      </c>
      <c r="AV41">
        <f>AU41+'Grid_Incoming'!AV41-'Grid_Requirement'!AV41</f>
        <v/>
      </c>
      <c r="AW41">
        <f>AV41+'Grid_Incoming'!AW41-'Grid_Requirement'!AW41</f>
        <v/>
      </c>
      <c r="AX41">
        <f>AW41+'Grid_Incoming'!AX41-'Grid_Requirement'!AX41</f>
        <v/>
      </c>
      <c r="AY41">
        <f>AX41+'Grid_Incoming'!AY41-'Grid_Requirement'!AY41</f>
        <v/>
      </c>
      <c r="AZ41">
        <f>AY41+'Grid_Incoming'!AZ41-'Grid_Requirement'!AZ41</f>
        <v/>
      </c>
      <c r="BA41">
        <f>AZ41+'Grid_Incoming'!BA41-'Grid_Requirement'!BA41</f>
        <v/>
      </c>
      <c r="BB41">
        <f>BA41+'Grid_Incoming'!BB41-'Grid_Requirement'!BB41</f>
        <v/>
      </c>
      <c r="BC41">
        <f>BB41+'Grid_Incoming'!BC41-'Grid_Requirement'!BC41</f>
        <v/>
      </c>
      <c r="BD41">
        <f>BC41+'Grid_Incoming'!BD41-'Grid_Requirement'!BD41</f>
        <v/>
      </c>
      <c r="BE41">
        <f>BD41+'Grid_Incoming'!BE41-'Grid_Requirement'!BE41</f>
        <v/>
      </c>
      <c r="BF41">
        <f>BE41+'Grid_Incoming'!BF41-'Grid_Requirement'!BF41</f>
        <v/>
      </c>
      <c r="BG41">
        <f>BF41+'Grid_Incoming'!BG41-'Grid_Requirement'!BG41</f>
        <v/>
      </c>
      <c r="BH41">
        <f>BG41+'Grid_Incoming'!BH41-'Grid_Requirement'!BH41</f>
        <v/>
      </c>
      <c r="BI41">
        <f>BH41+'Grid_Incoming'!BI41-'Grid_Requirement'!BI41</f>
        <v/>
      </c>
      <c r="BJ41">
        <f>BI41+'Grid_Incoming'!BJ41-'Grid_Requirement'!BJ41</f>
        <v/>
      </c>
      <c r="BK41">
        <f>BJ41+'Grid_Incoming'!BK41-'Grid_Requirement'!BK41</f>
        <v/>
      </c>
      <c r="BL41">
        <f>BK41+'Grid_Incoming'!BL41-'Grid_Requirement'!BL41</f>
        <v/>
      </c>
      <c r="BM41">
        <f>BL41+'Grid_Incoming'!BM41-'Grid_Requirement'!BM41</f>
        <v/>
      </c>
      <c r="BN41">
        <f>BM41+'Grid_Incoming'!BN41-'Grid_Requirement'!BN41</f>
        <v/>
      </c>
      <c r="BO41">
        <f>BN41+'Grid_Incoming'!BO41-'Grid_Requirement'!BO41</f>
        <v/>
      </c>
      <c r="BP41">
        <f>BO41+'Grid_Incoming'!BP41-'Grid_Requirement'!BP41</f>
        <v/>
      </c>
      <c r="BQ41">
        <f>BP41+'Grid_Incoming'!BQ41-'Grid_Requirement'!BQ41</f>
        <v/>
      </c>
      <c r="BR41">
        <f>BQ41+'Grid_Incoming'!BR41-'Grid_Requirement'!BR41</f>
        <v/>
      </c>
      <c r="BS41">
        <f>BR41+'Grid_Incoming'!BS41-'Grid_Requirement'!BS41</f>
        <v/>
      </c>
      <c r="BT41">
        <f>BS41+'Grid_Incoming'!BT41-'Grid_Requirement'!BT41</f>
        <v/>
      </c>
      <c r="BU41">
        <f>BT41+'Grid_Incoming'!BU41-'Grid_Requirement'!BU41</f>
        <v/>
      </c>
      <c r="BV41">
        <f>BU41+'Grid_Incoming'!BV41-'Grid_Requirement'!BV41</f>
        <v/>
      </c>
      <c r="BW41">
        <f>BV41+'Grid_Incoming'!BW41-'Grid_Requirement'!BW41</f>
        <v/>
      </c>
      <c r="BX41">
        <f>BW41+'Grid_Incoming'!BX41-'Grid_Requirement'!BX41</f>
        <v/>
      </c>
      <c r="BY41">
        <f>BX41+'Grid_Incoming'!BY41-'Grid_Requirement'!BY41</f>
        <v/>
      </c>
      <c r="BZ41">
        <f>BY41+'Grid_Incoming'!BZ41-'Grid_Requirement'!BZ41</f>
        <v/>
      </c>
      <c r="CA41">
        <f>BZ41+'Grid_Incoming'!CA41-'Grid_Requirement'!CA41</f>
        <v/>
      </c>
      <c r="CB41">
        <f>CA41+'Grid_Incoming'!CB41-'Grid_Requirement'!CB41</f>
        <v/>
      </c>
      <c r="CC41">
        <f>CB41+'Grid_Incoming'!CC41-'Grid_Requirement'!CC41</f>
        <v/>
      </c>
      <c r="CD41">
        <f>CC41+'Grid_Incoming'!CD41-'Grid_Requirement'!CD41</f>
        <v/>
      </c>
      <c r="CE41">
        <f>CD41+'Grid_Incoming'!CE41-'Grid_Requirement'!CE41</f>
        <v/>
      </c>
      <c r="CF41">
        <f>CE41+'Grid_Incoming'!CF41-'Grid_Requirement'!CF41</f>
        <v/>
      </c>
      <c r="CG41">
        <f>CF41+'Grid_Incoming'!CG41-'Grid_Requirement'!CG41</f>
        <v/>
      </c>
      <c r="CH41">
        <f>CG41+'Grid_Incoming'!CH41-'Grid_Requirement'!CH41</f>
        <v/>
      </c>
      <c r="CI41">
        <f>CH41+'Grid_Incoming'!CI41-'Grid_Requirement'!CI41</f>
        <v/>
      </c>
      <c r="CJ41">
        <f>CI41+'Grid_Incoming'!CJ41-'Grid_Requirement'!CJ41</f>
        <v/>
      </c>
      <c r="CK41">
        <f>CJ41+'Grid_Incoming'!CK41-'Grid_Requirement'!CK41</f>
        <v/>
      </c>
      <c r="CL41">
        <f>CK41+'Grid_Incoming'!CL41-'Grid_Requirement'!CL41</f>
        <v/>
      </c>
      <c r="CM41">
        <f>CL41+'Grid_Incoming'!CM41-'Grid_Requirement'!CM41</f>
        <v/>
      </c>
      <c r="CN41">
        <f>CM41+'Grid_Incoming'!CN41-'Grid_Requirement'!CN41</f>
        <v/>
      </c>
      <c r="CO41">
        <f>CN41+'Grid_Incoming'!CO41-'Grid_Requirement'!CO41</f>
        <v/>
      </c>
      <c r="CP41">
        <f>CO41+'Grid_Incoming'!CP41-'Grid_Requirement'!CP41</f>
        <v/>
      </c>
      <c r="CQ41">
        <f>CP41+'Grid_Incoming'!CQ41-'Grid_Requirement'!CQ41</f>
        <v/>
      </c>
      <c r="CR41">
        <f>CQ41+'Grid_Incoming'!CR41-'Grid_Requirement'!CR41</f>
        <v/>
      </c>
      <c r="CS41">
        <f>CR41+'Grid_Incoming'!CS41-'Grid_Requirement'!CS41</f>
        <v/>
      </c>
      <c r="CT41">
        <f>CS41+'Grid_Incoming'!CT41-'Grid_Requirement'!CT41</f>
        <v/>
      </c>
      <c r="CU41">
        <f>CT41+'Grid_Incoming'!CU41-'Grid_Requirement'!CU41</f>
        <v/>
      </c>
      <c r="CV41">
        <f>CU41+'Grid_Incoming'!CV41-'Grid_Requirement'!CV41</f>
        <v/>
      </c>
      <c r="CW41">
        <f>CV41+'Grid_Incoming'!CW41-'Grid_Requirement'!CW41</f>
        <v/>
      </c>
      <c r="CX41">
        <f>CW41+'Grid_Incoming'!CX41-'Grid_Requirement'!CX41</f>
        <v/>
      </c>
      <c r="CY41">
        <f>CX41+'Grid_Incoming'!CY41-'Grid_Requirement'!CY41</f>
        <v/>
      </c>
      <c r="CZ41">
        <f>CY41+'Grid_Incoming'!CZ41-'Grid_Requirement'!CZ41</f>
        <v/>
      </c>
      <c r="DA41">
        <f>CZ41+'Grid_Incoming'!DA41-'Grid_Requirement'!DA41</f>
        <v/>
      </c>
    </row>
    <row r="42">
      <c r="A42" t="inlineStr">
        <is>
          <t>CHEM-1280</t>
        </is>
      </c>
      <c r="B42">
        <f>IFERROR(INDEX(T_OpeningStock[Opening_Qty],MATCH($A42,T_OpeningStock[Part Name],0)),0)+'Grid_Incoming'!B42-'Grid_Requirement'!B42</f>
        <v/>
      </c>
      <c r="C42">
        <f>B42+'Grid_Incoming'!C42-'Grid_Requirement'!C42</f>
        <v/>
      </c>
      <c r="D42">
        <f>C42+'Grid_Incoming'!D42-'Grid_Requirement'!D42</f>
        <v/>
      </c>
      <c r="E42">
        <f>D42+'Grid_Incoming'!E42-'Grid_Requirement'!E42</f>
        <v/>
      </c>
      <c r="F42">
        <f>E42+'Grid_Incoming'!F42-'Grid_Requirement'!F42</f>
        <v/>
      </c>
      <c r="G42">
        <f>F42+'Grid_Incoming'!G42-'Grid_Requirement'!G42</f>
        <v/>
      </c>
      <c r="H42">
        <f>G42+'Grid_Incoming'!H42-'Grid_Requirement'!H42</f>
        <v/>
      </c>
      <c r="I42">
        <f>H42+'Grid_Incoming'!I42-'Grid_Requirement'!I42</f>
        <v/>
      </c>
      <c r="J42">
        <f>I42+'Grid_Incoming'!J42-'Grid_Requirement'!J42</f>
        <v/>
      </c>
      <c r="K42">
        <f>J42+'Grid_Incoming'!K42-'Grid_Requirement'!K42</f>
        <v/>
      </c>
      <c r="L42">
        <f>K42+'Grid_Incoming'!L42-'Grid_Requirement'!L42</f>
        <v/>
      </c>
      <c r="M42">
        <f>L42+'Grid_Incoming'!M42-'Grid_Requirement'!M42</f>
        <v/>
      </c>
      <c r="N42">
        <f>M42+'Grid_Incoming'!N42-'Grid_Requirement'!N42</f>
        <v/>
      </c>
      <c r="O42">
        <f>N42+'Grid_Incoming'!O42-'Grid_Requirement'!O42</f>
        <v/>
      </c>
      <c r="P42">
        <f>O42+'Grid_Incoming'!P42-'Grid_Requirement'!P42</f>
        <v/>
      </c>
      <c r="Q42">
        <f>P42+'Grid_Incoming'!Q42-'Grid_Requirement'!Q42</f>
        <v/>
      </c>
      <c r="R42">
        <f>Q42+'Grid_Incoming'!R42-'Grid_Requirement'!R42</f>
        <v/>
      </c>
      <c r="S42">
        <f>R42+'Grid_Incoming'!S42-'Grid_Requirement'!S42</f>
        <v/>
      </c>
      <c r="T42">
        <f>S42+'Grid_Incoming'!T42-'Grid_Requirement'!T42</f>
        <v/>
      </c>
      <c r="U42">
        <f>T42+'Grid_Incoming'!U42-'Grid_Requirement'!U42</f>
        <v/>
      </c>
      <c r="V42">
        <f>U42+'Grid_Incoming'!V42-'Grid_Requirement'!V42</f>
        <v/>
      </c>
      <c r="W42">
        <f>V42+'Grid_Incoming'!W42-'Grid_Requirement'!W42</f>
        <v/>
      </c>
      <c r="X42">
        <f>W42+'Grid_Incoming'!X42-'Grid_Requirement'!X42</f>
        <v/>
      </c>
      <c r="Y42">
        <f>X42+'Grid_Incoming'!Y42-'Grid_Requirement'!Y42</f>
        <v/>
      </c>
      <c r="Z42">
        <f>Y42+'Grid_Incoming'!Z42-'Grid_Requirement'!Z42</f>
        <v/>
      </c>
      <c r="AA42">
        <f>Z42+'Grid_Incoming'!AA42-'Grid_Requirement'!AA42</f>
        <v/>
      </c>
      <c r="AB42">
        <f>AA42+'Grid_Incoming'!AB42-'Grid_Requirement'!AB42</f>
        <v/>
      </c>
      <c r="AC42">
        <f>AB42+'Grid_Incoming'!AC42-'Grid_Requirement'!AC42</f>
        <v/>
      </c>
      <c r="AD42">
        <f>AC42+'Grid_Incoming'!AD42-'Grid_Requirement'!AD42</f>
        <v/>
      </c>
      <c r="AE42">
        <f>AD42+'Grid_Incoming'!AE42-'Grid_Requirement'!AE42</f>
        <v/>
      </c>
      <c r="AF42">
        <f>AE42+'Grid_Incoming'!AF42-'Grid_Requirement'!AF42</f>
        <v/>
      </c>
      <c r="AG42">
        <f>AF42+'Grid_Incoming'!AG42-'Grid_Requirement'!AG42</f>
        <v/>
      </c>
      <c r="AH42">
        <f>AG42+'Grid_Incoming'!AH42-'Grid_Requirement'!AH42</f>
        <v/>
      </c>
      <c r="AI42">
        <f>AH42+'Grid_Incoming'!AI42-'Grid_Requirement'!AI42</f>
        <v/>
      </c>
      <c r="AJ42">
        <f>AI42+'Grid_Incoming'!AJ42-'Grid_Requirement'!AJ42</f>
        <v/>
      </c>
      <c r="AK42">
        <f>AJ42+'Grid_Incoming'!AK42-'Grid_Requirement'!AK42</f>
        <v/>
      </c>
      <c r="AL42">
        <f>AK42+'Grid_Incoming'!AL42-'Grid_Requirement'!AL42</f>
        <v/>
      </c>
      <c r="AM42">
        <f>AL42+'Grid_Incoming'!AM42-'Grid_Requirement'!AM42</f>
        <v/>
      </c>
      <c r="AN42">
        <f>AM42+'Grid_Incoming'!AN42-'Grid_Requirement'!AN42</f>
        <v/>
      </c>
      <c r="AO42">
        <f>AN42+'Grid_Incoming'!AO42-'Grid_Requirement'!AO42</f>
        <v/>
      </c>
      <c r="AP42">
        <f>AO42+'Grid_Incoming'!AP42-'Grid_Requirement'!AP42</f>
        <v/>
      </c>
      <c r="AQ42">
        <f>AP42+'Grid_Incoming'!AQ42-'Grid_Requirement'!AQ42</f>
        <v/>
      </c>
      <c r="AR42">
        <f>AQ42+'Grid_Incoming'!AR42-'Grid_Requirement'!AR42</f>
        <v/>
      </c>
      <c r="AS42">
        <f>AR42+'Grid_Incoming'!AS42-'Grid_Requirement'!AS42</f>
        <v/>
      </c>
      <c r="AT42">
        <f>AS42+'Grid_Incoming'!AT42-'Grid_Requirement'!AT42</f>
        <v/>
      </c>
      <c r="AU42">
        <f>AT42+'Grid_Incoming'!AU42-'Grid_Requirement'!AU42</f>
        <v/>
      </c>
      <c r="AV42">
        <f>AU42+'Grid_Incoming'!AV42-'Grid_Requirement'!AV42</f>
        <v/>
      </c>
      <c r="AW42">
        <f>AV42+'Grid_Incoming'!AW42-'Grid_Requirement'!AW42</f>
        <v/>
      </c>
      <c r="AX42">
        <f>AW42+'Grid_Incoming'!AX42-'Grid_Requirement'!AX42</f>
        <v/>
      </c>
      <c r="AY42">
        <f>AX42+'Grid_Incoming'!AY42-'Grid_Requirement'!AY42</f>
        <v/>
      </c>
      <c r="AZ42">
        <f>AY42+'Grid_Incoming'!AZ42-'Grid_Requirement'!AZ42</f>
        <v/>
      </c>
      <c r="BA42">
        <f>AZ42+'Grid_Incoming'!BA42-'Grid_Requirement'!BA42</f>
        <v/>
      </c>
      <c r="BB42">
        <f>BA42+'Grid_Incoming'!BB42-'Grid_Requirement'!BB42</f>
        <v/>
      </c>
      <c r="BC42">
        <f>BB42+'Grid_Incoming'!BC42-'Grid_Requirement'!BC42</f>
        <v/>
      </c>
      <c r="BD42">
        <f>BC42+'Grid_Incoming'!BD42-'Grid_Requirement'!BD42</f>
        <v/>
      </c>
      <c r="BE42">
        <f>BD42+'Grid_Incoming'!BE42-'Grid_Requirement'!BE42</f>
        <v/>
      </c>
      <c r="BF42">
        <f>BE42+'Grid_Incoming'!BF42-'Grid_Requirement'!BF42</f>
        <v/>
      </c>
      <c r="BG42">
        <f>BF42+'Grid_Incoming'!BG42-'Grid_Requirement'!BG42</f>
        <v/>
      </c>
      <c r="BH42">
        <f>BG42+'Grid_Incoming'!BH42-'Grid_Requirement'!BH42</f>
        <v/>
      </c>
      <c r="BI42">
        <f>BH42+'Grid_Incoming'!BI42-'Grid_Requirement'!BI42</f>
        <v/>
      </c>
      <c r="BJ42">
        <f>BI42+'Grid_Incoming'!BJ42-'Grid_Requirement'!BJ42</f>
        <v/>
      </c>
      <c r="BK42">
        <f>BJ42+'Grid_Incoming'!BK42-'Grid_Requirement'!BK42</f>
        <v/>
      </c>
      <c r="BL42">
        <f>BK42+'Grid_Incoming'!BL42-'Grid_Requirement'!BL42</f>
        <v/>
      </c>
      <c r="BM42">
        <f>BL42+'Grid_Incoming'!BM42-'Grid_Requirement'!BM42</f>
        <v/>
      </c>
      <c r="BN42">
        <f>BM42+'Grid_Incoming'!BN42-'Grid_Requirement'!BN42</f>
        <v/>
      </c>
      <c r="BO42">
        <f>BN42+'Grid_Incoming'!BO42-'Grid_Requirement'!BO42</f>
        <v/>
      </c>
      <c r="BP42">
        <f>BO42+'Grid_Incoming'!BP42-'Grid_Requirement'!BP42</f>
        <v/>
      </c>
      <c r="BQ42">
        <f>BP42+'Grid_Incoming'!BQ42-'Grid_Requirement'!BQ42</f>
        <v/>
      </c>
      <c r="BR42">
        <f>BQ42+'Grid_Incoming'!BR42-'Grid_Requirement'!BR42</f>
        <v/>
      </c>
      <c r="BS42">
        <f>BR42+'Grid_Incoming'!BS42-'Grid_Requirement'!BS42</f>
        <v/>
      </c>
      <c r="BT42">
        <f>BS42+'Grid_Incoming'!BT42-'Grid_Requirement'!BT42</f>
        <v/>
      </c>
      <c r="BU42">
        <f>BT42+'Grid_Incoming'!BU42-'Grid_Requirement'!BU42</f>
        <v/>
      </c>
      <c r="BV42">
        <f>BU42+'Grid_Incoming'!BV42-'Grid_Requirement'!BV42</f>
        <v/>
      </c>
      <c r="BW42">
        <f>BV42+'Grid_Incoming'!BW42-'Grid_Requirement'!BW42</f>
        <v/>
      </c>
      <c r="BX42">
        <f>BW42+'Grid_Incoming'!BX42-'Grid_Requirement'!BX42</f>
        <v/>
      </c>
      <c r="BY42">
        <f>BX42+'Grid_Incoming'!BY42-'Grid_Requirement'!BY42</f>
        <v/>
      </c>
      <c r="BZ42">
        <f>BY42+'Grid_Incoming'!BZ42-'Grid_Requirement'!BZ42</f>
        <v/>
      </c>
      <c r="CA42">
        <f>BZ42+'Grid_Incoming'!CA42-'Grid_Requirement'!CA42</f>
        <v/>
      </c>
      <c r="CB42">
        <f>CA42+'Grid_Incoming'!CB42-'Grid_Requirement'!CB42</f>
        <v/>
      </c>
      <c r="CC42">
        <f>CB42+'Grid_Incoming'!CC42-'Grid_Requirement'!CC42</f>
        <v/>
      </c>
      <c r="CD42">
        <f>CC42+'Grid_Incoming'!CD42-'Grid_Requirement'!CD42</f>
        <v/>
      </c>
      <c r="CE42">
        <f>CD42+'Grid_Incoming'!CE42-'Grid_Requirement'!CE42</f>
        <v/>
      </c>
      <c r="CF42">
        <f>CE42+'Grid_Incoming'!CF42-'Grid_Requirement'!CF42</f>
        <v/>
      </c>
      <c r="CG42">
        <f>CF42+'Grid_Incoming'!CG42-'Grid_Requirement'!CG42</f>
        <v/>
      </c>
      <c r="CH42">
        <f>CG42+'Grid_Incoming'!CH42-'Grid_Requirement'!CH42</f>
        <v/>
      </c>
      <c r="CI42">
        <f>CH42+'Grid_Incoming'!CI42-'Grid_Requirement'!CI42</f>
        <v/>
      </c>
      <c r="CJ42">
        <f>CI42+'Grid_Incoming'!CJ42-'Grid_Requirement'!CJ42</f>
        <v/>
      </c>
      <c r="CK42">
        <f>CJ42+'Grid_Incoming'!CK42-'Grid_Requirement'!CK42</f>
        <v/>
      </c>
      <c r="CL42">
        <f>CK42+'Grid_Incoming'!CL42-'Grid_Requirement'!CL42</f>
        <v/>
      </c>
      <c r="CM42">
        <f>CL42+'Grid_Incoming'!CM42-'Grid_Requirement'!CM42</f>
        <v/>
      </c>
      <c r="CN42">
        <f>CM42+'Grid_Incoming'!CN42-'Grid_Requirement'!CN42</f>
        <v/>
      </c>
      <c r="CO42">
        <f>CN42+'Grid_Incoming'!CO42-'Grid_Requirement'!CO42</f>
        <v/>
      </c>
      <c r="CP42">
        <f>CO42+'Grid_Incoming'!CP42-'Grid_Requirement'!CP42</f>
        <v/>
      </c>
      <c r="CQ42">
        <f>CP42+'Grid_Incoming'!CQ42-'Grid_Requirement'!CQ42</f>
        <v/>
      </c>
      <c r="CR42">
        <f>CQ42+'Grid_Incoming'!CR42-'Grid_Requirement'!CR42</f>
        <v/>
      </c>
      <c r="CS42">
        <f>CR42+'Grid_Incoming'!CS42-'Grid_Requirement'!CS42</f>
        <v/>
      </c>
      <c r="CT42">
        <f>CS42+'Grid_Incoming'!CT42-'Grid_Requirement'!CT42</f>
        <v/>
      </c>
      <c r="CU42">
        <f>CT42+'Grid_Incoming'!CU42-'Grid_Requirement'!CU42</f>
        <v/>
      </c>
      <c r="CV42">
        <f>CU42+'Grid_Incoming'!CV42-'Grid_Requirement'!CV42</f>
        <v/>
      </c>
      <c r="CW42">
        <f>CV42+'Grid_Incoming'!CW42-'Grid_Requirement'!CW42</f>
        <v/>
      </c>
      <c r="CX42">
        <f>CW42+'Grid_Incoming'!CX42-'Grid_Requirement'!CX42</f>
        <v/>
      </c>
      <c r="CY42">
        <f>CX42+'Grid_Incoming'!CY42-'Grid_Requirement'!CY42</f>
        <v/>
      </c>
      <c r="CZ42">
        <f>CY42+'Grid_Incoming'!CZ42-'Grid_Requirement'!CZ42</f>
        <v/>
      </c>
      <c r="DA42">
        <f>CZ42+'Grid_Incoming'!DA42-'Grid_Requirement'!DA42</f>
        <v/>
      </c>
    </row>
    <row r="43">
      <c r="A43" t="inlineStr">
        <is>
          <t>CHEM-1570</t>
        </is>
      </c>
      <c r="B43">
        <f>IFERROR(INDEX(T_OpeningStock[Opening_Qty],MATCH($A43,T_OpeningStock[Part Name],0)),0)+'Grid_Incoming'!B43-'Grid_Requirement'!B43</f>
        <v/>
      </c>
      <c r="C43">
        <f>B43+'Grid_Incoming'!C43-'Grid_Requirement'!C43</f>
        <v/>
      </c>
      <c r="D43">
        <f>C43+'Grid_Incoming'!D43-'Grid_Requirement'!D43</f>
        <v/>
      </c>
      <c r="E43">
        <f>D43+'Grid_Incoming'!E43-'Grid_Requirement'!E43</f>
        <v/>
      </c>
      <c r="F43">
        <f>E43+'Grid_Incoming'!F43-'Grid_Requirement'!F43</f>
        <v/>
      </c>
      <c r="G43">
        <f>F43+'Grid_Incoming'!G43-'Grid_Requirement'!G43</f>
        <v/>
      </c>
      <c r="H43">
        <f>G43+'Grid_Incoming'!H43-'Grid_Requirement'!H43</f>
        <v/>
      </c>
      <c r="I43">
        <f>H43+'Grid_Incoming'!I43-'Grid_Requirement'!I43</f>
        <v/>
      </c>
      <c r="J43">
        <f>I43+'Grid_Incoming'!J43-'Grid_Requirement'!J43</f>
        <v/>
      </c>
      <c r="K43">
        <f>J43+'Grid_Incoming'!K43-'Grid_Requirement'!K43</f>
        <v/>
      </c>
      <c r="L43">
        <f>K43+'Grid_Incoming'!L43-'Grid_Requirement'!L43</f>
        <v/>
      </c>
      <c r="M43">
        <f>L43+'Grid_Incoming'!M43-'Grid_Requirement'!M43</f>
        <v/>
      </c>
      <c r="N43">
        <f>M43+'Grid_Incoming'!N43-'Grid_Requirement'!N43</f>
        <v/>
      </c>
      <c r="O43">
        <f>N43+'Grid_Incoming'!O43-'Grid_Requirement'!O43</f>
        <v/>
      </c>
      <c r="P43">
        <f>O43+'Grid_Incoming'!P43-'Grid_Requirement'!P43</f>
        <v/>
      </c>
      <c r="Q43">
        <f>P43+'Grid_Incoming'!Q43-'Grid_Requirement'!Q43</f>
        <v/>
      </c>
      <c r="R43">
        <f>Q43+'Grid_Incoming'!R43-'Grid_Requirement'!R43</f>
        <v/>
      </c>
      <c r="S43">
        <f>R43+'Grid_Incoming'!S43-'Grid_Requirement'!S43</f>
        <v/>
      </c>
      <c r="T43">
        <f>S43+'Grid_Incoming'!T43-'Grid_Requirement'!T43</f>
        <v/>
      </c>
      <c r="U43">
        <f>T43+'Grid_Incoming'!U43-'Grid_Requirement'!U43</f>
        <v/>
      </c>
      <c r="V43">
        <f>U43+'Grid_Incoming'!V43-'Grid_Requirement'!V43</f>
        <v/>
      </c>
      <c r="W43">
        <f>V43+'Grid_Incoming'!W43-'Grid_Requirement'!W43</f>
        <v/>
      </c>
      <c r="X43">
        <f>W43+'Grid_Incoming'!X43-'Grid_Requirement'!X43</f>
        <v/>
      </c>
      <c r="Y43">
        <f>X43+'Grid_Incoming'!Y43-'Grid_Requirement'!Y43</f>
        <v/>
      </c>
      <c r="Z43">
        <f>Y43+'Grid_Incoming'!Z43-'Grid_Requirement'!Z43</f>
        <v/>
      </c>
      <c r="AA43">
        <f>Z43+'Grid_Incoming'!AA43-'Grid_Requirement'!AA43</f>
        <v/>
      </c>
      <c r="AB43">
        <f>AA43+'Grid_Incoming'!AB43-'Grid_Requirement'!AB43</f>
        <v/>
      </c>
      <c r="AC43">
        <f>AB43+'Grid_Incoming'!AC43-'Grid_Requirement'!AC43</f>
        <v/>
      </c>
      <c r="AD43">
        <f>AC43+'Grid_Incoming'!AD43-'Grid_Requirement'!AD43</f>
        <v/>
      </c>
      <c r="AE43">
        <f>AD43+'Grid_Incoming'!AE43-'Grid_Requirement'!AE43</f>
        <v/>
      </c>
      <c r="AF43">
        <f>AE43+'Grid_Incoming'!AF43-'Grid_Requirement'!AF43</f>
        <v/>
      </c>
      <c r="AG43">
        <f>AF43+'Grid_Incoming'!AG43-'Grid_Requirement'!AG43</f>
        <v/>
      </c>
      <c r="AH43">
        <f>AG43+'Grid_Incoming'!AH43-'Grid_Requirement'!AH43</f>
        <v/>
      </c>
      <c r="AI43">
        <f>AH43+'Grid_Incoming'!AI43-'Grid_Requirement'!AI43</f>
        <v/>
      </c>
      <c r="AJ43">
        <f>AI43+'Grid_Incoming'!AJ43-'Grid_Requirement'!AJ43</f>
        <v/>
      </c>
      <c r="AK43">
        <f>AJ43+'Grid_Incoming'!AK43-'Grid_Requirement'!AK43</f>
        <v/>
      </c>
      <c r="AL43">
        <f>AK43+'Grid_Incoming'!AL43-'Grid_Requirement'!AL43</f>
        <v/>
      </c>
      <c r="AM43">
        <f>AL43+'Grid_Incoming'!AM43-'Grid_Requirement'!AM43</f>
        <v/>
      </c>
      <c r="AN43">
        <f>AM43+'Grid_Incoming'!AN43-'Grid_Requirement'!AN43</f>
        <v/>
      </c>
      <c r="AO43">
        <f>AN43+'Grid_Incoming'!AO43-'Grid_Requirement'!AO43</f>
        <v/>
      </c>
      <c r="AP43">
        <f>AO43+'Grid_Incoming'!AP43-'Grid_Requirement'!AP43</f>
        <v/>
      </c>
      <c r="AQ43">
        <f>AP43+'Grid_Incoming'!AQ43-'Grid_Requirement'!AQ43</f>
        <v/>
      </c>
      <c r="AR43">
        <f>AQ43+'Grid_Incoming'!AR43-'Grid_Requirement'!AR43</f>
        <v/>
      </c>
      <c r="AS43">
        <f>AR43+'Grid_Incoming'!AS43-'Grid_Requirement'!AS43</f>
        <v/>
      </c>
      <c r="AT43">
        <f>AS43+'Grid_Incoming'!AT43-'Grid_Requirement'!AT43</f>
        <v/>
      </c>
      <c r="AU43">
        <f>AT43+'Grid_Incoming'!AU43-'Grid_Requirement'!AU43</f>
        <v/>
      </c>
      <c r="AV43">
        <f>AU43+'Grid_Incoming'!AV43-'Grid_Requirement'!AV43</f>
        <v/>
      </c>
      <c r="AW43">
        <f>AV43+'Grid_Incoming'!AW43-'Grid_Requirement'!AW43</f>
        <v/>
      </c>
      <c r="AX43">
        <f>AW43+'Grid_Incoming'!AX43-'Grid_Requirement'!AX43</f>
        <v/>
      </c>
      <c r="AY43">
        <f>AX43+'Grid_Incoming'!AY43-'Grid_Requirement'!AY43</f>
        <v/>
      </c>
      <c r="AZ43">
        <f>AY43+'Grid_Incoming'!AZ43-'Grid_Requirement'!AZ43</f>
        <v/>
      </c>
      <c r="BA43">
        <f>AZ43+'Grid_Incoming'!BA43-'Grid_Requirement'!BA43</f>
        <v/>
      </c>
      <c r="BB43">
        <f>BA43+'Grid_Incoming'!BB43-'Grid_Requirement'!BB43</f>
        <v/>
      </c>
      <c r="BC43">
        <f>BB43+'Grid_Incoming'!BC43-'Grid_Requirement'!BC43</f>
        <v/>
      </c>
      <c r="BD43">
        <f>BC43+'Grid_Incoming'!BD43-'Grid_Requirement'!BD43</f>
        <v/>
      </c>
      <c r="BE43">
        <f>BD43+'Grid_Incoming'!BE43-'Grid_Requirement'!BE43</f>
        <v/>
      </c>
      <c r="BF43">
        <f>BE43+'Grid_Incoming'!BF43-'Grid_Requirement'!BF43</f>
        <v/>
      </c>
      <c r="BG43">
        <f>BF43+'Grid_Incoming'!BG43-'Grid_Requirement'!BG43</f>
        <v/>
      </c>
      <c r="BH43">
        <f>BG43+'Grid_Incoming'!BH43-'Grid_Requirement'!BH43</f>
        <v/>
      </c>
      <c r="BI43">
        <f>BH43+'Grid_Incoming'!BI43-'Grid_Requirement'!BI43</f>
        <v/>
      </c>
      <c r="BJ43">
        <f>BI43+'Grid_Incoming'!BJ43-'Grid_Requirement'!BJ43</f>
        <v/>
      </c>
      <c r="BK43">
        <f>BJ43+'Grid_Incoming'!BK43-'Grid_Requirement'!BK43</f>
        <v/>
      </c>
      <c r="BL43">
        <f>BK43+'Grid_Incoming'!BL43-'Grid_Requirement'!BL43</f>
        <v/>
      </c>
      <c r="BM43">
        <f>BL43+'Grid_Incoming'!BM43-'Grid_Requirement'!BM43</f>
        <v/>
      </c>
      <c r="BN43">
        <f>BM43+'Grid_Incoming'!BN43-'Grid_Requirement'!BN43</f>
        <v/>
      </c>
      <c r="BO43">
        <f>BN43+'Grid_Incoming'!BO43-'Grid_Requirement'!BO43</f>
        <v/>
      </c>
      <c r="BP43">
        <f>BO43+'Grid_Incoming'!BP43-'Grid_Requirement'!BP43</f>
        <v/>
      </c>
      <c r="BQ43">
        <f>BP43+'Grid_Incoming'!BQ43-'Grid_Requirement'!BQ43</f>
        <v/>
      </c>
      <c r="BR43">
        <f>BQ43+'Grid_Incoming'!BR43-'Grid_Requirement'!BR43</f>
        <v/>
      </c>
      <c r="BS43">
        <f>BR43+'Grid_Incoming'!BS43-'Grid_Requirement'!BS43</f>
        <v/>
      </c>
      <c r="BT43">
        <f>BS43+'Grid_Incoming'!BT43-'Grid_Requirement'!BT43</f>
        <v/>
      </c>
      <c r="BU43">
        <f>BT43+'Grid_Incoming'!BU43-'Grid_Requirement'!BU43</f>
        <v/>
      </c>
      <c r="BV43">
        <f>BU43+'Grid_Incoming'!BV43-'Grid_Requirement'!BV43</f>
        <v/>
      </c>
      <c r="BW43">
        <f>BV43+'Grid_Incoming'!BW43-'Grid_Requirement'!BW43</f>
        <v/>
      </c>
      <c r="BX43">
        <f>BW43+'Grid_Incoming'!BX43-'Grid_Requirement'!BX43</f>
        <v/>
      </c>
      <c r="BY43">
        <f>BX43+'Grid_Incoming'!BY43-'Grid_Requirement'!BY43</f>
        <v/>
      </c>
      <c r="BZ43">
        <f>BY43+'Grid_Incoming'!BZ43-'Grid_Requirement'!BZ43</f>
        <v/>
      </c>
      <c r="CA43">
        <f>BZ43+'Grid_Incoming'!CA43-'Grid_Requirement'!CA43</f>
        <v/>
      </c>
      <c r="CB43">
        <f>CA43+'Grid_Incoming'!CB43-'Grid_Requirement'!CB43</f>
        <v/>
      </c>
      <c r="CC43">
        <f>CB43+'Grid_Incoming'!CC43-'Grid_Requirement'!CC43</f>
        <v/>
      </c>
      <c r="CD43">
        <f>CC43+'Grid_Incoming'!CD43-'Grid_Requirement'!CD43</f>
        <v/>
      </c>
      <c r="CE43">
        <f>CD43+'Grid_Incoming'!CE43-'Grid_Requirement'!CE43</f>
        <v/>
      </c>
      <c r="CF43">
        <f>CE43+'Grid_Incoming'!CF43-'Grid_Requirement'!CF43</f>
        <v/>
      </c>
      <c r="CG43">
        <f>CF43+'Grid_Incoming'!CG43-'Grid_Requirement'!CG43</f>
        <v/>
      </c>
      <c r="CH43">
        <f>CG43+'Grid_Incoming'!CH43-'Grid_Requirement'!CH43</f>
        <v/>
      </c>
      <c r="CI43">
        <f>CH43+'Grid_Incoming'!CI43-'Grid_Requirement'!CI43</f>
        <v/>
      </c>
      <c r="CJ43">
        <f>CI43+'Grid_Incoming'!CJ43-'Grid_Requirement'!CJ43</f>
        <v/>
      </c>
      <c r="CK43">
        <f>CJ43+'Grid_Incoming'!CK43-'Grid_Requirement'!CK43</f>
        <v/>
      </c>
      <c r="CL43">
        <f>CK43+'Grid_Incoming'!CL43-'Grid_Requirement'!CL43</f>
        <v/>
      </c>
      <c r="CM43">
        <f>CL43+'Grid_Incoming'!CM43-'Grid_Requirement'!CM43</f>
        <v/>
      </c>
      <c r="CN43">
        <f>CM43+'Grid_Incoming'!CN43-'Grid_Requirement'!CN43</f>
        <v/>
      </c>
      <c r="CO43">
        <f>CN43+'Grid_Incoming'!CO43-'Grid_Requirement'!CO43</f>
        <v/>
      </c>
      <c r="CP43">
        <f>CO43+'Grid_Incoming'!CP43-'Grid_Requirement'!CP43</f>
        <v/>
      </c>
      <c r="CQ43">
        <f>CP43+'Grid_Incoming'!CQ43-'Grid_Requirement'!CQ43</f>
        <v/>
      </c>
      <c r="CR43">
        <f>CQ43+'Grid_Incoming'!CR43-'Grid_Requirement'!CR43</f>
        <v/>
      </c>
      <c r="CS43">
        <f>CR43+'Grid_Incoming'!CS43-'Grid_Requirement'!CS43</f>
        <v/>
      </c>
      <c r="CT43">
        <f>CS43+'Grid_Incoming'!CT43-'Grid_Requirement'!CT43</f>
        <v/>
      </c>
      <c r="CU43">
        <f>CT43+'Grid_Incoming'!CU43-'Grid_Requirement'!CU43</f>
        <v/>
      </c>
      <c r="CV43">
        <f>CU43+'Grid_Incoming'!CV43-'Grid_Requirement'!CV43</f>
        <v/>
      </c>
      <c r="CW43">
        <f>CV43+'Grid_Incoming'!CW43-'Grid_Requirement'!CW43</f>
        <v/>
      </c>
      <c r="CX43">
        <f>CW43+'Grid_Incoming'!CX43-'Grid_Requirement'!CX43</f>
        <v/>
      </c>
      <c r="CY43">
        <f>CX43+'Grid_Incoming'!CY43-'Grid_Requirement'!CY43</f>
        <v/>
      </c>
      <c r="CZ43">
        <f>CY43+'Grid_Incoming'!CZ43-'Grid_Requirement'!CZ43</f>
        <v/>
      </c>
      <c r="DA43">
        <f>CZ43+'Grid_Incoming'!DA43-'Grid_Requirement'!DA43</f>
        <v/>
      </c>
    </row>
    <row r="44">
      <c r="A44" t="inlineStr">
        <is>
          <t>CHEM-1450</t>
        </is>
      </c>
      <c r="B44">
        <f>IFERROR(INDEX(T_OpeningStock[Opening_Qty],MATCH($A44,T_OpeningStock[Part Name],0)),0)+'Grid_Incoming'!B44-'Grid_Requirement'!B44</f>
        <v/>
      </c>
      <c r="C44">
        <f>B44+'Grid_Incoming'!C44-'Grid_Requirement'!C44</f>
        <v/>
      </c>
      <c r="D44">
        <f>C44+'Grid_Incoming'!D44-'Grid_Requirement'!D44</f>
        <v/>
      </c>
      <c r="E44">
        <f>D44+'Grid_Incoming'!E44-'Grid_Requirement'!E44</f>
        <v/>
      </c>
      <c r="F44">
        <f>E44+'Grid_Incoming'!F44-'Grid_Requirement'!F44</f>
        <v/>
      </c>
      <c r="G44">
        <f>F44+'Grid_Incoming'!G44-'Grid_Requirement'!G44</f>
        <v/>
      </c>
      <c r="H44">
        <f>G44+'Grid_Incoming'!H44-'Grid_Requirement'!H44</f>
        <v/>
      </c>
      <c r="I44">
        <f>H44+'Grid_Incoming'!I44-'Grid_Requirement'!I44</f>
        <v/>
      </c>
      <c r="J44">
        <f>I44+'Grid_Incoming'!J44-'Grid_Requirement'!J44</f>
        <v/>
      </c>
      <c r="K44">
        <f>J44+'Grid_Incoming'!K44-'Grid_Requirement'!K44</f>
        <v/>
      </c>
      <c r="L44">
        <f>K44+'Grid_Incoming'!L44-'Grid_Requirement'!L44</f>
        <v/>
      </c>
      <c r="M44">
        <f>L44+'Grid_Incoming'!M44-'Grid_Requirement'!M44</f>
        <v/>
      </c>
      <c r="N44">
        <f>M44+'Grid_Incoming'!N44-'Grid_Requirement'!N44</f>
        <v/>
      </c>
      <c r="O44">
        <f>N44+'Grid_Incoming'!O44-'Grid_Requirement'!O44</f>
        <v/>
      </c>
      <c r="P44">
        <f>O44+'Grid_Incoming'!P44-'Grid_Requirement'!P44</f>
        <v/>
      </c>
      <c r="Q44">
        <f>P44+'Grid_Incoming'!Q44-'Grid_Requirement'!Q44</f>
        <v/>
      </c>
      <c r="R44">
        <f>Q44+'Grid_Incoming'!R44-'Grid_Requirement'!R44</f>
        <v/>
      </c>
      <c r="S44">
        <f>R44+'Grid_Incoming'!S44-'Grid_Requirement'!S44</f>
        <v/>
      </c>
      <c r="T44">
        <f>S44+'Grid_Incoming'!T44-'Grid_Requirement'!T44</f>
        <v/>
      </c>
      <c r="U44">
        <f>T44+'Grid_Incoming'!U44-'Grid_Requirement'!U44</f>
        <v/>
      </c>
      <c r="V44">
        <f>U44+'Grid_Incoming'!V44-'Grid_Requirement'!V44</f>
        <v/>
      </c>
      <c r="W44">
        <f>V44+'Grid_Incoming'!W44-'Grid_Requirement'!W44</f>
        <v/>
      </c>
      <c r="X44">
        <f>W44+'Grid_Incoming'!X44-'Grid_Requirement'!X44</f>
        <v/>
      </c>
      <c r="Y44">
        <f>X44+'Grid_Incoming'!Y44-'Grid_Requirement'!Y44</f>
        <v/>
      </c>
      <c r="Z44">
        <f>Y44+'Grid_Incoming'!Z44-'Grid_Requirement'!Z44</f>
        <v/>
      </c>
      <c r="AA44">
        <f>Z44+'Grid_Incoming'!AA44-'Grid_Requirement'!AA44</f>
        <v/>
      </c>
      <c r="AB44">
        <f>AA44+'Grid_Incoming'!AB44-'Grid_Requirement'!AB44</f>
        <v/>
      </c>
      <c r="AC44">
        <f>AB44+'Grid_Incoming'!AC44-'Grid_Requirement'!AC44</f>
        <v/>
      </c>
      <c r="AD44">
        <f>AC44+'Grid_Incoming'!AD44-'Grid_Requirement'!AD44</f>
        <v/>
      </c>
      <c r="AE44">
        <f>AD44+'Grid_Incoming'!AE44-'Grid_Requirement'!AE44</f>
        <v/>
      </c>
      <c r="AF44">
        <f>AE44+'Grid_Incoming'!AF44-'Grid_Requirement'!AF44</f>
        <v/>
      </c>
      <c r="AG44">
        <f>AF44+'Grid_Incoming'!AG44-'Grid_Requirement'!AG44</f>
        <v/>
      </c>
      <c r="AH44">
        <f>AG44+'Grid_Incoming'!AH44-'Grid_Requirement'!AH44</f>
        <v/>
      </c>
      <c r="AI44">
        <f>AH44+'Grid_Incoming'!AI44-'Grid_Requirement'!AI44</f>
        <v/>
      </c>
      <c r="AJ44">
        <f>AI44+'Grid_Incoming'!AJ44-'Grid_Requirement'!AJ44</f>
        <v/>
      </c>
      <c r="AK44">
        <f>AJ44+'Grid_Incoming'!AK44-'Grid_Requirement'!AK44</f>
        <v/>
      </c>
      <c r="AL44">
        <f>AK44+'Grid_Incoming'!AL44-'Grid_Requirement'!AL44</f>
        <v/>
      </c>
      <c r="AM44">
        <f>AL44+'Grid_Incoming'!AM44-'Grid_Requirement'!AM44</f>
        <v/>
      </c>
      <c r="AN44">
        <f>AM44+'Grid_Incoming'!AN44-'Grid_Requirement'!AN44</f>
        <v/>
      </c>
      <c r="AO44">
        <f>AN44+'Grid_Incoming'!AO44-'Grid_Requirement'!AO44</f>
        <v/>
      </c>
      <c r="AP44">
        <f>AO44+'Grid_Incoming'!AP44-'Grid_Requirement'!AP44</f>
        <v/>
      </c>
      <c r="AQ44">
        <f>AP44+'Grid_Incoming'!AQ44-'Grid_Requirement'!AQ44</f>
        <v/>
      </c>
      <c r="AR44">
        <f>AQ44+'Grid_Incoming'!AR44-'Grid_Requirement'!AR44</f>
        <v/>
      </c>
      <c r="AS44">
        <f>AR44+'Grid_Incoming'!AS44-'Grid_Requirement'!AS44</f>
        <v/>
      </c>
      <c r="AT44">
        <f>AS44+'Grid_Incoming'!AT44-'Grid_Requirement'!AT44</f>
        <v/>
      </c>
      <c r="AU44">
        <f>AT44+'Grid_Incoming'!AU44-'Grid_Requirement'!AU44</f>
        <v/>
      </c>
      <c r="AV44">
        <f>AU44+'Grid_Incoming'!AV44-'Grid_Requirement'!AV44</f>
        <v/>
      </c>
      <c r="AW44">
        <f>AV44+'Grid_Incoming'!AW44-'Grid_Requirement'!AW44</f>
        <v/>
      </c>
      <c r="AX44">
        <f>AW44+'Grid_Incoming'!AX44-'Grid_Requirement'!AX44</f>
        <v/>
      </c>
      <c r="AY44">
        <f>AX44+'Grid_Incoming'!AY44-'Grid_Requirement'!AY44</f>
        <v/>
      </c>
      <c r="AZ44">
        <f>AY44+'Grid_Incoming'!AZ44-'Grid_Requirement'!AZ44</f>
        <v/>
      </c>
      <c r="BA44">
        <f>AZ44+'Grid_Incoming'!BA44-'Grid_Requirement'!BA44</f>
        <v/>
      </c>
      <c r="BB44">
        <f>BA44+'Grid_Incoming'!BB44-'Grid_Requirement'!BB44</f>
        <v/>
      </c>
      <c r="BC44">
        <f>BB44+'Grid_Incoming'!BC44-'Grid_Requirement'!BC44</f>
        <v/>
      </c>
      <c r="BD44">
        <f>BC44+'Grid_Incoming'!BD44-'Grid_Requirement'!BD44</f>
        <v/>
      </c>
      <c r="BE44">
        <f>BD44+'Grid_Incoming'!BE44-'Grid_Requirement'!BE44</f>
        <v/>
      </c>
      <c r="BF44">
        <f>BE44+'Grid_Incoming'!BF44-'Grid_Requirement'!BF44</f>
        <v/>
      </c>
      <c r="BG44">
        <f>BF44+'Grid_Incoming'!BG44-'Grid_Requirement'!BG44</f>
        <v/>
      </c>
      <c r="BH44">
        <f>BG44+'Grid_Incoming'!BH44-'Grid_Requirement'!BH44</f>
        <v/>
      </c>
      <c r="BI44">
        <f>BH44+'Grid_Incoming'!BI44-'Grid_Requirement'!BI44</f>
        <v/>
      </c>
      <c r="BJ44">
        <f>BI44+'Grid_Incoming'!BJ44-'Grid_Requirement'!BJ44</f>
        <v/>
      </c>
      <c r="BK44">
        <f>BJ44+'Grid_Incoming'!BK44-'Grid_Requirement'!BK44</f>
        <v/>
      </c>
      <c r="BL44">
        <f>BK44+'Grid_Incoming'!BL44-'Grid_Requirement'!BL44</f>
        <v/>
      </c>
      <c r="BM44">
        <f>BL44+'Grid_Incoming'!BM44-'Grid_Requirement'!BM44</f>
        <v/>
      </c>
      <c r="BN44">
        <f>BM44+'Grid_Incoming'!BN44-'Grid_Requirement'!BN44</f>
        <v/>
      </c>
      <c r="BO44">
        <f>BN44+'Grid_Incoming'!BO44-'Grid_Requirement'!BO44</f>
        <v/>
      </c>
      <c r="BP44">
        <f>BO44+'Grid_Incoming'!BP44-'Grid_Requirement'!BP44</f>
        <v/>
      </c>
      <c r="BQ44">
        <f>BP44+'Grid_Incoming'!BQ44-'Grid_Requirement'!BQ44</f>
        <v/>
      </c>
      <c r="BR44">
        <f>BQ44+'Grid_Incoming'!BR44-'Grid_Requirement'!BR44</f>
        <v/>
      </c>
      <c r="BS44">
        <f>BR44+'Grid_Incoming'!BS44-'Grid_Requirement'!BS44</f>
        <v/>
      </c>
      <c r="BT44">
        <f>BS44+'Grid_Incoming'!BT44-'Grid_Requirement'!BT44</f>
        <v/>
      </c>
      <c r="BU44">
        <f>BT44+'Grid_Incoming'!BU44-'Grid_Requirement'!BU44</f>
        <v/>
      </c>
      <c r="BV44">
        <f>BU44+'Grid_Incoming'!BV44-'Grid_Requirement'!BV44</f>
        <v/>
      </c>
      <c r="BW44">
        <f>BV44+'Grid_Incoming'!BW44-'Grid_Requirement'!BW44</f>
        <v/>
      </c>
      <c r="BX44">
        <f>BW44+'Grid_Incoming'!BX44-'Grid_Requirement'!BX44</f>
        <v/>
      </c>
      <c r="BY44">
        <f>BX44+'Grid_Incoming'!BY44-'Grid_Requirement'!BY44</f>
        <v/>
      </c>
      <c r="BZ44">
        <f>BY44+'Grid_Incoming'!BZ44-'Grid_Requirement'!BZ44</f>
        <v/>
      </c>
      <c r="CA44">
        <f>BZ44+'Grid_Incoming'!CA44-'Grid_Requirement'!CA44</f>
        <v/>
      </c>
      <c r="CB44">
        <f>CA44+'Grid_Incoming'!CB44-'Grid_Requirement'!CB44</f>
        <v/>
      </c>
      <c r="CC44">
        <f>CB44+'Grid_Incoming'!CC44-'Grid_Requirement'!CC44</f>
        <v/>
      </c>
      <c r="CD44">
        <f>CC44+'Grid_Incoming'!CD44-'Grid_Requirement'!CD44</f>
        <v/>
      </c>
      <c r="CE44">
        <f>CD44+'Grid_Incoming'!CE44-'Grid_Requirement'!CE44</f>
        <v/>
      </c>
      <c r="CF44">
        <f>CE44+'Grid_Incoming'!CF44-'Grid_Requirement'!CF44</f>
        <v/>
      </c>
      <c r="CG44">
        <f>CF44+'Grid_Incoming'!CG44-'Grid_Requirement'!CG44</f>
        <v/>
      </c>
      <c r="CH44">
        <f>CG44+'Grid_Incoming'!CH44-'Grid_Requirement'!CH44</f>
        <v/>
      </c>
      <c r="CI44">
        <f>CH44+'Grid_Incoming'!CI44-'Grid_Requirement'!CI44</f>
        <v/>
      </c>
      <c r="CJ44">
        <f>CI44+'Grid_Incoming'!CJ44-'Grid_Requirement'!CJ44</f>
        <v/>
      </c>
      <c r="CK44">
        <f>CJ44+'Grid_Incoming'!CK44-'Grid_Requirement'!CK44</f>
        <v/>
      </c>
      <c r="CL44">
        <f>CK44+'Grid_Incoming'!CL44-'Grid_Requirement'!CL44</f>
        <v/>
      </c>
      <c r="CM44">
        <f>CL44+'Grid_Incoming'!CM44-'Grid_Requirement'!CM44</f>
        <v/>
      </c>
      <c r="CN44">
        <f>CM44+'Grid_Incoming'!CN44-'Grid_Requirement'!CN44</f>
        <v/>
      </c>
      <c r="CO44">
        <f>CN44+'Grid_Incoming'!CO44-'Grid_Requirement'!CO44</f>
        <v/>
      </c>
      <c r="CP44">
        <f>CO44+'Grid_Incoming'!CP44-'Grid_Requirement'!CP44</f>
        <v/>
      </c>
      <c r="CQ44">
        <f>CP44+'Grid_Incoming'!CQ44-'Grid_Requirement'!CQ44</f>
        <v/>
      </c>
      <c r="CR44">
        <f>CQ44+'Grid_Incoming'!CR44-'Grid_Requirement'!CR44</f>
        <v/>
      </c>
      <c r="CS44">
        <f>CR44+'Grid_Incoming'!CS44-'Grid_Requirement'!CS44</f>
        <v/>
      </c>
      <c r="CT44">
        <f>CS44+'Grid_Incoming'!CT44-'Grid_Requirement'!CT44</f>
        <v/>
      </c>
      <c r="CU44">
        <f>CT44+'Grid_Incoming'!CU44-'Grid_Requirement'!CU44</f>
        <v/>
      </c>
      <c r="CV44">
        <f>CU44+'Grid_Incoming'!CV44-'Grid_Requirement'!CV44</f>
        <v/>
      </c>
      <c r="CW44">
        <f>CV44+'Grid_Incoming'!CW44-'Grid_Requirement'!CW44</f>
        <v/>
      </c>
      <c r="CX44">
        <f>CW44+'Grid_Incoming'!CX44-'Grid_Requirement'!CX44</f>
        <v/>
      </c>
      <c r="CY44">
        <f>CX44+'Grid_Incoming'!CY44-'Grid_Requirement'!CY44</f>
        <v/>
      </c>
      <c r="CZ44">
        <f>CY44+'Grid_Incoming'!CZ44-'Grid_Requirement'!CZ44</f>
        <v/>
      </c>
      <c r="DA44">
        <f>CZ44+'Grid_Incoming'!DA44-'Grid_Requirement'!DA44</f>
        <v/>
      </c>
    </row>
    <row r="45">
      <c r="A45" t="inlineStr">
        <is>
          <t>CHEM-1770</t>
        </is>
      </c>
      <c r="B45">
        <f>IFERROR(INDEX(T_OpeningStock[Opening_Qty],MATCH($A45,T_OpeningStock[Part Name],0)),0)+'Grid_Incoming'!B45-'Grid_Requirement'!B45</f>
        <v/>
      </c>
      <c r="C45">
        <f>B45+'Grid_Incoming'!C45-'Grid_Requirement'!C45</f>
        <v/>
      </c>
      <c r="D45">
        <f>C45+'Grid_Incoming'!D45-'Grid_Requirement'!D45</f>
        <v/>
      </c>
      <c r="E45">
        <f>D45+'Grid_Incoming'!E45-'Grid_Requirement'!E45</f>
        <v/>
      </c>
      <c r="F45">
        <f>E45+'Grid_Incoming'!F45-'Grid_Requirement'!F45</f>
        <v/>
      </c>
      <c r="G45">
        <f>F45+'Grid_Incoming'!G45-'Grid_Requirement'!G45</f>
        <v/>
      </c>
      <c r="H45">
        <f>G45+'Grid_Incoming'!H45-'Grid_Requirement'!H45</f>
        <v/>
      </c>
      <c r="I45">
        <f>H45+'Grid_Incoming'!I45-'Grid_Requirement'!I45</f>
        <v/>
      </c>
      <c r="J45">
        <f>I45+'Grid_Incoming'!J45-'Grid_Requirement'!J45</f>
        <v/>
      </c>
      <c r="K45">
        <f>J45+'Grid_Incoming'!K45-'Grid_Requirement'!K45</f>
        <v/>
      </c>
      <c r="L45">
        <f>K45+'Grid_Incoming'!L45-'Grid_Requirement'!L45</f>
        <v/>
      </c>
      <c r="M45">
        <f>L45+'Grid_Incoming'!M45-'Grid_Requirement'!M45</f>
        <v/>
      </c>
      <c r="N45">
        <f>M45+'Grid_Incoming'!N45-'Grid_Requirement'!N45</f>
        <v/>
      </c>
      <c r="O45">
        <f>N45+'Grid_Incoming'!O45-'Grid_Requirement'!O45</f>
        <v/>
      </c>
      <c r="P45">
        <f>O45+'Grid_Incoming'!P45-'Grid_Requirement'!P45</f>
        <v/>
      </c>
      <c r="Q45">
        <f>P45+'Grid_Incoming'!Q45-'Grid_Requirement'!Q45</f>
        <v/>
      </c>
      <c r="R45">
        <f>Q45+'Grid_Incoming'!R45-'Grid_Requirement'!R45</f>
        <v/>
      </c>
      <c r="S45">
        <f>R45+'Grid_Incoming'!S45-'Grid_Requirement'!S45</f>
        <v/>
      </c>
      <c r="T45">
        <f>S45+'Grid_Incoming'!T45-'Grid_Requirement'!T45</f>
        <v/>
      </c>
      <c r="U45">
        <f>T45+'Grid_Incoming'!U45-'Grid_Requirement'!U45</f>
        <v/>
      </c>
      <c r="V45">
        <f>U45+'Grid_Incoming'!V45-'Grid_Requirement'!V45</f>
        <v/>
      </c>
      <c r="W45">
        <f>V45+'Grid_Incoming'!W45-'Grid_Requirement'!W45</f>
        <v/>
      </c>
      <c r="X45">
        <f>W45+'Grid_Incoming'!X45-'Grid_Requirement'!X45</f>
        <v/>
      </c>
      <c r="Y45">
        <f>X45+'Grid_Incoming'!Y45-'Grid_Requirement'!Y45</f>
        <v/>
      </c>
      <c r="Z45">
        <f>Y45+'Grid_Incoming'!Z45-'Grid_Requirement'!Z45</f>
        <v/>
      </c>
      <c r="AA45">
        <f>Z45+'Grid_Incoming'!AA45-'Grid_Requirement'!AA45</f>
        <v/>
      </c>
      <c r="AB45">
        <f>AA45+'Grid_Incoming'!AB45-'Grid_Requirement'!AB45</f>
        <v/>
      </c>
      <c r="AC45">
        <f>AB45+'Grid_Incoming'!AC45-'Grid_Requirement'!AC45</f>
        <v/>
      </c>
      <c r="AD45">
        <f>AC45+'Grid_Incoming'!AD45-'Grid_Requirement'!AD45</f>
        <v/>
      </c>
      <c r="AE45">
        <f>AD45+'Grid_Incoming'!AE45-'Grid_Requirement'!AE45</f>
        <v/>
      </c>
      <c r="AF45">
        <f>AE45+'Grid_Incoming'!AF45-'Grid_Requirement'!AF45</f>
        <v/>
      </c>
      <c r="AG45">
        <f>AF45+'Grid_Incoming'!AG45-'Grid_Requirement'!AG45</f>
        <v/>
      </c>
      <c r="AH45">
        <f>AG45+'Grid_Incoming'!AH45-'Grid_Requirement'!AH45</f>
        <v/>
      </c>
      <c r="AI45">
        <f>AH45+'Grid_Incoming'!AI45-'Grid_Requirement'!AI45</f>
        <v/>
      </c>
      <c r="AJ45">
        <f>AI45+'Grid_Incoming'!AJ45-'Grid_Requirement'!AJ45</f>
        <v/>
      </c>
      <c r="AK45">
        <f>AJ45+'Grid_Incoming'!AK45-'Grid_Requirement'!AK45</f>
        <v/>
      </c>
      <c r="AL45">
        <f>AK45+'Grid_Incoming'!AL45-'Grid_Requirement'!AL45</f>
        <v/>
      </c>
      <c r="AM45">
        <f>AL45+'Grid_Incoming'!AM45-'Grid_Requirement'!AM45</f>
        <v/>
      </c>
      <c r="AN45">
        <f>AM45+'Grid_Incoming'!AN45-'Grid_Requirement'!AN45</f>
        <v/>
      </c>
      <c r="AO45">
        <f>AN45+'Grid_Incoming'!AO45-'Grid_Requirement'!AO45</f>
        <v/>
      </c>
      <c r="AP45">
        <f>AO45+'Grid_Incoming'!AP45-'Grid_Requirement'!AP45</f>
        <v/>
      </c>
      <c r="AQ45">
        <f>AP45+'Grid_Incoming'!AQ45-'Grid_Requirement'!AQ45</f>
        <v/>
      </c>
      <c r="AR45">
        <f>AQ45+'Grid_Incoming'!AR45-'Grid_Requirement'!AR45</f>
        <v/>
      </c>
      <c r="AS45">
        <f>AR45+'Grid_Incoming'!AS45-'Grid_Requirement'!AS45</f>
        <v/>
      </c>
      <c r="AT45">
        <f>AS45+'Grid_Incoming'!AT45-'Grid_Requirement'!AT45</f>
        <v/>
      </c>
      <c r="AU45">
        <f>AT45+'Grid_Incoming'!AU45-'Grid_Requirement'!AU45</f>
        <v/>
      </c>
      <c r="AV45">
        <f>AU45+'Grid_Incoming'!AV45-'Grid_Requirement'!AV45</f>
        <v/>
      </c>
      <c r="AW45">
        <f>AV45+'Grid_Incoming'!AW45-'Grid_Requirement'!AW45</f>
        <v/>
      </c>
      <c r="AX45">
        <f>AW45+'Grid_Incoming'!AX45-'Grid_Requirement'!AX45</f>
        <v/>
      </c>
      <c r="AY45">
        <f>AX45+'Grid_Incoming'!AY45-'Grid_Requirement'!AY45</f>
        <v/>
      </c>
      <c r="AZ45">
        <f>AY45+'Grid_Incoming'!AZ45-'Grid_Requirement'!AZ45</f>
        <v/>
      </c>
      <c r="BA45">
        <f>AZ45+'Grid_Incoming'!BA45-'Grid_Requirement'!BA45</f>
        <v/>
      </c>
      <c r="BB45">
        <f>BA45+'Grid_Incoming'!BB45-'Grid_Requirement'!BB45</f>
        <v/>
      </c>
      <c r="BC45">
        <f>BB45+'Grid_Incoming'!BC45-'Grid_Requirement'!BC45</f>
        <v/>
      </c>
      <c r="BD45">
        <f>BC45+'Grid_Incoming'!BD45-'Grid_Requirement'!BD45</f>
        <v/>
      </c>
      <c r="BE45">
        <f>BD45+'Grid_Incoming'!BE45-'Grid_Requirement'!BE45</f>
        <v/>
      </c>
      <c r="BF45">
        <f>BE45+'Grid_Incoming'!BF45-'Grid_Requirement'!BF45</f>
        <v/>
      </c>
      <c r="BG45">
        <f>BF45+'Grid_Incoming'!BG45-'Grid_Requirement'!BG45</f>
        <v/>
      </c>
      <c r="BH45">
        <f>BG45+'Grid_Incoming'!BH45-'Grid_Requirement'!BH45</f>
        <v/>
      </c>
      <c r="BI45">
        <f>BH45+'Grid_Incoming'!BI45-'Grid_Requirement'!BI45</f>
        <v/>
      </c>
      <c r="BJ45">
        <f>BI45+'Grid_Incoming'!BJ45-'Grid_Requirement'!BJ45</f>
        <v/>
      </c>
      <c r="BK45">
        <f>BJ45+'Grid_Incoming'!BK45-'Grid_Requirement'!BK45</f>
        <v/>
      </c>
      <c r="BL45">
        <f>BK45+'Grid_Incoming'!BL45-'Grid_Requirement'!BL45</f>
        <v/>
      </c>
      <c r="BM45">
        <f>BL45+'Grid_Incoming'!BM45-'Grid_Requirement'!BM45</f>
        <v/>
      </c>
      <c r="BN45">
        <f>BM45+'Grid_Incoming'!BN45-'Grid_Requirement'!BN45</f>
        <v/>
      </c>
      <c r="BO45">
        <f>BN45+'Grid_Incoming'!BO45-'Grid_Requirement'!BO45</f>
        <v/>
      </c>
      <c r="BP45">
        <f>BO45+'Grid_Incoming'!BP45-'Grid_Requirement'!BP45</f>
        <v/>
      </c>
      <c r="BQ45">
        <f>BP45+'Grid_Incoming'!BQ45-'Grid_Requirement'!BQ45</f>
        <v/>
      </c>
      <c r="BR45">
        <f>BQ45+'Grid_Incoming'!BR45-'Grid_Requirement'!BR45</f>
        <v/>
      </c>
      <c r="BS45">
        <f>BR45+'Grid_Incoming'!BS45-'Grid_Requirement'!BS45</f>
        <v/>
      </c>
      <c r="BT45">
        <f>BS45+'Grid_Incoming'!BT45-'Grid_Requirement'!BT45</f>
        <v/>
      </c>
      <c r="BU45">
        <f>BT45+'Grid_Incoming'!BU45-'Grid_Requirement'!BU45</f>
        <v/>
      </c>
      <c r="BV45">
        <f>BU45+'Grid_Incoming'!BV45-'Grid_Requirement'!BV45</f>
        <v/>
      </c>
      <c r="BW45">
        <f>BV45+'Grid_Incoming'!BW45-'Grid_Requirement'!BW45</f>
        <v/>
      </c>
      <c r="BX45">
        <f>BW45+'Grid_Incoming'!BX45-'Grid_Requirement'!BX45</f>
        <v/>
      </c>
      <c r="BY45">
        <f>BX45+'Grid_Incoming'!BY45-'Grid_Requirement'!BY45</f>
        <v/>
      </c>
      <c r="BZ45">
        <f>BY45+'Grid_Incoming'!BZ45-'Grid_Requirement'!BZ45</f>
        <v/>
      </c>
      <c r="CA45">
        <f>BZ45+'Grid_Incoming'!CA45-'Grid_Requirement'!CA45</f>
        <v/>
      </c>
      <c r="CB45">
        <f>CA45+'Grid_Incoming'!CB45-'Grid_Requirement'!CB45</f>
        <v/>
      </c>
      <c r="CC45">
        <f>CB45+'Grid_Incoming'!CC45-'Grid_Requirement'!CC45</f>
        <v/>
      </c>
      <c r="CD45">
        <f>CC45+'Grid_Incoming'!CD45-'Grid_Requirement'!CD45</f>
        <v/>
      </c>
      <c r="CE45">
        <f>CD45+'Grid_Incoming'!CE45-'Grid_Requirement'!CE45</f>
        <v/>
      </c>
      <c r="CF45">
        <f>CE45+'Grid_Incoming'!CF45-'Grid_Requirement'!CF45</f>
        <v/>
      </c>
      <c r="CG45">
        <f>CF45+'Grid_Incoming'!CG45-'Grid_Requirement'!CG45</f>
        <v/>
      </c>
      <c r="CH45">
        <f>CG45+'Grid_Incoming'!CH45-'Grid_Requirement'!CH45</f>
        <v/>
      </c>
      <c r="CI45">
        <f>CH45+'Grid_Incoming'!CI45-'Grid_Requirement'!CI45</f>
        <v/>
      </c>
      <c r="CJ45">
        <f>CI45+'Grid_Incoming'!CJ45-'Grid_Requirement'!CJ45</f>
        <v/>
      </c>
      <c r="CK45">
        <f>CJ45+'Grid_Incoming'!CK45-'Grid_Requirement'!CK45</f>
        <v/>
      </c>
      <c r="CL45">
        <f>CK45+'Grid_Incoming'!CL45-'Grid_Requirement'!CL45</f>
        <v/>
      </c>
      <c r="CM45">
        <f>CL45+'Grid_Incoming'!CM45-'Grid_Requirement'!CM45</f>
        <v/>
      </c>
      <c r="CN45">
        <f>CM45+'Grid_Incoming'!CN45-'Grid_Requirement'!CN45</f>
        <v/>
      </c>
      <c r="CO45">
        <f>CN45+'Grid_Incoming'!CO45-'Grid_Requirement'!CO45</f>
        <v/>
      </c>
      <c r="CP45">
        <f>CO45+'Grid_Incoming'!CP45-'Grid_Requirement'!CP45</f>
        <v/>
      </c>
      <c r="CQ45">
        <f>CP45+'Grid_Incoming'!CQ45-'Grid_Requirement'!CQ45</f>
        <v/>
      </c>
      <c r="CR45">
        <f>CQ45+'Grid_Incoming'!CR45-'Grid_Requirement'!CR45</f>
        <v/>
      </c>
      <c r="CS45">
        <f>CR45+'Grid_Incoming'!CS45-'Grid_Requirement'!CS45</f>
        <v/>
      </c>
      <c r="CT45">
        <f>CS45+'Grid_Incoming'!CT45-'Grid_Requirement'!CT45</f>
        <v/>
      </c>
      <c r="CU45">
        <f>CT45+'Grid_Incoming'!CU45-'Grid_Requirement'!CU45</f>
        <v/>
      </c>
      <c r="CV45">
        <f>CU45+'Grid_Incoming'!CV45-'Grid_Requirement'!CV45</f>
        <v/>
      </c>
      <c r="CW45">
        <f>CV45+'Grid_Incoming'!CW45-'Grid_Requirement'!CW45</f>
        <v/>
      </c>
      <c r="CX45">
        <f>CW45+'Grid_Incoming'!CX45-'Grid_Requirement'!CX45</f>
        <v/>
      </c>
      <c r="CY45">
        <f>CX45+'Grid_Incoming'!CY45-'Grid_Requirement'!CY45</f>
        <v/>
      </c>
      <c r="CZ45">
        <f>CY45+'Grid_Incoming'!CZ45-'Grid_Requirement'!CZ45</f>
        <v/>
      </c>
      <c r="DA45">
        <f>CZ45+'Grid_Incoming'!DA45-'Grid_Requirement'!DA45</f>
        <v/>
      </c>
    </row>
    <row r="46">
      <c r="A46" t="inlineStr">
        <is>
          <t>CHEM-1430</t>
        </is>
      </c>
      <c r="B46">
        <f>IFERROR(INDEX(T_OpeningStock[Opening_Qty],MATCH($A46,T_OpeningStock[Part Name],0)),0)+'Grid_Incoming'!B46-'Grid_Requirement'!B46</f>
        <v/>
      </c>
      <c r="C46">
        <f>B46+'Grid_Incoming'!C46-'Grid_Requirement'!C46</f>
        <v/>
      </c>
      <c r="D46">
        <f>C46+'Grid_Incoming'!D46-'Grid_Requirement'!D46</f>
        <v/>
      </c>
      <c r="E46">
        <f>D46+'Grid_Incoming'!E46-'Grid_Requirement'!E46</f>
        <v/>
      </c>
      <c r="F46">
        <f>E46+'Grid_Incoming'!F46-'Grid_Requirement'!F46</f>
        <v/>
      </c>
      <c r="G46">
        <f>F46+'Grid_Incoming'!G46-'Grid_Requirement'!G46</f>
        <v/>
      </c>
      <c r="H46">
        <f>G46+'Grid_Incoming'!H46-'Grid_Requirement'!H46</f>
        <v/>
      </c>
      <c r="I46">
        <f>H46+'Grid_Incoming'!I46-'Grid_Requirement'!I46</f>
        <v/>
      </c>
      <c r="J46">
        <f>I46+'Grid_Incoming'!J46-'Grid_Requirement'!J46</f>
        <v/>
      </c>
      <c r="K46">
        <f>J46+'Grid_Incoming'!K46-'Grid_Requirement'!K46</f>
        <v/>
      </c>
      <c r="L46">
        <f>K46+'Grid_Incoming'!L46-'Grid_Requirement'!L46</f>
        <v/>
      </c>
      <c r="M46">
        <f>L46+'Grid_Incoming'!M46-'Grid_Requirement'!M46</f>
        <v/>
      </c>
      <c r="N46">
        <f>M46+'Grid_Incoming'!N46-'Grid_Requirement'!N46</f>
        <v/>
      </c>
      <c r="O46">
        <f>N46+'Grid_Incoming'!O46-'Grid_Requirement'!O46</f>
        <v/>
      </c>
      <c r="P46">
        <f>O46+'Grid_Incoming'!P46-'Grid_Requirement'!P46</f>
        <v/>
      </c>
      <c r="Q46">
        <f>P46+'Grid_Incoming'!Q46-'Grid_Requirement'!Q46</f>
        <v/>
      </c>
      <c r="R46">
        <f>Q46+'Grid_Incoming'!R46-'Grid_Requirement'!R46</f>
        <v/>
      </c>
      <c r="S46">
        <f>R46+'Grid_Incoming'!S46-'Grid_Requirement'!S46</f>
        <v/>
      </c>
      <c r="T46">
        <f>S46+'Grid_Incoming'!T46-'Grid_Requirement'!T46</f>
        <v/>
      </c>
      <c r="U46">
        <f>T46+'Grid_Incoming'!U46-'Grid_Requirement'!U46</f>
        <v/>
      </c>
      <c r="V46">
        <f>U46+'Grid_Incoming'!V46-'Grid_Requirement'!V46</f>
        <v/>
      </c>
      <c r="W46">
        <f>V46+'Grid_Incoming'!W46-'Grid_Requirement'!W46</f>
        <v/>
      </c>
      <c r="X46">
        <f>W46+'Grid_Incoming'!X46-'Grid_Requirement'!X46</f>
        <v/>
      </c>
      <c r="Y46">
        <f>X46+'Grid_Incoming'!Y46-'Grid_Requirement'!Y46</f>
        <v/>
      </c>
      <c r="Z46">
        <f>Y46+'Grid_Incoming'!Z46-'Grid_Requirement'!Z46</f>
        <v/>
      </c>
      <c r="AA46">
        <f>Z46+'Grid_Incoming'!AA46-'Grid_Requirement'!AA46</f>
        <v/>
      </c>
      <c r="AB46">
        <f>AA46+'Grid_Incoming'!AB46-'Grid_Requirement'!AB46</f>
        <v/>
      </c>
      <c r="AC46">
        <f>AB46+'Grid_Incoming'!AC46-'Grid_Requirement'!AC46</f>
        <v/>
      </c>
      <c r="AD46">
        <f>AC46+'Grid_Incoming'!AD46-'Grid_Requirement'!AD46</f>
        <v/>
      </c>
      <c r="AE46">
        <f>AD46+'Grid_Incoming'!AE46-'Grid_Requirement'!AE46</f>
        <v/>
      </c>
      <c r="AF46">
        <f>AE46+'Grid_Incoming'!AF46-'Grid_Requirement'!AF46</f>
        <v/>
      </c>
      <c r="AG46">
        <f>AF46+'Grid_Incoming'!AG46-'Grid_Requirement'!AG46</f>
        <v/>
      </c>
      <c r="AH46">
        <f>AG46+'Grid_Incoming'!AH46-'Grid_Requirement'!AH46</f>
        <v/>
      </c>
      <c r="AI46">
        <f>AH46+'Grid_Incoming'!AI46-'Grid_Requirement'!AI46</f>
        <v/>
      </c>
      <c r="AJ46">
        <f>AI46+'Grid_Incoming'!AJ46-'Grid_Requirement'!AJ46</f>
        <v/>
      </c>
      <c r="AK46">
        <f>AJ46+'Grid_Incoming'!AK46-'Grid_Requirement'!AK46</f>
        <v/>
      </c>
      <c r="AL46">
        <f>AK46+'Grid_Incoming'!AL46-'Grid_Requirement'!AL46</f>
        <v/>
      </c>
      <c r="AM46">
        <f>AL46+'Grid_Incoming'!AM46-'Grid_Requirement'!AM46</f>
        <v/>
      </c>
      <c r="AN46">
        <f>AM46+'Grid_Incoming'!AN46-'Grid_Requirement'!AN46</f>
        <v/>
      </c>
      <c r="AO46">
        <f>AN46+'Grid_Incoming'!AO46-'Grid_Requirement'!AO46</f>
        <v/>
      </c>
      <c r="AP46">
        <f>AO46+'Grid_Incoming'!AP46-'Grid_Requirement'!AP46</f>
        <v/>
      </c>
      <c r="AQ46">
        <f>AP46+'Grid_Incoming'!AQ46-'Grid_Requirement'!AQ46</f>
        <v/>
      </c>
      <c r="AR46">
        <f>AQ46+'Grid_Incoming'!AR46-'Grid_Requirement'!AR46</f>
        <v/>
      </c>
      <c r="AS46">
        <f>AR46+'Grid_Incoming'!AS46-'Grid_Requirement'!AS46</f>
        <v/>
      </c>
      <c r="AT46">
        <f>AS46+'Grid_Incoming'!AT46-'Grid_Requirement'!AT46</f>
        <v/>
      </c>
      <c r="AU46">
        <f>AT46+'Grid_Incoming'!AU46-'Grid_Requirement'!AU46</f>
        <v/>
      </c>
      <c r="AV46">
        <f>AU46+'Grid_Incoming'!AV46-'Grid_Requirement'!AV46</f>
        <v/>
      </c>
      <c r="AW46">
        <f>AV46+'Grid_Incoming'!AW46-'Grid_Requirement'!AW46</f>
        <v/>
      </c>
      <c r="AX46">
        <f>AW46+'Grid_Incoming'!AX46-'Grid_Requirement'!AX46</f>
        <v/>
      </c>
      <c r="AY46">
        <f>AX46+'Grid_Incoming'!AY46-'Grid_Requirement'!AY46</f>
        <v/>
      </c>
      <c r="AZ46">
        <f>AY46+'Grid_Incoming'!AZ46-'Grid_Requirement'!AZ46</f>
        <v/>
      </c>
      <c r="BA46">
        <f>AZ46+'Grid_Incoming'!BA46-'Grid_Requirement'!BA46</f>
        <v/>
      </c>
      <c r="BB46">
        <f>BA46+'Grid_Incoming'!BB46-'Grid_Requirement'!BB46</f>
        <v/>
      </c>
      <c r="BC46">
        <f>BB46+'Grid_Incoming'!BC46-'Grid_Requirement'!BC46</f>
        <v/>
      </c>
      <c r="BD46">
        <f>BC46+'Grid_Incoming'!BD46-'Grid_Requirement'!BD46</f>
        <v/>
      </c>
      <c r="BE46">
        <f>BD46+'Grid_Incoming'!BE46-'Grid_Requirement'!BE46</f>
        <v/>
      </c>
      <c r="BF46">
        <f>BE46+'Grid_Incoming'!BF46-'Grid_Requirement'!BF46</f>
        <v/>
      </c>
      <c r="BG46">
        <f>BF46+'Grid_Incoming'!BG46-'Grid_Requirement'!BG46</f>
        <v/>
      </c>
      <c r="BH46">
        <f>BG46+'Grid_Incoming'!BH46-'Grid_Requirement'!BH46</f>
        <v/>
      </c>
      <c r="BI46">
        <f>BH46+'Grid_Incoming'!BI46-'Grid_Requirement'!BI46</f>
        <v/>
      </c>
      <c r="BJ46">
        <f>BI46+'Grid_Incoming'!BJ46-'Grid_Requirement'!BJ46</f>
        <v/>
      </c>
      <c r="BK46">
        <f>BJ46+'Grid_Incoming'!BK46-'Grid_Requirement'!BK46</f>
        <v/>
      </c>
      <c r="BL46">
        <f>BK46+'Grid_Incoming'!BL46-'Grid_Requirement'!BL46</f>
        <v/>
      </c>
      <c r="BM46">
        <f>BL46+'Grid_Incoming'!BM46-'Grid_Requirement'!BM46</f>
        <v/>
      </c>
      <c r="BN46">
        <f>BM46+'Grid_Incoming'!BN46-'Grid_Requirement'!BN46</f>
        <v/>
      </c>
      <c r="BO46">
        <f>BN46+'Grid_Incoming'!BO46-'Grid_Requirement'!BO46</f>
        <v/>
      </c>
      <c r="BP46">
        <f>BO46+'Grid_Incoming'!BP46-'Grid_Requirement'!BP46</f>
        <v/>
      </c>
      <c r="BQ46">
        <f>BP46+'Grid_Incoming'!BQ46-'Grid_Requirement'!BQ46</f>
        <v/>
      </c>
      <c r="BR46">
        <f>BQ46+'Grid_Incoming'!BR46-'Grid_Requirement'!BR46</f>
        <v/>
      </c>
      <c r="BS46">
        <f>BR46+'Grid_Incoming'!BS46-'Grid_Requirement'!BS46</f>
        <v/>
      </c>
      <c r="BT46">
        <f>BS46+'Grid_Incoming'!BT46-'Grid_Requirement'!BT46</f>
        <v/>
      </c>
      <c r="BU46">
        <f>BT46+'Grid_Incoming'!BU46-'Grid_Requirement'!BU46</f>
        <v/>
      </c>
      <c r="BV46">
        <f>BU46+'Grid_Incoming'!BV46-'Grid_Requirement'!BV46</f>
        <v/>
      </c>
      <c r="BW46">
        <f>BV46+'Grid_Incoming'!BW46-'Grid_Requirement'!BW46</f>
        <v/>
      </c>
      <c r="BX46">
        <f>BW46+'Grid_Incoming'!BX46-'Grid_Requirement'!BX46</f>
        <v/>
      </c>
      <c r="BY46">
        <f>BX46+'Grid_Incoming'!BY46-'Grid_Requirement'!BY46</f>
        <v/>
      </c>
      <c r="BZ46">
        <f>BY46+'Grid_Incoming'!BZ46-'Grid_Requirement'!BZ46</f>
        <v/>
      </c>
      <c r="CA46">
        <f>BZ46+'Grid_Incoming'!CA46-'Grid_Requirement'!CA46</f>
        <v/>
      </c>
      <c r="CB46">
        <f>CA46+'Grid_Incoming'!CB46-'Grid_Requirement'!CB46</f>
        <v/>
      </c>
      <c r="CC46">
        <f>CB46+'Grid_Incoming'!CC46-'Grid_Requirement'!CC46</f>
        <v/>
      </c>
      <c r="CD46">
        <f>CC46+'Grid_Incoming'!CD46-'Grid_Requirement'!CD46</f>
        <v/>
      </c>
      <c r="CE46">
        <f>CD46+'Grid_Incoming'!CE46-'Grid_Requirement'!CE46</f>
        <v/>
      </c>
      <c r="CF46">
        <f>CE46+'Grid_Incoming'!CF46-'Grid_Requirement'!CF46</f>
        <v/>
      </c>
      <c r="CG46">
        <f>CF46+'Grid_Incoming'!CG46-'Grid_Requirement'!CG46</f>
        <v/>
      </c>
      <c r="CH46">
        <f>CG46+'Grid_Incoming'!CH46-'Grid_Requirement'!CH46</f>
        <v/>
      </c>
      <c r="CI46">
        <f>CH46+'Grid_Incoming'!CI46-'Grid_Requirement'!CI46</f>
        <v/>
      </c>
      <c r="CJ46">
        <f>CI46+'Grid_Incoming'!CJ46-'Grid_Requirement'!CJ46</f>
        <v/>
      </c>
      <c r="CK46">
        <f>CJ46+'Grid_Incoming'!CK46-'Grid_Requirement'!CK46</f>
        <v/>
      </c>
      <c r="CL46">
        <f>CK46+'Grid_Incoming'!CL46-'Grid_Requirement'!CL46</f>
        <v/>
      </c>
      <c r="CM46">
        <f>CL46+'Grid_Incoming'!CM46-'Grid_Requirement'!CM46</f>
        <v/>
      </c>
      <c r="CN46">
        <f>CM46+'Grid_Incoming'!CN46-'Grid_Requirement'!CN46</f>
        <v/>
      </c>
      <c r="CO46">
        <f>CN46+'Grid_Incoming'!CO46-'Grid_Requirement'!CO46</f>
        <v/>
      </c>
      <c r="CP46">
        <f>CO46+'Grid_Incoming'!CP46-'Grid_Requirement'!CP46</f>
        <v/>
      </c>
      <c r="CQ46">
        <f>CP46+'Grid_Incoming'!CQ46-'Grid_Requirement'!CQ46</f>
        <v/>
      </c>
      <c r="CR46">
        <f>CQ46+'Grid_Incoming'!CR46-'Grid_Requirement'!CR46</f>
        <v/>
      </c>
      <c r="CS46">
        <f>CR46+'Grid_Incoming'!CS46-'Grid_Requirement'!CS46</f>
        <v/>
      </c>
      <c r="CT46">
        <f>CS46+'Grid_Incoming'!CT46-'Grid_Requirement'!CT46</f>
        <v/>
      </c>
      <c r="CU46">
        <f>CT46+'Grid_Incoming'!CU46-'Grid_Requirement'!CU46</f>
        <v/>
      </c>
      <c r="CV46">
        <f>CU46+'Grid_Incoming'!CV46-'Grid_Requirement'!CV46</f>
        <v/>
      </c>
      <c r="CW46">
        <f>CV46+'Grid_Incoming'!CW46-'Grid_Requirement'!CW46</f>
        <v/>
      </c>
      <c r="CX46">
        <f>CW46+'Grid_Incoming'!CX46-'Grid_Requirement'!CX46</f>
        <v/>
      </c>
      <c r="CY46">
        <f>CX46+'Grid_Incoming'!CY46-'Grid_Requirement'!CY46</f>
        <v/>
      </c>
      <c r="CZ46">
        <f>CY46+'Grid_Incoming'!CZ46-'Grid_Requirement'!CZ46</f>
        <v/>
      </c>
      <c r="DA46">
        <f>CZ46+'Grid_Incoming'!DA46-'Grid_Requirement'!DA46</f>
        <v/>
      </c>
    </row>
    <row r="47">
      <c r="A47" t="inlineStr">
        <is>
          <t>CHEM-1470</t>
        </is>
      </c>
      <c r="B47">
        <f>IFERROR(INDEX(T_OpeningStock[Opening_Qty],MATCH($A47,T_OpeningStock[Part Name],0)),0)+'Grid_Incoming'!B47-'Grid_Requirement'!B47</f>
        <v/>
      </c>
      <c r="C47">
        <f>B47+'Grid_Incoming'!C47-'Grid_Requirement'!C47</f>
        <v/>
      </c>
      <c r="D47">
        <f>C47+'Grid_Incoming'!D47-'Grid_Requirement'!D47</f>
        <v/>
      </c>
      <c r="E47">
        <f>D47+'Grid_Incoming'!E47-'Grid_Requirement'!E47</f>
        <v/>
      </c>
      <c r="F47">
        <f>E47+'Grid_Incoming'!F47-'Grid_Requirement'!F47</f>
        <v/>
      </c>
      <c r="G47">
        <f>F47+'Grid_Incoming'!G47-'Grid_Requirement'!G47</f>
        <v/>
      </c>
      <c r="H47">
        <f>G47+'Grid_Incoming'!H47-'Grid_Requirement'!H47</f>
        <v/>
      </c>
      <c r="I47">
        <f>H47+'Grid_Incoming'!I47-'Grid_Requirement'!I47</f>
        <v/>
      </c>
      <c r="J47">
        <f>I47+'Grid_Incoming'!J47-'Grid_Requirement'!J47</f>
        <v/>
      </c>
      <c r="K47">
        <f>J47+'Grid_Incoming'!K47-'Grid_Requirement'!K47</f>
        <v/>
      </c>
      <c r="L47">
        <f>K47+'Grid_Incoming'!L47-'Grid_Requirement'!L47</f>
        <v/>
      </c>
      <c r="M47">
        <f>L47+'Grid_Incoming'!M47-'Grid_Requirement'!M47</f>
        <v/>
      </c>
      <c r="N47">
        <f>M47+'Grid_Incoming'!N47-'Grid_Requirement'!N47</f>
        <v/>
      </c>
      <c r="O47">
        <f>N47+'Grid_Incoming'!O47-'Grid_Requirement'!O47</f>
        <v/>
      </c>
      <c r="P47">
        <f>O47+'Grid_Incoming'!P47-'Grid_Requirement'!P47</f>
        <v/>
      </c>
      <c r="Q47">
        <f>P47+'Grid_Incoming'!Q47-'Grid_Requirement'!Q47</f>
        <v/>
      </c>
      <c r="R47">
        <f>Q47+'Grid_Incoming'!R47-'Grid_Requirement'!R47</f>
        <v/>
      </c>
      <c r="S47">
        <f>R47+'Grid_Incoming'!S47-'Grid_Requirement'!S47</f>
        <v/>
      </c>
      <c r="T47">
        <f>S47+'Grid_Incoming'!T47-'Grid_Requirement'!T47</f>
        <v/>
      </c>
      <c r="U47">
        <f>T47+'Grid_Incoming'!U47-'Grid_Requirement'!U47</f>
        <v/>
      </c>
      <c r="V47">
        <f>U47+'Grid_Incoming'!V47-'Grid_Requirement'!V47</f>
        <v/>
      </c>
      <c r="W47">
        <f>V47+'Grid_Incoming'!W47-'Grid_Requirement'!W47</f>
        <v/>
      </c>
      <c r="X47">
        <f>W47+'Grid_Incoming'!X47-'Grid_Requirement'!X47</f>
        <v/>
      </c>
      <c r="Y47">
        <f>X47+'Grid_Incoming'!Y47-'Grid_Requirement'!Y47</f>
        <v/>
      </c>
      <c r="Z47">
        <f>Y47+'Grid_Incoming'!Z47-'Grid_Requirement'!Z47</f>
        <v/>
      </c>
      <c r="AA47">
        <f>Z47+'Grid_Incoming'!AA47-'Grid_Requirement'!AA47</f>
        <v/>
      </c>
      <c r="AB47">
        <f>AA47+'Grid_Incoming'!AB47-'Grid_Requirement'!AB47</f>
        <v/>
      </c>
      <c r="AC47">
        <f>AB47+'Grid_Incoming'!AC47-'Grid_Requirement'!AC47</f>
        <v/>
      </c>
      <c r="AD47">
        <f>AC47+'Grid_Incoming'!AD47-'Grid_Requirement'!AD47</f>
        <v/>
      </c>
      <c r="AE47">
        <f>AD47+'Grid_Incoming'!AE47-'Grid_Requirement'!AE47</f>
        <v/>
      </c>
      <c r="AF47">
        <f>AE47+'Grid_Incoming'!AF47-'Grid_Requirement'!AF47</f>
        <v/>
      </c>
      <c r="AG47">
        <f>AF47+'Grid_Incoming'!AG47-'Grid_Requirement'!AG47</f>
        <v/>
      </c>
      <c r="AH47">
        <f>AG47+'Grid_Incoming'!AH47-'Grid_Requirement'!AH47</f>
        <v/>
      </c>
      <c r="AI47">
        <f>AH47+'Grid_Incoming'!AI47-'Grid_Requirement'!AI47</f>
        <v/>
      </c>
      <c r="AJ47">
        <f>AI47+'Grid_Incoming'!AJ47-'Grid_Requirement'!AJ47</f>
        <v/>
      </c>
      <c r="AK47">
        <f>AJ47+'Grid_Incoming'!AK47-'Grid_Requirement'!AK47</f>
        <v/>
      </c>
      <c r="AL47">
        <f>AK47+'Grid_Incoming'!AL47-'Grid_Requirement'!AL47</f>
        <v/>
      </c>
      <c r="AM47">
        <f>AL47+'Grid_Incoming'!AM47-'Grid_Requirement'!AM47</f>
        <v/>
      </c>
      <c r="AN47">
        <f>AM47+'Grid_Incoming'!AN47-'Grid_Requirement'!AN47</f>
        <v/>
      </c>
      <c r="AO47">
        <f>AN47+'Grid_Incoming'!AO47-'Grid_Requirement'!AO47</f>
        <v/>
      </c>
      <c r="AP47">
        <f>AO47+'Grid_Incoming'!AP47-'Grid_Requirement'!AP47</f>
        <v/>
      </c>
      <c r="AQ47">
        <f>AP47+'Grid_Incoming'!AQ47-'Grid_Requirement'!AQ47</f>
        <v/>
      </c>
      <c r="AR47">
        <f>AQ47+'Grid_Incoming'!AR47-'Grid_Requirement'!AR47</f>
        <v/>
      </c>
      <c r="AS47">
        <f>AR47+'Grid_Incoming'!AS47-'Grid_Requirement'!AS47</f>
        <v/>
      </c>
      <c r="AT47">
        <f>AS47+'Grid_Incoming'!AT47-'Grid_Requirement'!AT47</f>
        <v/>
      </c>
      <c r="AU47">
        <f>AT47+'Grid_Incoming'!AU47-'Grid_Requirement'!AU47</f>
        <v/>
      </c>
      <c r="AV47">
        <f>AU47+'Grid_Incoming'!AV47-'Grid_Requirement'!AV47</f>
        <v/>
      </c>
      <c r="AW47">
        <f>AV47+'Grid_Incoming'!AW47-'Grid_Requirement'!AW47</f>
        <v/>
      </c>
      <c r="AX47">
        <f>AW47+'Grid_Incoming'!AX47-'Grid_Requirement'!AX47</f>
        <v/>
      </c>
      <c r="AY47">
        <f>AX47+'Grid_Incoming'!AY47-'Grid_Requirement'!AY47</f>
        <v/>
      </c>
      <c r="AZ47">
        <f>AY47+'Grid_Incoming'!AZ47-'Grid_Requirement'!AZ47</f>
        <v/>
      </c>
      <c r="BA47">
        <f>AZ47+'Grid_Incoming'!BA47-'Grid_Requirement'!BA47</f>
        <v/>
      </c>
      <c r="BB47">
        <f>BA47+'Grid_Incoming'!BB47-'Grid_Requirement'!BB47</f>
        <v/>
      </c>
      <c r="BC47">
        <f>BB47+'Grid_Incoming'!BC47-'Grid_Requirement'!BC47</f>
        <v/>
      </c>
      <c r="BD47">
        <f>BC47+'Grid_Incoming'!BD47-'Grid_Requirement'!BD47</f>
        <v/>
      </c>
      <c r="BE47">
        <f>BD47+'Grid_Incoming'!BE47-'Grid_Requirement'!BE47</f>
        <v/>
      </c>
      <c r="BF47">
        <f>BE47+'Grid_Incoming'!BF47-'Grid_Requirement'!BF47</f>
        <v/>
      </c>
      <c r="BG47">
        <f>BF47+'Grid_Incoming'!BG47-'Grid_Requirement'!BG47</f>
        <v/>
      </c>
      <c r="BH47">
        <f>BG47+'Grid_Incoming'!BH47-'Grid_Requirement'!BH47</f>
        <v/>
      </c>
      <c r="BI47">
        <f>BH47+'Grid_Incoming'!BI47-'Grid_Requirement'!BI47</f>
        <v/>
      </c>
      <c r="BJ47">
        <f>BI47+'Grid_Incoming'!BJ47-'Grid_Requirement'!BJ47</f>
        <v/>
      </c>
      <c r="BK47">
        <f>BJ47+'Grid_Incoming'!BK47-'Grid_Requirement'!BK47</f>
        <v/>
      </c>
      <c r="BL47">
        <f>BK47+'Grid_Incoming'!BL47-'Grid_Requirement'!BL47</f>
        <v/>
      </c>
      <c r="BM47">
        <f>BL47+'Grid_Incoming'!BM47-'Grid_Requirement'!BM47</f>
        <v/>
      </c>
      <c r="BN47">
        <f>BM47+'Grid_Incoming'!BN47-'Grid_Requirement'!BN47</f>
        <v/>
      </c>
      <c r="BO47">
        <f>BN47+'Grid_Incoming'!BO47-'Grid_Requirement'!BO47</f>
        <v/>
      </c>
      <c r="BP47">
        <f>BO47+'Grid_Incoming'!BP47-'Grid_Requirement'!BP47</f>
        <v/>
      </c>
      <c r="BQ47">
        <f>BP47+'Grid_Incoming'!BQ47-'Grid_Requirement'!BQ47</f>
        <v/>
      </c>
      <c r="BR47">
        <f>BQ47+'Grid_Incoming'!BR47-'Grid_Requirement'!BR47</f>
        <v/>
      </c>
      <c r="BS47">
        <f>BR47+'Grid_Incoming'!BS47-'Grid_Requirement'!BS47</f>
        <v/>
      </c>
      <c r="BT47">
        <f>BS47+'Grid_Incoming'!BT47-'Grid_Requirement'!BT47</f>
        <v/>
      </c>
      <c r="BU47">
        <f>BT47+'Grid_Incoming'!BU47-'Grid_Requirement'!BU47</f>
        <v/>
      </c>
      <c r="BV47">
        <f>BU47+'Grid_Incoming'!BV47-'Grid_Requirement'!BV47</f>
        <v/>
      </c>
      <c r="BW47">
        <f>BV47+'Grid_Incoming'!BW47-'Grid_Requirement'!BW47</f>
        <v/>
      </c>
      <c r="BX47">
        <f>BW47+'Grid_Incoming'!BX47-'Grid_Requirement'!BX47</f>
        <v/>
      </c>
      <c r="BY47">
        <f>BX47+'Grid_Incoming'!BY47-'Grid_Requirement'!BY47</f>
        <v/>
      </c>
      <c r="BZ47">
        <f>BY47+'Grid_Incoming'!BZ47-'Grid_Requirement'!BZ47</f>
        <v/>
      </c>
      <c r="CA47">
        <f>BZ47+'Grid_Incoming'!CA47-'Grid_Requirement'!CA47</f>
        <v/>
      </c>
      <c r="CB47">
        <f>CA47+'Grid_Incoming'!CB47-'Grid_Requirement'!CB47</f>
        <v/>
      </c>
      <c r="CC47">
        <f>CB47+'Grid_Incoming'!CC47-'Grid_Requirement'!CC47</f>
        <v/>
      </c>
      <c r="CD47">
        <f>CC47+'Grid_Incoming'!CD47-'Grid_Requirement'!CD47</f>
        <v/>
      </c>
      <c r="CE47">
        <f>CD47+'Grid_Incoming'!CE47-'Grid_Requirement'!CE47</f>
        <v/>
      </c>
      <c r="CF47">
        <f>CE47+'Grid_Incoming'!CF47-'Grid_Requirement'!CF47</f>
        <v/>
      </c>
      <c r="CG47">
        <f>CF47+'Grid_Incoming'!CG47-'Grid_Requirement'!CG47</f>
        <v/>
      </c>
      <c r="CH47">
        <f>CG47+'Grid_Incoming'!CH47-'Grid_Requirement'!CH47</f>
        <v/>
      </c>
      <c r="CI47">
        <f>CH47+'Grid_Incoming'!CI47-'Grid_Requirement'!CI47</f>
        <v/>
      </c>
      <c r="CJ47">
        <f>CI47+'Grid_Incoming'!CJ47-'Grid_Requirement'!CJ47</f>
        <v/>
      </c>
      <c r="CK47">
        <f>CJ47+'Grid_Incoming'!CK47-'Grid_Requirement'!CK47</f>
        <v/>
      </c>
      <c r="CL47">
        <f>CK47+'Grid_Incoming'!CL47-'Grid_Requirement'!CL47</f>
        <v/>
      </c>
      <c r="CM47">
        <f>CL47+'Grid_Incoming'!CM47-'Grid_Requirement'!CM47</f>
        <v/>
      </c>
      <c r="CN47">
        <f>CM47+'Grid_Incoming'!CN47-'Grid_Requirement'!CN47</f>
        <v/>
      </c>
      <c r="CO47">
        <f>CN47+'Grid_Incoming'!CO47-'Grid_Requirement'!CO47</f>
        <v/>
      </c>
      <c r="CP47">
        <f>CO47+'Grid_Incoming'!CP47-'Grid_Requirement'!CP47</f>
        <v/>
      </c>
      <c r="CQ47">
        <f>CP47+'Grid_Incoming'!CQ47-'Grid_Requirement'!CQ47</f>
        <v/>
      </c>
      <c r="CR47">
        <f>CQ47+'Grid_Incoming'!CR47-'Grid_Requirement'!CR47</f>
        <v/>
      </c>
      <c r="CS47">
        <f>CR47+'Grid_Incoming'!CS47-'Grid_Requirement'!CS47</f>
        <v/>
      </c>
      <c r="CT47">
        <f>CS47+'Grid_Incoming'!CT47-'Grid_Requirement'!CT47</f>
        <v/>
      </c>
      <c r="CU47">
        <f>CT47+'Grid_Incoming'!CU47-'Grid_Requirement'!CU47</f>
        <v/>
      </c>
      <c r="CV47">
        <f>CU47+'Grid_Incoming'!CV47-'Grid_Requirement'!CV47</f>
        <v/>
      </c>
      <c r="CW47">
        <f>CV47+'Grid_Incoming'!CW47-'Grid_Requirement'!CW47</f>
        <v/>
      </c>
      <c r="CX47">
        <f>CW47+'Grid_Incoming'!CX47-'Grid_Requirement'!CX47</f>
        <v/>
      </c>
      <c r="CY47">
        <f>CX47+'Grid_Incoming'!CY47-'Grid_Requirement'!CY47</f>
        <v/>
      </c>
      <c r="CZ47">
        <f>CY47+'Grid_Incoming'!CZ47-'Grid_Requirement'!CZ47</f>
        <v/>
      </c>
      <c r="DA47">
        <f>CZ47+'Grid_Incoming'!DA47-'Grid_Requirement'!DA47</f>
        <v/>
      </c>
    </row>
    <row r="48">
      <c r="A48" t="inlineStr">
        <is>
          <t>CHEM-1010</t>
        </is>
      </c>
      <c r="B48">
        <f>IFERROR(INDEX(T_OpeningStock[Opening_Qty],MATCH($A48,T_OpeningStock[Part Name],0)),0)+'Grid_Incoming'!B48-'Grid_Requirement'!B48</f>
        <v/>
      </c>
      <c r="C48">
        <f>B48+'Grid_Incoming'!C48-'Grid_Requirement'!C48</f>
        <v/>
      </c>
      <c r="D48">
        <f>C48+'Grid_Incoming'!D48-'Grid_Requirement'!D48</f>
        <v/>
      </c>
      <c r="E48">
        <f>D48+'Grid_Incoming'!E48-'Grid_Requirement'!E48</f>
        <v/>
      </c>
      <c r="F48">
        <f>E48+'Grid_Incoming'!F48-'Grid_Requirement'!F48</f>
        <v/>
      </c>
      <c r="G48">
        <f>F48+'Grid_Incoming'!G48-'Grid_Requirement'!G48</f>
        <v/>
      </c>
      <c r="H48">
        <f>G48+'Grid_Incoming'!H48-'Grid_Requirement'!H48</f>
        <v/>
      </c>
      <c r="I48">
        <f>H48+'Grid_Incoming'!I48-'Grid_Requirement'!I48</f>
        <v/>
      </c>
      <c r="J48">
        <f>I48+'Grid_Incoming'!J48-'Grid_Requirement'!J48</f>
        <v/>
      </c>
      <c r="K48">
        <f>J48+'Grid_Incoming'!K48-'Grid_Requirement'!K48</f>
        <v/>
      </c>
      <c r="L48">
        <f>K48+'Grid_Incoming'!L48-'Grid_Requirement'!L48</f>
        <v/>
      </c>
      <c r="M48">
        <f>L48+'Grid_Incoming'!M48-'Grid_Requirement'!M48</f>
        <v/>
      </c>
      <c r="N48">
        <f>M48+'Grid_Incoming'!N48-'Grid_Requirement'!N48</f>
        <v/>
      </c>
      <c r="O48">
        <f>N48+'Grid_Incoming'!O48-'Grid_Requirement'!O48</f>
        <v/>
      </c>
      <c r="P48">
        <f>O48+'Grid_Incoming'!P48-'Grid_Requirement'!P48</f>
        <v/>
      </c>
      <c r="Q48">
        <f>P48+'Grid_Incoming'!Q48-'Grid_Requirement'!Q48</f>
        <v/>
      </c>
      <c r="R48">
        <f>Q48+'Grid_Incoming'!R48-'Grid_Requirement'!R48</f>
        <v/>
      </c>
      <c r="S48">
        <f>R48+'Grid_Incoming'!S48-'Grid_Requirement'!S48</f>
        <v/>
      </c>
      <c r="T48">
        <f>S48+'Grid_Incoming'!T48-'Grid_Requirement'!T48</f>
        <v/>
      </c>
      <c r="U48">
        <f>T48+'Grid_Incoming'!U48-'Grid_Requirement'!U48</f>
        <v/>
      </c>
      <c r="V48">
        <f>U48+'Grid_Incoming'!V48-'Grid_Requirement'!V48</f>
        <v/>
      </c>
      <c r="W48">
        <f>V48+'Grid_Incoming'!W48-'Grid_Requirement'!W48</f>
        <v/>
      </c>
      <c r="X48">
        <f>W48+'Grid_Incoming'!X48-'Grid_Requirement'!X48</f>
        <v/>
      </c>
      <c r="Y48">
        <f>X48+'Grid_Incoming'!Y48-'Grid_Requirement'!Y48</f>
        <v/>
      </c>
      <c r="Z48">
        <f>Y48+'Grid_Incoming'!Z48-'Grid_Requirement'!Z48</f>
        <v/>
      </c>
      <c r="AA48">
        <f>Z48+'Grid_Incoming'!AA48-'Grid_Requirement'!AA48</f>
        <v/>
      </c>
      <c r="AB48">
        <f>AA48+'Grid_Incoming'!AB48-'Grid_Requirement'!AB48</f>
        <v/>
      </c>
      <c r="AC48">
        <f>AB48+'Grid_Incoming'!AC48-'Grid_Requirement'!AC48</f>
        <v/>
      </c>
      <c r="AD48">
        <f>AC48+'Grid_Incoming'!AD48-'Grid_Requirement'!AD48</f>
        <v/>
      </c>
      <c r="AE48">
        <f>AD48+'Grid_Incoming'!AE48-'Grid_Requirement'!AE48</f>
        <v/>
      </c>
      <c r="AF48">
        <f>AE48+'Grid_Incoming'!AF48-'Grid_Requirement'!AF48</f>
        <v/>
      </c>
      <c r="AG48">
        <f>AF48+'Grid_Incoming'!AG48-'Grid_Requirement'!AG48</f>
        <v/>
      </c>
      <c r="AH48">
        <f>AG48+'Grid_Incoming'!AH48-'Grid_Requirement'!AH48</f>
        <v/>
      </c>
      <c r="AI48">
        <f>AH48+'Grid_Incoming'!AI48-'Grid_Requirement'!AI48</f>
        <v/>
      </c>
      <c r="AJ48">
        <f>AI48+'Grid_Incoming'!AJ48-'Grid_Requirement'!AJ48</f>
        <v/>
      </c>
      <c r="AK48">
        <f>AJ48+'Grid_Incoming'!AK48-'Grid_Requirement'!AK48</f>
        <v/>
      </c>
      <c r="AL48">
        <f>AK48+'Grid_Incoming'!AL48-'Grid_Requirement'!AL48</f>
        <v/>
      </c>
      <c r="AM48">
        <f>AL48+'Grid_Incoming'!AM48-'Grid_Requirement'!AM48</f>
        <v/>
      </c>
      <c r="AN48">
        <f>AM48+'Grid_Incoming'!AN48-'Grid_Requirement'!AN48</f>
        <v/>
      </c>
      <c r="AO48">
        <f>AN48+'Grid_Incoming'!AO48-'Grid_Requirement'!AO48</f>
        <v/>
      </c>
      <c r="AP48">
        <f>AO48+'Grid_Incoming'!AP48-'Grid_Requirement'!AP48</f>
        <v/>
      </c>
      <c r="AQ48">
        <f>AP48+'Grid_Incoming'!AQ48-'Grid_Requirement'!AQ48</f>
        <v/>
      </c>
      <c r="AR48">
        <f>AQ48+'Grid_Incoming'!AR48-'Grid_Requirement'!AR48</f>
        <v/>
      </c>
      <c r="AS48">
        <f>AR48+'Grid_Incoming'!AS48-'Grid_Requirement'!AS48</f>
        <v/>
      </c>
      <c r="AT48">
        <f>AS48+'Grid_Incoming'!AT48-'Grid_Requirement'!AT48</f>
        <v/>
      </c>
      <c r="AU48">
        <f>AT48+'Grid_Incoming'!AU48-'Grid_Requirement'!AU48</f>
        <v/>
      </c>
      <c r="AV48">
        <f>AU48+'Grid_Incoming'!AV48-'Grid_Requirement'!AV48</f>
        <v/>
      </c>
      <c r="AW48">
        <f>AV48+'Grid_Incoming'!AW48-'Grid_Requirement'!AW48</f>
        <v/>
      </c>
      <c r="AX48">
        <f>AW48+'Grid_Incoming'!AX48-'Grid_Requirement'!AX48</f>
        <v/>
      </c>
      <c r="AY48">
        <f>AX48+'Grid_Incoming'!AY48-'Grid_Requirement'!AY48</f>
        <v/>
      </c>
      <c r="AZ48">
        <f>AY48+'Grid_Incoming'!AZ48-'Grid_Requirement'!AZ48</f>
        <v/>
      </c>
      <c r="BA48">
        <f>AZ48+'Grid_Incoming'!BA48-'Grid_Requirement'!BA48</f>
        <v/>
      </c>
      <c r="BB48">
        <f>BA48+'Grid_Incoming'!BB48-'Grid_Requirement'!BB48</f>
        <v/>
      </c>
      <c r="BC48">
        <f>BB48+'Grid_Incoming'!BC48-'Grid_Requirement'!BC48</f>
        <v/>
      </c>
      <c r="BD48">
        <f>BC48+'Grid_Incoming'!BD48-'Grid_Requirement'!BD48</f>
        <v/>
      </c>
      <c r="BE48">
        <f>BD48+'Grid_Incoming'!BE48-'Grid_Requirement'!BE48</f>
        <v/>
      </c>
      <c r="BF48">
        <f>BE48+'Grid_Incoming'!BF48-'Grid_Requirement'!BF48</f>
        <v/>
      </c>
      <c r="BG48">
        <f>BF48+'Grid_Incoming'!BG48-'Grid_Requirement'!BG48</f>
        <v/>
      </c>
      <c r="BH48">
        <f>BG48+'Grid_Incoming'!BH48-'Grid_Requirement'!BH48</f>
        <v/>
      </c>
      <c r="BI48">
        <f>BH48+'Grid_Incoming'!BI48-'Grid_Requirement'!BI48</f>
        <v/>
      </c>
      <c r="BJ48">
        <f>BI48+'Grid_Incoming'!BJ48-'Grid_Requirement'!BJ48</f>
        <v/>
      </c>
      <c r="BK48">
        <f>BJ48+'Grid_Incoming'!BK48-'Grid_Requirement'!BK48</f>
        <v/>
      </c>
      <c r="BL48">
        <f>BK48+'Grid_Incoming'!BL48-'Grid_Requirement'!BL48</f>
        <v/>
      </c>
      <c r="BM48">
        <f>BL48+'Grid_Incoming'!BM48-'Grid_Requirement'!BM48</f>
        <v/>
      </c>
      <c r="BN48">
        <f>BM48+'Grid_Incoming'!BN48-'Grid_Requirement'!BN48</f>
        <v/>
      </c>
      <c r="BO48">
        <f>BN48+'Grid_Incoming'!BO48-'Grid_Requirement'!BO48</f>
        <v/>
      </c>
      <c r="BP48">
        <f>BO48+'Grid_Incoming'!BP48-'Grid_Requirement'!BP48</f>
        <v/>
      </c>
      <c r="BQ48">
        <f>BP48+'Grid_Incoming'!BQ48-'Grid_Requirement'!BQ48</f>
        <v/>
      </c>
      <c r="BR48">
        <f>BQ48+'Grid_Incoming'!BR48-'Grid_Requirement'!BR48</f>
        <v/>
      </c>
      <c r="BS48">
        <f>BR48+'Grid_Incoming'!BS48-'Grid_Requirement'!BS48</f>
        <v/>
      </c>
      <c r="BT48">
        <f>BS48+'Grid_Incoming'!BT48-'Grid_Requirement'!BT48</f>
        <v/>
      </c>
      <c r="BU48">
        <f>BT48+'Grid_Incoming'!BU48-'Grid_Requirement'!BU48</f>
        <v/>
      </c>
      <c r="BV48">
        <f>BU48+'Grid_Incoming'!BV48-'Grid_Requirement'!BV48</f>
        <v/>
      </c>
      <c r="BW48">
        <f>BV48+'Grid_Incoming'!BW48-'Grid_Requirement'!BW48</f>
        <v/>
      </c>
      <c r="BX48">
        <f>BW48+'Grid_Incoming'!BX48-'Grid_Requirement'!BX48</f>
        <v/>
      </c>
      <c r="BY48">
        <f>BX48+'Grid_Incoming'!BY48-'Grid_Requirement'!BY48</f>
        <v/>
      </c>
      <c r="BZ48">
        <f>BY48+'Grid_Incoming'!BZ48-'Grid_Requirement'!BZ48</f>
        <v/>
      </c>
      <c r="CA48">
        <f>BZ48+'Grid_Incoming'!CA48-'Grid_Requirement'!CA48</f>
        <v/>
      </c>
      <c r="CB48">
        <f>CA48+'Grid_Incoming'!CB48-'Grid_Requirement'!CB48</f>
        <v/>
      </c>
      <c r="CC48">
        <f>CB48+'Grid_Incoming'!CC48-'Grid_Requirement'!CC48</f>
        <v/>
      </c>
      <c r="CD48">
        <f>CC48+'Grid_Incoming'!CD48-'Grid_Requirement'!CD48</f>
        <v/>
      </c>
      <c r="CE48">
        <f>CD48+'Grid_Incoming'!CE48-'Grid_Requirement'!CE48</f>
        <v/>
      </c>
      <c r="CF48">
        <f>CE48+'Grid_Incoming'!CF48-'Grid_Requirement'!CF48</f>
        <v/>
      </c>
      <c r="CG48">
        <f>CF48+'Grid_Incoming'!CG48-'Grid_Requirement'!CG48</f>
        <v/>
      </c>
      <c r="CH48">
        <f>CG48+'Grid_Incoming'!CH48-'Grid_Requirement'!CH48</f>
        <v/>
      </c>
      <c r="CI48">
        <f>CH48+'Grid_Incoming'!CI48-'Grid_Requirement'!CI48</f>
        <v/>
      </c>
      <c r="CJ48">
        <f>CI48+'Grid_Incoming'!CJ48-'Grid_Requirement'!CJ48</f>
        <v/>
      </c>
      <c r="CK48">
        <f>CJ48+'Grid_Incoming'!CK48-'Grid_Requirement'!CK48</f>
        <v/>
      </c>
      <c r="CL48">
        <f>CK48+'Grid_Incoming'!CL48-'Grid_Requirement'!CL48</f>
        <v/>
      </c>
      <c r="CM48">
        <f>CL48+'Grid_Incoming'!CM48-'Grid_Requirement'!CM48</f>
        <v/>
      </c>
      <c r="CN48">
        <f>CM48+'Grid_Incoming'!CN48-'Grid_Requirement'!CN48</f>
        <v/>
      </c>
      <c r="CO48">
        <f>CN48+'Grid_Incoming'!CO48-'Grid_Requirement'!CO48</f>
        <v/>
      </c>
      <c r="CP48">
        <f>CO48+'Grid_Incoming'!CP48-'Grid_Requirement'!CP48</f>
        <v/>
      </c>
      <c r="CQ48">
        <f>CP48+'Grid_Incoming'!CQ48-'Grid_Requirement'!CQ48</f>
        <v/>
      </c>
      <c r="CR48">
        <f>CQ48+'Grid_Incoming'!CR48-'Grid_Requirement'!CR48</f>
        <v/>
      </c>
      <c r="CS48">
        <f>CR48+'Grid_Incoming'!CS48-'Grid_Requirement'!CS48</f>
        <v/>
      </c>
      <c r="CT48">
        <f>CS48+'Grid_Incoming'!CT48-'Grid_Requirement'!CT48</f>
        <v/>
      </c>
      <c r="CU48">
        <f>CT48+'Grid_Incoming'!CU48-'Grid_Requirement'!CU48</f>
        <v/>
      </c>
      <c r="CV48">
        <f>CU48+'Grid_Incoming'!CV48-'Grid_Requirement'!CV48</f>
        <v/>
      </c>
      <c r="CW48">
        <f>CV48+'Grid_Incoming'!CW48-'Grid_Requirement'!CW48</f>
        <v/>
      </c>
      <c r="CX48">
        <f>CW48+'Grid_Incoming'!CX48-'Grid_Requirement'!CX48</f>
        <v/>
      </c>
      <c r="CY48">
        <f>CX48+'Grid_Incoming'!CY48-'Grid_Requirement'!CY48</f>
        <v/>
      </c>
      <c r="CZ48">
        <f>CY48+'Grid_Incoming'!CZ48-'Grid_Requirement'!CZ48</f>
        <v/>
      </c>
      <c r="DA48">
        <f>CZ48+'Grid_Incoming'!DA48-'Grid_Requirement'!DA48</f>
        <v/>
      </c>
    </row>
    <row r="49">
      <c r="A49" t="inlineStr">
        <is>
          <t>CHEM-1760</t>
        </is>
      </c>
      <c r="B49">
        <f>IFERROR(INDEX(T_OpeningStock[Opening_Qty],MATCH($A49,T_OpeningStock[Part Name],0)),0)+'Grid_Incoming'!B49-'Grid_Requirement'!B49</f>
        <v/>
      </c>
      <c r="C49">
        <f>B49+'Grid_Incoming'!C49-'Grid_Requirement'!C49</f>
        <v/>
      </c>
      <c r="D49">
        <f>C49+'Grid_Incoming'!D49-'Grid_Requirement'!D49</f>
        <v/>
      </c>
      <c r="E49">
        <f>D49+'Grid_Incoming'!E49-'Grid_Requirement'!E49</f>
        <v/>
      </c>
      <c r="F49">
        <f>E49+'Grid_Incoming'!F49-'Grid_Requirement'!F49</f>
        <v/>
      </c>
      <c r="G49">
        <f>F49+'Grid_Incoming'!G49-'Grid_Requirement'!G49</f>
        <v/>
      </c>
      <c r="H49">
        <f>G49+'Grid_Incoming'!H49-'Grid_Requirement'!H49</f>
        <v/>
      </c>
      <c r="I49">
        <f>H49+'Grid_Incoming'!I49-'Grid_Requirement'!I49</f>
        <v/>
      </c>
      <c r="J49">
        <f>I49+'Grid_Incoming'!J49-'Grid_Requirement'!J49</f>
        <v/>
      </c>
      <c r="K49">
        <f>J49+'Grid_Incoming'!K49-'Grid_Requirement'!K49</f>
        <v/>
      </c>
      <c r="L49">
        <f>K49+'Grid_Incoming'!L49-'Grid_Requirement'!L49</f>
        <v/>
      </c>
      <c r="M49">
        <f>L49+'Grid_Incoming'!M49-'Grid_Requirement'!M49</f>
        <v/>
      </c>
      <c r="N49">
        <f>M49+'Grid_Incoming'!N49-'Grid_Requirement'!N49</f>
        <v/>
      </c>
      <c r="O49">
        <f>N49+'Grid_Incoming'!O49-'Grid_Requirement'!O49</f>
        <v/>
      </c>
      <c r="P49">
        <f>O49+'Grid_Incoming'!P49-'Grid_Requirement'!P49</f>
        <v/>
      </c>
      <c r="Q49">
        <f>P49+'Grid_Incoming'!Q49-'Grid_Requirement'!Q49</f>
        <v/>
      </c>
      <c r="R49">
        <f>Q49+'Grid_Incoming'!R49-'Grid_Requirement'!R49</f>
        <v/>
      </c>
      <c r="S49">
        <f>R49+'Grid_Incoming'!S49-'Grid_Requirement'!S49</f>
        <v/>
      </c>
      <c r="T49">
        <f>S49+'Grid_Incoming'!T49-'Grid_Requirement'!T49</f>
        <v/>
      </c>
      <c r="U49">
        <f>T49+'Grid_Incoming'!U49-'Grid_Requirement'!U49</f>
        <v/>
      </c>
      <c r="V49">
        <f>U49+'Grid_Incoming'!V49-'Grid_Requirement'!V49</f>
        <v/>
      </c>
      <c r="W49">
        <f>V49+'Grid_Incoming'!W49-'Grid_Requirement'!W49</f>
        <v/>
      </c>
      <c r="X49">
        <f>W49+'Grid_Incoming'!X49-'Grid_Requirement'!X49</f>
        <v/>
      </c>
      <c r="Y49">
        <f>X49+'Grid_Incoming'!Y49-'Grid_Requirement'!Y49</f>
        <v/>
      </c>
      <c r="Z49">
        <f>Y49+'Grid_Incoming'!Z49-'Grid_Requirement'!Z49</f>
        <v/>
      </c>
      <c r="AA49">
        <f>Z49+'Grid_Incoming'!AA49-'Grid_Requirement'!AA49</f>
        <v/>
      </c>
      <c r="AB49">
        <f>AA49+'Grid_Incoming'!AB49-'Grid_Requirement'!AB49</f>
        <v/>
      </c>
      <c r="AC49">
        <f>AB49+'Grid_Incoming'!AC49-'Grid_Requirement'!AC49</f>
        <v/>
      </c>
      <c r="AD49">
        <f>AC49+'Grid_Incoming'!AD49-'Grid_Requirement'!AD49</f>
        <v/>
      </c>
      <c r="AE49">
        <f>AD49+'Grid_Incoming'!AE49-'Grid_Requirement'!AE49</f>
        <v/>
      </c>
      <c r="AF49">
        <f>AE49+'Grid_Incoming'!AF49-'Grid_Requirement'!AF49</f>
        <v/>
      </c>
      <c r="AG49">
        <f>AF49+'Grid_Incoming'!AG49-'Grid_Requirement'!AG49</f>
        <v/>
      </c>
      <c r="AH49">
        <f>AG49+'Grid_Incoming'!AH49-'Grid_Requirement'!AH49</f>
        <v/>
      </c>
      <c r="AI49">
        <f>AH49+'Grid_Incoming'!AI49-'Grid_Requirement'!AI49</f>
        <v/>
      </c>
      <c r="AJ49">
        <f>AI49+'Grid_Incoming'!AJ49-'Grid_Requirement'!AJ49</f>
        <v/>
      </c>
      <c r="AK49">
        <f>AJ49+'Grid_Incoming'!AK49-'Grid_Requirement'!AK49</f>
        <v/>
      </c>
      <c r="AL49">
        <f>AK49+'Grid_Incoming'!AL49-'Grid_Requirement'!AL49</f>
        <v/>
      </c>
      <c r="AM49">
        <f>AL49+'Grid_Incoming'!AM49-'Grid_Requirement'!AM49</f>
        <v/>
      </c>
      <c r="AN49">
        <f>AM49+'Grid_Incoming'!AN49-'Grid_Requirement'!AN49</f>
        <v/>
      </c>
      <c r="AO49">
        <f>AN49+'Grid_Incoming'!AO49-'Grid_Requirement'!AO49</f>
        <v/>
      </c>
      <c r="AP49">
        <f>AO49+'Grid_Incoming'!AP49-'Grid_Requirement'!AP49</f>
        <v/>
      </c>
      <c r="AQ49">
        <f>AP49+'Grid_Incoming'!AQ49-'Grid_Requirement'!AQ49</f>
        <v/>
      </c>
      <c r="AR49">
        <f>AQ49+'Grid_Incoming'!AR49-'Grid_Requirement'!AR49</f>
        <v/>
      </c>
      <c r="AS49">
        <f>AR49+'Grid_Incoming'!AS49-'Grid_Requirement'!AS49</f>
        <v/>
      </c>
      <c r="AT49">
        <f>AS49+'Grid_Incoming'!AT49-'Grid_Requirement'!AT49</f>
        <v/>
      </c>
      <c r="AU49">
        <f>AT49+'Grid_Incoming'!AU49-'Grid_Requirement'!AU49</f>
        <v/>
      </c>
      <c r="AV49">
        <f>AU49+'Grid_Incoming'!AV49-'Grid_Requirement'!AV49</f>
        <v/>
      </c>
      <c r="AW49">
        <f>AV49+'Grid_Incoming'!AW49-'Grid_Requirement'!AW49</f>
        <v/>
      </c>
      <c r="AX49">
        <f>AW49+'Grid_Incoming'!AX49-'Grid_Requirement'!AX49</f>
        <v/>
      </c>
      <c r="AY49">
        <f>AX49+'Grid_Incoming'!AY49-'Grid_Requirement'!AY49</f>
        <v/>
      </c>
      <c r="AZ49">
        <f>AY49+'Grid_Incoming'!AZ49-'Grid_Requirement'!AZ49</f>
        <v/>
      </c>
      <c r="BA49">
        <f>AZ49+'Grid_Incoming'!BA49-'Grid_Requirement'!BA49</f>
        <v/>
      </c>
      <c r="BB49">
        <f>BA49+'Grid_Incoming'!BB49-'Grid_Requirement'!BB49</f>
        <v/>
      </c>
      <c r="BC49">
        <f>BB49+'Grid_Incoming'!BC49-'Grid_Requirement'!BC49</f>
        <v/>
      </c>
      <c r="BD49">
        <f>BC49+'Grid_Incoming'!BD49-'Grid_Requirement'!BD49</f>
        <v/>
      </c>
      <c r="BE49">
        <f>BD49+'Grid_Incoming'!BE49-'Grid_Requirement'!BE49</f>
        <v/>
      </c>
      <c r="BF49">
        <f>BE49+'Grid_Incoming'!BF49-'Grid_Requirement'!BF49</f>
        <v/>
      </c>
      <c r="BG49">
        <f>BF49+'Grid_Incoming'!BG49-'Grid_Requirement'!BG49</f>
        <v/>
      </c>
      <c r="BH49">
        <f>BG49+'Grid_Incoming'!BH49-'Grid_Requirement'!BH49</f>
        <v/>
      </c>
      <c r="BI49">
        <f>BH49+'Grid_Incoming'!BI49-'Grid_Requirement'!BI49</f>
        <v/>
      </c>
      <c r="BJ49">
        <f>BI49+'Grid_Incoming'!BJ49-'Grid_Requirement'!BJ49</f>
        <v/>
      </c>
      <c r="BK49">
        <f>BJ49+'Grid_Incoming'!BK49-'Grid_Requirement'!BK49</f>
        <v/>
      </c>
      <c r="BL49">
        <f>BK49+'Grid_Incoming'!BL49-'Grid_Requirement'!BL49</f>
        <v/>
      </c>
      <c r="BM49">
        <f>BL49+'Grid_Incoming'!BM49-'Grid_Requirement'!BM49</f>
        <v/>
      </c>
      <c r="BN49">
        <f>BM49+'Grid_Incoming'!BN49-'Grid_Requirement'!BN49</f>
        <v/>
      </c>
      <c r="BO49">
        <f>BN49+'Grid_Incoming'!BO49-'Grid_Requirement'!BO49</f>
        <v/>
      </c>
      <c r="BP49">
        <f>BO49+'Grid_Incoming'!BP49-'Grid_Requirement'!BP49</f>
        <v/>
      </c>
      <c r="BQ49">
        <f>BP49+'Grid_Incoming'!BQ49-'Grid_Requirement'!BQ49</f>
        <v/>
      </c>
      <c r="BR49">
        <f>BQ49+'Grid_Incoming'!BR49-'Grid_Requirement'!BR49</f>
        <v/>
      </c>
      <c r="BS49">
        <f>BR49+'Grid_Incoming'!BS49-'Grid_Requirement'!BS49</f>
        <v/>
      </c>
      <c r="BT49">
        <f>BS49+'Grid_Incoming'!BT49-'Grid_Requirement'!BT49</f>
        <v/>
      </c>
      <c r="BU49">
        <f>BT49+'Grid_Incoming'!BU49-'Grid_Requirement'!BU49</f>
        <v/>
      </c>
      <c r="BV49">
        <f>BU49+'Grid_Incoming'!BV49-'Grid_Requirement'!BV49</f>
        <v/>
      </c>
      <c r="BW49">
        <f>BV49+'Grid_Incoming'!BW49-'Grid_Requirement'!BW49</f>
        <v/>
      </c>
      <c r="BX49">
        <f>BW49+'Grid_Incoming'!BX49-'Grid_Requirement'!BX49</f>
        <v/>
      </c>
      <c r="BY49">
        <f>BX49+'Grid_Incoming'!BY49-'Grid_Requirement'!BY49</f>
        <v/>
      </c>
      <c r="BZ49">
        <f>BY49+'Grid_Incoming'!BZ49-'Grid_Requirement'!BZ49</f>
        <v/>
      </c>
      <c r="CA49">
        <f>BZ49+'Grid_Incoming'!CA49-'Grid_Requirement'!CA49</f>
        <v/>
      </c>
      <c r="CB49">
        <f>CA49+'Grid_Incoming'!CB49-'Grid_Requirement'!CB49</f>
        <v/>
      </c>
      <c r="CC49">
        <f>CB49+'Grid_Incoming'!CC49-'Grid_Requirement'!CC49</f>
        <v/>
      </c>
      <c r="CD49">
        <f>CC49+'Grid_Incoming'!CD49-'Grid_Requirement'!CD49</f>
        <v/>
      </c>
      <c r="CE49">
        <f>CD49+'Grid_Incoming'!CE49-'Grid_Requirement'!CE49</f>
        <v/>
      </c>
      <c r="CF49">
        <f>CE49+'Grid_Incoming'!CF49-'Grid_Requirement'!CF49</f>
        <v/>
      </c>
      <c r="CG49">
        <f>CF49+'Grid_Incoming'!CG49-'Grid_Requirement'!CG49</f>
        <v/>
      </c>
      <c r="CH49">
        <f>CG49+'Grid_Incoming'!CH49-'Grid_Requirement'!CH49</f>
        <v/>
      </c>
      <c r="CI49">
        <f>CH49+'Grid_Incoming'!CI49-'Grid_Requirement'!CI49</f>
        <v/>
      </c>
      <c r="CJ49">
        <f>CI49+'Grid_Incoming'!CJ49-'Grid_Requirement'!CJ49</f>
        <v/>
      </c>
      <c r="CK49">
        <f>CJ49+'Grid_Incoming'!CK49-'Grid_Requirement'!CK49</f>
        <v/>
      </c>
      <c r="CL49">
        <f>CK49+'Grid_Incoming'!CL49-'Grid_Requirement'!CL49</f>
        <v/>
      </c>
      <c r="CM49">
        <f>CL49+'Grid_Incoming'!CM49-'Grid_Requirement'!CM49</f>
        <v/>
      </c>
      <c r="CN49">
        <f>CM49+'Grid_Incoming'!CN49-'Grid_Requirement'!CN49</f>
        <v/>
      </c>
      <c r="CO49">
        <f>CN49+'Grid_Incoming'!CO49-'Grid_Requirement'!CO49</f>
        <v/>
      </c>
      <c r="CP49">
        <f>CO49+'Grid_Incoming'!CP49-'Grid_Requirement'!CP49</f>
        <v/>
      </c>
      <c r="CQ49">
        <f>CP49+'Grid_Incoming'!CQ49-'Grid_Requirement'!CQ49</f>
        <v/>
      </c>
      <c r="CR49">
        <f>CQ49+'Grid_Incoming'!CR49-'Grid_Requirement'!CR49</f>
        <v/>
      </c>
      <c r="CS49">
        <f>CR49+'Grid_Incoming'!CS49-'Grid_Requirement'!CS49</f>
        <v/>
      </c>
      <c r="CT49">
        <f>CS49+'Grid_Incoming'!CT49-'Grid_Requirement'!CT49</f>
        <v/>
      </c>
      <c r="CU49">
        <f>CT49+'Grid_Incoming'!CU49-'Grid_Requirement'!CU49</f>
        <v/>
      </c>
      <c r="CV49">
        <f>CU49+'Grid_Incoming'!CV49-'Grid_Requirement'!CV49</f>
        <v/>
      </c>
      <c r="CW49">
        <f>CV49+'Grid_Incoming'!CW49-'Grid_Requirement'!CW49</f>
        <v/>
      </c>
      <c r="CX49">
        <f>CW49+'Grid_Incoming'!CX49-'Grid_Requirement'!CX49</f>
        <v/>
      </c>
      <c r="CY49">
        <f>CX49+'Grid_Incoming'!CY49-'Grid_Requirement'!CY49</f>
        <v/>
      </c>
      <c r="CZ49">
        <f>CY49+'Grid_Incoming'!CZ49-'Grid_Requirement'!CZ49</f>
        <v/>
      </c>
      <c r="DA49">
        <f>CZ49+'Grid_Incoming'!DA49-'Grid_Requirement'!DA49</f>
        <v/>
      </c>
    </row>
    <row r="50">
      <c r="A50" t="inlineStr">
        <is>
          <t>CHEM-1700</t>
        </is>
      </c>
      <c r="B50">
        <f>IFERROR(INDEX(T_OpeningStock[Opening_Qty],MATCH($A50,T_OpeningStock[Part Name],0)),0)+'Grid_Incoming'!B50-'Grid_Requirement'!B50</f>
        <v/>
      </c>
      <c r="C50">
        <f>B50+'Grid_Incoming'!C50-'Grid_Requirement'!C50</f>
        <v/>
      </c>
      <c r="D50">
        <f>C50+'Grid_Incoming'!D50-'Grid_Requirement'!D50</f>
        <v/>
      </c>
      <c r="E50">
        <f>D50+'Grid_Incoming'!E50-'Grid_Requirement'!E50</f>
        <v/>
      </c>
      <c r="F50">
        <f>E50+'Grid_Incoming'!F50-'Grid_Requirement'!F50</f>
        <v/>
      </c>
      <c r="G50">
        <f>F50+'Grid_Incoming'!G50-'Grid_Requirement'!G50</f>
        <v/>
      </c>
      <c r="H50">
        <f>G50+'Grid_Incoming'!H50-'Grid_Requirement'!H50</f>
        <v/>
      </c>
      <c r="I50">
        <f>H50+'Grid_Incoming'!I50-'Grid_Requirement'!I50</f>
        <v/>
      </c>
      <c r="J50">
        <f>I50+'Grid_Incoming'!J50-'Grid_Requirement'!J50</f>
        <v/>
      </c>
      <c r="K50">
        <f>J50+'Grid_Incoming'!K50-'Grid_Requirement'!K50</f>
        <v/>
      </c>
      <c r="L50">
        <f>K50+'Grid_Incoming'!L50-'Grid_Requirement'!L50</f>
        <v/>
      </c>
      <c r="M50">
        <f>L50+'Grid_Incoming'!M50-'Grid_Requirement'!M50</f>
        <v/>
      </c>
      <c r="N50">
        <f>M50+'Grid_Incoming'!N50-'Grid_Requirement'!N50</f>
        <v/>
      </c>
      <c r="O50">
        <f>N50+'Grid_Incoming'!O50-'Grid_Requirement'!O50</f>
        <v/>
      </c>
      <c r="P50">
        <f>O50+'Grid_Incoming'!P50-'Grid_Requirement'!P50</f>
        <v/>
      </c>
      <c r="Q50">
        <f>P50+'Grid_Incoming'!Q50-'Grid_Requirement'!Q50</f>
        <v/>
      </c>
      <c r="R50">
        <f>Q50+'Grid_Incoming'!R50-'Grid_Requirement'!R50</f>
        <v/>
      </c>
      <c r="S50">
        <f>R50+'Grid_Incoming'!S50-'Grid_Requirement'!S50</f>
        <v/>
      </c>
      <c r="T50">
        <f>S50+'Grid_Incoming'!T50-'Grid_Requirement'!T50</f>
        <v/>
      </c>
      <c r="U50">
        <f>T50+'Grid_Incoming'!U50-'Grid_Requirement'!U50</f>
        <v/>
      </c>
      <c r="V50">
        <f>U50+'Grid_Incoming'!V50-'Grid_Requirement'!V50</f>
        <v/>
      </c>
      <c r="W50">
        <f>V50+'Grid_Incoming'!W50-'Grid_Requirement'!W50</f>
        <v/>
      </c>
      <c r="X50">
        <f>W50+'Grid_Incoming'!X50-'Grid_Requirement'!X50</f>
        <v/>
      </c>
      <c r="Y50">
        <f>X50+'Grid_Incoming'!Y50-'Grid_Requirement'!Y50</f>
        <v/>
      </c>
      <c r="Z50">
        <f>Y50+'Grid_Incoming'!Z50-'Grid_Requirement'!Z50</f>
        <v/>
      </c>
      <c r="AA50">
        <f>Z50+'Grid_Incoming'!AA50-'Grid_Requirement'!AA50</f>
        <v/>
      </c>
      <c r="AB50">
        <f>AA50+'Grid_Incoming'!AB50-'Grid_Requirement'!AB50</f>
        <v/>
      </c>
      <c r="AC50">
        <f>AB50+'Grid_Incoming'!AC50-'Grid_Requirement'!AC50</f>
        <v/>
      </c>
      <c r="AD50">
        <f>AC50+'Grid_Incoming'!AD50-'Grid_Requirement'!AD50</f>
        <v/>
      </c>
      <c r="AE50">
        <f>AD50+'Grid_Incoming'!AE50-'Grid_Requirement'!AE50</f>
        <v/>
      </c>
      <c r="AF50">
        <f>AE50+'Grid_Incoming'!AF50-'Grid_Requirement'!AF50</f>
        <v/>
      </c>
      <c r="AG50">
        <f>AF50+'Grid_Incoming'!AG50-'Grid_Requirement'!AG50</f>
        <v/>
      </c>
      <c r="AH50">
        <f>AG50+'Grid_Incoming'!AH50-'Grid_Requirement'!AH50</f>
        <v/>
      </c>
      <c r="AI50">
        <f>AH50+'Grid_Incoming'!AI50-'Grid_Requirement'!AI50</f>
        <v/>
      </c>
      <c r="AJ50">
        <f>AI50+'Grid_Incoming'!AJ50-'Grid_Requirement'!AJ50</f>
        <v/>
      </c>
      <c r="AK50">
        <f>AJ50+'Grid_Incoming'!AK50-'Grid_Requirement'!AK50</f>
        <v/>
      </c>
      <c r="AL50">
        <f>AK50+'Grid_Incoming'!AL50-'Grid_Requirement'!AL50</f>
        <v/>
      </c>
      <c r="AM50">
        <f>AL50+'Grid_Incoming'!AM50-'Grid_Requirement'!AM50</f>
        <v/>
      </c>
      <c r="AN50">
        <f>AM50+'Grid_Incoming'!AN50-'Grid_Requirement'!AN50</f>
        <v/>
      </c>
      <c r="AO50">
        <f>AN50+'Grid_Incoming'!AO50-'Grid_Requirement'!AO50</f>
        <v/>
      </c>
      <c r="AP50">
        <f>AO50+'Grid_Incoming'!AP50-'Grid_Requirement'!AP50</f>
        <v/>
      </c>
      <c r="AQ50">
        <f>AP50+'Grid_Incoming'!AQ50-'Grid_Requirement'!AQ50</f>
        <v/>
      </c>
      <c r="AR50">
        <f>AQ50+'Grid_Incoming'!AR50-'Grid_Requirement'!AR50</f>
        <v/>
      </c>
      <c r="AS50">
        <f>AR50+'Grid_Incoming'!AS50-'Grid_Requirement'!AS50</f>
        <v/>
      </c>
      <c r="AT50">
        <f>AS50+'Grid_Incoming'!AT50-'Grid_Requirement'!AT50</f>
        <v/>
      </c>
      <c r="AU50">
        <f>AT50+'Grid_Incoming'!AU50-'Grid_Requirement'!AU50</f>
        <v/>
      </c>
      <c r="AV50">
        <f>AU50+'Grid_Incoming'!AV50-'Grid_Requirement'!AV50</f>
        <v/>
      </c>
      <c r="AW50">
        <f>AV50+'Grid_Incoming'!AW50-'Grid_Requirement'!AW50</f>
        <v/>
      </c>
      <c r="AX50">
        <f>AW50+'Grid_Incoming'!AX50-'Grid_Requirement'!AX50</f>
        <v/>
      </c>
      <c r="AY50">
        <f>AX50+'Grid_Incoming'!AY50-'Grid_Requirement'!AY50</f>
        <v/>
      </c>
      <c r="AZ50">
        <f>AY50+'Grid_Incoming'!AZ50-'Grid_Requirement'!AZ50</f>
        <v/>
      </c>
      <c r="BA50">
        <f>AZ50+'Grid_Incoming'!BA50-'Grid_Requirement'!BA50</f>
        <v/>
      </c>
      <c r="BB50">
        <f>BA50+'Grid_Incoming'!BB50-'Grid_Requirement'!BB50</f>
        <v/>
      </c>
      <c r="BC50">
        <f>BB50+'Grid_Incoming'!BC50-'Grid_Requirement'!BC50</f>
        <v/>
      </c>
      <c r="BD50">
        <f>BC50+'Grid_Incoming'!BD50-'Grid_Requirement'!BD50</f>
        <v/>
      </c>
      <c r="BE50">
        <f>BD50+'Grid_Incoming'!BE50-'Grid_Requirement'!BE50</f>
        <v/>
      </c>
      <c r="BF50">
        <f>BE50+'Grid_Incoming'!BF50-'Grid_Requirement'!BF50</f>
        <v/>
      </c>
      <c r="BG50">
        <f>BF50+'Grid_Incoming'!BG50-'Grid_Requirement'!BG50</f>
        <v/>
      </c>
      <c r="BH50">
        <f>BG50+'Grid_Incoming'!BH50-'Grid_Requirement'!BH50</f>
        <v/>
      </c>
      <c r="BI50">
        <f>BH50+'Grid_Incoming'!BI50-'Grid_Requirement'!BI50</f>
        <v/>
      </c>
      <c r="BJ50">
        <f>BI50+'Grid_Incoming'!BJ50-'Grid_Requirement'!BJ50</f>
        <v/>
      </c>
      <c r="BK50">
        <f>BJ50+'Grid_Incoming'!BK50-'Grid_Requirement'!BK50</f>
        <v/>
      </c>
      <c r="BL50">
        <f>BK50+'Grid_Incoming'!BL50-'Grid_Requirement'!BL50</f>
        <v/>
      </c>
      <c r="BM50">
        <f>BL50+'Grid_Incoming'!BM50-'Grid_Requirement'!BM50</f>
        <v/>
      </c>
      <c r="BN50">
        <f>BM50+'Grid_Incoming'!BN50-'Grid_Requirement'!BN50</f>
        <v/>
      </c>
      <c r="BO50">
        <f>BN50+'Grid_Incoming'!BO50-'Grid_Requirement'!BO50</f>
        <v/>
      </c>
      <c r="BP50">
        <f>BO50+'Grid_Incoming'!BP50-'Grid_Requirement'!BP50</f>
        <v/>
      </c>
      <c r="BQ50">
        <f>BP50+'Grid_Incoming'!BQ50-'Grid_Requirement'!BQ50</f>
        <v/>
      </c>
      <c r="BR50">
        <f>BQ50+'Grid_Incoming'!BR50-'Grid_Requirement'!BR50</f>
        <v/>
      </c>
      <c r="BS50">
        <f>BR50+'Grid_Incoming'!BS50-'Grid_Requirement'!BS50</f>
        <v/>
      </c>
      <c r="BT50">
        <f>BS50+'Grid_Incoming'!BT50-'Grid_Requirement'!BT50</f>
        <v/>
      </c>
      <c r="BU50">
        <f>BT50+'Grid_Incoming'!BU50-'Grid_Requirement'!BU50</f>
        <v/>
      </c>
      <c r="BV50">
        <f>BU50+'Grid_Incoming'!BV50-'Grid_Requirement'!BV50</f>
        <v/>
      </c>
      <c r="BW50">
        <f>BV50+'Grid_Incoming'!BW50-'Grid_Requirement'!BW50</f>
        <v/>
      </c>
      <c r="BX50">
        <f>BW50+'Grid_Incoming'!BX50-'Grid_Requirement'!BX50</f>
        <v/>
      </c>
      <c r="BY50">
        <f>BX50+'Grid_Incoming'!BY50-'Grid_Requirement'!BY50</f>
        <v/>
      </c>
      <c r="BZ50">
        <f>BY50+'Grid_Incoming'!BZ50-'Grid_Requirement'!BZ50</f>
        <v/>
      </c>
      <c r="CA50">
        <f>BZ50+'Grid_Incoming'!CA50-'Grid_Requirement'!CA50</f>
        <v/>
      </c>
      <c r="CB50">
        <f>CA50+'Grid_Incoming'!CB50-'Grid_Requirement'!CB50</f>
        <v/>
      </c>
      <c r="CC50">
        <f>CB50+'Grid_Incoming'!CC50-'Grid_Requirement'!CC50</f>
        <v/>
      </c>
      <c r="CD50">
        <f>CC50+'Grid_Incoming'!CD50-'Grid_Requirement'!CD50</f>
        <v/>
      </c>
      <c r="CE50">
        <f>CD50+'Grid_Incoming'!CE50-'Grid_Requirement'!CE50</f>
        <v/>
      </c>
      <c r="CF50">
        <f>CE50+'Grid_Incoming'!CF50-'Grid_Requirement'!CF50</f>
        <v/>
      </c>
      <c r="CG50">
        <f>CF50+'Grid_Incoming'!CG50-'Grid_Requirement'!CG50</f>
        <v/>
      </c>
      <c r="CH50">
        <f>CG50+'Grid_Incoming'!CH50-'Grid_Requirement'!CH50</f>
        <v/>
      </c>
      <c r="CI50">
        <f>CH50+'Grid_Incoming'!CI50-'Grid_Requirement'!CI50</f>
        <v/>
      </c>
      <c r="CJ50">
        <f>CI50+'Grid_Incoming'!CJ50-'Grid_Requirement'!CJ50</f>
        <v/>
      </c>
      <c r="CK50">
        <f>CJ50+'Grid_Incoming'!CK50-'Grid_Requirement'!CK50</f>
        <v/>
      </c>
      <c r="CL50">
        <f>CK50+'Grid_Incoming'!CL50-'Grid_Requirement'!CL50</f>
        <v/>
      </c>
      <c r="CM50">
        <f>CL50+'Grid_Incoming'!CM50-'Grid_Requirement'!CM50</f>
        <v/>
      </c>
      <c r="CN50">
        <f>CM50+'Grid_Incoming'!CN50-'Grid_Requirement'!CN50</f>
        <v/>
      </c>
      <c r="CO50">
        <f>CN50+'Grid_Incoming'!CO50-'Grid_Requirement'!CO50</f>
        <v/>
      </c>
      <c r="CP50">
        <f>CO50+'Grid_Incoming'!CP50-'Grid_Requirement'!CP50</f>
        <v/>
      </c>
      <c r="CQ50">
        <f>CP50+'Grid_Incoming'!CQ50-'Grid_Requirement'!CQ50</f>
        <v/>
      </c>
      <c r="CR50">
        <f>CQ50+'Grid_Incoming'!CR50-'Grid_Requirement'!CR50</f>
        <v/>
      </c>
      <c r="CS50">
        <f>CR50+'Grid_Incoming'!CS50-'Grid_Requirement'!CS50</f>
        <v/>
      </c>
      <c r="CT50">
        <f>CS50+'Grid_Incoming'!CT50-'Grid_Requirement'!CT50</f>
        <v/>
      </c>
      <c r="CU50">
        <f>CT50+'Grid_Incoming'!CU50-'Grid_Requirement'!CU50</f>
        <v/>
      </c>
      <c r="CV50">
        <f>CU50+'Grid_Incoming'!CV50-'Grid_Requirement'!CV50</f>
        <v/>
      </c>
      <c r="CW50">
        <f>CV50+'Grid_Incoming'!CW50-'Grid_Requirement'!CW50</f>
        <v/>
      </c>
      <c r="CX50">
        <f>CW50+'Grid_Incoming'!CX50-'Grid_Requirement'!CX50</f>
        <v/>
      </c>
      <c r="CY50">
        <f>CX50+'Grid_Incoming'!CY50-'Grid_Requirement'!CY50</f>
        <v/>
      </c>
      <c r="CZ50">
        <f>CY50+'Grid_Incoming'!CZ50-'Grid_Requirement'!CZ50</f>
        <v/>
      </c>
      <c r="DA50">
        <f>CZ50+'Grid_Incoming'!DA50-'Grid_Requirement'!DA50</f>
        <v/>
      </c>
    </row>
    <row r="51">
      <c r="A51" t="inlineStr">
        <is>
          <t>CHEM-1850</t>
        </is>
      </c>
      <c r="B51">
        <f>IFERROR(INDEX(T_OpeningStock[Opening_Qty],MATCH($A51,T_OpeningStock[Part Name],0)),0)+'Grid_Incoming'!B51-'Grid_Requirement'!B51</f>
        <v/>
      </c>
      <c r="C51">
        <f>B51+'Grid_Incoming'!C51-'Grid_Requirement'!C51</f>
        <v/>
      </c>
      <c r="D51">
        <f>C51+'Grid_Incoming'!D51-'Grid_Requirement'!D51</f>
        <v/>
      </c>
      <c r="E51">
        <f>D51+'Grid_Incoming'!E51-'Grid_Requirement'!E51</f>
        <v/>
      </c>
      <c r="F51">
        <f>E51+'Grid_Incoming'!F51-'Grid_Requirement'!F51</f>
        <v/>
      </c>
      <c r="G51">
        <f>F51+'Grid_Incoming'!G51-'Grid_Requirement'!G51</f>
        <v/>
      </c>
      <c r="H51">
        <f>G51+'Grid_Incoming'!H51-'Grid_Requirement'!H51</f>
        <v/>
      </c>
      <c r="I51">
        <f>H51+'Grid_Incoming'!I51-'Grid_Requirement'!I51</f>
        <v/>
      </c>
      <c r="J51">
        <f>I51+'Grid_Incoming'!J51-'Grid_Requirement'!J51</f>
        <v/>
      </c>
      <c r="K51">
        <f>J51+'Grid_Incoming'!K51-'Grid_Requirement'!K51</f>
        <v/>
      </c>
      <c r="L51">
        <f>K51+'Grid_Incoming'!L51-'Grid_Requirement'!L51</f>
        <v/>
      </c>
      <c r="M51">
        <f>L51+'Grid_Incoming'!M51-'Grid_Requirement'!M51</f>
        <v/>
      </c>
      <c r="N51">
        <f>M51+'Grid_Incoming'!N51-'Grid_Requirement'!N51</f>
        <v/>
      </c>
      <c r="O51">
        <f>N51+'Grid_Incoming'!O51-'Grid_Requirement'!O51</f>
        <v/>
      </c>
      <c r="P51">
        <f>O51+'Grid_Incoming'!P51-'Grid_Requirement'!P51</f>
        <v/>
      </c>
      <c r="Q51">
        <f>P51+'Grid_Incoming'!Q51-'Grid_Requirement'!Q51</f>
        <v/>
      </c>
      <c r="R51">
        <f>Q51+'Grid_Incoming'!R51-'Grid_Requirement'!R51</f>
        <v/>
      </c>
      <c r="S51">
        <f>R51+'Grid_Incoming'!S51-'Grid_Requirement'!S51</f>
        <v/>
      </c>
      <c r="T51">
        <f>S51+'Grid_Incoming'!T51-'Grid_Requirement'!T51</f>
        <v/>
      </c>
      <c r="U51">
        <f>T51+'Grid_Incoming'!U51-'Grid_Requirement'!U51</f>
        <v/>
      </c>
      <c r="V51">
        <f>U51+'Grid_Incoming'!V51-'Grid_Requirement'!V51</f>
        <v/>
      </c>
      <c r="W51">
        <f>V51+'Grid_Incoming'!W51-'Grid_Requirement'!W51</f>
        <v/>
      </c>
      <c r="X51">
        <f>W51+'Grid_Incoming'!X51-'Grid_Requirement'!X51</f>
        <v/>
      </c>
      <c r="Y51">
        <f>X51+'Grid_Incoming'!Y51-'Grid_Requirement'!Y51</f>
        <v/>
      </c>
      <c r="Z51">
        <f>Y51+'Grid_Incoming'!Z51-'Grid_Requirement'!Z51</f>
        <v/>
      </c>
      <c r="AA51">
        <f>Z51+'Grid_Incoming'!AA51-'Grid_Requirement'!AA51</f>
        <v/>
      </c>
      <c r="AB51">
        <f>AA51+'Grid_Incoming'!AB51-'Grid_Requirement'!AB51</f>
        <v/>
      </c>
      <c r="AC51">
        <f>AB51+'Grid_Incoming'!AC51-'Grid_Requirement'!AC51</f>
        <v/>
      </c>
      <c r="AD51">
        <f>AC51+'Grid_Incoming'!AD51-'Grid_Requirement'!AD51</f>
        <v/>
      </c>
      <c r="AE51">
        <f>AD51+'Grid_Incoming'!AE51-'Grid_Requirement'!AE51</f>
        <v/>
      </c>
      <c r="AF51">
        <f>AE51+'Grid_Incoming'!AF51-'Grid_Requirement'!AF51</f>
        <v/>
      </c>
      <c r="AG51">
        <f>AF51+'Grid_Incoming'!AG51-'Grid_Requirement'!AG51</f>
        <v/>
      </c>
      <c r="AH51">
        <f>AG51+'Grid_Incoming'!AH51-'Grid_Requirement'!AH51</f>
        <v/>
      </c>
      <c r="AI51">
        <f>AH51+'Grid_Incoming'!AI51-'Grid_Requirement'!AI51</f>
        <v/>
      </c>
      <c r="AJ51">
        <f>AI51+'Grid_Incoming'!AJ51-'Grid_Requirement'!AJ51</f>
        <v/>
      </c>
      <c r="AK51">
        <f>AJ51+'Grid_Incoming'!AK51-'Grid_Requirement'!AK51</f>
        <v/>
      </c>
      <c r="AL51">
        <f>AK51+'Grid_Incoming'!AL51-'Grid_Requirement'!AL51</f>
        <v/>
      </c>
      <c r="AM51">
        <f>AL51+'Grid_Incoming'!AM51-'Grid_Requirement'!AM51</f>
        <v/>
      </c>
      <c r="AN51">
        <f>AM51+'Grid_Incoming'!AN51-'Grid_Requirement'!AN51</f>
        <v/>
      </c>
      <c r="AO51">
        <f>AN51+'Grid_Incoming'!AO51-'Grid_Requirement'!AO51</f>
        <v/>
      </c>
      <c r="AP51">
        <f>AO51+'Grid_Incoming'!AP51-'Grid_Requirement'!AP51</f>
        <v/>
      </c>
      <c r="AQ51">
        <f>AP51+'Grid_Incoming'!AQ51-'Grid_Requirement'!AQ51</f>
        <v/>
      </c>
      <c r="AR51">
        <f>AQ51+'Grid_Incoming'!AR51-'Grid_Requirement'!AR51</f>
        <v/>
      </c>
      <c r="AS51">
        <f>AR51+'Grid_Incoming'!AS51-'Grid_Requirement'!AS51</f>
        <v/>
      </c>
      <c r="AT51">
        <f>AS51+'Grid_Incoming'!AT51-'Grid_Requirement'!AT51</f>
        <v/>
      </c>
      <c r="AU51">
        <f>AT51+'Grid_Incoming'!AU51-'Grid_Requirement'!AU51</f>
        <v/>
      </c>
      <c r="AV51">
        <f>AU51+'Grid_Incoming'!AV51-'Grid_Requirement'!AV51</f>
        <v/>
      </c>
      <c r="AW51">
        <f>AV51+'Grid_Incoming'!AW51-'Grid_Requirement'!AW51</f>
        <v/>
      </c>
      <c r="AX51">
        <f>AW51+'Grid_Incoming'!AX51-'Grid_Requirement'!AX51</f>
        <v/>
      </c>
      <c r="AY51">
        <f>AX51+'Grid_Incoming'!AY51-'Grid_Requirement'!AY51</f>
        <v/>
      </c>
      <c r="AZ51">
        <f>AY51+'Grid_Incoming'!AZ51-'Grid_Requirement'!AZ51</f>
        <v/>
      </c>
      <c r="BA51">
        <f>AZ51+'Grid_Incoming'!BA51-'Grid_Requirement'!BA51</f>
        <v/>
      </c>
      <c r="BB51">
        <f>BA51+'Grid_Incoming'!BB51-'Grid_Requirement'!BB51</f>
        <v/>
      </c>
      <c r="BC51">
        <f>BB51+'Grid_Incoming'!BC51-'Grid_Requirement'!BC51</f>
        <v/>
      </c>
      <c r="BD51">
        <f>BC51+'Grid_Incoming'!BD51-'Grid_Requirement'!BD51</f>
        <v/>
      </c>
      <c r="BE51">
        <f>BD51+'Grid_Incoming'!BE51-'Grid_Requirement'!BE51</f>
        <v/>
      </c>
      <c r="BF51">
        <f>BE51+'Grid_Incoming'!BF51-'Grid_Requirement'!BF51</f>
        <v/>
      </c>
      <c r="BG51">
        <f>BF51+'Grid_Incoming'!BG51-'Grid_Requirement'!BG51</f>
        <v/>
      </c>
      <c r="BH51">
        <f>BG51+'Grid_Incoming'!BH51-'Grid_Requirement'!BH51</f>
        <v/>
      </c>
      <c r="BI51">
        <f>BH51+'Grid_Incoming'!BI51-'Grid_Requirement'!BI51</f>
        <v/>
      </c>
      <c r="BJ51">
        <f>BI51+'Grid_Incoming'!BJ51-'Grid_Requirement'!BJ51</f>
        <v/>
      </c>
      <c r="BK51">
        <f>BJ51+'Grid_Incoming'!BK51-'Grid_Requirement'!BK51</f>
        <v/>
      </c>
      <c r="BL51">
        <f>BK51+'Grid_Incoming'!BL51-'Grid_Requirement'!BL51</f>
        <v/>
      </c>
      <c r="BM51">
        <f>BL51+'Grid_Incoming'!BM51-'Grid_Requirement'!BM51</f>
        <v/>
      </c>
      <c r="BN51">
        <f>BM51+'Grid_Incoming'!BN51-'Grid_Requirement'!BN51</f>
        <v/>
      </c>
      <c r="BO51">
        <f>BN51+'Grid_Incoming'!BO51-'Grid_Requirement'!BO51</f>
        <v/>
      </c>
      <c r="BP51">
        <f>BO51+'Grid_Incoming'!BP51-'Grid_Requirement'!BP51</f>
        <v/>
      </c>
      <c r="BQ51">
        <f>BP51+'Grid_Incoming'!BQ51-'Grid_Requirement'!BQ51</f>
        <v/>
      </c>
      <c r="BR51">
        <f>BQ51+'Grid_Incoming'!BR51-'Grid_Requirement'!BR51</f>
        <v/>
      </c>
      <c r="BS51">
        <f>BR51+'Grid_Incoming'!BS51-'Grid_Requirement'!BS51</f>
        <v/>
      </c>
      <c r="BT51">
        <f>BS51+'Grid_Incoming'!BT51-'Grid_Requirement'!BT51</f>
        <v/>
      </c>
      <c r="BU51">
        <f>BT51+'Grid_Incoming'!BU51-'Grid_Requirement'!BU51</f>
        <v/>
      </c>
      <c r="BV51">
        <f>BU51+'Grid_Incoming'!BV51-'Grid_Requirement'!BV51</f>
        <v/>
      </c>
      <c r="BW51">
        <f>BV51+'Grid_Incoming'!BW51-'Grid_Requirement'!BW51</f>
        <v/>
      </c>
      <c r="BX51">
        <f>BW51+'Grid_Incoming'!BX51-'Grid_Requirement'!BX51</f>
        <v/>
      </c>
      <c r="BY51">
        <f>BX51+'Grid_Incoming'!BY51-'Grid_Requirement'!BY51</f>
        <v/>
      </c>
      <c r="BZ51">
        <f>BY51+'Grid_Incoming'!BZ51-'Grid_Requirement'!BZ51</f>
        <v/>
      </c>
      <c r="CA51">
        <f>BZ51+'Grid_Incoming'!CA51-'Grid_Requirement'!CA51</f>
        <v/>
      </c>
      <c r="CB51">
        <f>CA51+'Grid_Incoming'!CB51-'Grid_Requirement'!CB51</f>
        <v/>
      </c>
      <c r="CC51">
        <f>CB51+'Grid_Incoming'!CC51-'Grid_Requirement'!CC51</f>
        <v/>
      </c>
      <c r="CD51">
        <f>CC51+'Grid_Incoming'!CD51-'Grid_Requirement'!CD51</f>
        <v/>
      </c>
      <c r="CE51">
        <f>CD51+'Grid_Incoming'!CE51-'Grid_Requirement'!CE51</f>
        <v/>
      </c>
      <c r="CF51">
        <f>CE51+'Grid_Incoming'!CF51-'Grid_Requirement'!CF51</f>
        <v/>
      </c>
      <c r="CG51">
        <f>CF51+'Grid_Incoming'!CG51-'Grid_Requirement'!CG51</f>
        <v/>
      </c>
      <c r="CH51">
        <f>CG51+'Grid_Incoming'!CH51-'Grid_Requirement'!CH51</f>
        <v/>
      </c>
      <c r="CI51">
        <f>CH51+'Grid_Incoming'!CI51-'Grid_Requirement'!CI51</f>
        <v/>
      </c>
      <c r="CJ51">
        <f>CI51+'Grid_Incoming'!CJ51-'Grid_Requirement'!CJ51</f>
        <v/>
      </c>
      <c r="CK51">
        <f>CJ51+'Grid_Incoming'!CK51-'Grid_Requirement'!CK51</f>
        <v/>
      </c>
      <c r="CL51">
        <f>CK51+'Grid_Incoming'!CL51-'Grid_Requirement'!CL51</f>
        <v/>
      </c>
      <c r="CM51">
        <f>CL51+'Grid_Incoming'!CM51-'Grid_Requirement'!CM51</f>
        <v/>
      </c>
      <c r="CN51">
        <f>CM51+'Grid_Incoming'!CN51-'Grid_Requirement'!CN51</f>
        <v/>
      </c>
      <c r="CO51">
        <f>CN51+'Grid_Incoming'!CO51-'Grid_Requirement'!CO51</f>
        <v/>
      </c>
      <c r="CP51">
        <f>CO51+'Grid_Incoming'!CP51-'Grid_Requirement'!CP51</f>
        <v/>
      </c>
      <c r="CQ51">
        <f>CP51+'Grid_Incoming'!CQ51-'Grid_Requirement'!CQ51</f>
        <v/>
      </c>
      <c r="CR51">
        <f>CQ51+'Grid_Incoming'!CR51-'Grid_Requirement'!CR51</f>
        <v/>
      </c>
      <c r="CS51">
        <f>CR51+'Grid_Incoming'!CS51-'Grid_Requirement'!CS51</f>
        <v/>
      </c>
      <c r="CT51">
        <f>CS51+'Grid_Incoming'!CT51-'Grid_Requirement'!CT51</f>
        <v/>
      </c>
      <c r="CU51">
        <f>CT51+'Grid_Incoming'!CU51-'Grid_Requirement'!CU51</f>
        <v/>
      </c>
      <c r="CV51">
        <f>CU51+'Grid_Incoming'!CV51-'Grid_Requirement'!CV51</f>
        <v/>
      </c>
      <c r="CW51">
        <f>CV51+'Grid_Incoming'!CW51-'Grid_Requirement'!CW51</f>
        <v/>
      </c>
      <c r="CX51">
        <f>CW51+'Grid_Incoming'!CX51-'Grid_Requirement'!CX51</f>
        <v/>
      </c>
      <c r="CY51">
        <f>CX51+'Grid_Incoming'!CY51-'Grid_Requirement'!CY51</f>
        <v/>
      </c>
      <c r="CZ51">
        <f>CY51+'Grid_Incoming'!CZ51-'Grid_Requirement'!CZ51</f>
        <v/>
      </c>
      <c r="DA51">
        <f>CZ51+'Grid_Incoming'!DA51-'Grid_Requirement'!DA51</f>
        <v/>
      </c>
    </row>
    <row r="52">
      <c r="A52" t="inlineStr">
        <is>
          <t>Original Towel</t>
        </is>
      </c>
      <c r="B52">
        <f>IFERROR(INDEX(T_OpeningStock[Opening_Qty],MATCH($A52,T_OpeningStock[Part Name],0)),0)+'Grid_Incoming'!B52-'Grid_Requirement'!B52</f>
        <v/>
      </c>
      <c r="C52">
        <f>B52+'Grid_Incoming'!C52-'Grid_Requirement'!C52</f>
        <v/>
      </c>
      <c r="D52">
        <f>C52+'Grid_Incoming'!D52-'Grid_Requirement'!D52</f>
        <v/>
      </c>
      <c r="E52">
        <f>D52+'Grid_Incoming'!E52-'Grid_Requirement'!E52</f>
        <v/>
      </c>
      <c r="F52">
        <f>E52+'Grid_Incoming'!F52-'Grid_Requirement'!F52</f>
        <v/>
      </c>
      <c r="G52">
        <f>F52+'Grid_Incoming'!G52-'Grid_Requirement'!G52</f>
        <v/>
      </c>
      <c r="H52">
        <f>G52+'Grid_Incoming'!H52-'Grid_Requirement'!H52</f>
        <v/>
      </c>
      <c r="I52">
        <f>H52+'Grid_Incoming'!I52-'Grid_Requirement'!I52</f>
        <v/>
      </c>
      <c r="J52">
        <f>I52+'Grid_Incoming'!J52-'Grid_Requirement'!J52</f>
        <v/>
      </c>
      <c r="K52">
        <f>J52+'Grid_Incoming'!K52-'Grid_Requirement'!K52</f>
        <v/>
      </c>
      <c r="L52">
        <f>K52+'Grid_Incoming'!L52-'Grid_Requirement'!L52</f>
        <v/>
      </c>
      <c r="M52">
        <f>L52+'Grid_Incoming'!M52-'Grid_Requirement'!M52</f>
        <v/>
      </c>
      <c r="N52">
        <f>M52+'Grid_Incoming'!N52-'Grid_Requirement'!N52</f>
        <v/>
      </c>
      <c r="O52">
        <f>N52+'Grid_Incoming'!O52-'Grid_Requirement'!O52</f>
        <v/>
      </c>
      <c r="P52">
        <f>O52+'Grid_Incoming'!P52-'Grid_Requirement'!P52</f>
        <v/>
      </c>
      <c r="Q52">
        <f>P52+'Grid_Incoming'!Q52-'Grid_Requirement'!Q52</f>
        <v/>
      </c>
      <c r="R52">
        <f>Q52+'Grid_Incoming'!R52-'Grid_Requirement'!R52</f>
        <v/>
      </c>
      <c r="S52">
        <f>R52+'Grid_Incoming'!S52-'Grid_Requirement'!S52</f>
        <v/>
      </c>
      <c r="T52">
        <f>S52+'Grid_Incoming'!T52-'Grid_Requirement'!T52</f>
        <v/>
      </c>
      <c r="U52">
        <f>T52+'Grid_Incoming'!U52-'Grid_Requirement'!U52</f>
        <v/>
      </c>
      <c r="V52">
        <f>U52+'Grid_Incoming'!V52-'Grid_Requirement'!V52</f>
        <v/>
      </c>
      <c r="W52">
        <f>V52+'Grid_Incoming'!W52-'Grid_Requirement'!W52</f>
        <v/>
      </c>
      <c r="X52">
        <f>W52+'Grid_Incoming'!X52-'Grid_Requirement'!X52</f>
        <v/>
      </c>
      <c r="Y52">
        <f>X52+'Grid_Incoming'!Y52-'Grid_Requirement'!Y52</f>
        <v/>
      </c>
      <c r="Z52">
        <f>Y52+'Grid_Incoming'!Z52-'Grid_Requirement'!Z52</f>
        <v/>
      </c>
      <c r="AA52">
        <f>Z52+'Grid_Incoming'!AA52-'Grid_Requirement'!AA52</f>
        <v/>
      </c>
      <c r="AB52">
        <f>AA52+'Grid_Incoming'!AB52-'Grid_Requirement'!AB52</f>
        <v/>
      </c>
      <c r="AC52">
        <f>AB52+'Grid_Incoming'!AC52-'Grid_Requirement'!AC52</f>
        <v/>
      </c>
      <c r="AD52">
        <f>AC52+'Grid_Incoming'!AD52-'Grid_Requirement'!AD52</f>
        <v/>
      </c>
      <c r="AE52">
        <f>AD52+'Grid_Incoming'!AE52-'Grid_Requirement'!AE52</f>
        <v/>
      </c>
      <c r="AF52">
        <f>AE52+'Grid_Incoming'!AF52-'Grid_Requirement'!AF52</f>
        <v/>
      </c>
      <c r="AG52">
        <f>AF52+'Grid_Incoming'!AG52-'Grid_Requirement'!AG52</f>
        <v/>
      </c>
      <c r="AH52">
        <f>AG52+'Grid_Incoming'!AH52-'Grid_Requirement'!AH52</f>
        <v/>
      </c>
      <c r="AI52">
        <f>AH52+'Grid_Incoming'!AI52-'Grid_Requirement'!AI52</f>
        <v/>
      </c>
      <c r="AJ52">
        <f>AI52+'Grid_Incoming'!AJ52-'Grid_Requirement'!AJ52</f>
        <v/>
      </c>
      <c r="AK52">
        <f>AJ52+'Grid_Incoming'!AK52-'Grid_Requirement'!AK52</f>
        <v/>
      </c>
      <c r="AL52">
        <f>AK52+'Grid_Incoming'!AL52-'Grid_Requirement'!AL52</f>
        <v/>
      </c>
      <c r="AM52">
        <f>AL52+'Grid_Incoming'!AM52-'Grid_Requirement'!AM52</f>
        <v/>
      </c>
      <c r="AN52">
        <f>AM52+'Grid_Incoming'!AN52-'Grid_Requirement'!AN52</f>
        <v/>
      </c>
      <c r="AO52">
        <f>AN52+'Grid_Incoming'!AO52-'Grid_Requirement'!AO52</f>
        <v/>
      </c>
      <c r="AP52">
        <f>AO52+'Grid_Incoming'!AP52-'Grid_Requirement'!AP52</f>
        <v/>
      </c>
      <c r="AQ52">
        <f>AP52+'Grid_Incoming'!AQ52-'Grid_Requirement'!AQ52</f>
        <v/>
      </c>
      <c r="AR52">
        <f>AQ52+'Grid_Incoming'!AR52-'Grid_Requirement'!AR52</f>
        <v/>
      </c>
      <c r="AS52">
        <f>AR52+'Grid_Incoming'!AS52-'Grid_Requirement'!AS52</f>
        <v/>
      </c>
      <c r="AT52">
        <f>AS52+'Grid_Incoming'!AT52-'Grid_Requirement'!AT52</f>
        <v/>
      </c>
      <c r="AU52">
        <f>AT52+'Grid_Incoming'!AU52-'Grid_Requirement'!AU52</f>
        <v/>
      </c>
      <c r="AV52">
        <f>AU52+'Grid_Incoming'!AV52-'Grid_Requirement'!AV52</f>
        <v/>
      </c>
      <c r="AW52">
        <f>AV52+'Grid_Incoming'!AW52-'Grid_Requirement'!AW52</f>
        <v/>
      </c>
      <c r="AX52">
        <f>AW52+'Grid_Incoming'!AX52-'Grid_Requirement'!AX52</f>
        <v/>
      </c>
      <c r="AY52">
        <f>AX52+'Grid_Incoming'!AY52-'Grid_Requirement'!AY52</f>
        <v/>
      </c>
      <c r="AZ52">
        <f>AY52+'Grid_Incoming'!AZ52-'Grid_Requirement'!AZ52</f>
        <v/>
      </c>
      <c r="BA52">
        <f>AZ52+'Grid_Incoming'!BA52-'Grid_Requirement'!BA52</f>
        <v/>
      </c>
      <c r="BB52">
        <f>BA52+'Grid_Incoming'!BB52-'Grid_Requirement'!BB52</f>
        <v/>
      </c>
      <c r="BC52">
        <f>BB52+'Grid_Incoming'!BC52-'Grid_Requirement'!BC52</f>
        <v/>
      </c>
      <c r="BD52">
        <f>BC52+'Grid_Incoming'!BD52-'Grid_Requirement'!BD52</f>
        <v/>
      </c>
      <c r="BE52">
        <f>BD52+'Grid_Incoming'!BE52-'Grid_Requirement'!BE52</f>
        <v/>
      </c>
      <c r="BF52">
        <f>BE52+'Grid_Incoming'!BF52-'Grid_Requirement'!BF52</f>
        <v/>
      </c>
      <c r="BG52">
        <f>BF52+'Grid_Incoming'!BG52-'Grid_Requirement'!BG52</f>
        <v/>
      </c>
      <c r="BH52">
        <f>BG52+'Grid_Incoming'!BH52-'Grid_Requirement'!BH52</f>
        <v/>
      </c>
      <c r="BI52">
        <f>BH52+'Grid_Incoming'!BI52-'Grid_Requirement'!BI52</f>
        <v/>
      </c>
      <c r="BJ52">
        <f>BI52+'Grid_Incoming'!BJ52-'Grid_Requirement'!BJ52</f>
        <v/>
      </c>
      <c r="BK52">
        <f>BJ52+'Grid_Incoming'!BK52-'Grid_Requirement'!BK52</f>
        <v/>
      </c>
      <c r="BL52">
        <f>BK52+'Grid_Incoming'!BL52-'Grid_Requirement'!BL52</f>
        <v/>
      </c>
      <c r="BM52">
        <f>BL52+'Grid_Incoming'!BM52-'Grid_Requirement'!BM52</f>
        <v/>
      </c>
      <c r="BN52">
        <f>BM52+'Grid_Incoming'!BN52-'Grid_Requirement'!BN52</f>
        <v/>
      </c>
      <c r="BO52">
        <f>BN52+'Grid_Incoming'!BO52-'Grid_Requirement'!BO52</f>
        <v/>
      </c>
      <c r="BP52">
        <f>BO52+'Grid_Incoming'!BP52-'Grid_Requirement'!BP52</f>
        <v/>
      </c>
      <c r="BQ52">
        <f>BP52+'Grid_Incoming'!BQ52-'Grid_Requirement'!BQ52</f>
        <v/>
      </c>
      <c r="BR52">
        <f>BQ52+'Grid_Incoming'!BR52-'Grid_Requirement'!BR52</f>
        <v/>
      </c>
      <c r="BS52">
        <f>BR52+'Grid_Incoming'!BS52-'Grid_Requirement'!BS52</f>
        <v/>
      </c>
      <c r="BT52">
        <f>BS52+'Grid_Incoming'!BT52-'Grid_Requirement'!BT52</f>
        <v/>
      </c>
      <c r="BU52">
        <f>BT52+'Grid_Incoming'!BU52-'Grid_Requirement'!BU52</f>
        <v/>
      </c>
      <c r="BV52">
        <f>BU52+'Grid_Incoming'!BV52-'Grid_Requirement'!BV52</f>
        <v/>
      </c>
      <c r="BW52">
        <f>BV52+'Grid_Incoming'!BW52-'Grid_Requirement'!BW52</f>
        <v/>
      </c>
      <c r="BX52">
        <f>BW52+'Grid_Incoming'!BX52-'Grid_Requirement'!BX52</f>
        <v/>
      </c>
      <c r="BY52">
        <f>BX52+'Grid_Incoming'!BY52-'Grid_Requirement'!BY52</f>
        <v/>
      </c>
      <c r="BZ52">
        <f>BY52+'Grid_Incoming'!BZ52-'Grid_Requirement'!BZ52</f>
        <v/>
      </c>
      <c r="CA52">
        <f>BZ52+'Grid_Incoming'!CA52-'Grid_Requirement'!CA52</f>
        <v/>
      </c>
      <c r="CB52">
        <f>CA52+'Grid_Incoming'!CB52-'Grid_Requirement'!CB52</f>
        <v/>
      </c>
      <c r="CC52">
        <f>CB52+'Grid_Incoming'!CC52-'Grid_Requirement'!CC52</f>
        <v/>
      </c>
      <c r="CD52">
        <f>CC52+'Grid_Incoming'!CD52-'Grid_Requirement'!CD52</f>
        <v/>
      </c>
      <c r="CE52">
        <f>CD52+'Grid_Incoming'!CE52-'Grid_Requirement'!CE52</f>
        <v/>
      </c>
      <c r="CF52">
        <f>CE52+'Grid_Incoming'!CF52-'Grid_Requirement'!CF52</f>
        <v/>
      </c>
      <c r="CG52">
        <f>CF52+'Grid_Incoming'!CG52-'Grid_Requirement'!CG52</f>
        <v/>
      </c>
      <c r="CH52">
        <f>CG52+'Grid_Incoming'!CH52-'Grid_Requirement'!CH52</f>
        <v/>
      </c>
      <c r="CI52">
        <f>CH52+'Grid_Incoming'!CI52-'Grid_Requirement'!CI52</f>
        <v/>
      </c>
      <c r="CJ52">
        <f>CI52+'Grid_Incoming'!CJ52-'Grid_Requirement'!CJ52</f>
        <v/>
      </c>
      <c r="CK52">
        <f>CJ52+'Grid_Incoming'!CK52-'Grid_Requirement'!CK52</f>
        <v/>
      </c>
      <c r="CL52">
        <f>CK52+'Grid_Incoming'!CL52-'Grid_Requirement'!CL52</f>
        <v/>
      </c>
      <c r="CM52">
        <f>CL52+'Grid_Incoming'!CM52-'Grid_Requirement'!CM52</f>
        <v/>
      </c>
      <c r="CN52">
        <f>CM52+'Grid_Incoming'!CN52-'Grid_Requirement'!CN52</f>
        <v/>
      </c>
      <c r="CO52">
        <f>CN52+'Grid_Incoming'!CO52-'Grid_Requirement'!CO52</f>
        <v/>
      </c>
      <c r="CP52">
        <f>CO52+'Grid_Incoming'!CP52-'Grid_Requirement'!CP52</f>
        <v/>
      </c>
      <c r="CQ52">
        <f>CP52+'Grid_Incoming'!CQ52-'Grid_Requirement'!CQ52</f>
        <v/>
      </c>
      <c r="CR52">
        <f>CQ52+'Grid_Incoming'!CR52-'Grid_Requirement'!CR52</f>
        <v/>
      </c>
      <c r="CS52">
        <f>CR52+'Grid_Incoming'!CS52-'Grid_Requirement'!CS52</f>
        <v/>
      </c>
      <c r="CT52">
        <f>CS52+'Grid_Incoming'!CT52-'Grid_Requirement'!CT52</f>
        <v/>
      </c>
      <c r="CU52">
        <f>CT52+'Grid_Incoming'!CU52-'Grid_Requirement'!CU52</f>
        <v/>
      </c>
      <c r="CV52">
        <f>CU52+'Grid_Incoming'!CV52-'Grid_Requirement'!CV52</f>
        <v/>
      </c>
      <c r="CW52">
        <f>CV52+'Grid_Incoming'!CW52-'Grid_Requirement'!CW52</f>
        <v/>
      </c>
      <c r="CX52">
        <f>CW52+'Grid_Incoming'!CX52-'Grid_Requirement'!CX52</f>
        <v/>
      </c>
      <c r="CY52">
        <f>CX52+'Grid_Incoming'!CY52-'Grid_Requirement'!CY52</f>
        <v/>
      </c>
      <c r="CZ52">
        <f>CY52+'Grid_Incoming'!CZ52-'Grid_Requirement'!CZ52</f>
        <v/>
      </c>
      <c r="DA52">
        <f>CZ52+'Grid_Incoming'!DA52-'Grid_Requirement'!DA52</f>
        <v/>
      </c>
    </row>
    <row r="53">
      <c r="A53" t="inlineStr">
        <is>
          <t>Ester Film</t>
        </is>
      </c>
      <c r="B53">
        <f>IFERROR(INDEX(T_OpeningStock[Opening_Qty],MATCH($A53,T_OpeningStock[Part Name],0)),0)+'Grid_Incoming'!B53-'Grid_Requirement'!B53</f>
        <v/>
      </c>
      <c r="C53">
        <f>B53+'Grid_Incoming'!C53-'Grid_Requirement'!C53</f>
        <v/>
      </c>
      <c r="D53">
        <f>C53+'Grid_Incoming'!D53-'Grid_Requirement'!D53</f>
        <v/>
      </c>
      <c r="E53">
        <f>D53+'Grid_Incoming'!E53-'Grid_Requirement'!E53</f>
        <v/>
      </c>
      <c r="F53">
        <f>E53+'Grid_Incoming'!F53-'Grid_Requirement'!F53</f>
        <v/>
      </c>
      <c r="G53">
        <f>F53+'Grid_Incoming'!G53-'Grid_Requirement'!G53</f>
        <v/>
      </c>
      <c r="H53">
        <f>G53+'Grid_Incoming'!H53-'Grid_Requirement'!H53</f>
        <v/>
      </c>
      <c r="I53">
        <f>H53+'Grid_Incoming'!I53-'Grid_Requirement'!I53</f>
        <v/>
      </c>
      <c r="J53">
        <f>I53+'Grid_Incoming'!J53-'Grid_Requirement'!J53</f>
        <v/>
      </c>
      <c r="K53">
        <f>J53+'Grid_Incoming'!K53-'Grid_Requirement'!K53</f>
        <v/>
      </c>
      <c r="L53">
        <f>K53+'Grid_Incoming'!L53-'Grid_Requirement'!L53</f>
        <v/>
      </c>
      <c r="M53">
        <f>L53+'Grid_Incoming'!M53-'Grid_Requirement'!M53</f>
        <v/>
      </c>
      <c r="N53">
        <f>M53+'Grid_Incoming'!N53-'Grid_Requirement'!N53</f>
        <v/>
      </c>
      <c r="O53">
        <f>N53+'Grid_Incoming'!O53-'Grid_Requirement'!O53</f>
        <v/>
      </c>
      <c r="P53">
        <f>O53+'Grid_Incoming'!P53-'Grid_Requirement'!P53</f>
        <v/>
      </c>
      <c r="Q53">
        <f>P53+'Grid_Incoming'!Q53-'Grid_Requirement'!Q53</f>
        <v/>
      </c>
      <c r="R53">
        <f>Q53+'Grid_Incoming'!R53-'Grid_Requirement'!R53</f>
        <v/>
      </c>
      <c r="S53">
        <f>R53+'Grid_Incoming'!S53-'Grid_Requirement'!S53</f>
        <v/>
      </c>
      <c r="T53">
        <f>S53+'Grid_Incoming'!T53-'Grid_Requirement'!T53</f>
        <v/>
      </c>
      <c r="U53">
        <f>T53+'Grid_Incoming'!U53-'Grid_Requirement'!U53</f>
        <v/>
      </c>
      <c r="V53">
        <f>U53+'Grid_Incoming'!V53-'Grid_Requirement'!V53</f>
        <v/>
      </c>
      <c r="W53">
        <f>V53+'Grid_Incoming'!W53-'Grid_Requirement'!W53</f>
        <v/>
      </c>
      <c r="X53">
        <f>W53+'Grid_Incoming'!X53-'Grid_Requirement'!X53</f>
        <v/>
      </c>
      <c r="Y53">
        <f>X53+'Grid_Incoming'!Y53-'Grid_Requirement'!Y53</f>
        <v/>
      </c>
      <c r="Z53">
        <f>Y53+'Grid_Incoming'!Z53-'Grid_Requirement'!Z53</f>
        <v/>
      </c>
      <c r="AA53">
        <f>Z53+'Grid_Incoming'!AA53-'Grid_Requirement'!AA53</f>
        <v/>
      </c>
      <c r="AB53">
        <f>AA53+'Grid_Incoming'!AB53-'Grid_Requirement'!AB53</f>
        <v/>
      </c>
      <c r="AC53">
        <f>AB53+'Grid_Incoming'!AC53-'Grid_Requirement'!AC53</f>
        <v/>
      </c>
      <c r="AD53">
        <f>AC53+'Grid_Incoming'!AD53-'Grid_Requirement'!AD53</f>
        <v/>
      </c>
      <c r="AE53">
        <f>AD53+'Grid_Incoming'!AE53-'Grid_Requirement'!AE53</f>
        <v/>
      </c>
      <c r="AF53">
        <f>AE53+'Grid_Incoming'!AF53-'Grid_Requirement'!AF53</f>
        <v/>
      </c>
      <c r="AG53">
        <f>AF53+'Grid_Incoming'!AG53-'Grid_Requirement'!AG53</f>
        <v/>
      </c>
      <c r="AH53">
        <f>AG53+'Grid_Incoming'!AH53-'Grid_Requirement'!AH53</f>
        <v/>
      </c>
      <c r="AI53">
        <f>AH53+'Grid_Incoming'!AI53-'Grid_Requirement'!AI53</f>
        <v/>
      </c>
      <c r="AJ53">
        <f>AI53+'Grid_Incoming'!AJ53-'Grid_Requirement'!AJ53</f>
        <v/>
      </c>
      <c r="AK53">
        <f>AJ53+'Grid_Incoming'!AK53-'Grid_Requirement'!AK53</f>
        <v/>
      </c>
      <c r="AL53">
        <f>AK53+'Grid_Incoming'!AL53-'Grid_Requirement'!AL53</f>
        <v/>
      </c>
      <c r="AM53">
        <f>AL53+'Grid_Incoming'!AM53-'Grid_Requirement'!AM53</f>
        <v/>
      </c>
      <c r="AN53">
        <f>AM53+'Grid_Incoming'!AN53-'Grid_Requirement'!AN53</f>
        <v/>
      </c>
      <c r="AO53">
        <f>AN53+'Grid_Incoming'!AO53-'Grid_Requirement'!AO53</f>
        <v/>
      </c>
      <c r="AP53">
        <f>AO53+'Grid_Incoming'!AP53-'Grid_Requirement'!AP53</f>
        <v/>
      </c>
      <c r="AQ53">
        <f>AP53+'Grid_Incoming'!AQ53-'Grid_Requirement'!AQ53</f>
        <v/>
      </c>
      <c r="AR53">
        <f>AQ53+'Grid_Incoming'!AR53-'Grid_Requirement'!AR53</f>
        <v/>
      </c>
      <c r="AS53">
        <f>AR53+'Grid_Incoming'!AS53-'Grid_Requirement'!AS53</f>
        <v/>
      </c>
      <c r="AT53">
        <f>AS53+'Grid_Incoming'!AT53-'Grid_Requirement'!AT53</f>
        <v/>
      </c>
      <c r="AU53">
        <f>AT53+'Grid_Incoming'!AU53-'Grid_Requirement'!AU53</f>
        <v/>
      </c>
      <c r="AV53">
        <f>AU53+'Grid_Incoming'!AV53-'Grid_Requirement'!AV53</f>
        <v/>
      </c>
      <c r="AW53">
        <f>AV53+'Grid_Incoming'!AW53-'Grid_Requirement'!AW53</f>
        <v/>
      </c>
      <c r="AX53">
        <f>AW53+'Grid_Incoming'!AX53-'Grid_Requirement'!AX53</f>
        <v/>
      </c>
      <c r="AY53">
        <f>AX53+'Grid_Incoming'!AY53-'Grid_Requirement'!AY53</f>
        <v/>
      </c>
      <c r="AZ53">
        <f>AY53+'Grid_Incoming'!AZ53-'Grid_Requirement'!AZ53</f>
        <v/>
      </c>
      <c r="BA53">
        <f>AZ53+'Grid_Incoming'!BA53-'Grid_Requirement'!BA53</f>
        <v/>
      </c>
      <c r="BB53">
        <f>BA53+'Grid_Incoming'!BB53-'Grid_Requirement'!BB53</f>
        <v/>
      </c>
      <c r="BC53">
        <f>BB53+'Grid_Incoming'!BC53-'Grid_Requirement'!BC53</f>
        <v/>
      </c>
      <c r="BD53">
        <f>BC53+'Grid_Incoming'!BD53-'Grid_Requirement'!BD53</f>
        <v/>
      </c>
      <c r="BE53">
        <f>BD53+'Grid_Incoming'!BE53-'Grid_Requirement'!BE53</f>
        <v/>
      </c>
      <c r="BF53">
        <f>BE53+'Grid_Incoming'!BF53-'Grid_Requirement'!BF53</f>
        <v/>
      </c>
      <c r="BG53">
        <f>BF53+'Grid_Incoming'!BG53-'Grid_Requirement'!BG53</f>
        <v/>
      </c>
      <c r="BH53">
        <f>BG53+'Grid_Incoming'!BH53-'Grid_Requirement'!BH53</f>
        <v/>
      </c>
      <c r="BI53">
        <f>BH53+'Grid_Incoming'!BI53-'Grid_Requirement'!BI53</f>
        <v/>
      </c>
      <c r="BJ53">
        <f>BI53+'Grid_Incoming'!BJ53-'Grid_Requirement'!BJ53</f>
        <v/>
      </c>
      <c r="BK53">
        <f>BJ53+'Grid_Incoming'!BK53-'Grid_Requirement'!BK53</f>
        <v/>
      </c>
      <c r="BL53">
        <f>BK53+'Grid_Incoming'!BL53-'Grid_Requirement'!BL53</f>
        <v/>
      </c>
      <c r="BM53">
        <f>BL53+'Grid_Incoming'!BM53-'Grid_Requirement'!BM53</f>
        <v/>
      </c>
      <c r="BN53">
        <f>BM53+'Grid_Incoming'!BN53-'Grid_Requirement'!BN53</f>
        <v/>
      </c>
      <c r="BO53">
        <f>BN53+'Grid_Incoming'!BO53-'Grid_Requirement'!BO53</f>
        <v/>
      </c>
      <c r="BP53">
        <f>BO53+'Grid_Incoming'!BP53-'Grid_Requirement'!BP53</f>
        <v/>
      </c>
      <c r="BQ53">
        <f>BP53+'Grid_Incoming'!BQ53-'Grid_Requirement'!BQ53</f>
        <v/>
      </c>
      <c r="BR53">
        <f>BQ53+'Grid_Incoming'!BR53-'Grid_Requirement'!BR53</f>
        <v/>
      </c>
      <c r="BS53">
        <f>BR53+'Grid_Incoming'!BS53-'Grid_Requirement'!BS53</f>
        <v/>
      </c>
      <c r="BT53">
        <f>BS53+'Grid_Incoming'!BT53-'Grid_Requirement'!BT53</f>
        <v/>
      </c>
      <c r="BU53">
        <f>BT53+'Grid_Incoming'!BU53-'Grid_Requirement'!BU53</f>
        <v/>
      </c>
      <c r="BV53">
        <f>BU53+'Grid_Incoming'!BV53-'Grid_Requirement'!BV53</f>
        <v/>
      </c>
      <c r="BW53">
        <f>BV53+'Grid_Incoming'!BW53-'Grid_Requirement'!BW53</f>
        <v/>
      </c>
      <c r="BX53">
        <f>BW53+'Grid_Incoming'!BX53-'Grid_Requirement'!BX53</f>
        <v/>
      </c>
      <c r="BY53">
        <f>BX53+'Grid_Incoming'!BY53-'Grid_Requirement'!BY53</f>
        <v/>
      </c>
      <c r="BZ53">
        <f>BY53+'Grid_Incoming'!BZ53-'Grid_Requirement'!BZ53</f>
        <v/>
      </c>
      <c r="CA53">
        <f>BZ53+'Grid_Incoming'!CA53-'Grid_Requirement'!CA53</f>
        <v/>
      </c>
      <c r="CB53">
        <f>CA53+'Grid_Incoming'!CB53-'Grid_Requirement'!CB53</f>
        <v/>
      </c>
      <c r="CC53">
        <f>CB53+'Grid_Incoming'!CC53-'Grid_Requirement'!CC53</f>
        <v/>
      </c>
      <c r="CD53">
        <f>CC53+'Grid_Incoming'!CD53-'Grid_Requirement'!CD53</f>
        <v/>
      </c>
      <c r="CE53">
        <f>CD53+'Grid_Incoming'!CE53-'Grid_Requirement'!CE53</f>
        <v/>
      </c>
      <c r="CF53">
        <f>CE53+'Grid_Incoming'!CF53-'Grid_Requirement'!CF53</f>
        <v/>
      </c>
      <c r="CG53">
        <f>CF53+'Grid_Incoming'!CG53-'Grid_Requirement'!CG53</f>
        <v/>
      </c>
      <c r="CH53">
        <f>CG53+'Grid_Incoming'!CH53-'Grid_Requirement'!CH53</f>
        <v/>
      </c>
      <c r="CI53">
        <f>CH53+'Grid_Incoming'!CI53-'Grid_Requirement'!CI53</f>
        <v/>
      </c>
      <c r="CJ53">
        <f>CI53+'Grid_Incoming'!CJ53-'Grid_Requirement'!CJ53</f>
        <v/>
      </c>
      <c r="CK53">
        <f>CJ53+'Grid_Incoming'!CK53-'Grid_Requirement'!CK53</f>
        <v/>
      </c>
      <c r="CL53">
        <f>CK53+'Grid_Incoming'!CL53-'Grid_Requirement'!CL53</f>
        <v/>
      </c>
      <c r="CM53">
        <f>CL53+'Grid_Incoming'!CM53-'Grid_Requirement'!CM53</f>
        <v/>
      </c>
      <c r="CN53">
        <f>CM53+'Grid_Incoming'!CN53-'Grid_Requirement'!CN53</f>
        <v/>
      </c>
      <c r="CO53">
        <f>CN53+'Grid_Incoming'!CO53-'Grid_Requirement'!CO53</f>
        <v/>
      </c>
      <c r="CP53">
        <f>CO53+'Grid_Incoming'!CP53-'Grid_Requirement'!CP53</f>
        <v/>
      </c>
      <c r="CQ53">
        <f>CP53+'Grid_Incoming'!CQ53-'Grid_Requirement'!CQ53</f>
        <v/>
      </c>
      <c r="CR53">
        <f>CQ53+'Grid_Incoming'!CR53-'Grid_Requirement'!CR53</f>
        <v/>
      </c>
      <c r="CS53">
        <f>CR53+'Grid_Incoming'!CS53-'Grid_Requirement'!CS53</f>
        <v/>
      </c>
      <c r="CT53">
        <f>CS53+'Grid_Incoming'!CT53-'Grid_Requirement'!CT53</f>
        <v/>
      </c>
      <c r="CU53">
        <f>CT53+'Grid_Incoming'!CU53-'Grid_Requirement'!CU53</f>
        <v/>
      </c>
      <c r="CV53">
        <f>CU53+'Grid_Incoming'!CV53-'Grid_Requirement'!CV53</f>
        <v/>
      </c>
      <c r="CW53">
        <f>CV53+'Grid_Incoming'!CW53-'Grid_Requirement'!CW53</f>
        <v/>
      </c>
      <c r="CX53">
        <f>CW53+'Grid_Incoming'!CX53-'Grid_Requirement'!CX53</f>
        <v/>
      </c>
      <c r="CY53">
        <f>CX53+'Grid_Incoming'!CY53-'Grid_Requirement'!CY53</f>
        <v/>
      </c>
      <c r="CZ53">
        <f>CY53+'Grid_Incoming'!CZ53-'Grid_Requirement'!CZ53</f>
        <v/>
      </c>
      <c r="DA53">
        <f>CZ53+'Grid_Incoming'!DA53-'Grid_Requirement'!DA53</f>
        <v/>
      </c>
    </row>
    <row r="54">
      <c r="A54" t="inlineStr">
        <is>
          <t>PP Film</t>
        </is>
      </c>
      <c r="B54">
        <f>IFERROR(INDEX(T_OpeningStock[Opening_Qty],MATCH($A54,T_OpeningStock[Part Name],0)),0)+'Grid_Incoming'!B54-'Grid_Requirement'!B54</f>
        <v/>
      </c>
      <c r="C54">
        <f>B54+'Grid_Incoming'!C54-'Grid_Requirement'!C54</f>
        <v/>
      </c>
      <c r="D54">
        <f>C54+'Grid_Incoming'!D54-'Grid_Requirement'!D54</f>
        <v/>
      </c>
      <c r="E54">
        <f>D54+'Grid_Incoming'!E54-'Grid_Requirement'!E54</f>
        <v/>
      </c>
      <c r="F54">
        <f>E54+'Grid_Incoming'!F54-'Grid_Requirement'!F54</f>
        <v/>
      </c>
      <c r="G54">
        <f>F54+'Grid_Incoming'!G54-'Grid_Requirement'!G54</f>
        <v/>
      </c>
      <c r="H54">
        <f>G54+'Grid_Incoming'!H54-'Grid_Requirement'!H54</f>
        <v/>
      </c>
      <c r="I54">
        <f>H54+'Grid_Incoming'!I54-'Grid_Requirement'!I54</f>
        <v/>
      </c>
      <c r="J54">
        <f>I54+'Grid_Incoming'!J54-'Grid_Requirement'!J54</f>
        <v/>
      </c>
      <c r="K54">
        <f>J54+'Grid_Incoming'!K54-'Grid_Requirement'!K54</f>
        <v/>
      </c>
      <c r="L54">
        <f>K54+'Grid_Incoming'!L54-'Grid_Requirement'!L54</f>
        <v/>
      </c>
      <c r="M54">
        <f>L54+'Grid_Incoming'!M54-'Grid_Requirement'!M54</f>
        <v/>
      </c>
      <c r="N54">
        <f>M54+'Grid_Incoming'!N54-'Grid_Requirement'!N54</f>
        <v/>
      </c>
      <c r="O54">
        <f>N54+'Grid_Incoming'!O54-'Grid_Requirement'!O54</f>
        <v/>
      </c>
      <c r="P54">
        <f>O54+'Grid_Incoming'!P54-'Grid_Requirement'!P54</f>
        <v/>
      </c>
      <c r="Q54">
        <f>P54+'Grid_Incoming'!Q54-'Grid_Requirement'!Q54</f>
        <v/>
      </c>
      <c r="R54">
        <f>Q54+'Grid_Incoming'!R54-'Grid_Requirement'!R54</f>
        <v/>
      </c>
      <c r="S54">
        <f>R54+'Grid_Incoming'!S54-'Grid_Requirement'!S54</f>
        <v/>
      </c>
      <c r="T54">
        <f>S54+'Grid_Incoming'!T54-'Grid_Requirement'!T54</f>
        <v/>
      </c>
      <c r="U54">
        <f>T54+'Grid_Incoming'!U54-'Grid_Requirement'!U54</f>
        <v/>
      </c>
      <c r="V54">
        <f>U54+'Grid_Incoming'!V54-'Grid_Requirement'!V54</f>
        <v/>
      </c>
      <c r="W54">
        <f>V54+'Grid_Incoming'!W54-'Grid_Requirement'!W54</f>
        <v/>
      </c>
      <c r="X54">
        <f>W54+'Grid_Incoming'!X54-'Grid_Requirement'!X54</f>
        <v/>
      </c>
      <c r="Y54">
        <f>X54+'Grid_Incoming'!Y54-'Grid_Requirement'!Y54</f>
        <v/>
      </c>
      <c r="Z54">
        <f>Y54+'Grid_Incoming'!Z54-'Grid_Requirement'!Z54</f>
        <v/>
      </c>
      <c r="AA54">
        <f>Z54+'Grid_Incoming'!AA54-'Grid_Requirement'!AA54</f>
        <v/>
      </c>
      <c r="AB54">
        <f>AA54+'Grid_Incoming'!AB54-'Grid_Requirement'!AB54</f>
        <v/>
      </c>
      <c r="AC54">
        <f>AB54+'Grid_Incoming'!AC54-'Grid_Requirement'!AC54</f>
        <v/>
      </c>
      <c r="AD54">
        <f>AC54+'Grid_Incoming'!AD54-'Grid_Requirement'!AD54</f>
        <v/>
      </c>
      <c r="AE54">
        <f>AD54+'Grid_Incoming'!AE54-'Grid_Requirement'!AE54</f>
        <v/>
      </c>
      <c r="AF54">
        <f>AE54+'Grid_Incoming'!AF54-'Grid_Requirement'!AF54</f>
        <v/>
      </c>
      <c r="AG54">
        <f>AF54+'Grid_Incoming'!AG54-'Grid_Requirement'!AG54</f>
        <v/>
      </c>
      <c r="AH54">
        <f>AG54+'Grid_Incoming'!AH54-'Grid_Requirement'!AH54</f>
        <v/>
      </c>
      <c r="AI54">
        <f>AH54+'Grid_Incoming'!AI54-'Grid_Requirement'!AI54</f>
        <v/>
      </c>
      <c r="AJ54">
        <f>AI54+'Grid_Incoming'!AJ54-'Grid_Requirement'!AJ54</f>
        <v/>
      </c>
      <c r="AK54">
        <f>AJ54+'Grid_Incoming'!AK54-'Grid_Requirement'!AK54</f>
        <v/>
      </c>
      <c r="AL54">
        <f>AK54+'Grid_Incoming'!AL54-'Grid_Requirement'!AL54</f>
        <v/>
      </c>
      <c r="AM54">
        <f>AL54+'Grid_Incoming'!AM54-'Grid_Requirement'!AM54</f>
        <v/>
      </c>
      <c r="AN54">
        <f>AM54+'Grid_Incoming'!AN54-'Grid_Requirement'!AN54</f>
        <v/>
      </c>
      <c r="AO54">
        <f>AN54+'Grid_Incoming'!AO54-'Grid_Requirement'!AO54</f>
        <v/>
      </c>
      <c r="AP54">
        <f>AO54+'Grid_Incoming'!AP54-'Grid_Requirement'!AP54</f>
        <v/>
      </c>
      <c r="AQ54">
        <f>AP54+'Grid_Incoming'!AQ54-'Grid_Requirement'!AQ54</f>
        <v/>
      </c>
      <c r="AR54">
        <f>AQ54+'Grid_Incoming'!AR54-'Grid_Requirement'!AR54</f>
        <v/>
      </c>
      <c r="AS54">
        <f>AR54+'Grid_Incoming'!AS54-'Grid_Requirement'!AS54</f>
        <v/>
      </c>
      <c r="AT54">
        <f>AS54+'Grid_Incoming'!AT54-'Grid_Requirement'!AT54</f>
        <v/>
      </c>
      <c r="AU54">
        <f>AT54+'Grid_Incoming'!AU54-'Grid_Requirement'!AU54</f>
        <v/>
      </c>
      <c r="AV54">
        <f>AU54+'Grid_Incoming'!AV54-'Grid_Requirement'!AV54</f>
        <v/>
      </c>
      <c r="AW54">
        <f>AV54+'Grid_Incoming'!AW54-'Grid_Requirement'!AW54</f>
        <v/>
      </c>
      <c r="AX54">
        <f>AW54+'Grid_Incoming'!AX54-'Grid_Requirement'!AX54</f>
        <v/>
      </c>
      <c r="AY54">
        <f>AX54+'Grid_Incoming'!AY54-'Grid_Requirement'!AY54</f>
        <v/>
      </c>
      <c r="AZ54">
        <f>AY54+'Grid_Incoming'!AZ54-'Grid_Requirement'!AZ54</f>
        <v/>
      </c>
      <c r="BA54">
        <f>AZ54+'Grid_Incoming'!BA54-'Grid_Requirement'!BA54</f>
        <v/>
      </c>
      <c r="BB54">
        <f>BA54+'Grid_Incoming'!BB54-'Grid_Requirement'!BB54</f>
        <v/>
      </c>
      <c r="BC54">
        <f>BB54+'Grid_Incoming'!BC54-'Grid_Requirement'!BC54</f>
        <v/>
      </c>
      <c r="BD54">
        <f>BC54+'Grid_Incoming'!BD54-'Grid_Requirement'!BD54</f>
        <v/>
      </c>
      <c r="BE54">
        <f>BD54+'Grid_Incoming'!BE54-'Grid_Requirement'!BE54</f>
        <v/>
      </c>
      <c r="BF54">
        <f>BE54+'Grid_Incoming'!BF54-'Grid_Requirement'!BF54</f>
        <v/>
      </c>
      <c r="BG54">
        <f>BF54+'Grid_Incoming'!BG54-'Grid_Requirement'!BG54</f>
        <v/>
      </c>
      <c r="BH54">
        <f>BG54+'Grid_Incoming'!BH54-'Grid_Requirement'!BH54</f>
        <v/>
      </c>
      <c r="BI54">
        <f>BH54+'Grid_Incoming'!BI54-'Grid_Requirement'!BI54</f>
        <v/>
      </c>
      <c r="BJ54">
        <f>BI54+'Grid_Incoming'!BJ54-'Grid_Requirement'!BJ54</f>
        <v/>
      </c>
      <c r="BK54">
        <f>BJ54+'Grid_Incoming'!BK54-'Grid_Requirement'!BK54</f>
        <v/>
      </c>
      <c r="BL54">
        <f>BK54+'Grid_Incoming'!BL54-'Grid_Requirement'!BL54</f>
        <v/>
      </c>
      <c r="BM54">
        <f>BL54+'Grid_Incoming'!BM54-'Grid_Requirement'!BM54</f>
        <v/>
      </c>
      <c r="BN54">
        <f>BM54+'Grid_Incoming'!BN54-'Grid_Requirement'!BN54</f>
        <v/>
      </c>
      <c r="BO54">
        <f>BN54+'Grid_Incoming'!BO54-'Grid_Requirement'!BO54</f>
        <v/>
      </c>
      <c r="BP54">
        <f>BO54+'Grid_Incoming'!BP54-'Grid_Requirement'!BP54</f>
        <v/>
      </c>
      <c r="BQ54">
        <f>BP54+'Grid_Incoming'!BQ54-'Grid_Requirement'!BQ54</f>
        <v/>
      </c>
      <c r="BR54">
        <f>BQ54+'Grid_Incoming'!BR54-'Grid_Requirement'!BR54</f>
        <v/>
      </c>
      <c r="BS54">
        <f>BR54+'Grid_Incoming'!BS54-'Grid_Requirement'!BS54</f>
        <v/>
      </c>
      <c r="BT54">
        <f>BS54+'Grid_Incoming'!BT54-'Grid_Requirement'!BT54</f>
        <v/>
      </c>
      <c r="BU54">
        <f>BT54+'Grid_Incoming'!BU54-'Grid_Requirement'!BU54</f>
        <v/>
      </c>
      <c r="BV54">
        <f>BU54+'Grid_Incoming'!BV54-'Grid_Requirement'!BV54</f>
        <v/>
      </c>
      <c r="BW54">
        <f>BV54+'Grid_Incoming'!BW54-'Grid_Requirement'!BW54</f>
        <v/>
      </c>
      <c r="BX54">
        <f>BW54+'Grid_Incoming'!BX54-'Grid_Requirement'!BX54</f>
        <v/>
      </c>
      <c r="BY54">
        <f>BX54+'Grid_Incoming'!BY54-'Grid_Requirement'!BY54</f>
        <v/>
      </c>
      <c r="BZ54">
        <f>BY54+'Grid_Incoming'!BZ54-'Grid_Requirement'!BZ54</f>
        <v/>
      </c>
      <c r="CA54">
        <f>BZ54+'Grid_Incoming'!CA54-'Grid_Requirement'!CA54</f>
        <v/>
      </c>
      <c r="CB54">
        <f>CA54+'Grid_Incoming'!CB54-'Grid_Requirement'!CB54</f>
        <v/>
      </c>
      <c r="CC54">
        <f>CB54+'Grid_Incoming'!CC54-'Grid_Requirement'!CC54</f>
        <v/>
      </c>
      <c r="CD54">
        <f>CC54+'Grid_Incoming'!CD54-'Grid_Requirement'!CD54</f>
        <v/>
      </c>
      <c r="CE54">
        <f>CD54+'Grid_Incoming'!CE54-'Grid_Requirement'!CE54</f>
        <v/>
      </c>
      <c r="CF54">
        <f>CE54+'Grid_Incoming'!CF54-'Grid_Requirement'!CF54</f>
        <v/>
      </c>
      <c r="CG54">
        <f>CF54+'Grid_Incoming'!CG54-'Grid_Requirement'!CG54</f>
        <v/>
      </c>
      <c r="CH54">
        <f>CG54+'Grid_Incoming'!CH54-'Grid_Requirement'!CH54</f>
        <v/>
      </c>
      <c r="CI54">
        <f>CH54+'Grid_Incoming'!CI54-'Grid_Requirement'!CI54</f>
        <v/>
      </c>
      <c r="CJ54">
        <f>CI54+'Grid_Incoming'!CJ54-'Grid_Requirement'!CJ54</f>
        <v/>
      </c>
      <c r="CK54">
        <f>CJ54+'Grid_Incoming'!CK54-'Grid_Requirement'!CK54</f>
        <v/>
      </c>
      <c r="CL54">
        <f>CK54+'Grid_Incoming'!CL54-'Grid_Requirement'!CL54</f>
        <v/>
      </c>
      <c r="CM54">
        <f>CL54+'Grid_Incoming'!CM54-'Grid_Requirement'!CM54</f>
        <v/>
      </c>
      <c r="CN54">
        <f>CM54+'Grid_Incoming'!CN54-'Grid_Requirement'!CN54</f>
        <v/>
      </c>
      <c r="CO54">
        <f>CN54+'Grid_Incoming'!CO54-'Grid_Requirement'!CO54</f>
        <v/>
      </c>
      <c r="CP54">
        <f>CO54+'Grid_Incoming'!CP54-'Grid_Requirement'!CP54</f>
        <v/>
      </c>
      <c r="CQ54">
        <f>CP54+'Grid_Incoming'!CQ54-'Grid_Requirement'!CQ54</f>
        <v/>
      </c>
      <c r="CR54">
        <f>CQ54+'Grid_Incoming'!CR54-'Grid_Requirement'!CR54</f>
        <v/>
      </c>
      <c r="CS54">
        <f>CR54+'Grid_Incoming'!CS54-'Grid_Requirement'!CS54</f>
        <v/>
      </c>
      <c r="CT54">
        <f>CS54+'Grid_Incoming'!CT54-'Grid_Requirement'!CT54</f>
        <v/>
      </c>
      <c r="CU54">
        <f>CT54+'Grid_Incoming'!CU54-'Grid_Requirement'!CU54</f>
        <v/>
      </c>
      <c r="CV54">
        <f>CU54+'Grid_Incoming'!CV54-'Grid_Requirement'!CV54</f>
        <v/>
      </c>
      <c r="CW54">
        <f>CV54+'Grid_Incoming'!CW54-'Grid_Requirement'!CW54</f>
        <v/>
      </c>
      <c r="CX54">
        <f>CW54+'Grid_Incoming'!CX54-'Grid_Requirement'!CX54</f>
        <v/>
      </c>
      <c r="CY54">
        <f>CX54+'Grid_Incoming'!CY54-'Grid_Requirement'!CY54</f>
        <v/>
      </c>
      <c r="CZ54">
        <f>CY54+'Grid_Incoming'!CZ54-'Grid_Requirement'!CZ54</f>
        <v/>
      </c>
      <c r="DA54">
        <f>CZ54+'Grid_Incoming'!DA54-'Grid_Requirement'!DA54</f>
        <v/>
      </c>
    </row>
    <row r="55">
      <c r="A55" t="inlineStr">
        <is>
          <t>CHEM-1560</t>
        </is>
      </c>
      <c r="B55">
        <f>IFERROR(INDEX(T_OpeningStock[Opening_Qty],MATCH($A55,T_OpeningStock[Part Name],0)),0)+'Grid_Incoming'!B55-'Grid_Requirement'!B55</f>
        <v/>
      </c>
      <c r="C55">
        <f>B55+'Grid_Incoming'!C55-'Grid_Requirement'!C55</f>
        <v/>
      </c>
      <c r="D55">
        <f>C55+'Grid_Incoming'!D55-'Grid_Requirement'!D55</f>
        <v/>
      </c>
      <c r="E55">
        <f>D55+'Grid_Incoming'!E55-'Grid_Requirement'!E55</f>
        <v/>
      </c>
      <c r="F55">
        <f>E55+'Grid_Incoming'!F55-'Grid_Requirement'!F55</f>
        <v/>
      </c>
      <c r="G55">
        <f>F55+'Grid_Incoming'!G55-'Grid_Requirement'!G55</f>
        <v/>
      </c>
      <c r="H55">
        <f>G55+'Grid_Incoming'!H55-'Grid_Requirement'!H55</f>
        <v/>
      </c>
      <c r="I55">
        <f>H55+'Grid_Incoming'!I55-'Grid_Requirement'!I55</f>
        <v/>
      </c>
      <c r="J55">
        <f>I55+'Grid_Incoming'!J55-'Grid_Requirement'!J55</f>
        <v/>
      </c>
      <c r="K55">
        <f>J55+'Grid_Incoming'!K55-'Grid_Requirement'!K55</f>
        <v/>
      </c>
      <c r="L55">
        <f>K55+'Grid_Incoming'!L55-'Grid_Requirement'!L55</f>
        <v/>
      </c>
      <c r="M55">
        <f>L55+'Grid_Incoming'!M55-'Grid_Requirement'!M55</f>
        <v/>
      </c>
      <c r="N55">
        <f>M55+'Grid_Incoming'!N55-'Grid_Requirement'!N55</f>
        <v/>
      </c>
      <c r="O55">
        <f>N55+'Grid_Incoming'!O55-'Grid_Requirement'!O55</f>
        <v/>
      </c>
      <c r="P55">
        <f>O55+'Grid_Incoming'!P55-'Grid_Requirement'!P55</f>
        <v/>
      </c>
      <c r="Q55">
        <f>P55+'Grid_Incoming'!Q55-'Grid_Requirement'!Q55</f>
        <v/>
      </c>
      <c r="R55">
        <f>Q55+'Grid_Incoming'!R55-'Grid_Requirement'!R55</f>
        <v/>
      </c>
      <c r="S55">
        <f>R55+'Grid_Incoming'!S55-'Grid_Requirement'!S55</f>
        <v/>
      </c>
      <c r="T55">
        <f>S55+'Grid_Incoming'!T55-'Grid_Requirement'!T55</f>
        <v/>
      </c>
      <c r="U55">
        <f>T55+'Grid_Incoming'!U55-'Grid_Requirement'!U55</f>
        <v/>
      </c>
      <c r="V55">
        <f>U55+'Grid_Incoming'!V55-'Grid_Requirement'!V55</f>
        <v/>
      </c>
      <c r="W55">
        <f>V55+'Grid_Incoming'!W55-'Grid_Requirement'!W55</f>
        <v/>
      </c>
      <c r="X55">
        <f>W55+'Grid_Incoming'!X55-'Grid_Requirement'!X55</f>
        <v/>
      </c>
      <c r="Y55">
        <f>X55+'Grid_Incoming'!Y55-'Grid_Requirement'!Y55</f>
        <v/>
      </c>
      <c r="Z55">
        <f>Y55+'Grid_Incoming'!Z55-'Grid_Requirement'!Z55</f>
        <v/>
      </c>
      <c r="AA55">
        <f>Z55+'Grid_Incoming'!AA55-'Grid_Requirement'!AA55</f>
        <v/>
      </c>
      <c r="AB55">
        <f>AA55+'Grid_Incoming'!AB55-'Grid_Requirement'!AB55</f>
        <v/>
      </c>
      <c r="AC55">
        <f>AB55+'Grid_Incoming'!AC55-'Grid_Requirement'!AC55</f>
        <v/>
      </c>
      <c r="AD55">
        <f>AC55+'Grid_Incoming'!AD55-'Grid_Requirement'!AD55</f>
        <v/>
      </c>
      <c r="AE55">
        <f>AD55+'Grid_Incoming'!AE55-'Grid_Requirement'!AE55</f>
        <v/>
      </c>
      <c r="AF55">
        <f>AE55+'Grid_Incoming'!AF55-'Grid_Requirement'!AF55</f>
        <v/>
      </c>
      <c r="AG55">
        <f>AF55+'Grid_Incoming'!AG55-'Grid_Requirement'!AG55</f>
        <v/>
      </c>
      <c r="AH55">
        <f>AG55+'Grid_Incoming'!AH55-'Grid_Requirement'!AH55</f>
        <v/>
      </c>
      <c r="AI55">
        <f>AH55+'Grid_Incoming'!AI55-'Grid_Requirement'!AI55</f>
        <v/>
      </c>
      <c r="AJ55">
        <f>AI55+'Grid_Incoming'!AJ55-'Grid_Requirement'!AJ55</f>
        <v/>
      </c>
      <c r="AK55">
        <f>AJ55+'Grid_Incoming'!AK55-'Grid_Requirement'!AK55</f>
        <v/>
      </c>
      <c r="AL55">
        <f>AK55+'Grid_Incoming'!AL55-'Grid_Requirement'!AL55</f>
        <v/>
      </c>
      <c r="AM55">
        <f>AL55+'Grid_Incoming'!AM55-'Grid_Requirement'!AM55</f>
        <v/>
      </c>
      <c r="AN55">
        <f>AM55+'Grid_Incoming'!AN55-'Grid_Requirement'!AN55</f>
        <v/>
      </c>
      <c r="AO55">
        <f>AN55+'Grid_Incoming'!AO55-'Grid_Requirement'!AO55</f>
        <v/>
      </c>
      <c r="AP55">
        <f>AO55+'Grid_Incoming'!AP55-'Grid_Requirement'!AP55</f>
        <v/>
      </c>
      <c r="AQ55">
        <f>AP55+'Grid_Incoming'!AQ55-'Grid_Requirement'!AQ55</f>
        <v/>
      </c>
      <c r="AR55">
        <f>AQ55+'Grid_Incoming'!AR55-'Grid_Requirement'!AR55</f>
        <v/>
      </c>
      <c r="AS55">
        <f>AR55+'Grid_Incoming'!AS55-'Grid_Requirement'!AS55</f>
        <v/>
      </c>
      <c r="AT55">
        <f>AS55+'Grid_Incoming'!AT55-'Grid_Requirement'!AT55</f>
        <v/>
      </c>
      <c r="AU55">
        <f>AT55+'Grid_Incoming'!AU55-'Grid_Requirement'!AU55</f>
        <v/>
      </c>
      <c r="AV55">
        <f>AU55+'Grid_Incoming'!AV55-'Grid_Requirement'!AV55</f>
        <v/>
      </c>
      <c r="AW55">
        <f>AV55+'Grid_Incoming'!AW55-'Grid_Requirement'!AW55</f>
        <v/>
      </c>
      <c r="AX55">
        <f>AW55+'Grid_Incoming'!AX55-'Grid_Requirement'!AX55</f>
        <v/>
      </c>
      <c r="AY55">
        <f>AX55+'Grid_Incoming'!AY55-'Grid_Requirement'!AY55</f>
        <v/>
      </c>
      <c r="AZ55">
        <f>AY55+'Grid_Incoming'!AZ55-'Grid_Requirement'!AZ55</f>
        <v/>
      </c>
      <c r="BA55">
        <f>AZ55+'Grid_Incoming'!BA55-'Grid_Requirement'!BA55</f>
        <v/>
      </c>
      <c r="BB55">
        <f>BA55+'Grid_Incoming'!BB55-'Grid_Requirement'!BB55</f>
        <v/>
      </c>
      <c r="BC55">
        <f>BB55+'Grid_Incoming'!BC55-'Grid_Requirement'!BC55</f>
        <v/>
      </c>
      <c r="BD55">
        <f>BC55+'Grid_Incoming'!BD55-'Grid_Requirement'!BD55</f>
        <v/>
      </c>
      <c r="BE55">
        <f>BD55+'Grid_Incoming'!BE55-'Grid_Requirement'!BE55</f>
        <v/>
      </c>
      <c r="BF55">
        <f>BE55+'Grid_Incoming'!BF55-'Grid_Requirement'!BF55</f>
        <v/>
      </c>
      <c r="BG55">
        <f>BF55+'Grid_Incoming'!BG55-'Grid_Requirement'!BG55</f>
        <v/>
      </c>
      <c r="BH55">
        <f>BG55+'Grid_Incoming'!BH55-'Grid_Requirement'!BH55</f>
        <v/>
      </c>
      <c r="BI55">
        <f>BH55+'Grid_Incoming'!BI55-'Grid_Requirement'!BI55</f>
        <v/>
      </c>
      <c r="BJ55">
        <f>BI55+'Grid_Incoming'!BJ55-'Grid_Requirement'!BJ55</f>
        <v/>
      </c>
      <c r="BK55">
        <f>BJ55+'Grid_Incoming'!BK55-'Grid_Requirement'!BK55</f>
        <v/>
      </c>
      <c r="BL55">
        <f>BK55+'Grid_Incoming'!BL55-'Grid_Requirement'!BL55</f>
        <v/>
      </c>
      <c r="BM55">
        <f>BL55+'Grid_Incoming'!BM55-'Grid_Requirement'!BM55</f>
        <v/>
      </c>
      <c r="BN55">
        <f>BM55+'Grid_Incoming'!BN55-'Grid_Requirement'!BN55</f>
        <v/>
      </c>
      <c r="BO55">
        <f>BN55+'Grid_Incoming'!BO55-'Grid_Requirement'!BO55</f>
        <v/>
      </c>
      <c r="BP55">
        <f>BO55+'Grid_Incoming'!BP55-'Grid_Requirement'!BP55</f>
        <v/>
      </c>
      <c r="BQ55">
        <f>BP55+'Grid_Incoming'!BQ55-'Grid_Requirement'!BQ55</f>
        <v/>
      </c>
      <c r="BR55">
        <f>BQ55+'Grid_Incoming'!BR55-'Grid_Requirement'!BR55</f>
        <v/>
      </c>
      <c r="BS55">
        <f>BR55+'Grid_Incoming'!BS55-'Grid_Requirement'!BS55</f>
        <v/>
      </c>
      <c r="BT55">
        <f>BS55+'Grid_Incoming'!BT55-'Grid_Requirement'!BT55</f>
        <v/>
      </c>
      <c r="BU55">
        <f>BT55+'Grid_Incoming'!BU55-'Grid_Requirement'!BU55</f>
        <v/>
      </c>
      <c r="BV55">
        <f>BU55+'Grid_Incoming'!BV55-'Grid_Requirement'!BV55</f>
        <v/>
      </c>
      <c r="BW55">
        <f>BV55+'Grid_Incoming'!BW55-'Grid_Requirement'!BW55</f>
        <v/>
      </c>
      <c r="BX55">
        <f>BW55+'Grid_Incoming'!BX55-'Grid_Requirement'!BX55</f>
        <v/>
      </c>
      <c r="BY55">
        <f>BX55+'Grid_Incoming'!BY55-'Grid_Requirement'!BY55</f>
        <v/>
      </c>
      <c r="BZ55">
        <f>BY55+'Grid_Incoming'!BZ55-'Grid_Requirement'!BZ55</f>
        <v/>
      </c>
      <c r="CA55">
        <f>BZ55+'Grid_Incoming'!CA55-'Grid_Requirement'!CA55</f>
        <v/>
      </c>
      <c r="CB55">
        <f>CA55+'Grid_Incoming'!CB55-'Grid_Requirement'!CB55</f>
        <v/>
      </c>
      <c r="CC55">
        <f>CB55+'Grid_Incoming'!CC55-'Grid_Requirement'!CC55</f>
        <v/>
      </c>
      <c r="CD55">
        <f>CC55+'Grid_Incoming'!CD55-'Grid_Requirement'!CD55</f>
        <v/>
      </c>
      <c r="CE55">
        <f>CD55+'Grid_Incoming'!CE55-'Grid_Requirement'!CE55</f>
        <v/>
      </c>
      <c r="CF55">
        <f>CE55+'Grid_Incoming'!CF55-'Grid_Requirement'!CF55</f>
        <v/>
      </c>
      <c r="CG55">
        <f>CF55+'Grid_Incoming'!CG55-'Grid_Requirement'!CG55</f>
        <v/>
      </c>
      <c r="CH55">
        <f>CG55+'Grid_Incoming'!CH55-'Grid_Requirement'!CH55</f>
        <v/>
      </c>
      <c r="CI55">
        <f>CH55+'Grid_Incoming'!CI55-'Grid_Requirement'!CI55</f>
        <v/>
      </c>
      <c r="CJ55">
        <f>CI55+'Grid_Incoming'!CJ55-'Grid_Requirement'!CJ55</f>
        <v/>
      </c>
      <c r="CK55">
        <f>CJ55+'Grid_Incoming'!CK55-'Grid_Requirement'!CK55</f>
        <v/>
      </c>
      <c r="CL55">
        <f>CK55+'Grid_Incoming'!CL55-'Grid_Requirement'!CL55</f>
        <v/>
      </c>
      <c r="CM55">
        <f>CL55+'Grid_Incoming'!CM55-'Grid_Requirement'!CM55</f>
        <v/>
      </c>
      <c r="CN55">
        <f>CM55+'Grid_Incoming'!CN55-'Grid_Requirement'!CN55</f>
        <v/>
      </c>
      <c r="CO55">
        <f>CN55+'Grid_Incoming'!CO55-'Grid_Requirement'!CO55</f>
        <v/>
      </c>
      <c r="CP55">
        <f>CO55+'Grid_Incoming'!CP55-'Grid_Requirement'!CP55</f>
        <v/>
      </c>
      <c r="CQ55">
        <f>CP55+'Grid_Incoming'!CQ55-'Grid_Requirement'!CQ55</f>
        <v/>
      </c>
      <c r="CR55">
        <f>CQ55+'Grid_Incoming'!CR55-'Grid_Requirement'!CR55</f>
        <v/>
      </c>
      <c r="CS55">
        <f>CR55+'Grid_Incoming'!CS55-'Grid_Requirement'!CS55</f>
        <v/>
      </c>
      <c r="CT55">
        <f>CS55+'Grid_Incoming'!CT55-'Grid_Requirement'!CT55</f>
        <v/>
      </c>
      <c r="CU55">
        <f>CT55+'Grid_Incoming'!CU55-'Grid_Requirement'!CU55</f>
        <v/>
      </c>
      <c r="CV55">
        <f>CU55+'Grid_Incoming'!CV55-'Grid_Requirement'!CV55</f>
        <v/>
      </c>
      <c r="CW55">
        <f>CV55+'Grid_Incoming'!CW55-'Grid_Requirement'!CW55</f>
        <v/>
      </c>
      <c r="CX55">
        <f>CW55+'Grid_Incoming'!CX55-'Grid_Requirement'!CX55</f>
        <v/>
      </c>
      <c r="CY55">
        <f>CX55+'Grid_Incoming'!CY55-'Grid_Requirement'!CY55</f>
        <v/>
      </c>
      <c r="CZ55">
        <f>CY55+'Grid_Incoming'!CZ55-'Grid_Requirement'!CZ55</f>
        <v/>
      </c>
      <c r="DA55">
        <f>CZ55+'Grid_Incoming'!DA55-'Grid_Requirement'!DA55</f>
        <v/>
      </c>
    </row>
    <row r="56">
      <c r="A56" t="inlineStr">
        <is>
          <t>CHEM-1690</t>
        </is>
      </c>
      <c r="B56">
        <f>IFERROR(INDEX(T_OpeningStock[Opening_Qty],MATCH($A56,T_OpeningStock[Part Name],0)),0)+'Grid_Incoming'!B56-'Grid_Requirement'!B56</f>
        <v/>
      </c>
      <c r="C56">
        <f>B56+'Grid_Incoming'!C56-'Grid_Requirement'!C56</f>
        <v/>
      </c>
      <c r="D56">
        <f>C56+'Grid_Incoming'!D56-'Grid_Requirement'!D56</f>
        <v/>
      </c>
      <c r="E56">
        <f>D56+'Grid_Incoming'!E56-'Grid_Requirement'!E56</f>
        <v/>
      </c>
      <c r="F56">
        <f>E56+'Grid_Incoming'!F56-'Grid_Requirement'!F56</f>
        <v/>
      </c>
      <c r="G56">
        <f>F56+'Grid_Incoming'!G56-'Grid_Requirement'!G56</f>
        <v/>
      </c>
      <c r="H56">
        <f>G56+'Grid_Incoming'!H56-'Grid_Requirement'!H56</f>
        <v/>
      </c>
      <c r="I56">
        <f>H56+'Grid_Incoming'!I56-'Grid_Requirement'!I56</f>
        <v/>
      </c>
      <c r="J56">
        <f>I56+'Grid_Incoming'!J56-'Grid_Requirement'!J56</f>
        <v/>
      </c>
      <c r="K56">
        <f>J56+'Grid_Incoming'!K56-'Grid_Requirement'!K56</f>
        <v/>
      </c>
      <c r="L56">
        <f>K56+'Grid_Incoming'!L56-'Grid_Requirement'!L56</f>
        <v/>
      </c>
      <c r="M56">
        <f>L56+'Grid_Incoming'!M56-'Grid_Requirement'!M56</f>
        <v/>
      </c>
      <c r="N56">
        <f>M56+'Grid_Incoming'!N56-'Grid_Requirement'!N56</f>
        <v/>
      </c>
      <c r="O56">
        <f>N56+'Grid_Incoming'!O56-'Grid_Requirement'!O56</f>
        <v/>
      </c>
      <c r="P56">
        <f>O56+'Grid_Incoming'!P56-'Grid_Requirement'!P56</f>
        <v/>
      </c>
      <c r="Q56">
        <f>P56+'Grid_Incoming'!Q56-'Grid_Requirement'!Q56</f>
        <v/>
      </c>
      <c r="R56">
        <f>Q56+'Grid_Incoming'!R56-'Grid_Requirement'!R56</f>
        <v/>
      </c>
      <c r="S56">
        <f>R56+'Grid_Incoming'!S56-'Grid_Requirement'!S56</f>
        <v/>
      </c>
      <c r="T56">
        <f>S56+'Grid_Incoming'!T56-'Grid_Requirement'!T56</f>
        <v/>
      </c>
      <c r="U56">
        <f>T56+'Grid_Incoming'!U56-'Grid_Requirement'!U56</f>
        <v/>
      </c>
      <c r="V56">
        <f>U56+'Grid_Incoming'!V56-'Grid_Requirement'!V56</f>
        <v/>
      </c>
      <c r="W56">
        <f>V56+'Grid_Incoming'!W56-'Grid_Requirement'!W56</f>
        <v/>
      </c>
      <c r="X56">
        <f>W56+'Grid_Incoming'!X56-'Grid_Requirement'!X56</f>
        <v/>
      </c>
      <c r="Y56">
        <f>X56+'Grid_Incoming'!Y56-'Grid_Requirement'!Y56</f>
        <v/>
      </c>
      <c r="Z56">
        <f>Y56+'Grid_Incoming'!Z56-'Grid_Requirement'!Z56</f>
        <v/>
      </c>
      <c r="AA56">
        <f>Z56+'Grid_Incoming'!AA56-'Grid_Requirement'!AA56</f>
        <v/>
      </c>
      <c r="AB56">
        <f>AA56+'Grid_Incoming'!AB56-'Grid_Requirement'!AB56</f>
        <v/>
      </c>
      <c r="AC56">
        <f>AB56+'Grid_Incoming'!AC56-'Grid_Requirement'!AC56</f>
        <v/>
      </c>
      <c r="AD56">
        <f>AC56+'Grid_Incoming'!AD56-'Grid_Requirement'!AD56</f>
        <v/>
      </c>
      <c r="AE56">
        <f>AD56+'Grid_Incoming'!AE56-'Grid_Requirement'!AE56</f>
        <v/>
      </c>
      <c r="AF56">
        <f>AE56+'Grid_Incoming'!AF56-'Grid_Requirement'!AF56</f>
        <v/>
      </c>
      <c r="AG56">
        <f>AF56+'Grid_Incoming'!AG56-'Grid_Requirement'!AG56</f>
        <v/>
      </c>
      <c r="AH56">
        <f>AG56+'Grid_Incoming'!AH56-'Grid_Requirement'!AH56</f>
        <v/>
      </c>
      <c r="AI56">
        <f>AH56+'Grid_Incoming'!AI56-'Grid_Requirement'!AI56</f>
        <v/>
      </c>
      <c r="AJ56">
        <f>AI56+'Grid_Incoming'!AJ56-'Grid_Requirement'!AJ56</f>
        <v/>
      </c>
      <c r="AK56">
        <f>AJ56+'Grid_Incoming'!AK56-'Grid_Requirement'!AK56</f>
        <v/>
      </c>
      <c r="AL56">
        <f>AK56+'Grid_Incoming'!AL56-'Grid_Requirement'!AL56</f>
        <v/>
      </c>
      <c r="AM56">
        <f>AL56+'Grid_Incoming'!AM56-'Grid_Requirement'!AM56</f>
        <v/>
      </c>
      <c r="AN56">
        <f>AM56+'Grid_Incoming'!AN56-'Grid_Requirement'!AN56</f>
        <v/>
      </c>
      <c r="AO56">
        <f>AN56+'Grid_Incoming'!AO56-'Grid_Requirement'!AO56</f>
        <v/>
      </c>
      <c r="AP56">
        <f>AO56+'Grid_Incoming'!AP56-'Grid_Requirement'!AP56</f>
        <v/>
      </c>
      <c r="AQ56">
        <f>AP56+'Grid_Incoming'!AQ56-'Grid_Requirement'!AQ56</f>
        <v/>
      </c>
      <c r="AR56">
        <f>AQ56+'Grid_Incoming'!AR56-'Grid_Requirement'!AR56</f>
        <v/>
      </c>
      <c r="AS56">
        <f>AR56+'Grid_Incoming'!AS56-'Grid_Requirement'!AS56</f>
        <v/>
      </c>
      <c r="AT56">
        <f>AS56+'Grid_Incoming'!AT56-'Grid_Requirement'!AT56</f>
        <v/>
      </c>
      <c r="AU56">
        <f>AT56+'Grid_Incoming'!AU56-'Grid_Requirement'!AU56</f>
        <v/>
      </c>
      <c r="AV56">
        <f>AU56+'Grid_Incoming'!AV56-'Grid_Requirement'!AV56</f>
        <v/>
      </c>
      <c r="AW56">
        <f>AV56+'Grid_Incoming'!AW56-'Grid_Requirement'!AW56</f>
        <v/>
      </c>
      <c r="AX56">
        <f>AW56+'Grid_Incoming'!AX56-'Grid_Requirement'!AX56</f>
        <v/>
      </c>
      <c r="AY56">
        <f>AX56+'Grid_Incoming'!AY56-'Grid_Requirement'!AY56</f>
        <v/>
      </c>
      <c r="AZ56">
        <f>AY56+'Grid_Incoming'!AZ56-'Grid_Requirement'!AZ56</f>
        <v/>
      </c>
      <c r="BA56">
        <f>AZ56+'Grid_Incoming'!BA56-'Grid_Requirement'!BA56</f>
        <v/>
      </c>
      <c r="BB56">
        <f>BA56+'Grid_Incoming'!BB56-'Grid_Requirement'!BB56</f>
        <v/>
      </c>
      <c r="BC56">
        <f>BB56+'Grid_Incoming'!BC56-'Grid_Requirement'!BC56</f>
        <v/>
      </c>
      <c r="BD56">
        <f>BC56+'Grid_Incoming'!BD56-'Grid_Requirement'!BD56</f>
        <v/>
      </c>
      <c r="BE56">
        <f>BD56+'Grid_Incoming'!BE56-'Grid_Requirement'!BE56</f>
        <v/>
      </c>
      <c r="BF56">
        <f>BE56+'Grid_Incoming'!BF56-'Grid_Requirement'!BF56</f>
        <v/>
      </c>
      <c r="BG56">
        <f>BF56+'Grid_Incoming'!BG56-'Grid_Requirement'!BG56</f>
        <v/>
      </c>
      <c r="BH56">
        <f>BG56+'Grid_Incoming'!BH56-'Grid_Requirement'!BH56</f>
        <v/>
      </c>
      <c r="BI56">
        <f>BH56+'Grid_Incoming'!BI56-'Grid_Requirement'!BI56</f>
        <v/>
      </c>
      <c r="BJ56">
        <f>BI56+'Grid_Incoming'!BJ56-'Grid_Requirement'!BJ56</f>
        <v/>
      </c>
      <c r="BK56">
        <f>BJ56+'Grid_Incoming'!BK56-'Grid_Requirement'!BK56</f>
        <v/>
      </c>
      <c r="BL56">
        <f>BK56+'Grid_Incoming'!BL56-'Grid_Requirement'!BL56</f>
        <v/>
      </c>
      <c r="BM56">
        <f>BL56+'Grid_Incoming'!BM56-'Grid_Requirement'!BM56</f>
        <v/>
      </c>
      <c r="BN56">
        <f>BM56+'Grid_Incoming'!BN56-'Grid_Requirement'!BN56</f>
        <v/>
      </c>
      <c r="BO56">
        <f>BN56+'Grid_Incoming'!BO56-'Grid_Requirement'!BO56</f>
        <v/>
      </c>
      <c r="BP56">
        <f>BO56+'Grid_Incoming'!BP56-'Grid_Requirement'!BP56</f>
        <v/>
      </c>
      <c r="BQ56">
        <f>BP56+'Grid_Incoming'!BQ56-'Grid_Requirement'!BQ56</f>
        <v/>
      </c>
      <c r="BR56">
        <f>BQ56+'Grid_Incoming'!BR56-'Grid_Requirement'!BR56</f>
        <v/>
      </c>
      <c r="BS56">
        <f>BR56+'Grid_Incoming'!BS56-'Grid_Requirement'!BS56</f>
        <v/>
      </c>
      <c r="BT56">
        <f>BS56+'Grid_Incoming'!BT56-'Grid_Requirement'!BT56</f>
        <v/>
      </c>
      <c r="BU56">
        <f>BT56+'Grid_Incoming'!BU56-'Grid_Requirement'!BU56</f>
        <v/>
      </c>
      <c r="BV56">
        <f>BU56+'Grid_Incoming'!BV56-'Grid_Requirement'!BV56</f>
        <v/>
      </c>
      <c r="BW56">
        <f>BV56+'Grid_Incoming'!BW56-'Grid_Requirement'!BW56</f>
        <v/>
      </c>
      <c r="BX56">
        <f>BW56+'Grid_Incoming'!BX56-'Grid_Requirement'!BX56</f>
        <v/>
      </c>
      <c r="BY56">
        <f>BX56+'Grid_Incoming'!BY56-'Grid_Requirement'!BY56</f>
        <v/>
      </c>
      <c r="BZ56">
        <f>BY56+'Grid_Incoming'!BZ56-'Grid_Requirement'!BZ56</f>
        <v/>
      </c>
      <c r="CA56">
        <f>BZ56+'Grid_Incoming'!CA56-'Grid_Requirement'!CA56</f>
        <v/>
      </c>
      <c r="CB56">
        <f>CA56+'Grid_Incoming'!CB56-'Grid_Requirement'!CB56</f>
        <v/>
      </c>
      <c r="CC56">
        <f>CB56+'Grid_Incoming'!CC56-'Grid_Requirement'!CC56</f>
        <v/>
      </c>
      <c r="CD56">
        <f>CC56+'Grid_Incoming'!CD56-'Grid_Requirement'!CD56</f>
        <v/>
      </c>
      <c r="CE56">
        <f>CD56+'Grid_Incoming'!CE56-'Grid_Requirement'!CE56</f>
        <v/>
      </c>
      <c r="CF56">
        <f>CE56+'Grid_Incoming'!CF56-'Grid_Requirement'!CF56</f>
        <v/>
      </c>
      <c r="CG56">
        <f>CF56+'Grid_Incoming'!CG56-'Grid_Requirement'!CG56</f>
        <v/>
      </c>
      <c r="CH56">
        <f>CG56+'Grid_Incoming'!CH56-'Grid_Requirement'!CH56</f>
        <v/>
      </c>
      <c r="CI56">
        <f>CH56+'Grid_Incoming'!CI56-'Grid_Requirement'!CI56</f>
        <v/>
      </c>
      <c r="CJ56">
        <f>CI56+'Grid_Incoming'!CJ56-'Grid_Requirement'!CJ56</f>
        <v/>
      </c>
      <c r="CK56">
        <f>CJ56+'Grid_Incoming'!CK56-'Grid_Requirement'!CK56</f>
        <v/>
      </c>
      <c r="CL56">
        <f>CK56+'Grid_Incoming'!CL56-'Grid_Requirement'!CL56</f>
        <v/>
      </c>
      <c r="CM56">
        <f>CL56+'Grid_Incoming'!CM56-'Grid_Requirement'!CM56</f>
        <v/>
      </c>
      <c r="CN56">
        <f>CM56+'Grid_Incoming'!CN56-'Grid_Requirement'!CN56</f>
        <v/>
      </c>
      <c r="CO56">
        <f>CN56+'Grid_Incoming'!CO56-'Grid_Requirement'!CO56</f>
        <v/>
      </c>
      <c r="CP56">
        <f>CO56+'Grid_Incoming'!CP56-'Grid_Requirement'!CP56</f>
        <v/>
      </c>
      <c r="CQ56">
        <f>CP56+'Grid_Incoming'!CQ56-'Grid_Requirement'!CQ56</f>
        <v/>
      </c>
      <c r="CR56">
        <f>CQ56+'Grid_Incoming'!CR56-'Grid_Requirement'!CR56</f>
        <v/>
      </c>
      <c r="CS56">
        <f>CR56+'Grid_Incoming'!CS56-'Grid_Requirement'!CS56</f>
        <v/>
      </c>
      <c r="CT56">
        <f>CS56+'Grid_Incoming'!CT56-'Grid_Requirement'!CT56</f>
        <v/>
      </c>
      <c r="CU56">
        <f>CT56+'Grid_Incoming'!CU56-'Grid_Requirement'!CU56</f>
        <v/>
      </c>
      <c r="CV56">
        <f>CU56+'Grid_Incoming'!CV56-'Grid_Requirement'!CV56</f>
        <v/>
      </c>
      <c r="CW56">
        <f>CV56+'Grid_Incoming'!CW56-'Grid_Requirement'!CW56</f>
        <v/>
      </c>
      <c r="CX56">
        <f>CW56+'Grid_Incoming'!CX56-'Grid_Requirement'!CX56</f>
        <v/>
      </c>
      <c r="CY56">
        <f>CX56+'Grid_Incoming'!CY56-'Grid_Requirement'!CY56</f>
        <v/>
      </c>
      <c r="CZ56">
        <f>CY56+'Grid_Incoming'!CZ56-'Grid_Requirement'!CZ56</f>
        <v/>
      </c>
      <c r="DA56">
        <f>CZ56+'Grid_Incoming'!DA56-'Grid_Requirement'!DA56</f>
        <v/>
      </c>
    </row>
    <row r="57">
      <c r="A57" t="inlineStr">
        <is>
          <t>CHEM-1720</t>
        </is>
      </c>
      <c r="B57">
        <f>IFERROR(INDEX(T_OpeningStock[Opening_Qty],MATCH($A57,T_OpeningStock[Part Name],0)),0)+'Grid_Incoming'!B57-'Grid_Requirement'!B57</f>
        <v/>
      </c>
      <c r="C57">
        <f>B57+'Grid_Incoming'!C57-'Grid_Requirement'!C57</f>
        <v/>
      </c>
      <c r="D57">
        <f>C57+'Grid_Incoming'!D57-'Grid_Requirement'!D57</f>
        <v/>
      </c>
      <c r="E57">
        <f>D57+'Grid_Incoming'!E57-'Grid_Requirement'!E57</f>
        <v/>
      </c>
      <c r="F57">
        <f>E57+'Grid_Incoming'!F57-'Grid_Requirement'!F57</f>
        <v/>
      </c>
      <c r="G57">
        <f>F57+'Grid_Incoming'!G57-'Grid_Requirement'!G57</f>
        <v/>
      </c>
      <c r="H57">
        <f>G57+'Grid_Incoming'!H57-'Grid_Requirement'!H57</f>
        <v/>
      </c>
      <c r="I57">
        <f>H57+'Grid_Incoming'!I57-'Grid_Requirement'!I57</f>
        <v/>
      </c>
      <c r="J57">
        <f>I57+'Grid_Incoming'!J57-'Grid_Requirement'!J57</f>
        <v/>
      </c>
      <c r="K57">
        <f>J57+'Grid_Incoming'!K57-'Grid_Requirement'!K57</f>
        <v/>
      </c>
      <c r="L57">
        <f>K57+'Grid_Incoming'!L57-'Grid_Requirement'!L57</f>
        <v/>
      </c>
      <c r="M57">
        <f>L57+'Grid_Incoming'!M57-'Grid_Requirement'!M57</f>
        <v/>
      </c>
      <c r="N57">
        <f>M57+'Grid_Incoming'!N57-'Grid_Requirement'!N57</f>
        <v/>
      </c>
      <c r="O57">
        <f>N57+'Grid_Incoming'!O57-'Grid_Requirement'!O57</f>
        <v/>
      </c>
      <c r="P57">
        <f>O57+'Grid_Incoming'!P57-'Grid_Requirement'!P57</f>
        <v/>
      </c>
      <c r="Q57">
        <f>P57+'Grid_Incoming'!Q57-'Grid_Requirement'!Q57</f>
        <v/>
      </c>
      <c r="R57">
        <f>Q57+'Grid_Incoming'!R57-'Grid_Requirement'!R57</f>
        <v/>
      </c>
      <c r="S57">
        <f>R57+'Grid_Incoming'!S57-'Grid_Requirement'!S57</f>
        <v/>
      </c>
      <c r="T57">
        <f>S57+'Grid_Incoming'!T57-'Grid_Requirement'!T57</f>
        <v/>
      </c>
      <c r="U57">
        <f>T57+'Grid_Incoming'!U57-'Grid_Requirement'!U57</f>
        <v/>
      </c>
      <c r="V57">
        <f>U57+'Grid_Incoming'!V57-'Grid_Requirement'!V57</f>
        <v/>
      </c>
      <c r="W57">
        <f>V57+'Grid_Incoming'!W57-'Grid_Requirement'!W57</f>
        <v/>
      </c>
      <c r="X57">
        <f>W57+'Grid_Incoming'!X57-'Grid_Requirement'!X57</f>
        <v/>
      </c>
      <c r="Y57">
        <f>X57+'Grid_Incoming'!Y57-'Grid_Requirement'!Y57</f>
        <v/>
      </c>
      <c r="Z57">
        <f>Y57+'Grid_Incoming'!Z57-'Grid_Requirement'!Z57</f>
        <v/>
      </c>
      <c r="AA57">
        <f>Z57+'Grid_Incoming'!AA57-'Grid_Requirement'!AA57</f>
        <v/>
      </c>
      <c r="AB57">
        <f>AA57+'Grid_Incoming'!AB57-'Grid_Requirement'!AB57</f>
        <v/>
      </c>
      <c r="AC57">
        <f>AB57+'Grid_Incoming'!AC57-'Grid_Requirement'!AC57</f>
        <v/>
      </c>
      <c r="AD57">
        <f>AC57+'Grid_Incoming'!AD57-'Grid_Requirement'!AD57</f>
        <v/>
      </c>
      <c r="AE57">
        <f>AD57+'Grid_Incoming'!AE57-'Grid_Requirement'!AE57</f>
        <v/>
      </c>
      <c r="AF57">
        <f>AE57+'Grid_Incoming'!AF57-'Grid_Requirement'!AF57</f>
        <v/>
      </c>
      <c r="AG57">
        <f>AF57+'Grid_Incoming'!AG57-'Grid_Requirement'!AG57</f>
        <v/>
      </c>
      <c r="AH57">
        <f>AG57+'Grid_Incoming'!AH57-'Grid_Requirement'!AH57</f>
        <v/>
      </c>
      <c r="AI57">
        <f>AH57+'Grid_Incoming'!AI57-'Grid_Requirement'!AI57</f>
        <v/>
      </c>
      <c r="AJ57">
        <f>AI57+'Grid_Incoming'!AJ57-'Grid_Requirement'!AJ57</f>
        <v/>
      </c>
      <c r="AK57">
        <f>AJ57+'Grid_Incoming'!AK57-'Grid_Requirement'!AK57</f>
        <v/>
      </c>
      <c r="AL57">
        <f>AK57+'Grid_Incoming'!AL57-'Grid_Requirement'!AL57</f>
        <v/>
      </c>
      <c r="AM57">
        <f>AL57+'Grid_Incoming'!AM57-'Grid_Requirement'!AM57</f>
        <v/>
      </c>
      <c r="AN57">
        <f>AM57+'Grid_Incoming'!AN57-'Grid_Requirement'!AN57</f>
        <v/>
      </c>
      <c r="AO57">
        <f>AN57+'Grid_Incoming'!AO57-'Grid_Requirement'!AO57</f>
        <v/>
      </c>
      <c r="AP57">
        <f>AO57+'Grid_Incoming'!AP57-'Grid_Requirement'!AP57</f>
        <v/>
      </c>
      <c r="AQ57">
        <f>AP57+'Grid_Incoming'!AQ57-'Grid_Requirement'!AQ57</f>
        <v/>
      </c>
      <c r="AR57">
        <f>AQ57+'Grid_Incoming'!AR57-'Grid_Requirement'!AR57</f>
        <v/>
      </c>
      <c r="AS57">
        <f>AR57+'Grid_Incoming'!AS57-'Grid_Requirement'!AS57</f>
        <v/>
      </c>
      <c r="AT57">
        <f>AS57+'Grid_Incoming'!AT57-'Grid_Requirement'!AT57</f>
        <v/>
      </c>
      <c r="AU57">
        <f>AT57+'Grid_Incoming'!AU57-'Grid_Requirement'!AU57</f>
        <v/>
      </c>
      <c r="AV57">
        <f>AU57+'Grid_Incoming'!AV57-'Grid_Requirement'!AV57</f>
        <v/>
      </c>
      <c r="AW57">
        <f>AV57+'Grid_Incoming'!AW57-'Grid_Requirement'!AW57</f>
        <v/>
      </c>
      <c r="AX57">
        <f>AW57+'Grid_Incoming'!AX57-'Grid_Requirement'!AX57</f>
        <v/>
      </c>
      <c r="AY57">
        <f>AX57+'Grid_Incoming'!AY57-'Grid_Requirement'!AY57</f>
        <v/>
      </c>
      <c r="AZ57">
        <f>AY57+'Grid_Incoming'!AZ57-'Grid_Requirement'!AZ57</f>
        <v/>
      </c>
      <c r="BA57">
        <f>AZ57+'Grid_Incoming'!BA57-'Grid_Requirement'!BA57</f>
        <v/>
      </c>
      <c r="BB57">
        <f>BA57+'Grid_Incoming'!BB57-'Grid_Requirement'!BB57</f>
        <v/>
      </c>
      <c r="BC57">
        <f>BB57+'Grid_Incoming'!BC57-'Grid_Requirement'!BC57</f>
        <v/>
      </c>
      <c r="BD57">
        <f>BC57+'Grid_Incoming'!BD57-'Grid_Requirement'!BD57</f>
        <v/>
      </c>
      <c r="BE57">
        <f>BD57+'Grid_Incoming'!BE57-'Grid_Requirement'!BE57</f>
        <v/>
      </c>
      <c r="BF57">
        <f>BE57+'Grid_Incoming'!BF57-'Grid_Requirement'!BF57</f>
        <v/>
      </c>
      <c r="BG57">
        <f>BF57+'Grid_Incoming'!BG57-'Grid_Requirement'!BG57</f>
        <v/>
      </c>
      <c r="BH57">
        <f>BG57+'Grid_Incoming'!BH57-'Grid_Requirement'!BH57</f>
        <v/>
      </c>
      <c r="BI57">
        <f>BH57+'Grid_Incoming'!BI57-'Grid_Requirement'!BI57</f>
        <v/>
      </c>
      <c r="BJ57">
        <f>BI57+'Grid_Incoming'!BJ57-'Grid_Requirement'!BJ57</f>
        <v/>
      </c>
      <c r="BK57">
        <f>BJ57+'Grid_Incoming'!BK57-'Grid_Requirement'!BK57</f>
        <v/>
      </c>
      <c r="BL57">
        <f>BK57+'Grid_Incoming'!BL57-'Grid_Requirement'!BL57</f>
        <v/>
      </c>
      <c r="BM57">
        <f>BL57+'Grid_Incoming'!BM57-'Grid_Requirement'!BM57</f>
        <v/>
      </c>
      <c r="BN57">
        <f>BM57+'Grid_Incoming'!BN57-'Grid_Requirement'!BN57</f>
        <v/>
      </c>
      <c r="BO57">
        <f>BN57+'Grid_Incoming'!BO57-'Grid_Requirement'!BO57</f>
        <v/>
      </c>
      <c r="BP57">
        <f>BO57+'Grid_Incoming'!BP57-'Grid_Requirement'!BP57</f>
        <v/>
      </c>
      <c r="BQ57">
        <f>BP57+'Grid_Incoming'!BQ57-'Grid_Requirement'!BQ57</f>
        <v/>
      </c>
      <c r="BR57">
        <f>BQ57+'Grid_Incoming'!BR57-'Grid_Requirement'!BR57</f>
        <v/>
      </c>
      <c r="BS57">
        <f>BR57+'Grid_Incoming'!BS57-'Grid_Requirement'!BS57</f>
        <v/>
      </c>
      <c r="BT57">
        <f>BS57+'Grid_Incoming'!BT57-'Grid_Requirement'!BT57</f>
        <v/>
      </c>
      <c r="BU57">
        <f>BT57+'Grid_Incoming'!BU57-'Grid_Requirement'!BU57</f>
        <v/>
      </c>
      <c r="BV57">
        <f>BU57+'Grid_Incoming'!BV57-'Grid_Requirement'!BV57</f>
        <v/>
      </c>
      <c r="BW57">
        <f>BV57+'Grid_Incoming'!BW57-'Grid_Requirement'!BW57</f>
        <v/>
      </c>
      <c r="BX57">
        <f>BW57+'Grid_Incoming'!BX57-'Grid_Requirement'!BX57</f>
        <v/>
      </c>
      <c r="BY57">
        <f>BX57+'Grid_Incoming'!BY57-'Grid_Requirement'!BY57</f>
        <v/>
      </c>
      <c r="BZ57">
        <f>BY57+'Grid_Incoming'!BZ57-'Grid_Requirement'!BZ57</f>
        <v/>
      </c>
      <c r="CA57">
        <f>BZ57+'Grid_Incoming'!CA57-'Grid_Requirement'!CA57</f>
        <v/>
      </c>
      <c r="CB57">
        <f>CA57+'Grid_Incoming'!CB57-'Grid_Requirement'!CB57</f>
        <v/>
      </c>
      <c r="CC57">
        <f>CB57+'Grid_Incoming'!CC57-'Grid_Requirement'!CC57</f>
        <v/>
      </c>
      <c r="CD57">
        <f>CC57+'Grid_Incoming'!CD57-'Grid_Requirement'!CD57</f>
        <v/>
      </c>
      <c r="CE57">
        <f>CD57+'Grid_Incoming'!CE57-'Grid_Requirement'!CE57</f>
        <v/>
      </c>
      <c r="CF57">
        <f>CE57+'Grid_Incoming'!CF57-'Grid_Requirement'!CF57</f>
        <v/>
      </c>
      <c r="CG57">
        <f>CF57+'Grid_Incoming'!CG57-'Grid_Requirement'!CG57</f>
        <v/>
      </c>
      <c r="CH57">
        <f>CG57+'Grid_Incoming'!CH57-'Grid_Requirement'!CH57</f>
        <v/>
      </c>
      <c r="CI57">
        <f>CH57+'Grid_Incoming'!CI57-'Grid_Requirement'!CI57</f>
        <v/>
      </c>
      <c r="CJ57">
        <f>CI57+'Grid_Incoming'!CJ57-'Grid_Requirement'!CJ57</f>
        <v/>
      </c>
      <c r="CK57">
        <f>CJ57+'Grid_Incoming'!CK57-'Grid_Requirement'!CK57</f>
        <v/>
      </c>
      <c r="CL57">
        <f>CK57+'Grid_Incoming'!CL57-'Grid_Requirement'!CL57</f>
        <v/>
      </c>
      <c r="CM57">
        <f>CL57+'Grid_Incoming'!CM57-'Grid_Requirement'!CM57</f>
        <v/>
      </c>
      <c r="CN57">
        <f>CM57+'Grid_Incoming'!CN57-'Grid_Requirement'!CN57</f>
        <v/>
      </c>
      <c r="CO57">
        <f>CN57+'Grid_Incoming'!CO57-'Grid_Requirement'!CO57</f>
        <v/>
      </c>
      <c r="CP57">
        <f>CO57+'Grid_Incoming'!CP57-'Grid_Requirement'!CP57</f>
        <v/>
      </c>
      <c r="CQ57">
        <f>CP57+'Grid_Incoming'!CQ57-'Grid_Requirement'!CQ57</f>
        <v/>
      </c>
      <c r="CR57">
        <f>CQ57+'Grid_Incoming'!CR57-'Grid_Requirement'!CR57</f>
        <v/>
      </c>
      <c r="CS57">
        <f>CR57+'Grid_Incoming'!CS57-'Grid_Requirement'!CS57</f>
        <v/>
      </c>
      <c r="CT57">
        <f>CS57+'Grid_Incoming'!CT57-'Grid_Requirement'!CT57</f>
        <v/>
      </c>
      <c r="CU57">
        <f>CT57+'Grid_Incoming'!CU57-'Grid_Requirement'!CU57</f>
        <v/>
      </c>
      <c r="CV57">
        <f>CU57+'Grid_Incoming'!CV57-'Grid_Requirement'!CV57</f>
        <v/>
      </c>
      <c r="CW57">
        <f>CV57+'Grid_Incoming'!CW57-'Grid_Requirement'!CW57</f>
        <v/>
      </c>
      <c r="CX57">
        <f>CW57+'Grid_Incoming'!CX57-'Grid_Requirement'!CX57</f>
        <v/>
      </c>
      <c r="CY57">
        <f>CX57+'Grid_Incoming'!CY57-'Grid_Requirement'!CY57</f>
        <v/>
      </c>
      <c r="CZ57">
        <f>CY57+'Grid_Incoming'!CZ57-'Grid_Requirement'!CZ57</f>
        <v/>
      </c>
      <c r="DA57">
        <f>CZ57+'Grid_Incoming'!DA57-'Grid_Requirement'!DA57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4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4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2026-08-05T12:33:58Z</dcterms:created>
  <dcterms:modified xsi:type="dcterms:W3CDTF">2026-08-05T12:34:02Z</dcterms:modified>
</cp:coreProperties>
</file>