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「Usage from Production Engineering」が更新されていればRefreshBOMを実行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Name]=$A67)*M_BOM[RM_Qty_Per_Batch]*IFERROR(INDEX(PP_Grid[#Data],M_BOM[PPGridRow],2),0))/69.45</f>
        <v/>
      </c>
      <c r="C67">
        <f>SUMPRODUCT((M_BOM[Part Name]=$A67)*M_BOM[RM_Qty_Per_Batch]*IFERROR(INDEX(PP_Grid[#Data],M_BOM[PPGridRow],3),0))/69.45</f>
        <v/>
      </c>
      <c r="D67">
        <f>SUMPRODUCT((M_BOM[Part Name]=$A67)*M_BOM[RM_Qty_Per_Batch]*IFERROR(INDEX(PP_Grid[#Data],M_BOM[PPGridRow],4),0))/69.45</f>
        <v/>
      </c>
      <c r="E67">
        <f>SUMPRODUCT((M_BOM[Part Name]=$A67)*M_BOM[RM_Qty_Per_Batch]*IFERROR(INDEX(PP_Grid[#Data],M_BOM[PPGridRow],5),0))/69.45</f>
        <v/>
      </c>
      <c r="F67">
        <f>SUMPRODUCT((M_BOM[Part Name]=$A67)*M_BOM[RM_Qty_Per_Batch]*IFERROR(INDEX(PP_Grid[#Data],M_BOM[PPGridRow],6),0))/69.45</f>
        <v/>
      </c>
      <c r="G67">
        <f>SUMPRODUCT((M_BOM[Part Name]=$A67)*M_BOM[RM_Qty_Per_Batch]*IFERROR(INDEX(PP_Grid[#Data],M_BOM[PPGridRow],7),0))/69.45</f>
        <v/>
      </c>
      <c r="H67">
        <f>SUMPRODUCT((M_BOM[Part Name]=$A67)*M_BOM[RM_Qty_Per_Batch]*IFERROR(INDEX(PP_Grid[#Data],M_BOM[PPGridRow],8),0))/69.45</f>
        <v/>
      </c>
      <c r="I67">
        <f>SUMPRODUCT((M_BOM[Part Name]=$A67)*M_BOM[RM_Qty_Per_Batch]*IFERROR(INDEX(PP_Grid[#Data],M_BOM[PPGridRow],9),0))/69.45</f>
        <v/>
      </c>
      <c r="J67">
        <f>SUMPRODUCT((M_BOM[Part Name]=$A67)*M_BOM[RM_Qty_Per_Batch]*IFERROR(INDEX(PP_Grid[#Data],M_BOM[PPGridRow],10),0))/69.45</f>
        <v/>
      </c>
      <c r="K67">
        <f>SUMPRODUCT((M_BOM[Part Name]=$A67)*M_BOM[RM_Qty_Per_Batch]*IFERROR(INDEX(PP_Grid[#Data],M_BOM[PPGridRow],11),0))/69.45</f>
        <v/>
      </c>
      <c r="L67">
        <f>SUMPRODUCT((M_BOM[Part Name]=$A67)*M_BOM[RM_Qty_Per_Batch]*IFERROR(INDEX(PP_Grid[#Data],M_BOM[PPGridRow],12),0))/69.45</f>
        <v/>
      </c>
      <c r="M67">
        <f>SUMPRODUCT((M_BOM[Part Name]=$A67)*M_BOM[RM_Qty_Per_Batch]*IFERROR(INDEX(PP_Grid[#Data],M_BOM[PPGridRow],13),0))/69.45</f>
        <v/>
      </c>
      <c r="N67">
        <f>SUMPRODUCT((M_BOM[Part Name]=$A67)*M_BOM[RM_Qty_Per_Batch]*IFERROR(INDEX(PP_Grid[#Data],M_BOM[PPGridRow],14),0))/69.45</f>
        <v/>
      </c>
      <c r="O67">
        <f>SUMPRODUCT((M_BOM[Part Name]=$A67)*M_BOM[RM_Qty_Per_Batch]*IFERROR(INDEX(PP_Grid[#Data],M_BOM[PPGridRow],15),0))/69.45</f>
        <v/>
      </c>
      <c r="P67">
        <f>SUMPRODUCT((M_BOM[Part Name]=$A67)*M_BOM[RM_Qty_Per_Batch]*IFERROR(INDEX(PP_Grid[#Data],M_BOM[PPGridRow],16),0))/69.45</f>
        <v/>
      </c>
      <c r="Q67">
        <f>SUMPRODUCT((M_BOM[Part Name]=$A67)*M_BOM[RM_Qty_Per_Batch]*IFERROR(INDEX(PP_Grid[#Data],M_BOM[PPGridRow],17),0))/69.45</f>
        <v/>
      </c>
      <c r="R67">
        <f>SUMPRODUCT((M_BOM[Part Name]=$A67)*M_BOM[RM_Qty_Per_Batch]*IFERROR(INDEX(PP_Grid[#Data],M_BOM[PPGridRow],18),0))/69.45</f>
        <v/>
      </c>
      <c r="S67">
        <f>SUMPRODUCT((M_BOM[Part Name]=$A67)*M_BOM[RM_Qty_Per_Batch]*IFERROR(INDEX(PP_Grid[#Data],M_BOM[PPGridRow],19),0))/69.45</f>
        <v/>
      </c>
      <c r="T67">
        <f>SUMPRODUCT((M_BOM[Part Name]=$A67)*M_BOM[RM_Qty_Per_Batch]*IFERROR(INDEX(PP_Grid[#Data],M_BOM[PPGridRow],20),0))/69.45</f>
        <v/>
      </c>
      <c r="U67">
        <f>SUMPRODUCT((M_BOM[Part Name]=$A67)*M_BOM[RM_Qty_Per_Batch]*IFERROR(INDEX(PP_Grid[#Data],M_BOM[PPGridRow],21),0))/69.45</f>
        <v/>
      </c>
      <c r="V67">
        <f>SUMPRODUCT((M_BOM[Part Name]=$A67)*M_BOM[RM_Qty_Per_Batch]*IFERROR(INDEX(PP_Grid[#Data],M_BOM[PPGridRow],22),0))/69.45</f>
        <v/>
      </c>
      <c r="W67">
        <f>SUMPRODUCT((M_BOM[Part Name]=$A67)*M_BOM[RM_Qty_Per_Batch]*IFERROR(INDEX(PP_Grid[#Data],M_BOM[PPGridRow],23),0))/69.45</f>
        <v/>
      </c>
      <c r="X67">
        <f>SUMPRODUCT((M_BOM[Part Name]=$A67)*M_BOM[RM_Qty_Per_Batch]*IFERROR(INDEX(PP_Grid[#Data],M_BOM[PPGridRow],24),0))/69.45</f>
        <v/>
      </c>
      <c r="Y67">
        <f>SUMPRODUCT((M_BOM[Part Name]=$A67)*M_BOM[RM_Qty_Per_Batch]*IFERROR(INDEX(PP_Grid[#Data],M_BOM[PPGridRow],25),0))/69.45</f>
        <v/>
      </c>
      <c r="Z67">
        <f>SUMPRODUCT((M_BOM[Part Name]=$A67)*M_BOM[RM_Qty_Per_Batch]*IFERROR(INDEX(PP_Grid[#Data],M_BOM[PPGridRow],26),0))/69.45</f>
        <v/>
      </c>
      <c r="AA67">
        <f>SUMPRODUCT((M_BOM[Part Name]=$A67)*M_BOM[RM_Qty_Per_Batch]*IFERROR(INDEX(PP_Grid[#Data],M_BOM[PPGridRow],27),0))/69.45</f>
        <v/>
      </c>
      <c r="AB67">
        <f>SUMPRODUCT((M_BOM[Part Name]=$A67)*M_BOM[RM_Qty_Per_Batch]*IFERROR(INDEX(PP_Grid[#Data],M_BOM[PPGridRow],28),0))/69.45</f>
        <v/>
      </c>
      <c r="AC67">
        <f>SUMPRODUCT((M_BOM[Part Name]=$A67)*M_BOM[RM_Qty_Per_Batch]*IFERROR(INDEX(PP_Grid[#Data],M_BOM[PPGridRow],29),0))/69.45</f>
        <v/>
      </c>
      <c r="AD67">
        <f>SUMPRODUCT((M_BOM[Part Name]=$A67)*M_BOM[RM_Qty_Per_Batch]*IFERROR(INDEX(PP_Grid[#Data],M_BOM[PPGridRow],30),0))/69.45</f>
        <v/>
      </c>
      <c r="AE67">
        <f>SUMPRODUCT((M_BOM[Part Name]=$A67)*M_BOM[RM_Qty_Per_Batch]*IFERROR(INDEX(PP_Grid[#Data],M_BOM[PPGridRow],31),0))/69.45</f>
        <v/>
      </c>
      <c r="AF67">
        <f>SUMPRODUCT((M_BOM[Part Name]=$A67)*M_BOM[RM_Qty_Per_Batch]*IFERROR(INDEX(PP_Grid[#Data],M_BOM[PPGridRow],32),0))/69.45</f>
        <v/>
      </c>
      <c r="AG67">
        <f>SUMPRODUCT((M_BOM[Part Name]=$A67)*M_BOM[RM_Qty_Per_Batch]*IFERROR(INDEX(PP_Grid[#Data],M_BOM[PPGridRow],33),0))/69.45</f>
        <v/>
      </c>
      <c r="AH67">
        <f>SUMPRODUCT((M_BOM[Part Name]=$A67)*M_BOM[RM_Qty_Per_Batch]*IFERROR(INDEX(PP_Grid[#Data],M_BOM[PPGridRow],34),0))/69.45</f>
        <v/>
      </c>
      <c r="AI67">
        <f>SUMPRODUCT((M_BOM[Part Name]=$A67)*M_BOM[RM_Qty_Per_Batch]*IFERROR(INDEX(PP_Grid[#Data],M_BOM[PPGridRow],35),0))/69.45</f>
        <v/>
      </c>
      <c r="AJ67">
        <f>SUMPRODUCT((M_BOM[Part Name]=$A67)*M_BOM[RM_Qty_Per_Batch]*IFERROR(INDEX(PP_Grid[#Data],M_BOM[PPGridRow],36),0))/69.45</f>
        <v/>
      </c>
      <c r="AK67">
        <f>SUMPRODUCT((M_BOM[Part Name]=$A67)*M_BOM[RM_Qty_Per_Batch]*IFERROR(INDEX(PP_Grid[#Data],M_BOM[PPGridRow],37),0))/69.45</f>
        <v/>
      </c>
      <c r="AL67">
        <f>SUMPRODUCT((M_BOM[Part Name]=$A67)*M_BOM[RM_Qty_Per_Batch]*IFERROR(INDEX(PP_Grid[#Data],M_BOM[PPGridRow],38),0))/69.45</f>
        <v/>
      </c>
      <c r="AM67">
        <f>SUMPRODUCT((M_BOM[Part Name]=$A67)*M_BOM[RM_Qty_Per_Batch]*IFERROR(INDEX(PP_Grid[#Data],M_BOM[PPGridRow],39),0))/69.45</f>
        <v/>
      </c>
      <c r="AN67">
        <f>SUMPRODUCT((M_BOM[Part Name]=$A67)*M_BOM[RM_Qty_Per_Batch]*IFERROR(INDEX(PP_Grid[#Data],M_BOM[PPGridRow],40),0))/69.45</f>
        <v/>
      </c>
      <c r="AO67">
        <f>SUMPRODUCT((M_BOM[Part Name]=$A67)*M_BOM[RM_Qty_Per_Batch]*IFERROR(INDEX(PP_Grid[#Data],M_BOM[PPGridRow],41),0))/69.45</f>
        <v/>
      </c>
      <c r="AP67">
        <f>SUMPRODUCT((M_BOM[Part Name]=$A67)*M_BOM[RM_Qty_Per_Batch]*IFERROR(INDEX(PP_Grid[#Data],M_BOM[PPGridRow],42),0))/69.45</f>
        <v/>
      </c>
      <c r="AQ67">
        <f>SUMPRODUCT((M_BOM[Part Name]=$A67)*M_BOM[RM_Qty_Per_Batch]*IFERROR(INDEX(PP_Grid[#Data],M_BOM[PPGridRow],43),0))/69.45</f>
        <v/>
      </c>
      <c r="AR67">
        <f>SUMPRODUCT((M_BOM[Part Name]=$A67)*M_BOM[RM_Qty_Per_Batch]*IFERROR(INDEX(PP_Grid[#Data],M_BOM[PPGridRow],44),0))/69.45</f>
        <v/>
      </c>
      <c r="AS67">
        <f>SUMPRODUCT((M_BOM[Part Name]=$A67)*M_BOM[RM_Qty_Per_Batch]*IFERROR(INDEX(PP_Grid[#Data],M_BOM[PPGridRow],45),0))/69.45</f>
        <v/>
      </c>
      <c r="AT67">
        <f>SUMPRODUCT((M_BOM[Part Name]=$A67)*M_BOM[RM_Qty_Per_Batch]*IFERROR(INDEX(PP_Grid[#Data],M_BOM[PPGridRow],46),0))/69.45</f>
        <v/>
      </c>
      <c r="AU67">
        <f>SUMPRODUCT((M_BOM[Part Name]=$A67)*M_BOM[RM_Qty_Per_Batch]*IFERROR(INDEX(PP_Grid[#Data],M_BOM[PPGridRow],47),0))/69.45</f>
        <v/>
      </c>
      <c r="AV67">
        <f>SUMPRODUCT((M_BOM[Part Name]=$A67)*M_BOM[RM_Qty_Per_Batch]*IFERROR(INDEX(PP_Grid[#Data],M_BOM[PPGridRow],48),0))/69.45</f>
        <v/>
      </c>
      <c r="AW67">
        <f>SUMPRODUCT((M_BOM[Part Name]=$A67)*M_BOM[RM_Qty_Per_Batch]*IFERROR(INDEX(PP_Grid[#Data],M_BOM[PPGridRow],49),0))/69.45</f>
        <v/>
      </c>
      <c r="AX67">
        <f>SUMPRODUCT((M_BOM[Part Name]=$A67)*M_BOM[RM_Qty_Per_Batch]*IFERROR(INDEX(PP_Grid[#Data],M_BOM[PPGridRow],50),0))/69.45</f>
        <v/>
      </c>
      <c r="AY67">
        <f>SUMPRODUCT((M_BOM[Part Name]=$A67)*M_BOM[RM_Qty_Per_Batch]*IFERROR(INDEX(PP_Grid[#Data],M_BOM[PPGridRow],51),0))/69.45</f>
        <v/>
      </c>
      <c r="AZ67">
        <f>SUMPRODUCT((M_BOM[Part Name]=$A67)*M_BOM[RM_Qty_Per_Batch]*IFERROR(INDEX(PP_Grid[#Data],M_BOM[PPGridRow],52),0))/69.45</f>
        <v/>
      </c>
      <c r="BA67">
        <f>SUMPRODUCT((M_BOM[Part Name]=$A67)*M_BOM[RM_Qty_Per_Batch]*IFERROR(INDEX(PP_Grid[#Data],M_BOM[PPGridRow],53),0))/69.45</f>
        <v/>
      </c>
      <c r="BB67">
        <f>SUMPRODUCT((M_BOM[Part Name]=$A67)*M_BOM[RM_Qty_Per_Batch]*IFERROR(INDEX(PP_Grid[#Data],M_BOM[PPGridRow],54),0))/69.45</f>
        <v/>
      </c>
      <c r="BC67">
        <f>SUMPRODUCT((M_BOM[Part Name]=$A67)*M_BOM[RM_Qty_Per_Batch]*IFERROR(INDEX(PP_Grid[#Data],M_BOM[PPGridRow],55),0))/69.45</f>
        <v/>
      </c>
      <c r="BD67">
        <f>SUMPRODUCT((M_BOM[Part Name]=$A67)*M_BOM[RM_Qty_Per_Batch]*IFERROR(INDEX(PP_Grid[#Data],M_BOM[PPGridRow],56),0))/69.45</f>
        <v/>
      </c>
      <c r="BE67">
        <f>SUMPRODUCT((M_BOM[Part Name]=$A67)*M_BOM[RM_Qty_Per_Batch]*IFERROR(INDEX(PP_Grid[#Data],M_BOM[PPGridRow],57),0))/69.45</f>
        <v/>
      </c>
      <c r="BF67">
        <f>SUMPRODUCT((M_BOM[Part Name]=$A67)*M_BOM[RM_Qty_Per_Batch]*IFERROR(INDEX(PP_Grid[#Data],M_BOM[PPGridRow],58),0))/69.45</f>
        <v/>
      </c>
      <c r="BG67">
        <f>SUMPRODUCT((M_BOM[Part Name]=$A67)*M_BOM[RM_Qty_Per_Batch]*IFERROR(INDEX(PP_Grid[#Data],M_BOM[PPGridRow],59),0))/69.45</f>
        <v/>
      </c>
      <c r="BH67">
        <f>SUMPRODUCT((M_BOM[Part Name]=$A67)*M_BOM[RM_Qty_Per_Batch]*IFERROR(INDEX(PP_Grid[#Data],M_BOM[PPGridRow],60),0))/69.45</f>
        <v/>
      </c>
      <c r="BI67">
        <f>SUMPRODUCT((M_BOM[Part Name]=$A67)*M_BOM[RM_Qty_Per_Batch]*IFERROR(INDEX(PP_Grid[#Data],M_BOM[PPGridRow],61),0))/69.45</f>
        <v/>
      </c>
      <c r="BJ67">
        <f>SUMPRODUCT((M_BOM[Part Name]=$A67)*M_BOM[RM_Qty_Per_Batch]*IFERROR(INDEX(PP_Grid[#Data],M_BOM[PPGridRow],62),0))/69.45</f>
        <v/>
      </c>
      <c r="BK67">
        <f>SUMPRODUCT((M_BOM[Part Name]=$A67)*M_BOM[RM_Qty_Per_Batch]*IFERROR(INDEX(PP_Grid[#Data],M_BOM[PPGridRow],63),0))/69.45</f>
        <v/>
      </c>
      <c r="BL67">
        <f>SUMPRODUCT((M_BOM[Part Name]=$A67)*M_BOM[RM_Qty_Per_Batch]*IFERROR(INDEX(PP_Grid[#Data],M_BOM[PPGridRow],64),0))/69.45</f>
        <v/>
      </c>
      <c r="BM67">
        <f>SUMPRODUCT((M_BOM[Part Name]=$A67)*M_BOM[RM_Qty_Per_Batch]*IFERROR(INDEX(PP_Grid[#Data],M_BOM[PPGridRow],65),0))/69.45</f>
        <v/>
      </c>
      <c r="BN67">
        <f>SUMPRODUCT((M_BOM[Part Name]=$A67)*M_BOM[RM_Qty_Per_Batch]*IFERROR(INDEX(PP_Grid[#Data],M_BOM[PPGridRow],66),0))/69.45</f>
        <v/>
      </c>
      <c r="BO67">
        <f>SUMPRODUCT((M_BOM[Part Name]=$A67)*M_BOM[RM_Qty_Per_Batch]*IFERROR(INDEX(PP_Grid[#Data],M_BOM[PPGridRow],67),0))/69.45</f>
        <v/>
      </c>
      <c r="BP67">
        <f>SUMPRODUCT((M_BOM[Part Name]=$A67)*M_BOM[RM_Qty_Per_Batch]*IFERROR(INDEX(PP_Grid[#Data],M_BOM[PPGridRow],68),0))/69.45</f>
        <v/>
      </c>
      <c r="BQ67">
        <f>SUMPRODUCT((M_BOM[Part Name]=$A67)*M_BOM[RM_Qty_Per_Batch]*IFERROR(INDEX(PP_Grid[#Data],M_BOM[PPGridRow],69),0))/69.45</f>
        <v/>
      </c>
      <c r="BR67">
        <f>SUMPRODUCT((M_BOM[Part Name]=$A67)*M_BOM[RM_Qty_Per_Batch]*IFERROR(INDEX(PP_Grid[#Data],M_BOM[PPGridRow],70),0))/69.45</f>
        <v/>
      </c>
      <c r="BS67">
        <f>SUMPRODUCT((M_BOM[Part Name]=$A67)*M_BOM[RM_Qty_Per_Batch]*IFERROR(INDEX(PP_Grid[#Data],M_BOM[PPGridRow],71),0))/69.45</f>
        <v/>
      </c>
      <c r="BT67">
        <f>SUMPRODUCT((M_BOM[Part Name]=$A67)*M_BOM[RM_Qty_Per_Batch]*IFERROR(INDEX(PP_Grid[#Data],M_BOM[PPGridRow],72),0))/69.45</f>
        <v/>
      </c>
      <c r="BU67">
        <f>SUMPRODUCT((M_BOM[Part Name]=$A67)*M_BOM[RM_Qty_Per_Batch]*IFERROR(INDEX(PP_Grid[#Data],M_BOM[PPGridRow],73),0))/69.45</f>
        <v/>
      </c>
      <c r="BV67">
        <f>SUMPRODUCT((M_BOM[Part Name]=$A67)*M_BOM[RM_Qty_Per_Batch]*IFERROR(INDEX(PP_Grid[#Data],M_BOM[PPGridRow],74),0))/69.45</f>
        <v/>
      </c>
      <c r="BW67">
        <f>SUMPRODUCT((M_BOM[Part Name]=$A67)*M_BOM[RM_Qty_Per_Batch]*IFERROR(INDEX(PP_Grid[#Data],M_BOM[PPGridRow],75),0))/69.45</f>
        <v/>
      </c>
      <c r="BX67">
        <f>SUMPRODUCT((M_BOM[Part Name]=$A67)*M_BOM[RM_Qty_Per_Batch]*IFERROR(INDEX(PP_Grid[#Data],M_BOM[PPGridRow],76),0))/69.45</f>
        <v/>
      </c>
      <c r="BY67">
        <f>SUMPRODUCT((M_BOM[Part Name]=$A67)*M_BOM[RM_Qty_Per_Batch]*IFERROR(INDEX(PP_Grid[#Data],M_BOM[PPGridRow],77),0))/69.45</f>
        <v/>
      </c>
      <c r="BZ67">
        <f>SUMPRODUCT((M_BOM[Part Name]=$A67)*M_BOM[RM_Qty_Per_Batch]*IFERROR(INDEX(PP_Grid[#Data],M_BOM[PPGridRow],78),0))/69.45</f>
        <v/>
      </c>
      <c r="CA67">
        <f>SUMPRODUCT((M_BOM[Part Name]=$A67)*M_BOM[RM_Qty_Per_Batch]*IFERROR(INDEX(PP_Grid[#Data],M_BOM[PPGridRow],79),0))/69.45</f>
        <v/>
      </c>
      <c r="CB67">
        <f>SUMPRODUCT((M_BOM[Part Name]=$A67)*M_BOM[RM_Qty_Per_Batch]*IFERROR(INDEX(PP_Grid[#Data],M_BOM[PPGridRow],80),0))/69.45</f>
        <v/>
      </c>
      <c r="CC67">
        <f>SUMPRODUCT((M_BOM[Part Name]=$A67)*M_BOM[RM_Qty_Per_Batch]*IFERROR(INDEX(PP_Grid[#Data],M_BOM[PPGridRow],81),0))/69.45</f>
        <v/>
      </c>
      <c r="CD67">
        <f>SUMPRODUCT((M_BOM[Part Name]=$A67)*M_BOM[RM_Qty_Per_Batch]*IFERROR(INDEX(PP_Grid[#Data],M_BOM[PPGridRow],82),0))/69.45</f>
        <v/>
      </c>
      <c r="CE67">
        <f>SUMPRODUCT((M_BOM[Part Name]=$A67)*M_BOM[RM_Qty_Per_Batch]*IFERROR(INDEX(PP_Grid[#Data],M_BOM[PPGridRow],83),0))/69.45</f>
        <v/>
      </c>
      <c r="CF67">
        <f>SUMPRODUCT((M_BOM[Part Name]=$A67)*M_BOM[RM_Qty_Per_Batch]*IFERROR(INDEX(PP_Grid[#Data],M_BOM[PPGridRow],84),0))/69.45</f>
        <v/>
      </c>
      <c r="CG67">
        <f>SUMPRODUCT((M_BOM[Part Name]=$A67)*M_BOM[RM_Qty_Per_Batch]*IFERROR(INDEX(PP_Grid[#Data],M_BOM[PPGridRow],85),0))/69.45</f>
        <v/>
      </c>
      <c r="CH67">
        <f>SUMPRODUCT((M_BOM[Part Name]=$A67)*M_BOM[RM_Qty_Per_Batch]*IFERROR(INDEX(PP_Grid[#Data],M_BOM[PPGridRow],86),0))/69.45</f>
        <v/>
      </c>
      <c r="CI67">
        <f>SUMPRODUCT((M_BOM[Part Name]=$A67)*M_BOM[RM_Qty_Per_Batch]*IFERROR(INDEX(PP_Grid[#Data],M_BOM[PPGridRow],87),0))/69.45</f>
        <v/>
      </c>
      <c r="CJ67">
        <f>SUMPRODUCT((M_BOM[Part Name]=$A67)*M_BOM[RM_Qty_Per_Batch]*IFERROR(INDEX(PP_Grid[#Data],M_BOM[PPGridRow],88),0))/69.45</f>
        <v/>
      </c>
      <c r="CK67">
        <f>SUMPRODUCT((M_BOM[Part Name]=$A67)*M_BOM[RM_Qty_Per_Batch]*IFERROR(INDEX(PP_Grid[#Data],M_BOM[PPGridRow],89),0))/69.45</f>
        <v/>
      </c>
      <c r="CL67">
        <f>SUMPRODUCT((M_BOM[Part Name]=$A67)*M_BOM[RM_Qty_Per_Batch]*IFERROR(INDEX(PP_Grid[#Data],M_BOM[PPGridRow],90),0))/69.45</f>
        <v/>
      </c>
      <c r="CM67">
        <f>SUMPRODUCT((M_BOM[Part Name]=$A67)*M_BOM[RM_Qty_Per_Batch]*IFERROR(INDEX(PP_Grid[#Data],M_BOM[PPGridRow],91),0))/69.45</f>
        <v/>
      </c>
      <c r="CN67">
        <f>SUMPRODUCT((M_BOM[Part Name]=$A67)*M_BOM[RM_Qty_Per_Batch]*IFERROR(INDEX(PP_Grid[#Data],M_BOM[PPGridRow],92),0))/69.45</f>
        <v/>
      </c>
      <c r="CO67">
        <f>SUMPRODUCT((M_BOM[Part Name]=$A67)*M_BOM[RM_Qty_Per_Batch]*IFERROR(INDEX(PP_Grid[#Data],M_BOM[PPGridRow],93),0))/69.45</f>
        <v/>
      </c>
      <c r="CP67">
        <f>SUMPRODUCT((M_BOM[Part Name]=$A67)*M_BOM[RM_Qty_Per_Batch]*IFERROR(INDEX(PP_Grid[#Data],M_BOM[PPGridRow],94),0))/69.45</f>
        <v/>
      </c>
      <c r="CQ67">
        <f>SUMPRODUCT((M_BOM[Part Name]=$A67)*M_BOM[RM_Qty_Per_Batch]*IFERROR(INDEX(PP_Grid[#Data],M_BOM[PPGridRow],95),0))/69.45</f>
        <v/>
      </c>
      <c r="CR67">
        <f>SUMPRODUCT((M_BOM[Part Name]=$A67)*M_BOM[RM_Qty_Per_Batch]*IFERROR(INDEX(PP_Grid[#Data],M_BOM[PPGridRow],96),0))/69.45</f>
        <v/>
      </c>
      <c r="CS67">
        <f>SUMPRODUCT((M_BOM[Part Name]=$A67)*M_BOM[RM_Qty_Per_Batch]*IFERROR(INDEX(PP_Grid[#Data],M_BOM[PPGridRow],97),0))/69.45</f>
        <v/>
      </c>
      <c r="CT67">
        <f>SUMPRODUCT((M_BOM[Part Name]=$A67)*M_BOM[RM_Qty_Per_Batch]*IFERROR(INDEX(PP_Grid[#Data],M_BOM[PPGridRow],98),0))/69.45</f>
        <v/>
      </c>
      <c r="CU67">
        <f>SUMPRODUCT((M_BOM[Part Name]=$A67)*M_BOM[RM_Qty_Per_Batch]*IFERROR(INDEX(PP_Grid[#Data],M_BOM[PPGridRow],99),0))/69.45</f>
        <v/>
      </c>
      <c r="CV67">
        <f>SUMPRODUCT((M_BOM[Part Name]=$A67)*M_BOM[RM_Qty_Per_Batch]*IFERROR(INDEX(PP_Grid[#Data],M_BOM[PPGridRow],100),0))/69.45</f>
        <v/>
      </c>
      <c r="CW67">
        <f>SUMPRODUCT((M_BOM[Part Name]=$A67)*M_BOM[RM_Qty_Per_Batch]*IFERROR(INDEX(PP_Grid[#Data],M_BOM[PPGridRow],101),0))/69.45</f>
        <v/>
      </c>
      <c r="CX67">
        <f>SUMPRODUCT((M_BOM[Part Name]=$A67)*M_BOM[RM_Qty_Per_Batch]*IFERROR(INDEX(PP_Grid[#Data],M_BOM[PPGridRow],102),0))/69.45</f>
        <v/>
      </c>
      <c r="CY67">
        <f>SUMPRODUCT((M_BOM[Part Name]=$A67)*M_BOM[RM_Qty_Per_Batch]*IFERROR(INDEX(PP_Grid[#Data],M_BOM[PPGridRow],103),0))/69.45</f>
        <v/>
      </c>
      <c r="CZ67">
        <f>SUMPRODUCT((M_BOM[Part Name]=$A67)*M_BOM[RM_Qty_Per_Batch]*IFERROR(INDEX(PP_Grid[#Data],M_BOM[PPGridRow],104),0))/69.45</f>
        <v/>
      </c>
      <c r="DA67">
        <f>SUMPRODUCT((M_BOM[Part Name]=$A67)*M_BOM[RM_Qty_Per_Batch]*IFERROR(INDEX(PP_Grid[#Data],M_BOM[PPGridRow],105),0))/69.45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Name]=$A68)*M_BOM[RM_Qty_Per_Batch]*IFERROR(INDEX(PP_Grid[#Data],M_BOM[PPGridRow],2),0))/26.54</f>
        <v/>
      </c>
      <c r="C68">
        <f>SUMPRODUCT((M_BOM[Part Name]=$A68)*M_BOM[RM_Qty_Per_Batch]*IFERROR(INDEX(PP_Grid[#Data],M_BOM[PPGridRow],3),0))/26.54</f>
        <v/>
      </c>
      <c r="D68">
        <f>SUMPRODUCT((M_BOM[Part Name]=$A68)*M_BOM[RM_Qty_Per_Batch]*IFERROR(INDEX(PP_Grid[#Data],M_BOM[PPGridRow],4),0))/26.54</f>
        <v/>
      </c>
      <c r="E68">
        <f>SUMPRODUCT((M_BOM[Part Name]=$A68)*M_BOM[RM_Qty_Per_Batch]*IFERROR(INDEX(PP_Grid[#Data],M_BOM[PPGridRow],5),0))/26.54</f>
        <v/>
      </c>
      <c r="F68">
        <f>SUMPRODUCT((M_BOM[Part Name]=$A68)*M_BOM[RM_Qty_Per_Batch]*IFERROR(INDEX(PP_Grid[#Data],M_BOM[PPGridRow],6),0))/26.54</f>
        <v/>
      </c>
      <c r="G68">
        <f>SUMPRODUCT((M_BOM[Part Name]=$A68)*M_BOM[RM_Qty_Per_Batch]*IFERROR(INDEX(PP_Grid[#Data],M_BOM[PPGridRow],7),0))/26.54</f>
        <v/>
      </c>
      <c r="H68">
        <f>SUMPRODUCT((M_BOM[Part Name]=$A68)*M_BOM[RM_Qty_Per_Batch]*IFERROR(INDEX(PP_Grid[#Data],M_BOM[PPGridRow],8),0))/26.54</f>
        <v/>
      </c>
      <c r="I68">
        <f>SUMPRODUCT((M_BOM[Part Name]=$A68)*M_BOM[RM_Qty_Per_Batch]*IFERROR(INDEX(PP_Grid[#Data],M_BOM[PPGridRow],9),0))/26.54</f>
        <v/>
      </c>
      <c r="J68">
        <f>SUMPRODUCT((M_BOM[Part Name]=$A68)*M_BOM[RM_Qty_Per_Batch]*IFERROR(INDEX(PP_Grid[#Data],M_BOM[PPGridRow],10),0))/26.54</f>
        <v/>
      </c>
      <c r="K68">
        <f>SUMPRODUCT((M_BOM[Part Name]=$A68)*M_BOM[RM_Qty_Per_Batch]*IFERROR(INDEX(PP_Grid[#Data],M_BOM[PPGridRow],11),0))/26.54</f>
        <v/>
      </c>
      <c r="L68">
        <f>SUMPRODUCT((M_BOM[Part Name]=$A68)*M_BOM[RM_Qty_Per_Batch]*IFERROR(INDEX(PP_Grid[#Data],M_BOM[PPGridRow],12),0))/26.54</f>
        <v/>
      </c>
      <c r="M68">
        <f>SUMPRODUCT((M_BOM[Part Name]=$A68)*M_BOM[RM_Qty_Per_Batch]*IFERROR(INDEX(PP_Grid[#Data],M_BOM[PPGridRow],13),0))/26.54</f>
        <v/>
      </c>
      <c r="N68">
        <f>SUMPRODUCT((M_BOM[Part Name]=$A68)*M_BOM[RM_Qty_Per_Batch]*IFERROR(INDEX(PP_Grid[#Data],M_BOM[PPGridRow],14),0))/26.54</f>
        <v/>
      </c>
      <c r="O68">
        <f>SUMPRODUCT((M_BOM[Part Name]=$A68)*M_BOM[RM_Qty_Per_Batch]*IFERROR(INDEX(PP_Grid[#Data],M_BOM[PPGridRow],15),0))/26.54</f>
        <v/>
      </c>
      <c r="P68">
        <f>SUMPRODUCT((M_BOM[Part Name]=$A68)*M_BOM[RM_Qty_Per_Batch]*IFERROR(INDEX(PP_Grid[#Data],M_BOM[PPGridRow],16),0))/26.54</f>
        <v/>
      </c>
      <c r="Q68">
        <f>SUMPRODUCT((M_BOM[Part Name]=$A68)*M_BOM[RM_Qty_Per_Batch]*IFERROR(INDEX(PP_Grid[#Data],M_BOM[PPGridRow],17),0))/26.54</f>
        <v/>
      </c>
      <c r="R68">
        <f>SUMPRODUCT((M_BOM[Part Name]=$A68)*M_BOM[RM_Qty_Per_Batch]*IFERROR(INDEX(PP_Grid[#Data],M_BOM[PPGridRow],18),0))/26.54</f>
        <v/>
      </c>
      <c r="S68">
        <f>SUMPRODUCT((M_BOM[Part Name]=$A68)*M_BOM[RM_Qty_Per_Batch]*IFERROR(INDEX(PP_Grid[#Data],M_BOM[PPGridRow],19),0))/26.54</f>
        <v/>
      </c>
      <c r="T68">
        <f>SUMPRODUCT((M_BOM[Part Name]=$A68)*M_BOM[RM_Qty_Per_Batch]*IFERROR(INDEX(PP_Grid[#Data],M_BOM[PPGridRow],20),0))/26.54</f>
        <v/>
      </c>
      <c r="U68">
        <f>SUMPRODUCT((M_BOM[Part Name]=$A68)*M_BOM[RM_Qty_Per_Batch]*IFERROR(INDEX(PP_Grid[#Data],M_BOM[PPGridRow],21),0))/26.54</f>
        <v/>
      </c>
      <c r="V68">
        <f>SUMPRODUCT((M_BOM[Part Name]=$A68)*M_BOM[RM_Qty_Per_Batch]*IFERROR(INDEX(PP_Grid[#Data],M_BOM[PPGridRow],22),0))/26.54</f>
        <v/>
      </c>
      <c r="W68">
        <f>SUMPRODUCT((M_BOM[Part Name]=$A68)*M_BOM[RM_Qty_Per_Batch]*IFERROR(INDEX(PP_Grid[#Data],M_BOM[PPGridRow],23),0))/26.54</f>
        <v/>
      </c>
      <c r="X68">
        <f>SUMPRODUCT((M_BOM[Part Name]=$A68)*M_BOM[RM_Qty_Per_Batch]*IFERROR(INDEX(PP_Grid[#Data],M_BOM[PPGridRow],24),0))/26.54</f>
        <v/>
      </c>
      <c r="Y68">
        <f>SUMPRODUCT((M_BOM[Part Name]=$A68)*M_BOM[RM_Qty_Per_Batch]*IFERROR(INDEX(PP_Grid[#Data],M_BOM[PPGridRow],25),0))/26.54</f>
        <v/>
      </c>
      <c r="Z68">
        <f>SUMPRODUCT((M_BOM[Part Name]=$A68)*M_BOM[RM_Qty_Per_Batch]*IFERROR(INDEX(PP_Grid[#Data],M_BOM[PPGridRow],26),0))/26.54</f>
        <v/>
      </c>
      <c r="AA68">
        <f>SUMPRODUCT((M_BOM[Part Name]=$A68)*M_BOM[RM_Qty_Per_Batch]*IFERROR(INDEX(PP_Grid[#Data],M_BOM[PPGridRow],27),0))/26.54</f>
        <v/>
      </c>
      <c r="AB68">
        <f>SUMPRODUCT((M_BOM[Part Name]=$A68)*M_BOM[RM_Qty_Per_Batch]*IFERROR(INDEX(PP_Grid[#Data],M_BOM[PPGridRow],28),0))/26.54</f>
        <v/>
      </c>
      <c r="AC68">
        <f>SUMPRODUCT((M_BOM[Part Name]=$A68)*M_BOM[RM_Qty_Per_Batch]*IFERROR(INDEX(PP_Grid[#Data],M_BOM[PPGridRow],29),0))/26.54</f>
        <v/>
      </c>
      <c r="AD68">
        <f>SUMPRODUCT((M_BOM[Part Name]=$A68)*M_BOM[RM_Qty_Per_Batch]*IFERROR(INDEX(PP_Grid[#Data],M_BOM[PPGridRow],30),0))/26.54</f>
        <v/>
      </c>
      <c r="AE68">
        <f>SUMPRODUCT((M_BOM[Part Name]=$A68)*M_BOM[RM_Qty_Per_Batch]*IFERROR(INDEX(PP_Grid[#Data],M_BOM[PPGridRow],31),0))/26.54</f>
        <v/>
      </c>
      <c r="AF68">
        <f>SUMPRODUCT((M_BOM[Part Name]=$A68)*M_BOM[RM_Qty_Per_Batch]*IFERROR(INDEX(PP_Grid[#Data],M_BOM[PPGridRow],32),0))/26.54</f>
        <v/>
      </c>
      <c r="AG68">
        <f>SUMPRODUCT((M_BOM[Part Name]=$A68)*M_BOM[RM_Qty_Per_Batch]*IFERROR(INDEX(PP_Grid[#Data],M_BOM[PPGridRow],33),0))/26.54</f>
        <v/>
      </c>
      <c r="AH68">
        <f>SUMPRODUCT((M_BOM[Part Name]=$A68)*M_BOM[RM_Qty_Per_Batch]*IFERROR(INDEX(PP_Grid[#Data],M_BOM[PPGridRow],34),0))/26.54</f>
        <v/>
      </c>
      <c r="AI68">
        <f>SUMPRODUCT((M_BOM[Part Name]=$A68)*M_BOM[RM_Qty_Per_Batch]*IFERROR(INDEX(PP_Grid[#Data],M_BOM[PPGridRow],35),0))/26.54</f>
        <v/>
      </c>
      <c r="AJ68">
        <f>SUMPRODUCT((M_BOM[Part Name]=$A68)*M_BOM[RM_Qty_Per_Batch]*IFERROR(INDEX(PP_Grid[#Data],M_BOM[PPGridRow],36),0))/26.54</f>
        <v/>
      </c>
      <c r="AK68">
        <f>SUMPRODUCT((M_BOM[Part Name]=$A68)*M_BOM[RM_Qty_Per_Batch]*IFERROR(INDEX(PP_Grid[#Data],M_BOM[PPGridRow],37),0))/26.54</f>
        <v/>
      </c>
      <c r="AL68">
        <f>SUMPRODUCT((M_BOM[Part Name]=$A68)*M_BOM[RM_Qty_Per_Batch]*IFERROR(INDEX(PP_Grid[#Data],M_BOM[PPGridRow],38),0))/26.54</f>
        <v/>
      </c>
      <c r="AM68">
        <f>SUMPRODUCT((M_BOM[Part Name]=$A68)*M_BOM[RM_Qty_Per_Batch]*IFERROR(INDEX(PP_Grid[#Data],M_BOM[PPGridRow],39),0))/26.54</f>
        <v/>
      </c>
      <c r="AN68">
        <f>SUMPRODUCT((M_BOM[Part Name]=$A68)*M_BOM[RM_Qty_Per_Batch]*IFERROR(INDEX(PP_Grid[#Data],M_BOM[PPGridRow],40),0))/26.54</f>
        <v/>
      </c>
      <c r="AO68">
        <f>SUMPRODUCT((M_BOM[Part Name]=$A68)*M_BOM[RM_Qty_Per_Batch]*IFERROR(INDEX(PP_Grid[#Data],M_BOM[PPGridRow],41),0))/26.54</f>
        <v/>
      </c>
      <c r="AP68">
        <f>SUMPRODUCT((M_BOM[Part Name]=$A68)*M_BOM[RM_Qty_Per_Batch]*IFERROR(INDEX(PP_Grid[#Data],M_BOM[PPGridRow],42),0))/26.54</f>
        <v/>
      </c>
      <c r="AQ68">
        <f>SUMPRODUCT((M_BOM[Part Name]=$A68)*M_BOM[RM_Qty_Per_Batch]*IFERROR(INDEX(PP_Grid[#Data],M_BOM[PPGridRow],43),0))/26.54</f>
        <v/>
      </c>
      <c r="AR68">
        <f>SUMPRODUCT((M_BOM[Part Name]=$A68)*M_BOM[RM_Qty_Per_Batch]*IFERROR(INDEX(PP_Grid[#Data],M_BOM[PPGridRow],44),0))/26.54</f>
        <v/>
      </c>
      <c r="AS68">
        <f>SUMPRODUCT((M_BOM[Part Name]=$A68)*M_BOM[RM_Qty_Per_Batch]*IFERROR(INDEX(PP_Grid[#Data],M_BOM[PPGridRow],45),0))/26.54</f>
        <v/>
      </c>
      <c r="AT68">
        <f>SUMPRODUCT((M_BOM[Part Name]=$A68)*M_BOM[RM_Qty_Per_Batch]*IFERROR(INDEX(PP_Grid[#Data],M_BOM[PPGridRow],46),0))/26.54</f>
        <v/>
      </c>
      <c r="AU68">
        <f>SUMPRODUCT((M_BOM[Part Name]=$A68)*M_BOM[RM_Qty_Per_Batch]*IFERROR(INDEX(PP_Grid[#Data],M_BOM[PPGridRow],47),0))/26.54</f>
        <v/>
      </c>
      <c r="AV68">
        <f>SUMPRODUCT((M_BOM[Part Name]=$A68)*M_BOM[RM_Qty_Per_Batch]*IFERROR(INDEX(PP_Grid[#Data],M_BOM[PPGridRow],48),0))/26.54</f>
        <v/>
      </c>
      <c r="AW68">
        <f>SUMPRODUCT((M_BOM[Part Name]=$A68)*M_BOM[RM_Qty_Per_Batch]*IFERROR(INDEX(PP_Grid[#Data],M_BOM[PPGridRow],49),0))/26.54</f>
        <v/>
      </c>
      <c r="AX68">
        <f>SUMPRODUCT((M_BOM[Part Name]=$A68)*M_BOM[RM_Qty_Per_Batch]*IFERROR(INDEX(PP_Grid[#Data],M_BOM[PPGridRow],50),0))/26.54</f>
        <v/>
      </c>
      <c r="AY68">
        <f>SUMPRODUCT((M_BOM[Part Name]=$A68)*M_BOM[RM_Qty_Per_Batch]*IFERROR(INDEX(PP_Grid[#Data],M_BOM[PPGridRow],51),0))/26.54</f>
        <v/>
      </c>
      <c r="AZ68">
        <f>SUMPRODUCT((M_BOM[Part Name]=$A68)*M_BOM[RM_Qty_Per_Batch]*IFERROR(INDEX(PP_Grid[#Data],M_BOM[PPGridRow],52),0))/26.54</f>
        <v/>
      </c>
      <c r="BA68">
        <f>SUMPRODUCT((M_BOM[Part Name]=$A68)*M_BOM[RM_Qty_Per_Batch]*IFERROR(INDEX(PP_Grid[#Data],M_BOM[PPGridRow],53),0))/26.54</f>
        <v/>
      </c>
      <c r="BB68">
        <f>SUMPRODUCT((M_BOM[Part Name]=$A68)*M_BOM[RM_Qty_Per_Batch]*IFERROR(INDEX(PP_Grid[#Data],M_BOM[PPGridRow],54),0))/26.54</f>
        <v/>
      </c>
      <c r="BC68">
        <f>SUMPRODUCT((M_BOM[Part Name]=$A68)*M_BOM[RM_Qty_Per_Batch]*IFERROR(INDEX(PP_Grid[#Data],M_BOM[PPGridRow],55),0))/26.54</f>
        <v/>
      </c>
      <c r="BD68">
        <f>SUMPRODUCT((M_BOM[Part Name]=$A68)*M_BOM[RM_Qty_Per_Batch]*IFERROR(INDEX(PP_Grid[#Data],M_BOM[PPGridRow],56),0))/26.54</f>
        <v/>
      </c>
      <c r="BE68">
        <f>SUMPRODUCT((M_BOM[Part Name]=$A68)*M_BOM[RM_Qty_Per_Batch]*IFERROR(INDEX(PP_Grid[#Data],M_BOM[PPGridRow],57),0))/26.54</f>
        <v/>
      </c>
      <c r="BF68">
        <f>SUMPRODUCT((M_BOM[Part Name]=$A68)*M_BOM[RM_Qty_Per_Batch]*IFERROR(INDEX(PP_Grid[#Data],M_BOM[PPGridRow],58),0))/26.54</f>
        <v/>
      </c>
      <c r="BG68">
        <f>SUMPRODUCT((M_BOM[Part Name]=$A68)*M_BOM[RM_Qty_Per_Batch]*IFERROR(INDEX(PP_Grid[#Data],M_BOM[PPGridRow],59),0))/26.54</f>
        <v/>
      </c>
      <c r="BH68">
        <f>SUMPRODUCT((M_BOM[Part Name]=$A68)*M_BOM[RM_Qty_Per_Batch]*IFERROR(INDEX(PP_Grid[#Data],M_BOM[PPGridRow],60),0))/26.54</f>
        <v/>
      </c>
      <c r="BI68">
        <f>SUMPRODUCT((M_BOM[Part Name]=$A68)*M_BOM[RM_Qty_Per_Batch]*IFERROR(INDEX(PP_Grid[#Data],M_BOM[PPGridRow],61),0))/26.54</f>
        <v/>
      </c>
      <c r="BJ68">
        <f>SUMPRODUCT((M_BOM[Part Name]=$A68)*M_BOM[RM_Qty_Per_Batch]*IFERROR(INDEX(PP_Grid[#Data],M_BOM[PPGridRow],62),0))/26.54</f>
        <v/>
      </c>
      <c r="BK68">
        <f>SUMPRODUCT((M_BOM[Part Name]=$A68)*M_BOM[RM_Qty_Per_Batch]*IFERROR(INDEX(PP_Grid[#Data],M_BOM[PPGridRow],63),0))/26.54</f>
        <v/>
      </c>
      <c r="BL68">
        <f>SUMPRODUCT((M_BOM[Part Name]=$A68)*M_BOM[RM_Qty_Per_Batch]*IFERROR(INDEX(PP_Grid[#Data],M_BOM[PPGridRow],64),0))/26.54</f>
        <v/>
      </c>
      <c r="BM68">
        <f>SUMPRODUCT((M_BOM[Part Name]=$A68)*M_BOM[RM_Qty_Per_Batch]*IFERROR(INDEX(PP_Grid[#Data],M_BOM[PPGridRow],65),0))/26.54</f>
        <v/>
      </c>
      <c r="BN68">
        <f>SUMPRODUCT((M_BOM[Part Name]=$A68)*M_BOM[RM_Qty_Per_Batch]*IFERROR(INDEX(PP_Grid[#Data],M_BOM[PPGridRow],66),0))/26.54</f>
        <v/>
      </c>
      <c r="BO68">
        <f>SUMPRODUCT((M_BOM[Part Name]=$A68)*M_BOM[RM_Qty_Per_Batch]*IFERROR(INDEX(PP_Grid[#Data],M_BOM[PPGridRow],67),0))/26.54</f>
        <v/>
      </c>
      <c r="BP68">
        <f>SUMPRODUCT((M_BOM[Part Name]=$A68)*M_BOM[RM_Qty_Per_Batch]*IFERROR(INDEX(PP_Grid[#Data],M_BOM[PPGridRow],68),0))/26.54</f>
        <v/>
      </c>
      <c r="BQ68">
        <f>SUMPRODUCT((M_BOM[Part Name]=$A68)*M_BOM[RM_Qty_Per_Batch]*IFERROR(INDEX(PP_Grid[#Data],M_BOM[PPGridRow],69),0))/26.54</f>
        <v/>
      </c>
      <c r="BR68">
        <f>SUMPRODUCT((M_BOM[Part Name]=$A68)*M_BOM[RM_Qty_Per_Batch]*IFERROR(INDEX(PP_Grid[#Data],M_BOM[PPGridRow],70),0))/26.54</f>
        <v/>
      </c>
      <c r="BS68">
        <f>SUMPRODUCT((M_BOM[Part Name]=$A68)*M_BOM[RM_Qty_Per_Batch]*IFERROR(INDEX(PP_Grid[#Data],M_BOM[PPGridRow],71),0))/26.54</f>
        <v/>
      </c>
      <c r="BT68">
        <f>SUMPRODUCT((M_BOM[Part Name]=$A68)*M_BOM[RM_Qty_Per_Batch]*IFERROR(INDEX(PP_Grid[#Data],M_BOM[PPGridRow],72),0))/26.54</f>
        <v/>
      </c>
      <c r="BU68">
        <f>SUMPRODUCT((M_BOM[Part Name]=$A68)*M_BOM[RM_Qty_Per_Batch]*IFERROR(INDEX(PP_Grid[#Data],M_BOM[PPGridRow],73),0))/26.54</f>
        <v/>
      </c>
      <c r="BV68">
        <f>SUMPRODUCT((M_BOM[Part Name]=$A68)*M_BOM[RM_Qty_Per_Batch]*IFERROR(INDEX(PP_Grid[#Data],M_BOM[PPGridRow],74),0))/26.54</f>
        <v/>
      </c>
      <c r="BW68">
        <f>SUMPRODUCT((M_BOM[Part Name]=$A68)*M_BOM[RM_Qty_Per_Batch]*IFERROR(INDEX(PP_Grid[#Data],M_BOM[PPGridRow],75),0))/26.54</f>
        <v/>
      </c>
      <c r="BX68">
        <f>SUMPRODUCT((M_BOM[Part Name]=$A68)*M_BOM[RM_Qty_Per_Batch]*IFERROR(INDEX(PP_Grid[#Data],M_BOM[PPGridRow],76),0))/26.54</f>
        <v/>
      </c>
      <c r="BY68">
        <f>SUMPRODUCT((M_BOM[Part Name]=$A68)*M_BOM[RM_Qty_Per_Batch]*IFERROR(INDEX(PP_Grid[#Data],M_BOM[PPGridRow],77),0))/26.54</f>
        <v/>
      </c>
      <c r="BZ68">
        <f>SUMPRODUCT((M_BOM[Part Name]=$A68)*M_BOM[RM_Qty_Per_Batch]*IFERROR(INDEX(PP_Grid[#Data],M_BOM[PPGridRow],78),0))/26.54</f>
        <v/>
      </c>
      <c r="CA68">
        <f>SUMPRODUCT((M_BOM[Part Name]=$A68)*M_BOM[RM_Qty_Per_Batch]*IFERROR(INDEX(PP_Grid[#Data],M_BOM[PPGridRow],79),0))/26.54</f>
        <v/>
      </c>
      <c r="CB68">
        <f>SUMPRODUCT((M_BOM[Part Name]=$A68)*M_BOM[RM_Qty_Per_Batch]*IFERROR(INDEX(PP_Grid[#Data],M_BOM[PPGridRow],80),0))/26.54</f>
        <v/>
      </c>
      <c r="CC68">
        <f>SUMPRODUCT((M_BOM[Part Name]=$A68)*M_BOM[RM_Qty_Per_Batch]*IFERROR(INDEX(PP_Grid[#Data],M_BOM[PPGridRow],81),0))/26.54</f>
        <v/>
      </c>
      <c r="CD68">
        <f>SUMPRODUCT((M_BOM[Part Name]=$A68)*M_BOM[RM_Qty_Per_Batch]*IFERROR(INDEX(PP_Grid[#Data],M_BOM[PPGridRow],82),0))/26.54</f>
        <v/>
      </c>
      <c r="CE68">
        <f>SUMPRODUCT((M_BOM[Part Name]=$A68)*M_BOM[RM_Qty_Per_Batch]*IFERROR(INDEX(PP_Grid[#Data],M_BOM[PPGridRow],83),0))/26.54</f>
        <v/>
      </c>
      <c r="CF68">
        <f>SUMPRODUCT((M_BOM[Part Name]=$A68)*M_BOM[RM_Qty_Per_Batch]*IFERROR(INDEX(PP_Grid[#Data],M_BOM[PPGridRow],84),0))/26.54</f>
        <v/>
      </c>
      <c r="CG68">
        <f>SUMPRODUCT((M_BOM[Part Name]=$A68)*M_BOM[RM_Qty_Per_Batch]*IFERROR(INDEX(PP_Grid[#Data],M_BOM[PPGridRow],85),0))/26.54</f>
        <v/>
      </c>
      <c r="CH68">
        <f>SUMPRODUCT((M_BOM[Part Name]=$A68)*M_BOM[RM_Qty_Per_Batch]*IFERROR(INDEX(PP_Grid[#Data],M_BOM[PPGridRow],86),0))/26.54</f>
        <v/>
      </c>
      <c r="CI68">
        <f>SUMPRODUCT((M_BOM[Part Name]=$A68)*M_BOM[RM_Qty_Per_Batch]*IFERROR(INDEX(PP_Grid[#Data],M_BOM[PPGridRow],87),0))/26.54</f>
        <v/>
      </c>
      <c r="CJ68">
        <f>SUMPRODUCT((M_BOM[Part Name]=$A68)*M_BOM[RM_Qty_Per_Batch]*IFERROR(INDEX(PP_Grid[#Data],M_BOM[PPGridRow],88),0))/26.54</f>
        <v/>
      </c>
      <c r="CK68">
        <f>SUMPRODUCT((M_BOM[Part Name]=$A68)*M_BOM[RM_Qty_Per_Batch]*IFERROR(INDEX(PP_Grid[#Data],M_BOM[PPGridRow],89),0))/26.54</f>
        <v/>
      </c>
      <c r="CL68">
        <f>SUMPRODUCT((M_BOM[Part Name]=$A68)*M_BOM[RM_Qty_Per_Batch]*IFERROR(INDEX(PP_Grid[#Data],M_BOM[PPGridRow],90),0))/26.54</f>
        <v/>
      </c>
      <c r="CM68">
        <f>SUMPRODUCT((M_BOM[Part Name]=$A68)*M_BOM[RM_Qty_Per_Batch]*IFERROR(INDEX(PP_Grid[#Data],M_BOM[PPGridRow],91),0))/26.54</f>
        <v/>
      </c>
      <c r="CN68">
        <f>SUMPRODUCT((M_BOM[Part Name]=$A68)*M_BOM[RM_Qty_Per_Batch]*IFERROR(INDEX(PP_Grid[#Data],M_BOM[PPGridRow],92),0))/26.54</f>
        <v/>
      </c>
      <c r="CO68">
        <f>SUMPRODUCT((M_BOM[Part Name]=$A68)*M_BOM[RM_Qty_Per_Batch]*IFERROR(INDEX(PP_Grid[#Data],M_BOM[PPGridRow],93),0))/26.54</f>
        <v/>
      </c>
      <c r="CP68">
        <f>SUMPRODUCT((M_BOM[Part Name]=$A68)*M_BOM[RM_Qty_Per_Batch]*IFERROR(INDEX(PP_Grid[#Data],M_BOM[PPGridRow],94),0))/26.54</f>
        <v/>
      </c>
      <c r="CQ68">
        <f>SUMPRODUCT((M_BOM[Part Name]=$A68)*M_BOM[RM_Qty_Per_Batch]*IFERROR(INDEX(PP_Grid[#Data],M_BOM[PPGridRow],95),0))/26.54</f>
        <v/>
      </c>
      <c r="CR68">
        <f>SUMPRODUCT((M_BOM[Part Name]=$A68)*M_BOM[RM_Qty_Per_Batch]*IFERROR(INDEX(PP_Grid[#Data],M_BOM[PPGridRow],96),0))/26.54</f>
        <v/>
      </c>
      <c r="CS68">
        <f>SUMPRODUCT((M_BOM[Part Name]=$A68)*M_BOM[RM_Qty_Per_Batch]*IFERROR(INDEX(PP_Grid[#Data],M_BOM[PPGridRow],97),0))/26.54</f>
        <v/>
      </c>
      <c r="CT68">
        <f>SUMPRODUCT((M_BOM[Part Name]=$A68)*M_BOM[RM_Qty_Per_Batch]*IFERROR(INDEX(PP_Grid[#Data],M_BOM[PPGridRow],98),0))/26.54</f>
        <v/>
      </c>
      <c r="CU68">
        <f>SUMPRODUCT((M_BOM[Part Name]=$A68)*M_BOM[RM_Qty_Per_Batch]*IFERROR(INDEX(PP_Grid[#Data],M_BOM[PPGridRow],99),0))/26.54</f>
        <v/>
      </c>
      <c r="CV68">
        <f>SUMPRODUCT((M_BOM[Part Name]=$A68)*M_BOM[RM_Qty_Per_Batch]*IFERROR(INDEX(PP_Grid[#Data],M_BOM[PPGridRow],100),0))/26.54</f>
        <v/>
      </c>
      <c r="CW68">
        <f>SUMPRODUCT((M_BOM[Part Name]=$A68)*M_BOM[RM_Qty_Per_Batch]*IFERROR(INDEX(PP_Grid[#Data],M_BOM[PPGridRow],101),0))/26.54</f>
        <v/>
      </c>
      <c r="CX68">
        <f>SUMPRODUCT((M_BOM[Part Name]=$A68)*M_BOM[RM_Qty_Per_Batch]*IFERROR(INDEX(PP_Grid[#Data],M_BOM[PPGridRow],102),0))/26.54</f>
        <v/>
      </c>
      <c r="CY68">
        <f>SUMPRODUCT((M_BOM[Part Name]=$A68)*M_BOM[RM_Qty_Per_Batch]*IFERROR(INDEX(PP_Grid[#Data],M_BOM[PPGridRow],103),0))/26.54</f>
        <v/>
      </c>
      <c r="CZ68">
        <f>SUMPRODUCT((M_BOM[Part Name]=$A68)*M_BOM[RM_Qty_Per_Batch]*IFERROR(INDEX(PP_Grid[#Data],M_BOM[PPGridRow],104),0))/26.54</f>
        <v/>
      </c>
      <c r="DA68">
        <f>SUMPRODUCT((M_BOM[Part Name]=$A68)*M_BOM[RM_Qty_Per_Batch]*IFERROR(INDEX(PP_Grid[#Data],M_BOM[PPGridRow],105),0))/26.54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Name]=$A69)*M_BOM[RM_Qty_Per_Batch]*IFERROR(INDEX(PP_Grid[#Data],M_BOM[PPGridRow],2),0))/27.79</f>
        <v/>
      </c>
      <c r="C69">
        <f>SUMPRODUCT((M_BOM[Part Name]=$A69)*M_BOM[RM_Qty_Per_Batch]*IFERROR(INDEX(PP_Grid[#Data],M_BOM[PPGridRow],3),0))/27.79</f>
        <v/>
      </c>
      <c r="D69">
        <f>SUMPRODUCT((M_BOM[Part Name]=$A69)*M_BOM[RM_Qty_Per_Batch]*IFERROR(INDEX(PP_Grid[#Data],M_BOM[PPGridRow],4),0))/27.79</f>
        <v/>
      </c>
      <c r="E69">
        <f>SUMPRODUCT((M_BOM[Part Name]=$A69)*M_BOM[RM_Qty_Per_Batch]*IFERROR(INDEX(PP_Grid[#Data],M_BOM[PPGridRow],5),0))/27.79</f>
        <v/>
      </c>
      <c r="F69">
        <f>SUMPRODUCT((M_BOM[Part Name]=$A69)*M_BOM[RM_Qty_Per_Batch]*IFERROR(INDEX(PP_Grid[#Data],M_BOM[PPGridRow],6),0))/27.79</f>
        <v/>
      </c>
      <c r="G69">
        <f>SUMPRODUCT((M_BOM[Part Name]=$A69)*M_BOM[RM_Qty_Per_Batch]*IFERROR(INDEX(PP_Grid[#Data],M_BOM[PPGridRow],7),0))/27.79</f>
        <v/>
      </c>
      <c r="H69">
        <f>SUMPRODUCT((M_BOM[Part Name]=$A69)*M_BOM[RM_Qty_Per_Batch]*IFERROR(INDEX(PP_Grid[#Data],M_BOM[PPGridRow],8),0))/27.79</f>
        <v/>
      </c>
      <c r="I69">
        <f>SUMPRODUCT((M_BOM[Part Name]=$A69)*M_BOM[RM_Qty_Per_Batch]*IFERROR(INDEX(PP_Grid[#Data],M_BOM[PPGridRow],9),0))/27.79</f>
        <v/>
      </c>
      <c r="J69">
        <f>SUMPRODUCT((M_BOM[Part Name]=$A69)*M_BOM[RM_Qty_Per_Batch]*IFERROR(INDEX(PP_Grid[#Data],M_BOM[PPGridRow],10),0))/27.79</f>
        <v/>
      </c>
      <c r="K69">
        <f>SUMPRODUCT((M_BOM[Part Name]=$A69)*M_BOM[RM_Qty_Per_Batch]*IFERROR(INDEX(PP_Grid[#Data],M_BOM[PPGridRow],11),0))/27.79</f>
        <v/>
      </c>
      <c r="L69">
        <f>SUMPRODUCT((M_BOM[Part Name]=$A69)*M_BOM[RM_Qty_Per_Batch]*IFERROR(INDEX(PP_Grid[#Data],M_BOM[PPGridRow],12),0))/27.79</f>
        <v/>
      </c>
      <c r="M69">
        <f>SUMPRODUCT((M_BOM[Part Name]=$A69)*M_BOM[RM_Qty_Per_Batch]*IFERROR(INDEX(PP_Grid[#Data],M_BOM[PPGridRow],13),0))/27.79</f>
        <v/>
      </c>
      <c r="N69">
        <f>SUMPRODUCT((M_BOM[Part Name]=$A69)*M_BOM[RM_Qty_Per_Batch]*IFERROR(INDEX(PP_Grid[#Data],M_BOM[PPGridRow],14),0))/27.79</f>
        <v/>
      </c>
      <c r="O69">
        <f>SUMPRODUCT((M_BOM[Part Name]=$A69)*M_BOM[RM_Qty_Per_Batch]*IFERROR(INDEX(PP_Grid[#Data],M_BOM[PPGridRow],15),0))/27.79</f>
        <v/>
      </c>
      <c r="P69">
        <f>SUMPRODUCT((M_BOM[Part Name]=$A69)*M_BOM[RM_Qty_Per_Batch]*IFERROR(INDEX(PP_Grid[#Data],M_BOM[PPGridRow],16),0))/27.79</f>
        <v/>
      </c>
      <c r="Q69">
        <f>SUMPRODUCT((M_BOM[Part Name]=$A69)*M_BOM[RM_Qty_Per_Batch]*IFERROR(INDEX(PP_Grid[#Data],M_BOM[PPGridRow],17),0))/27.79</f>
        <v/>
      </c>
      <c r="R69">
        <f>SUMPRODUCT((M_BOM[Part Name]=$A69)*M_BOM[RM_Qty_Per_Batch]*IFERROR(INDEX(PP_Grid[#Data],M_BOM[PPGridRow],18),0))/27.79</f>
        <v/>
      </c>
      <c r="S69">
        <f>SUMPRODUCT((M_BOM[Part Name]=$A69)*M_BOM[RM_Qty_Per_Batch]*IFERROR(INDEX(PP_Grid[#Data],M_BOM[PPGridRow],19),0))/27.79</f>
        <v/>
      </c>
      <c r="T69">
        <f>SUMPRODUCT((M_BOM[Part Name]=$A69)*M_BOM[RM_Qty_Per_Batch]*IFERROR(INDEX(PP_Grid[#Data],M_BOM[PPGridRow],20),0))/27.79</f>
        <v/>
      </c>
      <c r="U69">
        <f>SUMPRODUCT((M_BOM[Part Name]=$A69)*M_BOM[RM_Qty_Per_Batch]*IFERROR(INDEX(PP_Grid[#Data],M_BOM[PPGridRow],21),0))/27.79</f>
        <v/>
      </c>
      <c r="V69">
        <f>SUMPRODUCT((M_BOM[Part Name]=$A69)*M_BOM[RM_Qty_Per_Batch]*IFERROR(INDEX(PP_Grid[#Data],M_BOM[PPGridRow],22),0))/27.79</f>
        <v/>
      </c>
      <c r="W69">
        <f>SUMPRODUCT((M_BOM[Part Name]=$A69)*M_BOM[RM_Qty_Per_Batch]*IFERROR(INDEX(PP_Grid[#Data],M_BOM[PPGridRow],23),0))/27.79</f>
        <v/>
      </c>
      <c r="X69">
        <f>SUMPRODUCT((M_BOM[Part Name]=$A69)*M_BOM[RM_Qty_Per_Batch]*IFERROR(INDEX(PP_Grid[#Data],M_BOM[PPGridRow],24),0))/27.79</f>
        <v/>
      </c>
      <c r="Y69">
        <f>SUMPRODUCT((M_BOM[Part Name]=$A69)*M_BOM[RM_Qty_Per_Batch]*IFERROR(INDEX(PP_Grid[#Data],M_BOM[PPGridRow],25),0))/27.79</f>
        <v/>
      </c>
      <c r="Z69">
        <f>SUMPRODUCT((M_BOM[Part Name]=$A69)*M_BOM[RM_Qty_Per_Batch]*IFERROR(INDEX(PP_Grid[#Data],M_BOM[PPGridRow],26),0))/27.79</f>
        <v/>
      </c>
      <c r="AA69">
        <f>SUMPRODUCT((M_BOM[Part Name]=$A69)*M_BOM[RM_Qty_Per_Batch]*IFERROR(INDEX(PP_Grid[#Data],M_BOM[PPGridRow],27),0))/27.79</f>
        <v/>
      </c>
      <c r="AB69">
        <f>SUMPRODUCT((M_BOM[Part Name]=$A69)*M_BOM[RM_Qty_Per_Batch]*IFERROR(INDEX(PP_Grid[#Data],M_BOM[PPGridRow],28),0))/27.79</f>
        <v/>
      </c>
      <c r="AC69">
        <f>SUMPRODUCT((M_BOM[Part Name]=$A69)*M_BOM[RM_Qty_Per_Batch]*IFERROR(INDEX(PP_Grid[#Data],M_BOM[PPGridRow],29),0))/27.79</f>
        <v/>
      </c>
      <c r="AD69">
        <f>SUMPRODUCT((M_BOM[Part Name]=$A69)*M_BOM[RM_Qty_Per_Batch]*IFERROR(INDEX(PP_Grid[#Data],M_BOM[PPGridRow],30),0))/27.79</f>
        <v/>
      </c>
      <c r="AE69">
        <f>SUMPRODUCT((M_BOM[Part Name]=$A69)*M_BOM[RM_Qty_Per_Batch]*IFERROR(INDEX(PP_Grid[#Data],M_BOM[PPGridRow],31),0))/27.79</f>
        <v/>
      </c>
      <c r="AF69">
        <f>SUMPRODUCT((M_BOM[Part Name]=$A69)*M_BOM[RM_Qty_Per_Batch]*IFERROR(INDEX(PP_Grid[#Data],M_BOM[PPGridRow],32),0))/27.79</f>
        <v/>
      </c>
      <c r="AG69">
        <f>SUMPRODUCT((M_BOM[Part Name]=$A69)*M_BOM[RM_Qty_Per_Batch]*IFERROR(INDEX(PP_Grid[#Data],M_BOM[PPGridRow],33),0))/27.79</f>
        <v/>
      </c>
      <c r="AH69">
        <f>SUMPRODUCT((M_BOM[Part Name]=$A69)*M_BOM[RM_Qty_Per_Batch]*IFERROR(INDEX(PP_Grid[#Data],M_BOM[PPGridRow],34),0))/27.79</f>
        <v/>
      </c>
      <c r="AI69">
        <f>SUMPRODUCT((M_BOM[Part Name]=$A69)*M_BOM[RM_Qty_Per_Batch]*IFERROR(INDEX(PP_Grid[#Data],M_BOM[PPGridRow],35),0))/27.79</f>
        <v/>
      </c>
      <c r="AJ69">
        <f>SUMPRODUCT((M_BOM[Part Name]=$A69)*M_BOM[RM_Qty_Per_Batch]*IFERROR(INDEX(PP_Grid[#Data],M_BOM[PPGridRow],36),0))/27.79</f>
        <v/>
      </c>
      <c r="AK69">
        <f>SUMPRODUCT((M_BOM[Part Name]=$A69)*M_BOM[RM_Qty_Per_Batch]*IFERROR(INDEX(PP_Grid[#Data],M_BOM[PPGridRow],37),0))/27.79</f>
        <v/>
      </c>
      <c r="AL69">
        <f>SUMPRODUCT((M_BOM[Part Name]=$A69)*M_BOM[RM_Qty_Per_Batch]*IFERROR(INDEX(PP_Grid[#Data],M_BOM[PPGridRow],38),0))/27.79</f>
        <v/>
      </c>
      <c r="AM69">
        <f>SUMPRODUCT((M_BOM[Part Name]=$A69)*M_BOM[RM_Qty_Per_Batch]*IFERROR(INDEX(PP_Grid[#Data],M_BOM[PPGridRow],39),0))/27.79</f>
        <v/>
      </c>
      <c r="AN69">
        <f>SUMPRODUCT((M_BOM[Part Name]=$A69)*M_BOM[RM_Qty_Per_Batch]*IFERROR(INDEX(PP_Grid[#Data],M_BOM[PPGridRow],40),0))/27.79</f>
        <v/>
      </c>
      <c r="AO69">
        <f>SUMPRODUCT((M_BOM[Part Name]=$A69)*M_BOM[RM_Qty_Per_Batch]*IFERROR(INDEX(PP_Grid[#Data],M_BOM[PPGridRow],41),0))/27.79</f>
        <v/>
      </c>
      <c r="AP69">
        <f>SUMPRODUCT((M_BOM[Part Name]=$A69)*M_BOM[RM_Qty_Per_Batch]*IFERROR(INDEX(PP_Grid[#Data],M_BOM[PPGridRow],42),0))/27.79</f>
        <v/>
      </c>
      <c r="AQ69">
        <f>SUMPRODUCT((M_BOM[Part Name]=$A69)*M_BOM[RM_Qty_Per_Batch]*IFERROR(INDEX(PP_Grid[#Data],M_BOM[PPGridRow],43),0))/27.79</f>
        <v/>
      </c>
      <c r="AR69">
        <f>SUMPRODUCT((M_BOM[Part Name]=$A69)*M_BOM[RM_Qty_Per_Batch]*IFERROR(INDEX(PP_Grid[#Data],M_BOM[PPGridRow],44),0))/27.79</f>
        <v/>
      </c>
      <c r="AS69">
        <f>SUMPRODUCT((M_BOM[Part Name]=$A69)*M_BOM[RM_Qty_Per_Batch]*IFERROR(INDEX(PP_Grid[#Data],M_BOM[PPGridRow],45),0))/27.79</f>
        <v/>
      </c>
      <c r="AT69">
        <f>SUMPRODUCT((M_BOM[Part Name]=$A69)*M_BOM[RM_Qty_Per_Batch]*IFERROR(INDEX(PP_Grid[#Data],M_BOM[PPGridRow],46),0))/27.79</f>
        <v/>
      </c>
      <c r="AU69">
        <f>SUMPRODUCT((M_BOM[Part Name]=$A69)*M_BOM[RM_Qty_Per_Batch]*IFERROR(INDEX(PP_Grid[#Data],M_BOM[PPGridRow],47),0))/27.79</f>
        <v/>
      </c>
      <c r="AV69">
        <f>SUMPRODUCT((M_BOM[Part Name]=$A69)*M_BOM[RM_Qty_Per_Batch]*IFERROR(INDEX(PP_Grid[#Data],M_BOM[PPGridRow],48),0))/27.79</f>
        <v/>
      </c>
      <c r="AW69">
        <f>SUMPRODUCT((M_BOM[Part Name]=$A69)*M_BOM[RM_Qty_Per_Batch]*IFERROR(INDEX(PP_Grid[#Data],M_BOM[PPGridRow],49),0))/27.79</f>
        <v/>
      </c>
      <c r="AX69">
        <f>SUMPRODUCT((M_BOM[Part Name]=$A69)*M_BOM[RM_Qty_Per_Batch]*IFERROR(INDEX(PP_Grid[#Data],M_BOM[PPGridRow],50),0))/27.79</f>
        <v/>
      </c>
      <c r="AY69">
        <f>SUMPRODUCT((M_BOM[Part Name]=$A69)*M_BOM[RM_Qty_Per_Batch]*IFERROR(INDEX(PP_Grid[#Data],M_BOM[PPGridRow],51),0))/27.79</f>
        <v/>
      </c>
      <c r="AZ69">
        <f>SUMPRODUCT((M_BOM[Part Name]=$A69)*M_BOM[RM_Qty_Per_Batch]*IFERROR(INDEX(PP_Grid[#Data],M_BOM[PPGridRow],52),0))/27.79</f>
        <v/>
      </c>
      <c r="BA69">
        <f>SUMPRODUCT((M_BOM[Part Name]=$A69)*M_BOM[RM_Qty_Per_Batch]*IFERROR(INDEX(PP_Grid[#Data],M_BOM[PPGridRow],53),0))/27.79</f>
        <v/>
      </c>
      <c r="BB69">
        <f>SUMPRODUCT((M_BOM[Part Name]=$A69)*M_BOM[RM_Qty_Per_Batch]*IFERROR(INDEX(PP_Grid[#Data],M_BOM[PPGridRow],54),0))/27.79</f>
        <v/>
      </c>
      <c r="BC69">
        <f>SUMPRODUCT((M_BOM[Part Name]=$A69)*M_BOM[RM_Qty_Per_Batch]*IFERROR(INDEX(PP_Grid[#Data],M_BOM[PPGridRow],55),0))/27.79</f>
        <v/>
      </c>
      <c r="BD69">
        <f>SUMPRODUCT((M_BOM[Part Name]=$A69)*M_BOM[RM_Qty_Per_Batch]*IFERROR(INDEX(PP_Grid[#Data],M_BOM[PPGridRow],56),0))/27.79</f>
        <v/>
      </c>
      <c r="BE69">
        <f>SUMPRODUCT((M_BOM[Part Name]=$A69)*M_BOM[RM_Qty_Per_Batch]*IFERROR(INDEX(PP_Grid[#Data],M_BOM[PPGridRow],57),0))/27.79</f>
        <v/>
      </c>
      <c r="BF69">
        <f>SUMPRODUCT((M_BOM[Part Name]=$A69)*M_BOM[RM_Qty_Per_Batch]*IFERROR(INDEX(PP_Grid[#Data],M_BOM[PPGridRow],58),0))/27.79</f>
        <v/>
      </c>
      <c r="BG69">
        <f>SUMPRODUCT((M_BOM[Part Name]=$A69)*M_BOM[RM_Qty_Per_Batch]*IFERROR(INDEX(PP_Grid[#Data],M_BOM[PPGridRow],59),0))/27.79</f>
        <v/>
      </c>
      <c r="BH69">
        <f>SUMPRODUCT((M_BOM[Part Name]=$A69)*M_BOM[RM_Qty_Per_Batch]*IFERROR(INDEX(PP_Grid[#Data],M_BOM[PPGridRow],60),0))/27.79</f>
        <v/>
      </c>
      <c r="BI69">
        <f>SUMPRODUCT((M_BOM[Part Name]=$A69)*M_BOM[RM_Qty_Per_Batch]*IFERROR(INDEX(PP_Grid[#Data],M_BOM[PPGridRow],61),0))/27.79</f>
        <v/>
      </c>
      <c r="BJ69">
        <f>SUMPRODUCT((M_BOM[Part Name]=$A69)*M_BOM[RM_Qty_Per_Batch]*IFERROR(INDEX(PP_Grid[#Data],M_BOM[PPGridRow],62),0))/27.79</f>
        <v/>
      </c>
      <c r="BK69">
        <f>SUMPRODUCT((M_BOM[Part Name]=$A69)*M_BOM[RM_Qty_Per_Batch]*IFERROR(INDEX(PP_Grid[#Data],M_BOM[PPGridRow],63),0))/27.79</f>
        <v/>
      </c>
      <c r="BL69">
        <f>SUMPRODUCT((M_BOM[Part Name]=$A69)*M_BOM[RM_Qty_Per_Batch]*IFERROR(INDEX(PP_Grid[#Data],M_BOM[PPGridRow],64),0))/27.79</f>
        <v/>
      </c>
      <c r="BM69">
        <f>SUMPRODUCT((M_BOM[Part Name]=$A69)*M_BOM[RM_Qty_Per_Batch]*IFERROR(INDEX(PP_Grid[#Data],M_BOM[PPGridRow],65),0))/27.79</f>
        <v/>
      </c>
      <c r="BN69">
        <f>SUMPRODUCT((M_BOM[Part Name]=$A69)*M_BOM[RM_Qty_Per_Batch]*IFERROR(INDEX(PP_Grid[#Data],M_BOM[PPGridRow],66),0))/27.79</f>
        <v/>
      </c>
      <c r="BO69">
        <f>SUMPRODUCT((M_BOM[Part Name]=$A69)*M_BOM[RM_Qty_Per_Batch]*IFERROR(INDEX(PP_Grid[#Data],M_BOM[PPGridRow],67),0))/27.79</f>
        <v/>
      </c>
      <c r="BP69">
        <f>SUMPRODUCT((M_BOM[Part Name]=$A69)*M_BOM[RM_Qty_Per_Batch]*IFERROR(INDEX(PP_Grid[#Data],M_BOM[PPGridRow],68),0))/27.79</f>
        <v/>
      </c>
      <c r="BQ69">
        <f>SUMPRODUCT((M_BOM[Part Name]=$A69)*M_BOM[RM_Qty_Per_Batch]*IFERROR(INDEX(PP_Grid[#Data],M_BOM[PPGridRow],69),0))/27.79</f>
        <v/>
      </c>
      <c r="BR69">
        <f>SUMPRODUCT((M_BOM[Part Name]=$A69)*M_BOM[RM_Qty_Per_Batch]*IFERROR(INDEX(PP_Grid[#Data],M_BOM[PPGridRow],70),0))/27.79</f>
        <v/>
      </c>
      <c r="BS69">
        <f>SUMPRODUCT((M_BOM[Part Name]=$A69)*M_BOM[RM_Qty_Per_Batch]*IFERROR(INDEX(PP_Grid[#Data],M_BOM[PPGridRow],71),0))/27.79</f>
        <v/>
      </c>
      <c r="BT69">
        <f>SUMPRODUCT((M_BOM[Part Name]=$A69)*M_BOM[RM_Qty_Per_Batch]*IFERROR(INDEX(PP_Grid[#Data],M_BOM[PPGridRow],72),0))/27.79</f>
        <v/>
      </c>
      <c r="BU69">
        <f>SUMPRODUCT((M_BOM[Part Name]=$A69)*M_BOM[RM_Qty_Per_Batch]*IFERROR(INDEX(PP_Grid[#Data],M_BOM[PPGridRow],73),0))/27.79</f>
        <v/>
      </c>
      <c r="BV69">
        <f>SUMPRODUCT((M_BOM[Part Name]=$A69)*M_BOM[RM_Qty_Per_Batch]*IFERROR(INDEX(PP_Grid[#Data],M_BOM[PPGridRow],74),0))/27.79</f>
        <v/>
      </c>
      <c r="BW69">
        <f>SUMPRODUCT((M_BOM[Part Name]=$A69)*M_BOM[RM_Qty_Per_Batch]*IFERROR(INDEX(PP_Grid[#Data],M_BOM[PPGridRow],75),0))/27.79</f>
        <v/>
      </c>
      <c r="BX69">
        <f>SUMPRODUCT((M_BOM[Part Name]=$A69)*M_BOM[RM_Qty_Per_Batch]*IFERROR(INDEX(PP_Grid[#Data],M_BOM[PPGridRow],76),0))/27.79</f>
        <v/>
      </c>
      <c r="BY69">
        <f>SUMPRODUCT((M_BOM[Part Name]=$A69)*M_BOM[RM_Qty_Per_Batch]*IFERROR(INDEX(PP_Grid[#Data],M_BOM[PPGridRow],77),0))/27.79</f>
        <v/>
      </c>
      <c r="BZ69">
        <f>SUMPRODUCT((M_BOM[Part Name]=$A69)*M_BOM[RM_Qty_Per_Batch]*IFERROR(INDEX(PP_Grid[#Data],M_BOM[PPGridRow],78),0))/27.79</f>
        <v/>
      </c>
      <c r="CA69">
        <f>SUMPRODUCT((M_BOM[Part Name]=$A69)*M_BOM[RM_Qty_Per_Batch]*IFERROR(INDEX(PP_Grid[#Data],M_BOM[PPGridRow],79),0))/27.79</f>
        <v/>
      </c>
      <c r="CB69">
        <f>SUMPRODUCT((M_BOM[Part Name]=$A69)*M_BOM[RM_Qty_Per_Batch]*IFERROR(INDEX(PP_Grid[#Data],M_BOM[PPGridRow],80),0))/27.79</f>
        <v/>
      </c>
      <c r="CC69">
        <f>SUMPRODUCT((M_BOM[Part Name]=$A69)*M_BOM[RM_Qty_Per_Batch]*IFERROR(INDEX(PP_Grid[#Data],M_BOM[PPGridRow],81),0))/27.79</f>
        <v/>
      </c>
      <c r="CD69">
        <f>SUMPRODUCT((M_BOM[Part Name]=$A69)*M_BOM[RM_Qty_Per_Batch]*IFERROR(INDEX(PP_Grid[#Data],M_BOM[PPGridRow],82),0))/27.79</f>
        <v/>
      </c>
      <c r="CE69">
        <f>SUMPRODUCT((M_BOM[Part Name]=$A69)*M_BOM[RM_Qty_Per_Batch]*IFERROR(INDEX(PP_Grid[#Data],M_BOM[PPGridRow],83),0))/27.79</f>
        <v/>
      </c>
      <c r="CF69">
        <f>SUMPRODUCT((M_BOM[Part Name]=$A69)*M_BOM[RM_Qty_Per_Batch]*IFERROR(INDEX(PP_Grid[#Data],M_BOM[PPGridRow],84),0))/27.79</f>
        <v/>
      </c>
      <c r="CG69">
        <f>SUMPRODUCT((M_BOM[Part Name]=$A69)*M_BOM[RM_Qty_Per_Batch]*IFERROR(INDEX(PP_Grid[#Data],M_BOM[PPGridRow],85),0))/27.79</f>
        <v/>
      </c>
      <c r="CH69">
        <f>SUMPRODUCT((M_BOM[Part Name]=$A69)*M_BOM[RM_Qty_Per_Batch]*IFERROR(INDEX(PP_Grid[#Data],M_BOM[PPGridRow],86),0))/27.79</f>
        <v/>
      </c>
      <c r="CI69">
        <f>SUMPRODUCT((M_BOM[Part Name]=$A69)*M_BOM[RM_Qty_Per_Batch]*IFERROR(INDEX(PP_Grid[#Data],M_BOM[PPGridRow],87),0))/27.79</f>
        <v/>
      </c>
      <c r="CJ69">
        <f>SUMPRODUCT((M_BOM[Part Name]=$A69)*M_BOM[RM_Qty_Per_Batch]*IFERROR(INDEX(PP_Grid[#Data],M_BOM[PPGridRow],88),0))/27.79</f>
        <v/>
      </c>
      <c r="CK69">
        <f>SUMPRODUCT((M_BOM[Part Name]=$A69)*M_BOM[RM_Qty_Per_Batch]*IFERROR(INDEX(PP_Grid[#Data],M_BOM[PPGridRow],89),0))/27.79</f>
        <v/>
      </c>
      <c r="CL69">
        <f>SUMPRODUCT((M_BOM[Part Name]=$A69)*M_BOM[RM_Qty_Per_Batch]*IFERROR(INDEX(PP_Grid[#Data],M_BOM[PPGridRow],90),0))/27.79</f>
        <v/>
      </c>
      <c r="CM69">
        <f>SUMPRODUCT((M_BOM[Part Name]=$A69)*M_BOM[RM_Qty_Per_Batch]*IFERROR(INDEX(PP_Grid[#Data],M_BOM[PPGridRow],91),0))/27.79</f>
        <v/>
      </c>
      <c r="CN69">
        <f>SUMPRODUCT((M_BOM[Part Name]=$A69)*M_BOM[RM_Qty_Per_Batch]*IFERROR(INDEX(PP_Grid[#Data],M_BOM[PPGridRow],92),0))/27.79</f>
        <v/>
      </c>
      <c r="CO69">
        <f>SUMPRODUCT((M_BOM[Part Name]=$A69)*M_BOM[RM_Qty_Per_Batch]*IFERROR(INDEX(PP_Grid[#Data],M_BOM[PPGridRow],93),0))/27.79</f>
        <v/>
      </c>
      <c r="CP69">
        <f>SUMPRODUCT((M_BOM[Part Name]=$A69)*M_BOM[RM_Qty_Per_Batch]*IFERROR(INDEX(PP_Grid[#Data],M_BOM[PPGridRow],94),0))/27.79</f>
        <v/>
      </c>
      <c r="CQ69">
        <f>SUMPRODUCT((M_BOM[Part Name]=$A69)*M_BOM[RM_Qty_Per_Batch]*IFERROR(INDEX(PP_Grid[#Data],M_BOM[PPGridRow],95),0))/27.79</f>
        <v/>
      </c>
      <c r="CR69">
        <f>SUMPRODUCT((M_BOM[Part Name]=$A69)*M_BOM[RM_Qty_Per_Batch]*IFERROR(INDEX(PP_Grid[#Data],M_BOM[PPGridRow],96),0))/27.79</f>
        <v/>
      </c>
      <c r="CS69">
        <f>SUMPRODUCT((M_BOM[Part Name]=$A69)*M_BOM[RM_Qty_Per_Batch]*IFERROR(INDEX(PP_Grid[#Data],M_BOM[PPGridRow],97),0))/27.79</f>
        <v/>
      </c>
      <c r="CT69">
        <f>SUMPRODUCT((M_BOM[Part Name]=$A69)*M_BOM[RM_Qty_Per_Batch]*IFERROR(INDEX(PP_Grid[#Data],M_BOM[PPGridRow],98),0))/27.79</f>
        <v/>
      </c>
      <c r="CU69">
        <f>SUMPRODUCT((M_BOM[Part Name]=$A69)*M_BOM[RM_Qty_Per_Batch]*IFERROR(INDEX(PP_Grid[#Data],M_BOM[PPGridRow],99),0))/27.79</f>
        <v/>
      </c>
      <c r="CV69">
        <f>SUMPRODUCT((M_BOM[Part Name]=$A69)*M_BOM[RM_Qty_Per_Batch]*IFERROR(INDEX(PP_Grid[#Data],M_BOM[PPGridRow],100),0))/27.79</f>
        <v/>
      </c>
      <c r="CW69">
        <f>SUMPRODUCT((M_BOM[Part Name]=$A69)*M_BOM[RM_Qty_Per_Batch]*IFERROR(INDEX(PP_Grid[#Data],M_BOM[PPGridRow],101),0))/27.79</f>
        <v/>
      </c>
      <c r="CX69">
        <f>SUMPRODUCT((M_BOM[Part Name]=$A69)*M_BOM[RM_Qty_Per_Batch]*IFERROR(INDEX(PP_Grid[#Data],M_BOM[PPGridRow],102),0))/27.79</f>
        <v/>
      </c>
      <c r="CY69">
        <f>SUMPRODUCT((M_BOM[Part Name]=$A69)*M_BOM[RM_Qty_Per_Batch]*IFERROR(INDEX(PP_Grid[#Data],M_BOM[PPGridRow],103),0))/27.79</f>
        <v/>
      </c>
      <c r="CZ69">
        <f>SUMPRODUCT((M_BOM[Part Name]=$A69)*M_BOM[RM_Qty_Per_Batch]*IFERROR(INDEX(PP_Grid[#Data],M_BOM[PPGridRow],104),0))/27.79</f>
        <v/>
      </c>
      <c r="DA69">
        <f>SUMPRODUCT((M_BOM[Part Name]=$A69)*M_BOM[RM_Qty_Per_Batch]*IFERROR(INDEX(PP_Grid[#Data],M_BOM[PPGridRow],105),0))/27.79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Name]=$A70)*M_BOM[RM_Qty_Per_Batch]*IFERROR(INDEX(PP_Grid[#Data],M_BOM[PPGridRow],2),0))/30.72</f>
        <v/>
      </c>
      <c r="C70">
        <f>SUMPRODUCT((M_BOM[Part Name]=$A70)*M_BOM[RM_Qty_Per_Batch]*IFERROR(INDEX(PP_Grid[#Data],M_BOM[PPGridRow],3),0))/30.72</f>
        <v/>
      </c>
      <c r="D70">
        <f>SUMPRODUCT((M_BOM[Part Name]=$A70)*M_BOM[RM_Qty_Per_Batch]*IFERROR(INDEX(PP_Grid[#Data],M_BOM[PPGridRow],4),0))/30.72</f>
        <v/>
      </c>
      <c r="E70">
        <f>SUMPRODUCT((M_BOM[Part Name]=$A70)*M_BOM[RM_Qty_Per_Batch]*IFERROR(INDEX(PP_Grid[#Data],M_BOM[PPGridRow],5),0))/30.72</f>
        <v/>
      </c>
      <c r="F70">
        <f>SUMPRODUCT((M_BOM[Part Name]=$A70)*M_BOM[RM_Qty_Per_Batch]*IFERROR(INDEX(PP_Grid[#Data],M_BOM[PPGridRow],6),0))/30.72</f>
        <v/>
      </c>
      <c r="G70">
        <f>SUMPRODUCT((M_BOM[Part Name]=$A70)*M_BOM[RM_Qty_Per_Batch]*IFERROR(INDEX(PP_Grid[#Data],M_BOM[PPGridRow],7),0))/30.72</f>
        <v/>
      </c>
      <c r="H70">
        <f>SUMPRODUCT((M_BOM[Part Name]=$A70)*M_BOM[RM_Qty_Per_Batch]*IFERROR(INDEX(PP_Grid[#Data],M_BOM[PPGridRow],8),0))/30.72</f>
        <v/>
      </c>
      <c r="I70">
        <f>SUMPRODUCT((M_BOM[Part Name]=$A70)*M_BOM[RM_Qty_Per_Batch]*IFERROR(INDEX(PP_Grid[#Data],M_BOM[PPGridRow],9),0))/30.72</f>
        <v/>
      </c>
      <c r="J70">
        <f>SUMPRODUCT((M_BOM[Part Name]=$A70)*M_BOM[RM_Qty_Per_Batch]*IFERROR(INDEX(PP_Grid[#Data],M_BOM[PPGridRow],10),0))/30.72</f>
        <v/>
      </c>
      <c r="K70">
        <f>SUMPRODUCT((M_BOM[Part Name]=$A70)*M_BOM[RM_Qty_Per_Batch]*IFERROR(INDEX(PP_Grid[#Data],M_BOM[PPGridRow],11),0))/30.72</f>
        <v/>
      </c>
      <c r="L70">
        <f>SUMPRODUCT((M_BOM[Part Name]=$A70)*M_BOM[RM_Qty_Per_Batch]*IFERROR(INDEX(PP_Grid[#Data],M_BOM[PPGridRow],12),0))/30.72</f>
        <v/>
      </c>
      <c r="M70">
        <f>SUMPRODUCT((M_BOM[Part Name]=$A70)*M_BOM[RM_Qty_Per_Batch]*IFERROR(INDEX(PP_Grid[#Data],M_BOM[PPGridRow],13),0))/30.72</f>
        <v/>
      </c>
      <c r="N70">
        <f>SUMPRODUCT((M_BOM[Part Name]=$A70)*M_BOM[RM_Qty_Per_Batch]*IFERROR(INDEX(PP_Grid[#Data],M_BOM[PPGridRow],14),0))/30.72</f>
        <v/>
      </c>
      <c r="O70">
        <f>SUMPRODUCT((M_BOM[Part Name]=$A70)*M_BOM[RM_Qty_Per_Batch]*IFERROR(INDEX(PP_Grid[#Data],M_BOM[PPGridRow],15),0))/30.72</f>
        <v/>
      </c>
      <c r="P70">
        <f>SUMPRODUCT((M_BOM[Part Name]=$A70)*M_BOM[RM_Qty_Per_Batch]*IFERROR(INDEX(PP_Grid[#Data],M_BOM[PPGridRow],16),0))/30.72</f>
        <v/>
      </c>
      <c r="Q70">
        <f>SUMPRODUCT((M_BOM[Part Name]=$A70)*M_BOM[RM_Qty_Per_Batch]*IFERROR(INDEX(PP_Grid[#Data],M_BOM[PPGridRow],17),0))/30.72</f>
        <v/>
      </c>
      <c r="R70">
        <f>SUMPRODUCT((M_BOM[Part Name]=$A70)*M_BOM[RM_Qty_Per_Batch]*IFERROR(INDEX(PP_Grid[#Data],M_BOM[PPGridRow],18),0))/30.72</f>
        <v/>
      </c>
      <c r="S70">
        <f>SUMPRODUCT((M_BOM[Part Name]=$A70)*M_BOM[RM_Qty_Per_Batch]*IFERROR(INDEX(PP_Grid[#Data],M_BOM[PPGridRow],19),0))/30.72</f>
        <v/>
      </c>
      <c r="T70">
        <f>SUMPRODUCT((M_BOM[Part Name]=$A70)*M_BOM[RM_Qty_Per_Batch]*IFERROR(INDEX(PP_Grid[#Data],M_BOM[PPGridRow],20),0))/30.72</f>
        <v/>
      </c>
      <c r="U70">
        <f>SUMPRODUCT((M_BOM[Part Name]=$A70)*M_BOM[RM_Qty_Per_Batch]*IFERROR(INDEX(PP_Grid[#Data],M_BOM[PPGridRow],21),0))/30.72</f>
        <v/>
      </c>
      <c r="V70">
        <f>SUMPRODUCT((M_BOM[Part Name]=$A70)*M_BOM[RM_Qty_Per_Batch]*IFERROR(INDEX(PP_Grid[#Data],M_BOM[PPGridRow],22),0))/30.72</f>
        <v/>
      </c>
      <c r="W70">
        <f>SUMPRODUCT((M_BOM[Part Name]=$A70)*M_BOM[RM_Qty_Per_Batch]*IFERROR(INDEX(PP_Grid[#Data],M_BOM[PPGridRow],23),0))/30.72</f>
        <v/>
      </c>
      <c r="X70">
        <f>SUMPRODUCT((M_BOM[Part Name]=$A70)*M_BOM[RM_Qty_Per_Batch]*IFERROR(INDEX(PP_Grid[#Data],M_BOM[PPGridRow],24),0))/30.72</f>
        <v/>
      </c>
      <c r="Y70">
        <f>SUMPRODUCT((M_BOM[Part Name]=$A70)*M_BOM[RM_Qty_Per_Batch]*IFERROR(INDEX(PP_Grid[#Data],M_BOM[PPGridRow],25),0))/30.72</f>
        <v/>
      </c>
      <c r="Z70">
        <f>SUMPRODUCT((M_BOM[Part Name]=$A70)*M_BOM[RM_Qty_Per_Batch]*IFERROR(INDEX(PP_Grid[#Data],M_BOM[PPGridRow],26),0))/30.72</f>
        <v/>
      </c>
      <c r="AA70">
        <f>SUMPRODUCT((M_BOM[Part Name]=$A70)*M_BOM[RM_Qty_Per_Batch]*IFERROR(INDEX(PP_Grid[#Data],M_BOM[PPGridRow],27),0))/30.72</f>
        <v/>
      </c>
      <c r="AB70">
        <f>SUMPRODUCT((M_BOM[Part Name]=$A70)*M_BOM[RM_Qty_Per_Batch]*IFERROR(INDEX(PP_Grid[#Data],M_BOM[PPGridRow],28),0))/30.72</f>
        <v/>
      </c>
      <c r="AC70">
        <f>SUMPRODUCT((M_BOM[Part Name]=$A70)*M_BOM[RM_Qty_Per_Batch]*IFERROR(INDEX(PP_Grid[#Data],M_BOM[PPGridRow],29),0))/30.72</f>
        <v/>
      </c>
      <c r="AD70">
        <f>SUMPRODUCT((M_BOM[Part Name]=$A70)*M_BOM[RM_Qty_Per_Batch]*IFERROR(INDEX(PP_Grid[#Data],M_BOM[PPGridRow],30),0))/30.72</f>
        <v/>
      </c>
      <c r="AE70">
        <f>SUMPRODUCT((M_BOM[Part Name]=$A70)*M_BOM[RM_Qty_Per_Batch]*IFERROR(INDEX(PP_Grid[#Data],M_BOM[PPGridRow],31),0))/30.72</f>
        <v/>
      </c>
      <c r="AF70">
        <f>SUMPRODUCT((M_BOM[Part Name]=$A70)*M_BOM[RM_Qty_Per_Batch]*IFERROR(INDEX(PP_Grid[#Data],M_BOM[PPGridRow],32),0))/30.72</f>
        <v/>
      </c>
      <c r="AG70">
        <f>SUMPRODUCT((M_BOM[Part Name]=$A70)*M_BOM[RM_Qty_Per_Batch]*IFERROR(INDEX(PP_Grid[#Data],M_BOM[PPGridRow],33),0))/30.72</f>
        <v/>
      </c>
      <c r="AH70">
        <f>SUMPRODUCT((M_BOM[Part Name]=$A70)*M_BOM[RM_Qty_Per_Batch]*IFERROR(INDEX(PP_Grid[#Data],M_BOM[PPGridRow],34),0))/30.72</f>
        <v/>
      </c>
      <c r="AI70">
        <f>SUMPRODUCT((M_BOM[Part Name]=$A70)*M_BOM[RM_Qty_Per_Batch]*IFERROR(INDEX(PP_Grid[#Data],M_BOM[PPGridRow],35),0))/30.72</f>
        <v/>
      </c>
      <c r="AJ70">
        <f>SUMPRODUCT((M_BOM[Part Name]=$A70)*M_BOM[RM_Qty_Per_Batch]*IFERROR(INDEX(PP_Grid[#Data],M_BOM[PPGridRow],36),0))/30.72</f>
        <v/>
      </c>
      <c r="AK70">
        <f>SUMPRODUCT((M_BOM[Part Name]=$A70)*M_BOM[RM_Qty_Per_Batch]*IFERROR(INDEX(PP_Grid[#Data],M_BOM[PPGridRow],37),0))/30.72</f>
        <v/>
      </c>
      <c r="AL70">
        <f>SUMPRODUCT((M_BOM[Part Name]=$A70)*M_BOM[RM_Qty_Per_Batch]*IFERROR(INDEX(PP_Grid[#Data],M_BOM[PPGridRow],38),0))/30.72</f>
        <v/>
      </c>
      <c r="AM70">
        <f>SUMPRODUCT((M_BOM[Part Name]=$A70)*M_BOM[RM_Qty_Per_Batch]*IFERROR(INDEX(PP_Grid[#Data],M_BOM[PPGridRow],39),0))/30.72</f>
        <v/>
      </c>
      <c r="AN70">
        <f>SUMPRODUCT((M_BOM[Part Name]=$A70)*M_BOM[RM_Qty_Per_Batch]*IFERROR(INDEX(PP_Grid[#Data],M_BOM[PPGridRow],40),0))/30.72</f>
        <v/>
      </c>
      <c r="AO70">
        <f>SUMPRODUCT((M_BOM[Part Name]=$A70)*M_BOM[RM_Qty_Per_Batch]*IFERROR(INDEX(PP_Grid[#Data],M_BOM[PPGridRow],41),0))/30.72</f>
        <v/>
      </c>
      <c r="AP70">
        <f>SUMPRODUCT((M_BOM[Part Name]=$A70)*M_BOM[RM_Qty_Per_Batch]*IFERROR(INDEX(PP_Grid[#Data],M_BOM[PPGridRow],42),0))/30.72</f>
        <v/>
      </c>
      <c r="AQ70">
        <f>SUMPRODUCT((M_BOM[Part Name]=$A70)*M_BOM[RM_Qty_Per_Batch]*IFERROR(INDEX(PP_Grid[#Data],M_BOM[PPGridRow],43),0))/30.72</f>
        <v/>
      </c>
      <c r="AR70">
        <f>SUMPRODUCT((M_BOM[Part Name]=$A70)*M_BOM[RM_Qty_Per_Batch]*IFERROR(INDEX(PP_Grid[#Data],M_BOM[PPGridRow],44),0))/30.72</f>
        <v/>
      </c>
      <c r="AS70">
        <f>SUMPRODUCT((M_BOM[Part Name]=$A70)*M_BOM[RM_Qty_Per_Batch]*IFERROR(INDEX(PP_Grid[#Data],M_BOM[PPGridRow],45),0))/30.72</f>
        <v/>
      </c>
      <c r="AT70">
        <f>SUMPRODUCT((M_BOM[Part Name]=$A70)*M_BOM[RM_Qty_Per_Batch]*IFERROR(INDEX(PP_Grid[#Data],M_BOM[PPGridRow],46),0))/30.72</f>
        <v/>
      </c>
      <c r="AU70">
        <f>SUMPRODUCT((M_BOM[Part Name]=$A70)*M_BOM[RM_Qty_Per_Batch]*IFERROR(INDEX(PP_Grid[#Data],M_BOM[PPGridRow],47),0))/30.72</f>
        <v/>
      </c>
      <c r="AV70">
        <f>SUMPRODUCT((M_BOM[Part Name]=$A70)*M_BOM[RM_Qty_Per_Batch]*IFERROR(INDEX(PP_Grid[#Data],M_BOM[PPGridRow],48),0))/30.72</f>
        <v/>
      </c>
      <c r="AW70">
        <f>SUMPRODUCT((M_BOM[Part Name]=$A70)*M_BOM[RM_Qty_Per_Batch]*IFERROR(INDEX(PP_Grid[#Data],M_BOM[PPGridRow],49),0))/30.72</f>
        <v/>
      </c>
      <c r="AX70">
        <f>SUMPRODUCT((M_BOM[Part Name]=$A70)*M_BOM[RM_Qty_Per_Batch]*IFERROR(INDEX(PP_Grid[#Data],M_BOM[PPGridRow],50),0))/30.72</f>
        <v/>
      </c>
      <c r="AY70">
        <f>SUMPRODUCT((M_BOM[Part Name]=$A70)*M_BOM[RM_Qty_Per_Batch]*IFERROR(INDEX(PP_Grid[#Data],M_BOM[PPGridRow],51),0))/30.72</f>
        <v/>
      </c>
      <c r="AZ70">
        <f>SUMPRODUCT((M_BOM[Part Name]=$A70)*M_BOM[RM_Qty_Per_Batch]*IFERROR(INDEX(PP_Grid[#Data],M_BOM[PPGridRow],52),0))/30.72</f>
        <v/>
      </c>
      <c r="BA70">
        <f>SUMPRODUCT((M_BOM[Part Name]=$A70)*M_BOM[RM_Qty_Per_Batch]*IFERROR(INDEX(PP_Grid[#Data],M_BOM[PPGridRow],53),0))/30.72</f>
        <v/>
      </c>
      <c r="BB70">
        <f>SUMPRODUCT((M_BOM[Part Name]=$A70)*M_BOM[RM_Qty_Per_Batch]*IFERROR(INDEX(PP_Grid[#Data],M_BOM[PPGridRow],54),0))/30.72</f>
        <v/>
      </c>
      <c r="BC70">
        <f>SUMPRODUCT((M_BOM[Part Name]=$A70)*M_BOM[RM_Qty_Per_Batch]*IFERROR(INDEX(PP_Grid[#Data],M_BOM[PPGridRow],55),0))/30.72</f>
        <v/>
      </c>
      <c r="BD70">
        <f>SUMPRODUCT((M_BOM[Part Name]=$A70)*M_BOM[RM_Qty_Per_Batch]*IFERROR(INDEX(PP_Grid[#Data],M_BOM[PPGridRow],56),0))/30.72</f>
        <v/>
      </c>
      <c r="BE70">
        <f>SUMPRODUCT((M_BOM[Part Name]=$A70)*M_BOM[RM_Qty_Per_Batch]*IFERROR(INDEX(PP_Grid[#Data],M_BOM[PPGridRow],57),0))/30.72</f>
        <v/>
      </c>
      <c r="BF70">
        <f>SUMPRODUCT((M_BOM[Part Name]=$A70)*M_BOM[RM_Qty_Per_Batch]*IFERROR(INDEX(PP_Grid[#Data],M_BOM[PPGridRow],58),0))/30.72</f>
        <v/>
      </c>
      <c r="BG70">
        <f>SUMPRODUCT((M_BOM[Part Name]=$A70)*M_BOM[RM_Qty_Per_Batch]*IFERROR(INDEX(PP_Grid[#Data],M_BOM[PPGridRow],59),0))/30.72</f>
        <v/>
      </c>
      <c r="BH70">
        <f>SUMPRODUCT((M_BOM[Part Name]=$A70)*M_BOM[RM_Qty_Per_Batch]*IFERROR(INDEX(PP_Grid[#Data],M_BOM[PPGridRow],60),0))/30.72</f>
        <v/>
      </c>
      <c r="BI70">
        <f>SUMPRODUCT((M_BOM[Part Name]=$A70)*M_BOM[RM_Qty_Per_Batch]*IFERROR(INDEX(PP_Grid[#Data],M_BOM[PPGridRow],61),0))/30.72</f>
        <v/>
      </c>
      <c r="BJ70">
        <f>SUMPRODUCT((M_BOM[Part Name]=$A70)*M_BOM[RM_Qty_Per_Batch]*IFERROR(INDEX(PP_Grid[#Data],M_BOM[PPGridRow],62),0))/30.72</f>
        <v/>
      </c>
      <c r="BK70">
        <f>SUMPRODUCT((M_BOM[Part Name]=$A70)*M_BOM[RM_Qty_Per_Batch]*IFERROR(INDEX(PP_Grid[#Data],M_BOM[PPGridRow],63),0))/30.72</f>
        <v/>
      </c>
      <c r="BL70">
        <f>SUMPRODUCT((M_BOM[Part Name]=$A70)*M_BOM[RM_Qty_Per_Batch]*IFERROR(INDEX(PP_Grid[#Data],M_BOM[PPGridRow],64),0))/30.72</f>
        <v/>
      </c>
      <c r="BM70">
        <f>SUMPRODUCT((M_BOM[Part Name]=$A70)*M_BOM[RM_Qty_Per_Batch]*IFERROR(INDEX(PP_Grid[#Data],M_BOM[PPGridRow],65),0))/30.72</f>
        <v/>
      </c>
      <c r="BN70">
        <f>SUMPRODUCT((M_BOM[Part Name]=$A70)*M_BOM[RM_Qty_Per_Batch]*IFERROR(INDEX(PP_Grid[#Data],M_BOM[PPGridRow],66),0))/30.72</f>
        <v/>
      </c>
      <c r="BO70">
        <f>SUMPRODUCT((M_BOM[Part Name]=$A70)*M_BOM[RM_Qty_Per_Batch]*IFERROR(INDEX(PP_Grid[#Data],M_BOM[PPGridRow],67),0))/30.72</f>
        <v/>
      </c>
      <c r="BP70">
        <f>SUMPRODUCT((M_BOM[Part Name]=$A70)*M_BOM[RM_Qty_Per_Batch]*IFERROR(INDEX(PP_Grid[#Data],M_BOM[PPGridRow],68),0))/30.72</f>
        <v/>
      </c>
      <c r="BQ70">
        <f>SUMPRODUCT((M_BOM[Part Name]=$A70)*M_BOM[RM_Qty_Per_Batch]*IFERROR(INDEX(PP_Grid[#Data],M_BOM[PPGridRow],69),0))/30.72</f>
        <v/>
      </c>
      <c r="BR70">
        <f>SUMPRODUCT((M_BOM[Part Name]=$A70)*M_BOM[RM_Qty_Per_Batch]*IFERROR(INDEX(PP_Grid[#Data],M_BOM[PPGridRow],70),0))/30.72</f>
        <v/>
      </c>
      <c r="BS70">
        <f>SUMPRODUCT((M_BOM[Part Name]=$A70)*M_BOM[RM_Qty_Per_Batch]*IFERROR(INDEX(PP_Grid[#Data],M_BOM[PPGridRow],71),0))/30.72</f>
        <v/>
      </c>
      <c r="BT70">
        <f>SUMPRODUCT((M_BOM[Part Name]=$A70)*M_BOM[RM_Qty_Per_Batch]*IFERROR(INDEX(PP_Grid[#Data],M_BOM[PPGridRow],72),0))/30.72</f>
        <v/>
      </c>
      <c r="BU70">
        <f>SUMPRODUCT((M_BOM[Part Name]=$A70)*M_BOM[RM_Qty_Per_Batch]*IFERROR(INDEX(PP_Grid[#Data],M_BOM[PPGridRow],73),0))/30.72</f>
        <v/>
      </c>
      <c r="BV70">
        <f>SUMPRODUCT((M_BOM[Part Name]=$A70)*M_BOM[RM_Qty_Per_Batch]*IFERROR(INDEX(PP_Grid[#Data],M_BOM[PPGridRow],74),0))/30.72</f>
        <v/>
      </c>
      <c r="BW70">
        <f>SUMPRODUCT((M_BOM[Part Name]=$A70)*M_BOM[RM_Qty_Per_Batch]*IFERROR(INDEX(PP_Grid[#Data],M_BOM[PPGridRow],75),0))/30.72</f>
        <v/>
      </c>
      <c r="BX70">
        <f>SUMPRODUCT((M_BOM[Part Name]=$A70)*M_BOM[RM_Qty_Per_Batch]*IFERROR(INDEX(PP_Grid[#Data],M_BOM[PPGridRow],76),0))/30.72</f>
        <v/>
      </c>
      <c r="BY70">
        <f>SUMPRODUCT((M_BOM[Part Name]=$A70)*M_BOM[RM_Qty_Per_Batch]*IFERROR(INDEX(PP_Grid[#Data],M_BOM[PPGridRow],77),0))/30.72</f>
        <v/>
      </c>
      <c r="BZ70">
        <f>SUMPRODUCT((M_BOM[Part Name]=$A70)*M_BOM[RM_Qty_Per_Batch]*IFERROR(INDEX(PP_Grid[#Data],M_BOM[PPGridRow],78),0))/30.72</f>
        <v/>
      </c>
      <c r="CA70">
        <f>SUMPRODUCT((M_BOM[Part Name]=$A70)*M_BOM[RM_Qty_Per_Batch]*IFERROR(INDEX(PP_Grid[#Data],M_BOM[PPGridRow],79),0))/30.72</f>
        <v/>
      </c>
      <c r="CB70">
        <f>SUMPRODUCT((M_BOM[Part Name]=$A70)*M_BOM[RM_Qty_Per_Batch]*IFERROR(INDEX(PP_Grid[#Data],M_BOM[PPGridRow],80),0))/30.72</f>
        <v/>
      </c>
      <c r="CC70">
        <f>SUMPRODUCT((M_BOM[Part Name]=$A70)*M_BOM[RM_Qty_Per_Batch]*IFERROR(INDEX(PP_Grid[#Data],M_BOM[PPGridRow],81),0))/30.72</f>
        <v/>
      </c>
      <c r="CD70">
        <f>SUMPRODUCT((M_BOM[Part Name]=$A70)*M_BOM[RM_Qty_Per_Batch]*IFERROR(INDEX(PP_Grid[#Data],M_BOM[PPGridRow],82),0))/30.72</f>
        <v/>
      </c>
      <c r="CE70">
        <f>SUMPRODUCT((M_BOM[Part Name]=$A70)*M_BOM[RM_Qty_Per_Batch]*IFERROR(INDEX(PP_Grid[#Data],M_BOM[PPGridRow],83),0))/30.72</f>
        <v/>
      </c>
      <c r="CF70">
        <f>SUMPRODUCT((M_BOM[Part Name]=$A70)*M_BOM[RM_Qty_Per_Batch]*IFERROR(INDEX(PP_Grid[#Data],M_BOM[PPGridRow],84),0))/30.72</f>
        <v/>
      </c>
      <c r="CG70">
        <f>SUMPRODUCT((M_BOM[Part Name]=$A70)*M_BOM[RM_Qty_Per_Batch]*IFERROR(INDEX(PP_Grid[#Data],M_BOM[PPGridRow],85),0))/30.72</f>
        <v/>
      </c>
      <c r="CH70">
        <f>SUMPRODUCT((M_BOM[Part Name]=$A70)*M_BOM[RM_Qty_Per_Batch]*IFERROR(INDEX(PP_Grid[#Data],M_BOM[PPGridRow],86),0))/30.72</f>
        <v/>
      </c>
      <c r="CI70">
        <f>SUMPRODUCT((M_BOM[Part Name]=$A70)*M_BOM[RM_Qty_Per_Batch]*IFERROR(INDEX(PP_Grid[#Data],M_BOM[PPGridRow],87),0))/30.72</f>
        <v/>
      </c>
      <c r="CJ70">
        <f>SUMPRODUCT((M_BOM[Part Name]=$A70)*M_BOM[RM_Qty_Per_Batch]*IFERROR(INDEX(PP_Grid[#Data],M_BOM[PPGridRow],88),0))/30.72</f>
        <v/>
      </c>
      <c r="CK70">
        <f>SUMPRODUCT((M_BOM[Part Name]=$A70)*M_BOM[RM_Qty_Per_Batch]*IFERROR(INDEX(PP_Grid[#Data],M_BOM[PPGridRow],89),0))/30.72</f>
        <v/>
      </c>
      <c r="CL70">
        <f>SUMPRODUCT((M_BOM[Part Name]=$A70)*M_BOM[RM_Qty_Per_Batch]*IFERROR(INDEX(PP_Grid[#Data],M_BOM[PPGridRow],90),0))/30.72</f>
        <v/>
      </c>
      <c r="CM70">
        <f>SUMPRODUCT((M_BOM[Part Name]=$A70)*M_BOM[RM_Qty_Per_Batch]*IFERROR(INDEX(PP_Grid[#Data],M_BOM[PPGridRow],91),0))/30.72</f>
        <v/>
      </c>
      <c r="CN70">
        <f>SUMPRODUCT((M_BOM[Part Name]=$A70)*M_BOM[RM_Qty_Per_Batch]*IFERROR(INDEX(PP_Grid[#Data],M_BOM[PPGridRow],92),0))/30.72</f>
        <v/>
      </c>
      <c r="CO70">
        <f>SUMPRODUCT((M_BOM[Part Name]=$A70)*M_BOM[RM_Qty_Per_Batch]*IFERROR(INDEX(PP_Grid[#Data],M_BOM[PPGridRow],93),0))/30.72</f>
        <v/>
      </c>
      <c r="CP70">
        <f>SUMPRODUCT((M_BOM[Part Name]=$A70)*M_BOM[RM_Qty_Per_Batch]*IFERROR(INDEX(PP_Grid[#Data],M_BOM[PPGridRow],94),0))/30.72</f>
        <v/>
      </c>
      <c r="CQ70">
        <f>SUMPRODUCT((M_BOM[Part Name]=$A70)*M_BOM[RM_Qty_Per_Batch]*IFERROR(INDEX(PP_Grid[#Data],M_BOM[PPGridRow],95),0))/30.72</f>
        <v/>
      </c>
      <c r="CR70">
        <f>SUMPRODUCT((M_BOM[Part Name]=$A70)*M_BOM[RM_Qty_Per_Batch]*IFERROR(INDEX(PP_Grid[#Data],M_BOM[PPGridRow],96),0))/30.72</f>
        <v/>
      </c>
      <c r="CS70">
        <f>SUMPRODUCT((M_BOM[Part Name]=$A70)*M_BOM[RM_Qty_Per_Batch]*IFERROR(INDEX(PP_Grid[#Data],M_BOM[PPGridRow],97),0))/30.72</f>
        <v/>
      </c>
      <c r="CT70">
        <f>SUMPRODUCT((M_BOM[Part Name]=$A70)*M_BOM[RM_Qty_Per_Batch]*IFERROR(INDEX(PP_Grid[#Data],M_BOM[PPGridRow],98),0))/30.72</f>
        <v/>
      </c>
      <c r="CU70">
        <f>SUMPRODUCT((M_BOM[Part Name]=$A70)*M_BOM[RM_Qty_Per_Batch]*IFERROR(INDEX(PP_Grid[#Data],M_BOM[PPGridRow],99),0))/30.72</f>
        <v/>
      </c>
      <c r="CV70">
        <f>SUMPRODUCT((M_BOM[Part Name]=$A70)*M_BOM[RM_Qty_Per_Batch]*IFERROR(INDEX(PP_Grid[#Data],M_BOM[PPGridRow],100),0))/30.72</f>
        <v/>
      </c>
      <c r="CW70">
        <f>SUMPRODUCT((M_BOM[Part Name]=$A70)*M_BOM[RM_Qty_Per_Batch]*IFERROR(INDEX(PP_Grid[#Data],M_BOM[PPGridRow],101),0))/30.72</f>
        <v/>
      </c>
      <c r="CX70">
        <f>SUMPRODUCT((M_BOM[Part Name]=$A70)*M_BOM[RM_Qty_Per_Batch]*IFERROR(INDEX(PP_Grid[#Data],M_BOM[PPGridRow],102),0))/30.72</f>
        <v/>
      </c>
      <c r="CY70">
        <f>SUMPRODUCT((M_BOM[Part Name]=$A70)*M_BOM[RM_Qty_Per_Batch]*IFERROR(INDEX(PP_Grid[#Data],M_BOM[PPGridRow],103),0))/30.72</f>
        <v/>
      </c>
      <c r="CZ70">
        <f>SUMPRODUCT((M_BOM[Part Name]=$A70)*M_BOM[RM_Qty_Per_Batch]*IFERROR(INDEX(PP_Grid[#Data],M_BOM[PPGridRow],104),0))/30.72</f>
        <v/>
      </c>
      <c r="DA70">
        <f>SUMPRODUCT((M_BOM[Part Name]=$A70)*M_BOM[RM_Qty_Per_Batch]*IFERROR(INDEX(PP_Grid[#Data],M_BOM[PPGridRow],105),0))/30.72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Name]=$A71)*M_BOM[RM_Qty_Per_Batch]*IFERROR(INDEX(PP_Grid[#Data],M_BOM[PPGridRow],2),0))/19.22</f>
        <v/>
      </c>
      <c r="C71">
        <f>SUMPRODUCT((M_BOM[Part Name]=$A71)*M_BOM[RM_Qty_Per_Batch]*IFERROR(INDEX(PP_Grid[#Data],M_BOM[PPGridRow],3),0))/19.22</f>
        <v/>
      </c>
      <c r="D71">
        <f>SUMPRODUCT((M_BOM[Part Name]=$A71)*M_BOM[RM_Qty_Per_Batch]*IFERROR(INDEX(PP_Grid[#Data],M_BOM[PPGridRow],4),0))/19.22</f>
        <v/>
      </c>
      <c r="E71">
        <f>SUMPRODUCT((M_BOM[Part Name]=$A71)*M_BOM[RM_Qty_Per_Batch]*IFERROR(INDEX(PP_Grid[#Data],M_BOM[PPGridRow],5),0))/19.22</f>
        <v/>
      </c>
      <c r="F71">
        <f>SUMPRODUCT((M_BOM[Part Name]=$A71)*M_BOM[RM_Qty_Per_Batch]*IFERROR(INDEX(PP_Grid[#Data],M_BOM[PPGridRow],6),0))/19.22</f>
        <v/>
      </c>
      <c r="G71">
        <f>SUMPRODUCT((M_BOM[Part Name]=$A71)*M_BOM[RM_Qty_Per_Batch]*IFERROR(INDEX(PP_Grid[#Data],M_BOM[PPGridRow],7),0))/19.22</f>
        <v/>
      </c>
      <c r="H71">
        <f>SUMPRODUCT((M_BOM[Part Name]=$A71)*M_BOM[RM_Qty_Per_Batch]*IFERROR(INDEX(PP_Grid[#Data],M_BOM[PPGridRow],8),0))/19.22</f>
        <v/>
      </c>
      <c r="I71">
        <f>SUMPRODUCT((M_BOM[Part Name]=$A71)*M_BOM[RM_Qty_Per_Batch]*IFERROR(INDEX(PP_Grid[#Data],M_BOM[PPGridRow],9),0))/19.22</f>
        <v/>
      </c>
      <c r="J71">
        <f>SUMPRODUCT((M_BOM[Part Name]=$A71)*M_BOM[RM_Qty_Per_Batch]*IFERROR(INDEX(PP_Grid[#Data],M_BOM[PPGridRow],10),0))/19.22</f>
        <v/>
      </c>
      <c r="K71">
        <f>SUMPRODUCT((M_BOM[Part Name]=$A71)*M_BOM[RM_Qty_Per_Batch]*IFERROR(INDEX(PP_Grid[#Data],M_BOM[PPGridRow],11),0))/19.22</f>
        <v/>
      </c>
      <c r="L71">
        <f>SUMPRODUCT((M_BOM[Part Name]=$A71)*M_BOM[RM_Qty_Per_Batch]*IFERROR(INDEX(PP_Grid[#Data],M_BOM[PPGridRow],12),0))/19.22</f>
        <v/>
      </c>
      <c r="M71">
        <f>SUMPRODUCT((M_BOM[Part Name]=$A71)*M_BOM[RM_Qty_Per_Batch]*IFERROR(INDEX(PP_Grid[#Data],M_BOM[PPGridRow],13),0))/19.22</f>
        <v/>
      </c>
      <c r="N71">
        <f>SUMPRODUCT((M_BOM[Part Name]=$A71)*M_BOM[RM_Qty_Per_Batch]*IFERROR(INDEX(PP_Grid[#Data],M_BOM[PPGridRow],14),0))/19.22</f>
        <v/>
      </c>
      <c r="O71">
        <f>SUMPRODUCT((M_BOM[Part Name]=$A71)*M_BOM[RM_Qty_Per_Batch]*IFERROR(INDEX(PP_Grid[#Data],M_BOM[PPGridRow],15),0))/19.22</f>
        <v/>
      </c>
      <c r="P71">
        <f>SUMPRODUCT((M_BOM[Part Name]=$A71)*M_BOM[RM_Qty_Per_Batch]*IFERROR(INDEX(PP_Grid[#Data],M_BOM[PPGridRow],16),0))/19.22</f>
        <v/>
      </c>
      <c r="Q71">
        <f>SUMPRODUCT((M_BOM[Part Name]=$A71)*M_BOM[RM_Qty_Per_Batch]*IFERROR(INDEX(PP_Grid[#Data],M_BOM[PPGridRow],17),0))/19.22</f>
        <v/>
      </c>
      <c r="R71">
        <f>SUMPRODUCT((M_BOM[Part Name]=$A71)*M_BOM[RM_Qty_Per_Batch]*IFERROR(INDEX(PP_Grid[#Data],M_BOM[PPGridRow],18),0))/19.22</f>
        <v/>
      </c>
      <c r="S71">
        <f>SUMPRODUCT((M_BOM[Part Name]=$A71)*M_BOM[RM_Qty_Per_Batch]*IFERROR(INDEX(PP_Grid[#Data],M_BOM[PPGridRow],19),0))/19.22</f>
        <v/>
      </c>
      <c r="T71">
        <f>SUMPRODUCT((M_BOM[Part Name]=$A71)*M_BOM[RM_Qty_Per_Batch]*IFERROR(INDEX(PP_Grid[#Data],M_BOM[PPGridRow],20),0))/19.22</f>
        <v/>
      </c>
      <c r="U71">
        <f>SUMPRODUCT((M_BOM[Part Name]=$A71)*M_BOM[RM_Qty_Per_Batch]*IFERROR(INDEX(PP_Grid[#Data],M_BOM[PPGridRow],21),0))/19.22</f>
        <v/>
      </c>
      <c r="V71">
        <f>SUMPRODUCT((M_BOM[Part Name]=$A71)*M_BOM[RM_Qty_Per_Batch]*IFERROR(INDEX(PP_Grid[#Data],M_BOM[PPGridRow],22),0))/19.22</f>
        <v/>
      </c>
      <c r="W71">
        <f>SUMPRODUCT((M_BOM[Part Name]=$A71)*M_BOM[RM_Qty_Per_Batch]*IFERROR(INDEX(PP_Grid[#Data],M_BOM[PPGridRow],23),0))/19.22</f>
        <v/>
      </c>
      <c r="X71">
        <f>SUMPRODUCT((M_BOM[Part Name]=$A71)*M_BOM[RM_Qty_Per_Batch]*IFERROR(INDEX(PP_Grid[#Data],M_BOM[PPGridRow],24),0))/19.22</f>
        <v/>
      </c>
      <c r="Y71">
        <f>SUMPRODUCT((M_BOM[Part Name]=$A71)*M_BOM[RM_Qty_Per_Batch]*IFERROR(INDEX(PP_Grid[#Data],M_BOM[PPGridRow],25),0))/19.22</f>
        <v/>
      </c>
      <c r="Z71">
        <f>SUMPRODUCT((M_BOM[Part Name]=$A71)*M_BOM[RM_Qty_Per_Batch]*IFERROR(INDEX(PP_Grid[#Data],M_BOM[PPGridRow],26),0))/19.22</f>
        <v/>
      </c>
      <c r="AA71">
        <f>SUMPRODUCT((M_BOM[Part Name]=$A71)*M_BOM[RM_Qty_Per_Batch]*IFERROR(INDEX(PP_Grid[#Data],M_BOM[PPGridRow],27),0))/19.22</f>
        <v/>
      </c>
      <c r="AB71">
        <f>SUMPRODUCT((M_BOM[Part Name]=$A71)*M_BOM[RM_Qty_Per_Batch]*IFERROR(INDEX(PP_Grid[#Data],M_BOM[PPGridRow],28),0))/19.22</f>
        <v/>
      </c>
      <c r="AC71">
        <f>SUMPRODUCT((M_BOM[Part Name]=$A71)*M_BOM[RM_Qty_Per_Batch]*IFERROR(INDEX(PP_Grid[#Data],M_BOM[PPGridRow],29),0))/19.22</f>
        <v/>
      </c>
      <c r="AD71">
        <f>SUMPRODUCT((M_BOM[Part Name]=$A71)*M_BOM[RM_Qty_Per_Batch]*IFERROR(INDEX(PP_Grid[#Data],M_BOM[PPGridRow],30),0))/19.22</f>
        <v/>
      </c>
      <c r="AE71">
        <f>SUMPRODUCT((M_BOM[Part Name]=$A71)*M_BOM[RM_Qty_Per_Batch]*IFERROR(INDEX(PP_Grid[#Data],M_BOM[PPGridRow],31),0))/19.22</f>
        <v/>
      </c>
      <c r="AF71">
        <f>SUMPRODUCT((M_BOM[Part Name]=$A71)*M_BOM[RM_Qty_Per_Batch]*IFERROR(INDEX(PP_Grid[#Data],M_BOM[PPGridRow],32),0))/19.22</f>
        <v/>
      </c>
      <c r="AG71">
        <f>SUMPRODUCT((M_BOM[Part Name]=$A71)*M_BOM[RM_Qty_Per_Batch]*IFERROR(INDEX(PP_Grid[#Data],M_BOM[PPGridRow],33),0))/19.22</f>
        <v/>
      </c>
      <c r="AH71">
        <f>SUMPRODUCT((M_BOM[Part Name]=$A71)*M_BOM[RM_Qty_Per_Batch]*IFERROR(INDEX(PP_Grid[#Data],M_BOM[PPGridRow],34),0))/19.22</f>
        <v/>
      </c>
      <c r="AI71">
        <f>SUMPRODUCT((M_BOM[Part Name]=$A71)*M_BOM[RM_Qty_Per_Batch]*IFERROR(INDEX(PP_Grid[#Data],M_BOM[PPGridRow],35),0))/19.22</f>
        <v/>
      </c>
      <c r="AJ71">
        <f>SUMPRODUCT((M_BOM[Part Name]=$A71)*M_BOM[RM_Qty_Per_Batch]*IFERROR(INDEX(PP_Grid[#Data],M_BOM[PPGridRow],36),0))/19.22</f>
        <v/>
      </c>
      <c r="AK71">
        <f>SUMPRODUCT((M_BOM[Part Name]=$A71)*M_BOM[RM_Qty_Per_Batch]*IFERROR(INDEX(PP_Grid[#Data],M_BOM[PPGridRow],37),0))/19.22</f>
        <v/>
      </c>
      <c r="AL71">
        <f>SUMPRODUCT((M_BOM[Part Name]=$A71)*M_BOM[RM_Qty_Per_Batch]*IFERROR(INDEX(PP_Grid[#Data],M_BOM[PPGridRow],38),0))/19.22</f>
        <v/>
      </c>
      <c r="AM71">
        <f>SUMPRODUCT((M_BOM[Part Name]=$A71)*M_BOM[RM_Qty_Per_Batch]*IFERROR(INDEX(PP_Grid[#Data],M_BOM[PPGridRow],39),0))/19.22</f>
        <v/>
      </c>
      <c r="AN71">
        <f>SUMPRODUCT((M_BOM[Part Name]=$A71)*M_BOM[RM_Qty_Per_Batch]*IFERROR(INDEX(PP_Grid[#Data],M_BOM[PPGridRow],40),0))/19.22</f>
        <v/>
      </c>
      <c r="AO71">
        <f>SUMPRODUCT((M_BOM[Part Name]=$A71)*M_BOM[RM_Qty_Per_Batch]*IFERROR(INDEX(PP_Grid[#Data],M_BOM[PPGridRow],41),0))/19.22</f>
        <v/>
      </c>
      <c r="AP71">
        <f>SUMPRODUCT((M_BOM[Part Name]=$A71)*M_BOM[RM_Qty_Per_Batch]*IFERROR(INDEX(PP_Grid[#Data],M_BOM[PPGridRow],42),0))/19.22</f>
        <v/>
      </c>
      <c r="AQ71">
        <f>SUMPRODUCT((M_BOM[Part Name]=$A71)*M_BOM[RM_Qty_Per_Batch]*IFERROR(INDEX(PP_Grid[#Data],M_BOM[PPGridRow],43),0))/19.22</f>
        <v/>
      </c>
      <c r="AR71">
        <f>SUMPRODUCT((M_BOM[Part Name]=$A71)*M_BOM[RM_Qty_Per_Batch]*IFERROR(INDEX(PP_Grid[#Data],M_BOM[PPGridRow],44),0))/19.22</f>
        <v/>
      </c>
      <c r="AS71">
        <f>SUMPRODUCT((M_BOM[Part Name]=$A71)*M_BOM[RM_Qty_Per_Batch]*IFERROR(INDEX(PP_Grid[#Data],M_BOM[PPGridRow],45),0))/19.22</f>
        <v/>
      </c>
      <c r="AT71">
        <f>SUMPRODUCT((M_BOM[Part Name]=$A71)*M_BOM[RM_Qty_Per_Batch]*IFERROR(INDEX(PP_Grid[#Data],M_BOM[PPGridRow],46),0))/19.22</f>
        <v/>
      </c>
      <c r="AU71">
        <f>SUMPRODUCT((M_BOM[Part Name]=$A71)*M_BOM[RM_Qty_Per_Batch]*IFERROR(INDEX(PP_Grid[#Data],M_BOM[PPGridRow],47),0))/19.22</f>
        <v/>
      </c>
      <c r="AV71">
        <f>SUMPRODUCT((M_BOM[Part Name]=$A71)*M_BOM[RM_Qty_Per_Batch]*IFERROR(INDEX(PP_Grid[#Data],M_BOM[PPGridRow],48),0))/19.22</f>
        <v/>
      </c>
      <c r="AW71">
        <f>SUMPRODUCT((M_BOM[Part Name]=$A71)*M_BOM[RM_Qty_Per_Batch]*IFERROR(INDEX(PP_Grid[#Data],M_BOM[PPGridRow],49),0))/19.22</f>
        <v/>
      </c>
      <c r="AX71">
        <f>SUMPRODUCT((M_BOM[Part Name]=$A71)*M_BOM[RM_Qty_Per_Batch]*IFERROR(INDEX(PP_Grid[#Data],M_BOM[PPGridRow],50),0))/19.22</f>
        <v/>
      </c>
      <c r="AY71">
        <f>SUMPRODUCT((M_BOM[Part Name]=$A71)*M_BOM[RM_Qty_Per_Batch]*IFERROR(INDEX(PP_Grid[#Data],M_BOM[PPGridRow],51),0))/19.22</f>
        <v/>
      </c>
      <c r="AZ71">
        <f>SUMPRODUCT((M_BOM[Part Name]=$A71)*M_BOM[RM_Qty_Per_Batch]*IFERROR(INDEX(PP_Grid[#Data],M_BOM[PPGridRow],52),0))/19.22</f>
        <v/>
      </c>
      <c r="BA71">
        <f>SUMPRODUCT((M_BOM[Part Name]=$A71)*M_BOM[RM_Qty_Per_Batch]*IFERROR(INDEX(PP_Grid[#Data],M_BOM[PPGridRow],53),0))/19.22</f>
        <v/>
      </c>
      <c r="BB71">
        <f>SUMPRODUCT((M_BOM[Part Name]=$A71)*M_BOM[RM_Qty_Per_Batch]*IFERROR(INDEX(PP_Grid[#Data],M_BOM[PPGridRow],54),0))/19.22</f>
        <v/>
      </c>
      <c r="BC71">
        <f>SUMPRODUCT((M_BOM[Part Name]=$A71)*M_BOM[RM_Qty_Per_Batch]*IFERROR(INDEX(PP_Grid[#Data],M_BOM[PPGridRow],55),0))/19.22</f>
        <v/>
      </c>
      <c r="BD71">
        <f>SUMPRODUCT((M_BOM[Part Name]=$A71)*M_BOM[RM_Qty_Per_Batch]*IFERROR(INDEX(PP_Grid[#Data],M_BOM[PPGridRow],56),0))/19.22</f>
        <v/>
      </c>
      <c r="BE71">
        <f>SUMPRODUCT((M_BOM[Part Name]=$A71)*M_BOM[RM_Qty_Per_Batch]*IFERROR(INDEX(PP_Grid[#Data],M_BOM[PPGridRow],57),0))/19.22</f>
        <v/>
      </c>
      <c r="BF71">
        <f>SUMPRODUCT((M_BOM[Part Name]=$A71)*M_BOM[RM_Qty_Per_Batch]*IFERROR(INDEX(PP_Grid[#Data],M_BOM[PPGridRow],58),0))/19.22</f>
        <v/>
      </c>
      <c r="BG71">
        <f>SUMPRODUCT((M_BOM[Part Name]=$A71)*M_BOM[RM_Qty_Per_Batch]*IFERROR(INDEX(PP_Grid[#Data],M_BOM[PPGridRow],59),0))/19.22</f>
        <v/>
      </c>
      <c r="BH71">
        <f>SUMPRODUCT((M_BOM[Part Name]=$A71)*M_BOM[RM_Qty_Per_Batch]*IFERROR(INDEX(PP_Grid[#Data],M_BOM[PPGridRow],60),0))/19.22</f>
        <v/>
      </c>
      <c r="BI71">
        <f>SUMPRODUCT((M_BOM[Part Name]=$A71)*M_BOM[RM_Qty_Per_Batch]*IFERROR(INDEX(PP_Grid[#Data],M_BOM[PPGridRow],61),0))/19.22</f>
        <v/>
      </c>
      <c r="BJ71">
        <f>SUMPRODUCT((M_BOM[Part Name]=$A71)*M_BOM[RM_Qty_Per_Batch]*IFERROR(INDEX(PP_Grid[#Data],M_BOM[PPGridRow],62),0))/19.22</f>
        <v/>
      </c>
      <c r="BK71">
        <f>SUMPRODUCT((M_BOM[Part Name]=$A71)*M_BOM[RM_Qty_Per_Batch]*IFERROR(INDEX(PP_Grid[#Data],M_BOM[PPGridRow],63),0))/19.22</f>
        <v/>
      </c>
      <c r="BL71">
        <f>SUMPRODUCT((M_BOM[Part Name]=$A71)*M_BOM[RM_Qty_Per_Batch]*IFERROR(INDEX(PP_Grid[#Data],M_BOM[PPGridRow],64),0))/19.22</f>
        <v/>
      </c>
      <c r="BM71">
        <f>SUMPRODUCT((M_BOM[Part Name]=$A71)*M_BOM[RM_Qty_Per_Batch]*IFERROR(INDEX(PP_Grid[#Data],M_BOM[PPGridRow],65),0))/19.22</f>
        <v/>
      </c>
      <c r="BN71">
        <f>SUMPRODUCT((M_BOM[Part Name]=$A71)*M_BOM[RM_Qty_Per_Batch]*IFERROR(INDEX(PP_Grid[#Data],M_BOM[PPGridRow],66),0))/19.22</f>
        <v/>
      </c>
      <c r="BO71">
        <f>SUMPRODUCT((M_BOM[Part Name]=$A71)*M_BOM[RM_Qty_Per_Batch]*IFERROR(INDEX(PP_Grid[#Data],M_BOM[PPGridRow],67),0))/19.22</f>
        <v/>
      </c>
      <c r="BP71">
        <f>SUMPRODUCT((M_BOM[Part Name]=$A71)*M_BOM[RM_Qty_Per_Batch]*IFERROR(INDEX(PP_Grid[#Data],M_BOM[PPGridRow],68),0))/19.22</f>
        <v/>
      </c>
      <c r="BQ71">
        <f>SUMPRODUCT((M_BOM[Part Name]=$A71)*M_BOM[RM_Qty_Per_Batch]*IFERROR(INDEX(PP_Grid[#Data],M_BOM[PPGridRow],69),0))/19.22</f>
        <v/>
      </c>
      <c r="BR71">
        <f>SUMPRODUCT((M_BOM[Part Name]=$A71)*M_BOM[RM_Qty_Per_Batch]*IFERROR(INDEX(PP_Grid[#Data],M_BOM[PPGridRow],70),0))/19.22</f>
        <v/>
      </c>
      <c r="BS71">
        <f>SUMPRODUCT((M_BOM[Part Name]=$A71)*M_BOM[RM_Qty_Per_Batch]*IFERROR(INDEX(PP_Grid[#Data],M_BOM[PPGridRow],71),0))/19.22</f>
        <v/>
      </c>
      <c r="BT71">
        <f>SUMPRODUCT((M_BOM[Part Name]=$A71)*M_BOM[RM_Qty_Per_Batch]*IFERROR(INDEX(PP_Grid[#Data],M_BOM[PPGridRow],72),0))/19.22</f>
        <v/>
      </c>
      <c r="BU71">
        <f>SUMPRODUCT((M_BOM[Part Name]=$A71)*M_BOM[RM_Qty_Per_Batch]*IFERROR(INDEX(PP_Grid[#Data],M_BOM[PPGridRow],73),0))/19.22</f>
        <v/>
      </c>
      <c r="BV71">
        <f>SUMPRODUCT((M_BOM[Part Name]=$A71)*M_BOM[RM_Qty_Per_Batch]*IFERROR(INDEX(PP_Grid[#Data],M_BOM[PPGridRow],74),0))/19.22</f>
        <v/>
      </c>
      <c r="BW71">
        <f>SUMPRODUCT((M_BOM[Part Name]=$A71)*M_BOM[RM_Qty_Per_Batch]*IFERROR(INDEX(PP_Grid[#Data],M_BOM[PPGridRow],75),0))/19.22</f>
        <v/>
      </c>
      <c r="BX71">
        <f>SUMPRODUCT((M_BOM[Part Name]=$A71)*M_BOM[RM_Qty_Per_Batch]*IFERROR(INDEX(PP_Grid[#Data],M_BOM[PPGridRow],76),0))/19.22</f>
        <v/>
      </c>
      <c r="BY71">
        <f>SUMPRODUCT((M_BOM[Part Name]=$A71)*M_BOM[RM_Qty_Per_Batch]*IFERROR(INDEX(PP_Grid[#Data],M_BOM[PPGridRow],77),0))/19.22</f>
        <v/>
      </c>
      <c r="BZ71">
        <f>SUMPRODUCT((M_BOM[Part Name]=$A71)*M_BOM[RM_Qty_Per_Batch]*IFERROR(INDEX(PP_Grid[#Data],M_BOM[PPGridRow],78),0))/19.22</f>
        <v/>
      </c>
      <c r="CA71">
        <f>SUMPRODUCT((M_BOM[Part Name]=$A71)*M_BOM[RM_Qty_Per_Batch]*IFERROR(INDEX(PP_Grid[#Data],M_BOM[PPGridRow],79),0))/19.22</f>
        <v/>
      </c>
      <c r="CB71">
        <f>SUMPRODUCT((M_BOM[Part Name]=$A71)*M_BOM[RM_Qty_Per_Batch]*IFERROR(INDEX(PP_Grid[#Data],M_BOM[PPGridRow],80),0))/19.22</f>
        <v/>
      </c>
      <c r="CC71">
        <f>SUMPRODUCT((M_BOM[Part Name]=$A71)*M_BOM[RM_Qty_Per_Batch]*IFERROR(INDEX(PP_Grid[#Data],M_BOM[PPGridRow],81),0))/19.22</f>
        <v/>
      </c>
      <c r="CD71">
        <f>SUMPRODUCT((M_BOM[Part Name]=$A71)*M_BOM[RM_Qty_Per_Batch]*IFERROR(INDEX(PP_Grid[#Data],M_BOM[PPGridRow],82),0))/19.22</f>
        <v/>
      </c>
      <c r="CE71">
        <f>SUMPRODUCT((M_BOM[Part Name]=$A71)*M_BOM[RM_Qty_Per_Batch]*IFERROR(INDEX(PP_Grid[#Data],M_BOM[PPGridRow],83),0))/19.22</f>
        <v/>
      </c>
      <c r="CF71">
        <f>SUMPRODUCT((M_BOM[Part Name]=$A71)*M_BOM[RM_Qty_Per_Batch]*IFERROR(INDEX(PP_Grid[#Data],M_BOM[PPGridRow],84),0))/19.22</f>
        <v/>
      </c>
      <c r="CG71">
        <f>SUMPRODUCT((M_BOM[Part Name]=$A71)*M_BOM[RM_Qty_Per_Batch]*IFERROR(INDEX(PP_Grid[#Data],M_BOM[PPGridRow],85),0))/19.22</f>
        <v/>
      </c>
      <c r="CH71">
        <f>SUMPRODUCT((M_BOM[Part Name]=$A71)*M_BOM[RM_Qty_Per_Batch]*IFERROR(INDEX(PP_Grid[#Data],M_BOM[PPGridRow],86),0))/19.22</f>
        <v/>
      </c>
      <c r="CI71">
        <f>SUMPRODUCT((M_BOM[Part Name]=$A71)*M_BOM[RM_Qty_Per_Batch]*IFERROR(INDEX(PP_Grid[#Data],M_BOM[PPGridRow],87),0))/19.22</f>
        <v/>
      </c>
      <c r="CJ71">
        <f>SUMPRODUCT((M_BOM[Part Name]=$A71)*M_BOM[RM_Qty_Per_Batch]*IFERROR(INDEX(PP_Grid[#Data],M_BOM[PPGridRow],88),0))/19.22</f>
        <v/>
      </c>
      <c r="CK71">
        <f>SUMPRODUCT((M_BOM[Part Name]=$A71)*M_BOM[RM_Qty_Per_Batch]*IFERROR(INDEX(PP_Grid[#Data],M_BOM[PPGridRow],89),0))/19.22</f>
        <v/>
      </c>
      <c r="CL71">
        <f>SUMPRODUCT((M_BOM[Part Name]=$A71)*M_BOM[RM_Qty_Per_Batch]*IFERROR(INDEX(PP_Grid[#Data],M_BOM[PPGridRow],90),0))/19.22</f>
        <v/>
      </c>
      <c r="CM71">
        <f>SUMPRODUCT((M_BOM[Part Name]=$A71)*M_BOM[RM_Qty_Per_Batch]*IFERROR(INDEX(PP_Grid[#Data],M_BOM[PPGridRow],91),0))/19.22</f>
        <v/>
      </c>
      <c r="CN71">
        <f>SUMPRODUCT((M_BOM[Part Name]=$A71)*M_BOM[RM_Qty_Per_Batch]*IFERROR(INDEX(PP_Grid[#Data],M_BOM[PPGridRow],92),0))/19.22</f>
        <v/>
      </c>
      <c r="CO71">
        <f>SUMPRODUCT((M_BOM[Part Name]=$A71)*M_BOM[RM_Qty_Per_Batch]*IFERROR(INDEX(PP_Grid[#Data],M_BOM[PPGridRow],93),0))/19.22</f>
        <v/>
      </c>
      <c r="CP71">
        <f>SUMPRODUCT((M_BOM[Part Name]=$A71)*M_BOM[RM_Qty_Per_Batch]*IFERROR(INDEX(PP_Grid[#Data],M_BOM[PPGridRow],94),0))/19.22</f>
        <v/>
      </c>
      <c r="CQ71">
        <f>SUMPRODUCT((M_BOM[Part Name]=$A71)*M_BOM[RM_Qty_Per_Batch]*IFERROR(INDEX(PP_Grid[#Data],M_BOM[PPGridRow],95),0))/19.22</f>
        <v/>
      </c>
      <c r="CR71">
        <f>SUMPRODUCT((M_BOM[Part Name]=$A71)*M_BOM[RM_Qty_Per_Batch]*IFERROR(INDEX(PP_Grid[#Data],M_BOM[PPGridRow],96),0))/19.22</f>
        <v/>
      </c>
      <c r="CS71">
        <f>SUMPRODUCT((M_BOM[Part Name]=$A71)*M_BOM[RM_Qty_Per_Batch]*IFERROR(INDEX(PP_Grid[#Data],M_BOM[PPGridRow],97),0))/19.22</f>
        <v/>
      </c>
      <c r="CT71">
        <f>SUMPRODUCT((M_BOM[Part Name]=$A71)*M_BOM[RM_Qty_Per_Batch]*IFERROR(INDEX(PP_Grid[#Data],M_BOM[PPGridRow],98),0))/19.22</f>
        <v/>
      </c>
      <c r="CU71">
        <f>SUMPRODUCT((M_BOM[Part Name]=$A71)*M_BOM[RM_Qty_Per_Batch]*IFERROR(INDEX(PP_Grid[#Data],M_BOM[PPGridRow],99),0))/19.22</f>
        <v/>
      </c>
      <c r="CV71">
        <f>SUMPRODUCT((M_BOM[Part Name]=$A71)*M_BOM[RM_Qty_Per_Batch]*IFERROR(INDEX(PP_Grid[#Data],M_BOM[PPGridRow],100),0))/19.22</f>
        <v/>
      </c>
      <c r="CW71">
        <f>SUMPRODUCT((M_BOM[Part Name]=$A71)*M_BOM[RM_Qty_Per_Batch]*IFERROR(INDEX(PP_Grid[#Data],M_BOM[PPGridRow],101),0))/19.22</f>
        <v/>
      </c>
      <c r="CX71">
        <f>SUMPRODUCT((M_BOM[Part Name]=$A71)*M_BOM[RM_Qty_Per_Batch]*IFERROR(INDEX(PP_Grid[#Data],M_BOM[PPGridRow],102),0))/19.22</f>
        <v/>
      </c>
      <c r="CY71">
        <f>SUMPRODUCT((M_BOM[Part Name]=$A71)*M_BOM[RM_Qty_Per_Batch]*IFERROR(INDEX(PP_Grid[#Data],M_BOM[PPGridRow],103),0))/19.22</f>
        <v/>
      </c>
      <c r="CZ71">
        <f>SUMPRODUCT((M_BOM[Part Name]=$A71)*M_BOM[RM_Qty_Per_Batch]*IFERROR(INDEX(PP_Grid[#Data],M_BOM[PPGridRow],104),0))/19.22</f>
        <v/>
      </c>
      <c r="DA71">
        <f>SUMPRODUCT((M_BOM[Part Name]=$A71)*M_BOM[RM_Qty_Per_Batch]*IFERROR(INDEX(PP_Grid[#Data],M_BOM[PPGridRow],105),0))/19.22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Name]=$A72)*M_BOM[RM_Qty_Per_Batch]*IFERROR(INDEX(PP_Grid[#Data],M_BOM[PPGridRow],2),0))/19.63</f>
        <v/>
      </c>
      <c r="C72">
        <f>SUMPRODUCT((M_BOM[Part Name]=$A72)*M_BOM[RM_Qty_Per_Batch]*IFERROR(INDEX(PP_Grid[#Data],M_BOM[PPGridRow],3),0))/19.63</f>
        <v/>
      </c>
      <c r="D72">
        <f>SUMPRODUCT((M_BOM[Part Name]=$A72)*M_BOM[RM_Qty_Per_Batch]*IFERROR(INDEX(PP_Grid[#Data],M_BOM[PPGridRow],4),0))/19.63</f>
        <v/>
      </c>
      <c r="E72">
        <f>SUMPRODUCT((M_BOM[Part Name]=$A72)*M_BOM[RM_Qty_Per_Batch]*IFERROR(INDEX(PP_Grid[#Data],M_BOM[PPGridRow],5),0))/19.63</f>
        <v/>
      </c>
      <c r="F72">
        <f>SUMPRODUCT((M_BOM[Part Name]=$A72)*M_BOM[RM_Qty_Per_Batch]*IFERROR(INDEX(PP_Grid[#Data],M_BOM[PPGridRow],6),0))/19.63</f>
        <v/>
      </c>
      <c r="G72">
        <f>SUMPRODUCT((M_BOM[Part Name]=$A72)*M_BOM[RM_Qty_Per_Batch]*IFERROR(INDEX(PP_Grid[#Data],M_BOM[PPGridRow],7),0))/19.63</f>
        <v/>
      </c>
      <c r="H72">
        <f>SUMPRODUCT((M_BOM[Part Name]=$A72)*M_BOM[RM_Qty_Per_Batch]*IFERROR(INDEX(PP_Grid[#Data],M_BOM[PPGridRow],8),0))/19.63</f>
        <v/>
      </c>
      <c r="I72">
        <f>SUMPRODUCT((M_BOM[Part Name]=$A72)*M_BOM[RM_Qty_Per_Batch]*IFERROR(INDEX(PP_Grid[#Data],M_BOM[PPGridRow],9),0))/19.63</f>
        <v/>
      </c>
      <c r="J72">
        <f>SUMPRODUCT((M_BOM[Part Name]=$A72)*M_BOM[RM_Qty_Per_Batch]*IFERROR(INDEX(PP_Grid[#Data],M_BOM[PPGridRow],10),0))/19.63</f>
        <v/>
      </c>
      <c r="K72">
        <f>SUMPRODUCT((M_BOM[Part Name]=$A72)*M_BOM[RM_Qty_Per_Batch]*IFERROR(INDEX(PP_Grid[#Data],M_BOM[PPGridRow],11),0))/19.63</f>
        <v/>
      </c>
      <c r="L72">
        <f>SUMPRODUCT((M_BOM[Part Name]=$A72)*M_BOM[RM_Qty_Per_Batch]*IFERROR(INDEX(PP_Grid[#Data],M_BOM[PPGridRow],12),0))/19.63</f>
        <v/>
      </c>
      <c r="M72">
        <f>SUMPRODUCT((M_BOM[Part Name]=$A72)*M_BOM[RM_Qty_Per_Batch]*IFERROR(INDEX(PP_Grid[#Data],M_BOM[PPGridRow],13),0))/19.63</f>
        <v/>
      </c>
      <c r="N72">
        <f>SUMPRODUCT((M_BOM[Part Name]=$A72)*M_BOM[RM_Qty_Per_Batch]*IFERROR(INDEX(PP_Grid[#Data],M_BOM[PPGridRow],14),0))/19.63</f>
        <v/>
      </c>
      <c r="O72">
        <f>SUMPRODUCT((M_BOM[Part Name]=$A72)*M_BOM[RM_Qty_Per_Batch]*IFERROR(INDEX(PP_Grid[#Data],M_BOM[PPGridRow],15),0))/19.63</f>
        <v/>
      </c>
      <c r="P72">
        <f>SUMPRODUCT((M_BOM[Part Name]=$A72)*M_BOM[RM_Qty_Per_Batch]*IFERROR(INDEX(PP_Grid[#Data],M_BOM[PPGridRow],16),0))/19.63</f>
        <v/>
      </c>
      <c r="Q72">
        <f>SUMPRODUCT((M_BOM[Part Name]=$A72)*M_BOM[RM_Qty_Per_Batch]*IFERROR(INDEX(PP_Grid[#Data],M_BOM[PPGridRow],17),0))/19.63</f>
        <v/>
      </c>
      <c r="R72">
        <f>SUMPRODUCT((M_BOM[Part Name]=$A72)*M_BOM[RM_Qty_Per_Batch]*IFERROR(INDEX(PP_Grid[#Data],M_BOM[PPGridRow],18),0))/19.63</f>
        <v/>
      </c>
      <c r="S72">
        <f>SUMPRODUCT((M_BOM[Part Name]=$A72)*M_BOM[RM_Qty_Per_Batch]*IFERROR(INDEX(PP_Grid[#Data],M_BOM[PPGridRow],19),0))/19.63</f>
        <v/>
      </c>
      <c r="T72">
        <f>SUMPRODUCT((M_BOM[Part Name]=$A72)*M_BOM[RM_Qty_Per_Batch]*IFERROR(INDEX(PP_Grid[#Data],M_BOM[PPGridRow],20),0))/19.63</f>
        <v/>
      </c>
      <c r="U72">
        <f>SUMPRODUCT((M_BOM[Part Name]=$A72)*M_BOM[RM_Qty_Per_Batch]*IFERROR(INDEX(PP_Grid[#Data],M_BOM[PPGridRow],21),0))/19.63</f>
        <v/>
      </c>
      <c r="V72">
        <f>SUMPRODUCT((M_BOM[Part Name]=$A72)*M_BOM[RM_Qty_Per_Batch]*IFERROR(INDEX(PP_Grid[#Data],M_BOM[PPGridRow],22),0))/19.63</f>
        <v/>
      </c>
      <c r="W72">
        <f>SUMPRODUCT((M_BOM[Part Name]=$A72)*M_BOM[RM_Qty_Per_Batch]*IFERROR(INDEX(PP_Grid[#Data],M_BOM[PPGridRow],23),0))/19.63</f>
        <v/>
      </c>
      <c r="X72">
        <f>SUMPRODUCT((M_BOM[Part Name]=$A72)*M_BOM[RM_Qty_Per_Batch]*IFERROR(INDEX(PP_Grid[#Data],M_BOM[PPGridRow],24),0))/19.63</f>
        <v/>
      </c>
      <c r="Y72">
        <f>SUMPRODUCT((M_BOM[Part Name]=$A72)*M_BOM[RM_Qty_Per_Batch]*IFERROR(INDEX(PP_Grid[#Data],M_BOM[PPGridRow],25),0))/19.63</f>
        <v/>
      </c>
      <c r="Z72">
        <f>SUMPRODUCT((M_BOM[Part Name]=$A72)*M_BOM[RM_Qty_Per_Batch]*IFERROR(INDEX(PP_Grid[#Data],M_BOM[PPGridRow],26),0))/19.63</f>
        <v/>
      </c>
      <c r="AA72">
        <f>SUMPRODUCT((M_BOM[Part Name]=$A72)*M_BOM[RM_Qty_Per_Batch]*IFERROR(INDEX(PP_Grid[#Data],M_BOM[PPGridRow],27),0))/19.63</f>
        <v/>
      </c>
      <c r="AB72">
        <f>SUMPRODUCT((M_BOM[Part Name]=$A72)*M_BOM[RM_Qty_Per_Batch]*IFERROR(INDEX(PP_Grid[#Data],M_BOM[PPGridRow],28),0))/19.63</f>
        <v/>
      </c>
      <c r="AC72">
        <f>SUMPRODUCT((M_BOM[Part Name]=$A72)*M_BOM[RM_Qty_Per_Batch]*IFERROR(INDEX(PP_Grid[#Data],M_BOM[PPGridRow],29),0))/19.63</f>
        <v/>
      </c>
      <c r="AD72">
        <f>SUMPRODUCT((M_BOM[Part Name]=$A72)*M_BOM[RM_Qty_Per_Batch]*IFERROR(INDEX(PP_Grid[#Data],M_BOM[PPGridRow],30),0))/19.63</f>
        <v/>
      </c>
      <c r="AE72">
        <f>SUMPRODUCT((M_BOM[Part Name]=$A72)*M_BOM[RM_Qty_Per_Batch]*IFERROR(INDEX(PP_Grid[#Data],M_BOM[PPGridRow],31),0))/19.63</f>
        <v/>
      </c>
      <c r="AF72">
        <f>SUMPRODUCT((M_BOM[Part Name]=$A72)*M_BOM[RM_Qty_Per_Batch]*IFERROR(INDEX(PP_Grid[#Data],M_BOM[PPGridRow],32),0))/19.63</f>
        <v/>
      </c>
      <c r="AG72">
        <f>SUMPRODUCT((M_BOM[Part Name]=$A72)*M_BOM[RM_Qty_Per_Batch]*IFERROR(INDEX(PP_Grid[#Data],M_BOM[PPGridRow],33),0))/19.63</f>
        <v/>
      </c>
      <c r="AH72">
        <f>SUMPRODUCT((M_BOM[Part Name]=$A72)*M_BOM[RM_Qty_Per_Batch]*IFERROR(INDEX(PP_Grid[#Data],M_BOM[PPGridRow],34),0))/19.63</f>
        <v/>
      </c>
      <c r="AI72">
        <f>SUMPRODUCT((M_BOM[Part Name]=$A72)*M_BOM[RM_Qty_Per_Batch]*IFERROR(INDEX(PP_Grid[#Data],M_BOM[PPGridRow],35),0))/19.63</f>
        <v/>
      </c>
      <c r="AJ72">
        <f>SUMPRODUCT((M_BOM[Part Name]=$A72)*M_BOM[RM_Qty_Per_Batch]*IFERROR(INDEX(PP_Grid[#Data],M_BOM[PPGridRow],36),0))/19.63</f>
        <v/>
      </c>
      <c r="AK72">
        <f>SUMPRODUCT((M_BOM[Part Name]=$A72)*M_BOM[RM_Qty_Per_Batch]*IFERROR(INDEX(PP_Grid[#Data],M_BOM[PPGridRow],37),0))/19.63</f>
        <v/>
      </c>
      <c r="AL72">
        <f>SUMPRODUCT((M_BOM[Part Name]=$A72)*M_BOM[RM_Qty_Per_Batch]*IFERROR(INDEX(PP_Grid[#Data],M_BOM[PPGridRow],38),0))/19.63</f>
        <v/>
      </c>
      <c r="AM72">
        <f>SUMPRODUCT((M_BOM[Part Name]=$A72)*M_BOM[RM_Qty_Per_Batch]*IFERROR(INDEX(PP_Grid[#Data],M_BOM[PPGridRow],39),0))/19.63</f>
        <v/>
      </c>
      <c r="AN72">
        <f>SUMPRODUCT((M_BOM[Part Name]=$A72)*M_BOM[RM_Qty_Per_Batch]*IFERROR(INDEX(PP_Grid[#Data],M_BOM[PPGridRow],40),0))/19.63</f>
        <v/>
      </c>
      <c r="AO72">
        <f>SUMPRODUCT((M_BOM[Part Name]=$A72)*M_BOM[RM_Qty_Per_Batch]*IFERROR(INDEX(PP_Grid[#Data],M_BOM[PPGridRow],41),0))/19.63</f>
        <v/>
      </c>
      <c r="AP72">
        <f>SUMPRODUCT((M_BOM[Part Name]=$A72)*M_BOM[RM_Qty_Per_Batch]*IFERROR(INDEX(PP_Grid[#Data],M_BOM[PPGridRow],42),0))/19.63</f>
        <v/>
      </c>
      <c r="AQ72">
        <f>SUMPRODUCT((M_BOM[Part Name]=$A72)*M_BOM[RM_Qty_Per_Batch]*IFERROR(INDEX(PP_Grid[#Data],M_BOM[PPGridRow],43),0))/19.63</f>
        <v/>
      </c>
      <c r="AR72">
        <f>SUMPRODUCT((M_BOM[Part Name]=$A72)*M_BOM[RM_Qty_Per_Batch]*IFERROR(INDEX(PP_Grid[#Data],M_BOM[PPGridRow],44),0))/19.63</f>
        <v/>
      </c>
      <c r="AS72">
        <f>SUMPRODUCT((M_BOM[Part Name]=$A72)*M_BOM[RM_Qty_Per_Batch]*IFERROR(INDEX(PP_Grid[#Data],M_BOM[PPGridRow],45),0))/19.63</f>
        <v/>
      </c>
      <c r="AT72">
        <f>SUMPRODUCT((M_BOM[Part Name]=$A72)*M_BOM[RM_Qty_Per_Batch]*IFERROR(INDEX(PP_Grid[#Data],M_BOM[PPGridRow],46),0))/19.63</f>
        <v/>
      </c>
      <c r="AU72">
        <f>SUMPRODUCT((M_BOM[Part Name]=$A72)*M_BOM[RM_Qty_Per_Batch]*IFERROR(INDEX(PP_Grid[#Data],M_BOM[PPGridRow],47),0))/19.63</f>
        <v/>
      </c>
      <c r="AV72">
        <f>SUMPRODUCT((M_BOM[Part Name]=$A72)*M_BOM[RM_Qty_Per_Batch]*IFERROR(INDEX(PP_Grid[#Data],M_BOM[PPGridRow],48),0))/19.63</f>
        <v/>
      </c>
      <c r="AW72">
        <f>SUMPRODUCT((M_BOM[Part Name]=$A72)*M_BOM[RM_Qty_Per_Batch]*IFERROR(INDEX(PP_Grid[#Data],M_BOM[PPGridRow],49),0))/19.63</f>
        <v/>
      </c>
      <c r="AX72">
        <f>SUMPRODUCT((M_BOM[Part Name]=$A72)*M_BOM[RM_Qty_Per_Batch]*IFERROR(INDEX(PP_Grid[#Data],M_BOM[PPGridRow],50),0))/19.63</f>
        <v/>
      </c>
      <c r="AY72">
        <f>SUMPRODUCT((M_BOM[Part Name]=$A72)*M_BOM[RM_Qty_Per_Batch]*IFERROR(INDEX(PP_Grid[#Data],M_BOM[PPGridRow],51),0))/19.63</f>
        <v/>
      </c>
      <c r="AZ72">
        <f>SUMPRODUCT((M_BOM[Part Name]=$A72)*M_BOM[RM_Qty_Per_Batch]*IFERROR(INDEX(PP_Grid[#Data],M_BOM[PPGridRow],52),0))/19.63</f>
        <v/>
      </c>
      <c r="BA72">
        <f>SUMPRODUCT((M_BOM[Part Name]=$A72)*M_BOM[RM_Qty_Per_Batch]*IFERROR(INDEX(PP_Grid[#Data],M_BOM[PPGridRow],53),0))/19.63</f>
        <v/>
      </c>
      <c r="BB72">
        <f>SUMPRODUCT((M_BOM[Part Name]=$A72)*M_BOM[RM_Qty_Per_Batch]*IFERROR(INDEX(PP_Grid[#Data],M_BOM[PPGridRow],54),0))/19.63</f>
        <v/>
      </c>
      <c r="BC72">
        <f>SUMPRODUCT((M_BOM[Part Name]=$A72)*M_BOM[RM_Qty_Per_Batch]*IFERROR(INDEX(PP_Grid[#Data],M_BOM[PPGridRow],55),0))/19.63</f>
        <v/>
      </c>
      <c r="BD72">
        <f>SUMPRODUCT((M_BOM[Part Name]=$A72)*M_BOM[RM_Qty_Per_Batch]*IFERROR(INDEX(PP_Grid[#Data],M_BOM[PPGridRow],56),0))/19.63</f>
        <v/>
      </c>
      <c r="BE72">
        <f>SUMPRODUCT((M_BOM[Part Name]=$A72)*M_BOM[RM_Qty_Per_Batch]*IFERROR(INDEX(PP_Grid[#Data],M_BOM[PPGridRow],57),0))/19.63</f>
        <v/>
      </c>
      <c r="BF72">
        <f>SUMPRODUCT((M_BOM[Part Name]=$A72)*M_BOM[RM_Qty_Per_Batch]*IFERROR(INDEX(PP_Grid[#Data],M_BOM[PPGridRow],58),0))/19.63</f>
        <v/>
      </c>
      <c r="BG72">
        <f>SUMPRODUCT((M_BOM[Part Name]=$A72)*M_BOM[RM_Qty_Per_Batch]*IFERROR(INDEX(PP_Grid[#Data],M_BOM[PPGridRow],59),0))/19.63</f>
        <v/>
      </c>
      <c r="BH72">
        <f>SUMPRODUCT((M_BOM[Part Name]=$A72)*M_BOM[RM_Qty_Per_Batch]*IFERROR(INDEX(PP_Grid[#Data],M_BOM[PPGridRow],60),0))/19.63</f>
        <v/>
      </c>
      <c r="BI72">
        <f>SUMPRODUCT((M_BOM[Part Name]=$A72)*M_BOM[RM_Qty_Per_Batch]*IFERROR(INDEX(PP_Grid[#Data],M_BOM[PPGridRow],61),0))/19.63</f>
        <v/>
      </c>
      <c r="BJ72">
        <f>SUMPRODUCT((M_BOM[Part Name]=$A72)*M_BOM[RM_Qty_Per_Batch]*IFERROR(INDEX(PP_Grid[#Data],M_BOM[PPGridRow],62),0))/19.63</f>
        <v/>
      </c>
      <c r="BK72">
        <f>SUMPRODUCT((M_BOM[Part Name]=$A72)*M_BOM[RM_Qty_Per_Batch]*IFERROR(INDEX(PP_Grid[#Data],M_BOM[PPGridRow],63),0))/19.63</f>
        <v/>
      </c>
      <c r="BL72">
        <f>SUMPRODUCT((M_BOM[Part Name]=$A72)*M_BOM[RM_Qty_Per_Batch]*IFERROR(INDEX(PP_Grid[#Data],M_BOM[PPGridRow],64),0))/19.63</f>
        <v/>
      </c>
      <c r="BM72">
        <f>SUMPRODUCT((M_BOM[Part Name]=$A72)*M_BOM[RM_Qty_Per_Batch]*IFERROR(INDEX(PP_Grid[#Data],M_BOM[PPGridRow],65),0))/19.63</f>
        <v/>
      </c>
      <c r="BN72">
        <f>SUMPRODUCT((M_BOM[Part Name]=$A72)*M_BOM[RM_Qty_Per_Batch]*IFERROR(INDEX(PP_Grid[#Data],M_BOM[PPGridRow],66),0))/19.63</f>
        <v/>
      </c>
      <c r="BO72">
        <f>SUMPRODUCT((M_BOM[Part Name]=$A72)*M_BOM[RM_Qty_Per_Batch]*IFERROR(INDEX(PP_Grid[#Data],M_BOM[PPGridRow],67),0))/19.63</f>
        <v/>
      </c>
      <c r="BP72">
        <f>SUMPRODUCT((M_BOM[Part Name]=$A72)*M_BOM[RM_Qty_Per_Batch]*IFERROR(INDEX(PP_Grid[#Data],M_BOM[PPGridRow],68),0))/19.63</f>
        <v/>
      </c>
      <c r="BQ72">
        <f>SUMPRODUCT((M_BOM[Part Name]=$A72)*M_BOM[RM_Qty_Per_Batch]*IFERROR(INDEX(PP_Grid[#Data],M_BOM[PPGridRow],69),0))/19.63</f>
        <v/>
      </c>
      <c r="BR72">
        <f>SUMPRODUCT((M_BOM[Part Name]=$A72)*M_BOM[RM_Qty_Per_Batch]*IFERROR(INDEX(PP_Grid[#Data],M_BOM[PPGridRow],70),0))/19.63</f>
        <v/>
      </c>
      <c r="BS72">
        <f>SUMPRODUCT((M_BOM[Part Name]=$A72)*M_BOM[RM_Qty_Per_Batch]*IFERROR(INDEX(PP_Grid[#Data],M_BOM[PPGridRow],71),0))/19.63</f>
        <v/>
      </c>
      <c r="BT72">
        <f>SUMPRODUCT((M_BOM[Part Name]=$A72)*M_BOM[RM_Qty_Per_Batch]*IFERROR(INDEX(PP_Grid[#Data],M_BOM[PPGridRow],72),0))/19.63</f>
        <v/>
      </c>
      <c r="BU72">
        <f>SUMPRODUCT((M_BOM[Part Name]=$A72)*M_BOM[RM_Qty_Per_Batch]*IFERROR(INDEX(PP_Grid[#Data],M_BOM[PPGridRow],73),0))/19.63</f>
        <v/>
      </c>
      <c r="BV72">
        <f>SUMPRODUCT((M_BOM[Part Name]=$A72)*M_BOM[RM_Qty_Per_Batch]*IFERROR(INDEX(PP_Grid[#Data],M_BOM[PPGridRow],74),0))/19.63</f>
        <v/>
      </c>
      <c r="BW72">
        <f>SUMPRODUCT((M_BOM[Part Name]=$A72)*M_BOM[RM_Qty_Per_Batch]*IFERROR(INDEX(PP_Grid[#Data],M_BOM[PPGridRow],75),0))/19.63</f>
        <v/>
      </c>
      <c r="BX72">
        <f>SUMPRODUCT((M_BOM[Part Name]=$A72)*M_BOM[RM_Qty_Per_Batch]*IFERROR(INDEX(PP_Grid[#Data],M_BOM[PPGridRow],76),0))/19.63</f>
        <v/>
      </c>
      <c r="BY72">
        <f>SUMPRODUCT((M_BOM[Part Name]=$A72)*M_BOM[RM_Qty_Per_Batch]*IFERROR(INDEX(PP_Grid[#Data],M_BOM[PPGridRow],77),0))/19.63</f>
        <v/>
      </c>
      <c r="BZ72">
        <f>SUMPRODUCT((M_BOM[Part Name]=$A72)*M_BOM[RM_Qty_Per_Batch]*IFERROR(INDEX(PP_Grid[#Data],M_BOM[PPGridRow],78),0))/19.63</f>
        <v/>
      </c>
      <c r="CA72">
        <f>SUMPRODUCT((M_BOM[Part Name]=$A72)*M_BOM[RM_Qty_Per_Batch]*IFERROR(INDEX(PP_Grid[#Data],M_BOM[PPGridRow],79),0))/19.63</f>
        <v/>
      </c>
      <c r="CB72">
        <f>SUMPRODUCT((M_BOM[Part Name]=$A72)*M_BOM[RM_Qty_Per_Batch]*IFERROR(INDEX(PP_Grid[#Data],M_BOM[PPGridRow],80),0))/19.63</f>
        <v/>
      </c>
      <c r="CC72">
        <f>SUMPRODUCT((M_BOM[Part Name]=$A72)*M_BOM[RM_Qty_Per_Batch]*IFERROR(INDEX(PP_Grid[#Data],M_BOM[PPGridRow],81),0))/19.63</f>
        <v/>
      </c>
      <c r="CD72">
        <f>SUMPRODUCT((M_BOM[Part Name]=$A72)*M_BOM[RM_Qty_Per_Batch]*IFERROR(INDEX(PP_Grid[#Data],M_BOM[PPGridRow],82),0))/19.63</f>
        <v/>
      </c>
      <c r="CE72">
        <f>SUMPRODUCT((M_BOM[Part Name]=$A72)*M_BOM[RM_Qty_Per_Batch]*IFERROR(INDEX(PP_Grid[#Data],M_BOM[PPGridRow],83),0))/19.63</f>
        <v/>
      </c>
      <c r="CF72">
        <f>SUMPRODUCT((M_BOM[Part Name]=$A72)*M_BOM[RM_Qty_Per_Batch]*IFERROR(INDEX(PP_Grid[#Data],M_BOM[PPGridRow],84),0))/19.63</f>
        <v/>
      </c>
      <c r="CG72">
        <f>SUMPRODUCT((M_BOM[Part Name]=$A72)*M_BOM[RM_Qty_Per_Batch]*IFERROR(INDEX(PP_Grid[#Data],M_BOM[PPGridRow],85),0))/19.63</f>
        <v/>
      </c>
      <c r="CH72">
        <f>SUMPRODUCT((M_BOM[Part Name]=$A72)*M_BOM[RM_Qty_Per_Batch]*IFERROR(INDEX(PP_Grid[#Data],M_BOM[PPGridRow],86),0))/19.63</f>
        <v/>
      </c>
      <c r="CI72">
        <f>SUMPRODUCT((M_BOM[Part Name]=$A72)*M_BOM[RM_Qty_Per_Batch]*IFERROR(INDEX(PP_Grid[#Data],M_BOM[PPGridRow],87),0))/19.63</f>
        <v/>
      </c>
      <c r="CJ72">
        <f>SUMPRODUCT((M_BOM[Part Name]=$A72)*M_BOM[RM_Qty_Per_Batch]*IFERROR(INDEX(PP_Grid[#Data],M_BOM[PPGridRow],88),0))/19.63</f>
        <v/>
      </c>
      <c r="CK72">
        <f>SUMPRODUCT((M_BOM[Part Name]=$A72)*M_BOM[RM_Qty_Per_Batch]*IFERROR(INDEX(PP_Grid[#Data],M_BOM[PPGridRow],89),0))/19.63</f>
        <v/>
      </c>
      <c r="CL72">
        <f>SUMPRODUCT((M_BOM[Part Name]=$A72)*M_BOM[RM_Qty_Per_Batch]*IFERROR(INDEX(PP_Grid[#Data],M_BOM[PPGridRow],90),0))/19.63</f>
        <v/>
      </c>
      <c r="CM72">
        <f>SUMPRODUCT((M_BOM[Part Name]=$A72)*M_BOM[RM_Qty_Per_Batch]*IFERROR(INDEX(PP_Grid[#Data],M_BOM[PPGridRow],91),0))/19.63</f>
        <v/>
      </c>
      <c r="CN72">
        <f>SUMPRODUCT((M_BOM[Part Name]=$A72)*M_BOM[RM_Qty_Per_Batch]*IFERROR(INDEX(PP_Grid[#Data],M_BOM[PPGridRow],92),0))/19.63</f>
        <v/>
      </c>
      <c r="CO72">
        <f>SUMPRODUCT((M_BOM[Part Name]=$A72)*M_BOM[RM_Qty_Per_Batch]*IFERROR(INDEX(PP_Grid[#Data],M_BOM[PPGridRow],93),0))/19.63</f>
        <v/>
      </c>
      <c r="CP72">
        <f>SUMPRODUCT((M_BOM[Part Name]=$A72)*M_BOM[RM_Qty_Per_Batch]*IFERROR(INDEX(PP_Grid[#Data],M_BOM[PPGridRow],94),0))/19.63</f>
        <v/>
      </c>
      <c r="CQ72">
        <f>SUMPRODUCT((M_BOM[Part Name]=$A72)*M_BOM[RM_Qty_Per_Batch]*IFERROR(INDEX(PP_Grid[#Data],M_BOM[PPGridRow],95),0))/19.63</f>
        <v/>
      </c>
      <c r="CR72">
        <f>SUMPRODUCT((M_BOM[Part Name]=$A72)*M_BOM[RM_Qty_Per_Batch]*IFERROR(INDEX(PP_Grid[#Data],M_BOM[PPGridRow],96),0))/19.63</f>
        <v/>
      </c>
      <c r="CS72">
        <f>SUMPRODUCT((M_BOM[Part Name]=$A72)*M_BOM[RM_Qty_Per_Batch]*IFERROR(INDEX(PP_Grid[#Data],M_BOM[PPGridRow],97),0))/19.63</f>
        <v/>
      </c>
      <c r="CT72">
        <f>SUMPRODUCT((M_BOM[Part Name]=$A72)*M_BOM[RM_Qty_Per_Batch]*IFERROR(INDEX(PP_Grid[#Data],M_BOM[PPGridRow],98),0))/19.63</f>
        <v/>
      </c>
      <c r="CU72">
        <f>SUMPRODUCT((M_BOM[Part Name]=$A72)*M_BOM[RM_Qty_Per_Batch]*IFERROR(INDEX(PP_Grid[#Data],M_BOM[PPGridRow],99),0))/19.63</f>
        <v/>
      </c>
      <c r="CV72">
        <f>SUMPRODUCT((M_BOM[Part Name]=$A72)*M_BOM[RM_Qty_Per_Batch]*IFERROR(INDEX(PP_Grid[#Data],M_BOM[PPGridRow],100),0))/19.63</f>
        <v/>
      </c>
      <c r="CW72">
        <f>SUMPRODUCT((M_BOM[Part Name]=$A72)*M_BOM[RM_Qty_Per_Batch]*IFERROR(INDEX(PP_Grid[#Data],M_BOM[PPGridRow],101),0))/19.63</f>
        <v/>
      </c>
      <c r="CX72">
        <f>SUMPRODUCT((M_BOM[Part Name]=$A72)*M_BOM[RM_Qty_Per_Batch]*IFERROR(INDEX(PP_Grid[#Data],M_BOM[PPGridRow],102),0))/19.63</f>
        <v/>
      </c>
      <c r="CY72">
        <f>SUMPRODUCT((M_BOM[Part Name]=$A72)*M_BOM[RM_Qty_Per_Batch]*IFERROR(INDEX(PP_Grid[#Data],M_BOM[PPGridRow],103),0))/19.63</f>
        <v/>
      </c>
      <c r="CZ72">
        <f>SUMPRODUCT((M_BOM[Part Name]=$A72)*M_BOM[RM_Qty_Per_Batch]*IFERROR(INDEX(PP_Grid[#Data],M_BOM[PPGridRow],104),0))/19.63</f>
        <v/>
      </c>
      <c r="DA72">
        <f>SUMPRODUCT((M_BOM[Part Name]=$A72)*M_BOM[RM_Qty_Per_Batch]*IFERROR(INDEX(PP_Grid[#Data],M_BOM[PPGridRow],105),0))/19.63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Name]=$A73)*M_BOM[RM_Qty_Per_Batch]*IFERROR(INDEX(PP_Grid[#Data],M_BOM[PPGridRow],2),0))/64.4</f>
        <v/>
      </c>
      <c r="C73">
        <f>SUMPRODUCT((M_BOM[Part Name]=$A73)*M_BOM[RM_Qty_Per_Batch]*IFERROR(INDEX(PP_Grid[#Data],M_BOM[PPGridRow],3),0))/64.4</f>
        <v/>
      </c>
      <c r="D73">
        <f>SUMPRODUCT((M_BOM[Part Name]=$A73)*M_BOM[RM_Qty_Per_Batch]*IFERROR(INDEX(PP_Grid[#Data],M_BOM[PPGridRow],4),0))/64.4</f>
        <v/>
      </c>
      <c r="E73">
        <f>SUMPRODUCT((M_BOM[Part Name]=$A73)*M_BOM[RM_Qty_Per_Batch]*IFERROR(INDEX(PP_Grid[#Data],M_BOM[PPGridRow],5),0))/64.4</f>
        <v/>
      </c>
      <c r="F73">
        <f>SUMPRODUCT((M_BOM[Part Name]=$A73)*M_BOM[RM_Qty_Per_Batch]*IFERROR(INDEX(PP_Grid[#Data],M_BOM[PPGridRow],6),0))/64.4</f>
        <v/>
      </c>
      <c r="G73">
        <f>SUMPRODUCT((M_BOM[Part Name]=$A73)*M_BOM[RM_Qty_Per_Batch]*IFERROR(INDEX(PP_Grid[#Data],M_BOM[PPGridRow],7),0))/64.4</f>
        <v/>
      </c>
      <c r="H73">
        <f>SUMPRODUCT((M_BOM[Part Name]=$A73)*M_BOM[RM_Qty_Per_Batch]*IFERROR(INDEX(PP_Grid[#Data],M_BOM[PPGridRow],8),0))/64.4</f>
        <v/>
      </c>
      <c r="I73">
        <f>SUMPRODUCT((M_BOM[Part Name]=$A73)*M_BOM[RM_Qty_Per_Batch]*IFERROR(INDEX(PP_Grid[#Data],M_BOM[PPGridRow],9),0))/64.4</f>
        <v/>
      </c>
      <c r="J73">
        <f>SUMPRODUCT((M_BOM[Part Name]=$A73)*M_BOM[RM_Qty_Per_Batch]*IFERROR(INDEX(PP_Grid[#Data],M_BOM[PPGridRow],10),0))/64.4</f>
        <v/>
      </c>
      <c r="K73">
        <f>SUMPRODUCT((M_BOM[Part Name]=$A73)*M_BOM[RM_Qty_Per_Batch]*IFERROR(INDEX(PP_Grid[#Data],M_BOM[PPGridRow],11),0))/64.4</f>
        <v/>
      </c>
      <c r="L73">
        <f>SUMPRODUCT((M_BOM[Part Name]=$A73)*M_BOM[RM_Qty_Per_Batch]*IFERROR(INDEX(PP_Grid[#Data],M_BOM[PPGridRow],12),0))/64.4</f>
        <v/>
      </c>
      <c r="M73">
        <f>SUMPRODUCT((M_BOM[Part Name]=$A73)*M_BOM[RM_Qty_Per_Batch]*IFERROR(INDEX(PP_Grid[#Data],M_BOM[PPGridRow],13),0))/64.4</f>
        <v/>
      </c>
      <c r="N73">
        <f>SUMPRODUCT((M_BOM[Part Name]=$A73)*M_BOM[RM_Qty_Per_Batch]*IFERROR(INDEX(PP_Grid[#Data],M_BOM[PPGridRow],14),0))/64.4</f>
        <v/>
      </c>
      <c r="O73">
        <f>SUMPRODUCT((M_BOM[Part Name]=$A73)*M_BOM[RM_Qty_Per_Batch]*IFERROR(INDEX(PP_Grid[#Data],M_BOM[PPGridRow],15),0))/64.4</f>
        <v/>
      </c>
      <c r="P73">
        <f>SUMPRODUCT((M_BOM[Part Name]=$A73)*M_BOM[RM_Qty_Per_Batch]*IFERROR(INDEX(PP_Grid[#Data],M_BOM[PPGridRow],16),0))/64.4</f>
        <v/>
      </c>
      <c r="Q73">
        <f>SUMPRODUCT((M_BOM[Part Name]=$A73)*M_BOM[RM_Qty_Per_Batch]*IFERROR(INDEX(PP_Grid[#Data],M_BOM[PPGridRow],17),0))/64.4</f>
        <v/>
      </c>
      <c r="R73">
        <f>SUMPRODUCT((M_BOM[Part Name]=$A73)*M_BOM[RM_Qty_Per_Batch]*IFERROR(INDEX(PP_Grid[#Data],M_BOM[PPGridRow],18),0))/64.4</f>
        <v/>
      </c>
      <c r="S73">
        <f>SUMPRODUCT((M_BOM[Part Name]=$A73)*M_BOM[RM_Qty_Per_Batch]*IFERROR(INDEX(PP_Grid[#Data],M_BOM[PPGridRow],19),0))/64.4</f>
        <v/>
      </c>
      <c r="T73">
        <f>SUMPRODUCT((M_BOM[Part Name]=$A73)*M_BOM[RM_Qty_Per_Batch]*IFERROR(INDEX(PP_Grid[#Data],M_BOM[PPGridRow],20),0))/64.4</f>
        <v/>
      </c>
      <c r="U73">
        <f>SUMPRODUCT((M_BOM[Part Name]=$A73)*M_BOM[RM_Qty_Per_Batch]*IFERROR(INDEX(PP_Grid[#Data],M_BOM[PPGridRow],21),0))/64.4</f>
        <v/>
      </c>
      <c r="V73">
        <f>SUMPRODUCT((M_BOM[Part Name]=$A73)*M_BOM[RM_Qty_Per_Batch]*IFERROR(INDEX(PP_Grid[#Data],M_BOM[PPGridRow],22),0))/64.4</f>
        <v/>
      </c>
      <c r="W73">
        <f>SUMPRODUCT((M_BOM[Part Name]=$A73)*M_BOM[RM_Qty_Per_Batch]*IFERROR(INDEX(PP_Grid[#Data],M_BOM[PPGridRow],23),0))/64.4</f>
        <v/>
      </c>
      <c r="X73">
        <f>SUMPRODUCT((M_BOM[Part Name]=$A73)*M_BOM[RM_Qty_Per_Batch]*IFERROR(INDEX(PP_Grid[#Data],M_BOM[PPGridRow],24),0))/64.4</f>
        <v/>
      </c>
      <c r="Y73">
        <f>SUMPRODUCT((M_BOM[Part Name]=$A73)*M_BOM[RM_Qty_Per_Batch]*IFERROR(INDEX(PP_Grid[#Data],M_BOM[PPGridRow],25),0))/64.4</f>
        <v/>
      </c>
      <c r="Z73">
        <f>SUMPRODUCT((M_BOM[Part Name]=$A73)*M_BOM[RM_Qty_Per_Batch]*IFERROR(INDEX(PP_Grid[#Data],M_BOM[PPGridRow],26),0))/64.4</f>
        <v/>
      </c>
      <c r="AA73">
        <f>SUMPRODUCT((M_BOM[Part Name]=$A73)*M_BOM[RM_Qty_Per_Batch]*IFERROR(INDEX(PP_Grid[#Data],M_BOM[PPGridRow],27),0))/64.4</f>
        <v/>
      </c>
      <c r="AB73">
        <f>SUMPRODUCT((M_BOM[Part Name]=$A73)*M_BOM[RM_Qty_Per_Batch]*IFERROR(INDEX(PP_Grid[#Data],M_BOM[PPGridRow],28),0))/64.4</f>
        <v/>
      </c>
      <c r="AC73">
        <f>SUMPRODUCT((M_BOM[Part Name]=$A73)*M_BOM[RM_Qty_Per_Batch]*IFERROR(INDEX(PP_Grid[#Data],M_BOM[PPGridRow],29),0))/64.4</f>
        <v/>
      </c>
      <c r="AD73">
        <f>SUMPRODUCT((M_BOM[Part Name]=$A73)*M_BOM[RM_Qty_Per_Batch]*IFERROR(INDEX(PP_Grid[#Data],M_BOM[PPGridRow],30),0))/64.4</f>
        <v/>
      </c>
      <c r="AE73">
        <f>SUMPRODUCT((M_BOM[Part Name]=$A73)*M_BOM[RM_Qty_Per_Batch]*IFERROR(INDEX(PP_Grid[#Data],M_BOM[PPGridRow],31),0))/64.4</f>
        <v/>
      </c>
      <c r="AF73">
        <f>SUMPRODUCT((M_BOM[Part Name]=$A73)*M_BOM[RM_Qty_Per_Batch]*IFERROR(INDEX(PP_Grid[#Data],M_BOM[PPGridRow],32),0))/64.4</f>
        <v/>
      </c>
      <c r="AG73">
        <f>SUMPRODUCT((M_BOM[Part Name]=$A73)*M_BOM[RM_Qty_Per_Batch]*IFERROR(INDEX(PP_Grid[#Data],M_BOM[PPGridRow],33),0))/64.4</f>
        <v/>
      </c>
      <c r="AH73">
        <f>SUMPRODUCT((M_BOM[Part Name]=$A73)*M_BOM[RM_Qty_Per_Batch]*IFERROR(INDEX(PP_Grid[#Data],M_BOM[PPGridRow],34),0))/64.4</f>
        <v/>
      </c>
      <c r="AI73">
        <f>SUMPRODUCT((M_BOM[Part Name]=$A73)*M_BOM[RM_Qty_Per_Batch]*IFERROR(INDEX(PP_Grid[#Data],M_BOM[PPGridRow],35),0))/64.4</f>
        <v/>
      </c>
      <c r="AJ73">
        <f>SUMPRODUCT((M_BOM[Part Name]=$A73)*M_BOM[RM_Qty_Per_Batch]*IFERROR(INDEX(PP_Grid[#Data],M_BOM[PPGridRow],36),0))/64.4</f>
        <v/>
      </c>
      <c r="AK73">
        <f>SUMPRODUCT((M_BOM[Part Name]=$A73)*M_BOM[RM_Qty_Per_Batch]*IFERROR(INDEX(PP_Grid[#Data],M_BOM[PPGridRow],37),0))/64.4</f>
        <v/>
      </c>
      <c r="AL73">
        <f>SUMPRODUCT((M_BOM[Part Name]=$A73)*M_BOM[RM_Qty_Per_Batch]*IFERROR(INDEX(PP_Grid[#Data],M_BOM[PPGridRow],38),0))/64.4</f>
        <v/>
      </c>
      <c r="AM73">
        <f>SUMPRODUCT((M_BOM[Part Name]=$A73)*M_BOM[RM_Qty_Per_Batch]*IFERROR(INDEX(PP_Grid[#Data],M_BOM[PPGridRow],39),0))/64.4</f>
        <v/>
      </c>
      <c r="AN73">
        <f>SUMPRODUCT((M_BOM[Part Name]=$A73)*M_BOM[RM_Qty_Per_Batch]*IFERROR(INDEX(PP_Grid[#Data],M_BOM[PPGridRow],40),0))/64.4</f>
        <v/>
      </c>
      <c r="AO73">
        <f>SUMPRODUCT((M_BOM[Part Name]=$A73)*M_BOM[RM_Qty_Per_Batch]*IFERROR(INDEX(PP_Grid[#Data],M_BOM[PPGridRow],41),0))/64.4</f>
        <v/>
      </c>
      <c r="AP73">
        <f>SUMPRODUCT((M_BOM[Part Name]=$A73)*M_BOM[RM_Qty_Per_Batch]*IFERROR(INDEX(PP_Grid[#Data],M_BOM[PPGridRow],42),0))/64.4</f>
        <v/>
      </c>
      <c r="AQ73">
        <f>SUMPRODUCT((M_BOM[Part Name]=$A73)*M_BOM[RM_Qty_Per_Batch]*IFERROR(INDEX(PP_Grid[#Data],M_BOM[PPGridRow],43),0))/64.4</f>
        <v/>
      </c>
      <c r="AR73">
        <f>SUMPRODUCT((M_BOM[Part Name]=$A73)*M_BOM[RM_Qty_Per_Batch]*IFERROR(INDEX(PP_Grid[#Data],M_BOM[PPGridRow],44),0))/64.4</f>
        <v/>
      </c>
      <c r="AS73">
        <f>SUMPRODUCT((M_BOM[Part Name]=$A73)*M_BOM[RM_Qty_Per_Batch]*IFERROR(INDEX(PP_Grid[#Data],M_BOM[PPGridRow],45),0))/64.4</f>
        <v/>
      </c>
      <c r="AT73">
        <f>SUMPRODUCT((M_BOM[Part Name]=$A73)*M_BOM[RM_Qty_Per_Batch]*IFERROR(INDEX(PP_Grid[#Data],M_BOM[PPGridRow],46),0))/64.4</f>
        <v/>
      </c>
      <c r="AU73">
        <f>SUMPRODUCT((M_BOM[Part Name]=$A73)*M_BOM[RM_Qty_Per_Batch]*IFERROR(INDEX(PP_Grid[#Data],M_BOM[PPGridRow],47),0))/64.4</f>
        <v/>
      </c>
      <c r="AV73">
        <f>SUMPRODUCT((M_BOM[Part Name]=$A73)*M_BOM[RM_Qty_Per_Batch]*IFERROR(INDEX(PP_Grid[#Data],M_BOM[PPGridRow],48),0))/64.4</f>
        <v/>
      </c>
      <c r="AW73">
        <f>SUMPRODUCT((M_BOM[Part Name]=$A73)*M_BOM[RM_Qty_Per_Batch]*IFERROR(INDEX(PP_Grid[#Data],M_BOM[PPGridRow],49),0))/64.4</f>
        <v/>
      </c>
      <c r="AX73">
        <f>SUMPRODUCT((M_BOM[Part Name]=$A73)*M_BOM[RM_Qty_Per_Batch]*IFERROR(INDEX(PP_Grid[#Data],M_BOM[PPGridRow],50),0))/64.4</f>
        <v/>
      </c>
      <c r="AY73">
        <f>SUMPRODUCT((M_BOM[Part Name]=$A73)*M_BOM[RM_Qty_Per_Batch]*IFERROR(INDEX(PP_Grid[#Data],M_BOM[PPGridRow],51),0))/64.4</f>
        <v/>
      </c>
      <c r="AZ73">
        <f>SUMPRODUCT((M_BOM[Part Name]=$A73)*M_BOM[RM_Qty_Per_Batch]*IFERROR(INDEX(PP_Grid[#Data],M_BOM[PPGridRow],52),0))/64.4</f>
        <v/>
      </c>
      <c r="BA73">
        <f>SUMPRODUCT((M_BOM[Part Name]=$A73)*M_BOM[RM_Qty_Per_Batch]*IFERROR(INDEX(PP_Grid[#Data],M_BOM[PPGridRow],53),0))/64.4</f>
        <v/>
      </c>
      <c r="BB73">
        <f>SUMPRODUCT((M_BOM[Part Name]=$A73)*M_BOM[RM_Qty_Per_Batch]*IFERROR(INDEX(PP_Grid[#Data],M_BOM[PPGridRow],54),0))/64.4</f>
        <v/>
      </c>
      <c r="BC73">
        <f>SUMPRODUCT((M_BOM[Part Name]=$A73)*M_BOM[RM_Qty_Per_Batch]*IFERROR(INDEX(PP_Grid[#Data],M_BOM[PPGridRow],55),0))/64.4</f>
        <v/>
      </c>
      <c r="BD73">
        <f>SUMPRODUCT((M_BOM[Part Name]=$A73)*M_BOM[RM_Qty_Per_Batch]*IFERROR(INDEX(PP_Grid[#Data],M_BOM[PPGridRow],56),0))/64.4</f>
        <v/>
      </c>
      <c r="BE73">
        <f>SUMPRODUCT((M_BOM[Part Name]=$A73)*M_BOM[RM_Qty_Per_Batch]*IFERROR(INDEX(PP_Grid[#Data],M_BOM[PPGridRow],57),0))/64.4</f>
        <v/>
      </c>
      <c r="BF73">
        <f>SUMPRODUCT((M_BOM[Part Name]=$A73)*M_BOM[RM_Qty_Per_Batch]*IFERROR(INDEX(PP_Grid[#Data],M_BOM[PPGridRow],58),0))/64.4</f>
        <v/>
      </c>
      <c r="BG73">
        <f>SUMPRODUCT((M_BOM[Part Name]=$A73)*M_BOM[RM_Qty_Per_Batch]*IFERROR(INDEX(PP_Grid[#Data],M_BOM[PPGridRow],59),0))/64.4</f>
        <v/>
      </c>
      <c r="BH73">
        <f>SUMPRODUCT((M_BOM[Part Name]=$A73)*M_BOM[RM_Qty_Per_Batch]*IFERROR(INDEX(PP_Grid[#Data],M_BOM[PPGridRow],60),0))/64.4</f>
        <v/>
      </c>
      <c r="BI73">
        <f>SUMPRODUCT((M_BOM[Part Name]=$A73)*M_BOM[RM_Qty_Per_Batch]*IFERROR(INDEX(PP_Grid[#Data],M_BOM[PPGridRow],61),0))/64.4</f>
        <v/>
      </c>
      <c r="BJ73">
        <f>SUMPRODUCT((M_BOM[Part Name]=$A73)*M_BOM[RM_Qty_Per_Batch]*IFERROR(INDEX(PP_Grid[#Data],M_BOM[PPGridRow],62),0))/64.4</f>
        <v/>
      </c>
      <c r="BK73">
        <f>SUMPRODUCT((M_BOM[Part Name]=$A73)*M_BOM[RM_Qty_Per_Batch]*IFERROR(INDEX(PP_Grid[#Data],M_BOM[PPGridRow],63),0))/64.4</f>
        <v/>
      </c>
      <c r="BL73">
        <f>SUMPRODUCT((M_BOM[Part Name]=$A73)*M_BOM[RM_Qty_Per_Batch]*IFERROR(INDEX(PP_Grid[#Data],M_BOM[PPGridRow],64),0))/64.4</f>
        <v/>
      </c>
      <c r="BM73">
        <f>SUMPRODUCT((M_BOM[Part Name]=$A73)*M_BOM[RM_Qty_Per_Batch]*IFERROR(INDEX(PP_Grid[#Data],M_BOM[PPGridRow],65),0))/64.4</f>
        <v/>
      </c>
      <c r="BN73">
        <f>SUMPRODUCT((M_BOM[Part Name]=$A73)*M_BOM[RM_Qty_Per_Batch]*IFERROR(INDEX(PP_Grid[#Data],M_BOM[PPGridRow],66),0))/64.4</f>
        <v/>
      </c>
      <c r="BO73">
        <f>SUMPRODUCT((M_BOM[Part Name]=$A73)*M_BOM[RM_Qty_Per_Batch]*IFERROR(INDEX(PP_Grid[#Data],M_BOM[PPGridRow],67),0))/64.4</f>
        <v/>
      </c>
      <c r="BP73">
        <f>SUMPRODUCT((M_BOM[Part Name]=$A73)*M_BOM[RM_Qty_Per_Batch]*IFERROR(INDEX(PP_Grid[#Data],M_BOM[PPGridRow],68),0))/64.4</f>
        <v/>
      </c>
      <c r="BQ73">
        <f>SUMPRODUCT((M_BOM[Part Name]=$A73)*M_BOM[RM_Qty_Per_Batch]*IFERROR(INDEX(PP_Grid[#Data],M_BOM[PPGridRow],69),0))/64.4</f>
        <v/>
      </c>
      <c r="BR73">
        <f>SUMPRODUCT((M_BOM[Part Name]=$A73)*M_BOM[RM_Qty_Per_Batch]*IFERROR(INDEX(PP_Grid[#Data],M_BOM[PPGridRow],70),0))/64.4</f>
        <v/>
      </c>
      <c r="BS73">
        <f>SUMPRODUCT((M_BOM[Part Name]=$A73)*M_BOM[RM_Qty_Per_Batch]*IFERROR(INDEX(PP_Grid[#Data],M_BOM[PPGridRow],71),0))/64.4</f>
        <v/>
      </c>
      <c r="BT73">
        <f>SUMPRODUCT((M_BOM[Part Name]=$A73)*M_BOM[RM_Qty_Per_Batch]*IFERROR(INDEX(PP_Grid[#Data],M_BOM[PPGridRow],72),0))/64.4</f>
        <v/>
      </c>
      <c r="BU73">
        <f>SUMPRODUCT((M_BOM[Part Name]=$A73)*M_BOM[RM_Qty_Per_Batch]*IFERROR(INDEX(PP_Grid[#Data],M_BOM[PPGridRow],73),0))/64.4</f>
        <v/>
      </c>
      <c r="BV73">
        <f>SUMPRODUCT((M_BOM[Part Name]=$A73)*M_BOM[RM_Qty_Per_Batch]*IFERROR(INDEX(PP_Grid[#Data],M_BOM[PPGridRow],74),0))/64.4</f>
        <v/>
      </c>
      <c r="BW73">
        <f>SUMPRODUCT((M_BOM[Part Name]=$A73)*M_BOM[RM_Qty_Per_Batch]*IFERROR(INDEX(PP_Grid[#Data],M_BOM[PPGridRow],75),0))/64.4</f>
        <v/>
      </c>
      <c r="BX73">
        <f>SUMPRODUCT((M_BOM[Part Name]=$A73)*M_BOM[RM_Qty_Per_Batch]*IFERROR(INDEX(PP_Grid[#Data],M_BOM[PPGridRow],76),0))/64.4</f>
        <v/>
      </c>
      <c r="BY73">
        <f>SUMPRODUCT((M_BOM[Part Name]=$A73)*M_BOM[RM_Qty_Per_Batch]*IFERROR(INDEX(PP_Grid[#Data],M_BOM[PPGridRow],77),0))/64.4</f>
        <v/>
      </c>
      <c r="BZ73">
        <f>SUMPRODUCT((M_BOM[Part Name]=$A73)*M_BOM[RM_Qty_Per_Batch]*IFERROR(INDEX(PP_Grid[#Data],M_BOM[PPGridRow],78),0))/64.4</f>
        <v/>
      </c>
      <c r="CA73">
        <f>SUMPRODUCT((M_BOM[Part Name]=$A73)*M_BOM[RM_Qty_Per_Batch]*IFERROR(INDEX(PP_Grid[#Data],M_BOM[PPGridRow],79),0))/64.4</f>
        <v/>
      </c>
      <c r="CB73">
        <f>SUMPRODUCT((M_BOM[Part Name]=$A73)*M_BOM[RM_Qty_Per_Batch]*IFERROR(INDEX(PP_Grid[#Data],M_BOM[PPGridRow],80),0))/64.4</f>
        <v/>
      </c>
      <c r="CC73">
        <f>SUMPRODUCT((M_BOM[Part Name]=$A73)*M_BOM[RM_Qty_Per_Batch]*IFERROR(INDEX(PP_Grid[#Data],M_BOM[PPGridRow],81),0))/64.4</f>
        <v/>
      </c>
      <c r="CD73">
        <f>SUMPRODUCT((M_BOM[Part Name]=$A73)*M_BOM[RM_Qty_Per_Batch]*IFERROR(INDEX(PP_Grid[#Data],M_BOM[PPGridRow],82),0))/64.4</f>
        <v/>
      </c>
      <c r="CE73">
        <f>SUMPRODUCT((M_BOM[Part Name]=$A73)*M_BOM[RM_Qty_Per_Batch]*IFERROR(INDEX(PP_Grid[#Data],M_BOM[PPGridRow],83),0))/64.4</f>
        <v/>
      </c>
      <c r="CF73">
        <f>SUMPRODUCT((M_BOM[Part Name]=$A73)*M_BOM[RM_Qty_Per_Batch]*IFERROR(INDEX(PP_Grid[#Data],M_BOM[PPGridRow],84),0))/64.4</f>
        <v/>
      </c>
      <c r="CG73">
        <f>SUMPRODUCT((M_BOM[Part Name]=$A73)*M_BOM[RM_Qty_Per_Batch]*IFERROR(INDEX(PP_Grid[#Data],M_BOM[PPGridRow],85),0))/64.4</f>
        <v/>
      </c>
      <c r="CH73">
        <f>SUMPRODUCT((M_BOM[Part Name]=$A73)*M_BOM[RM_Qty_Per_Batch]*IFERROR(INDEX(PP_Grid[#Data],M_BOM[PPGridRow],86),0))/64.4</f>
        <v/>
      </c>
      <c r="CI73">
        <f>SUMPRODUCT((M_BOM[Part Name]=$A73)*M_BOM[RM_Qty_Per_Batch]*IFERROR(INDEX(PP_Grid[#Data],M_BOM[PPGridRow],87),0))/64.4</f>
        <v/>
      </c>
      <c r="CJ73">
        <f>SUMPRODUCT((M_BOM[Part Name]=$A73)*M_BOM[RM_Qty_Per_Batch]*IFERROR(INDEX(PP_Grid[#Data],M_BOM[PPGridRow],88),0))/64.4</f>
        <v/>
      </c>
      <c r="CK73">
        <f>SUMPRODUCT((M_BOM[Part Name]=$A73)*M_BOM[RM_Qty_Per_Batch]*IFERROR(INDEX(PP_Grid[#Data],M_BOM[PPGridRow],89),0))/64.4</f>
        <v/>
      </c>
      <c r="CL73">
        <f>SUMPRODUCT((M_BOM[Part Name]=$A73)*M_BOM[RM_Qty_Per_Batch]*IFERROR(INDEX(PP_Grid[#Data],M_BOM[PPGridRow],90),0))/64.4</f>
        <v/>
      </c>
      <c r="CM73">
        <f>SUMPRODUCT((M_BOM[Part Name]=$A73)*M_BOM[RM_Qty_Per_Batch]*IFERROR(INDEX(PP_Grid[#Data],M_BOM[PPGridRow],91),0))/64.4</f>
        <v/>
      </c>
      <c r="CN73">
        <f>SUMPRODUCT((M_BOM[Part Name]=$A73)*M_BOM[RM_Qty_Per_Batch]*IFERROR(INDEX(PP_Grid[#Data],M_BOM[PPGridRow],92),0))/64.4</f>
        <v/>
      </c>
      <c r="CO73">
        <f>SUMPRODUCT((M_BOM[Part Name]=$A73)*M_BOM[RM_Qty_Per_Batch]*IFERROR(INDEX(PP_Grid[#Data],M_BOM[PPGridRow],93),0))/64.4</f>
        <v/>
      </c>
      <c r="CP73">
        <f>SUMPRODUCT((M_BOM[Part Name]=$A73)*M_BOM[RM_Qty_Per_Batch]*IFERROR(INDEX(PP_Grid[#Data],M_BOM[PPGridRow],94),0))/64.4</f>
        <v/>
      </c>
      <c r="CQ73">
        <f>SUMPRODUCT((M_BOM[Part Name]=$A73)*M_BOM[RM_Qty_Per_Batch]*IFERROR(INDEX(PP_Grid[#Data],M_BOM[PPGridRow],95),0))/64.4</f>
        <v/>
      </c>
      <c r="CR73">
        <f>SUMPRODUCT((M_BOM[Part Name]=$A73)*M_BOM[RM_Qty_Per_Batch]*IFERROR(INDEX(PP_Grid[#Data],M_BOM[PPGridRow],96),0))/64.4</f>
        <v/>
      </c>
      <c r="CS73">
        <f>SUMPRODUCT((M_BOM[Part Name]=$A73)*M_BOM[RM_Qty_Per_Batch]*IFERROR(INDEX(PP_Grid[#Data],M_BOM[PPGridRow],97),0))/64.4</f>
        <v/>
      </c>
      <c r="CT73">
        <f>SUMPRODUCT((M_BOM[Part Name]=$A73)*M_BOM[RM_Qty_Per_Batch]*IFERROR(INDEX(PP_Grid[#Data],M_BOM[PPGridRow],98),0))/64.4</f>
        <v/>
      </c>
      <c r="CU73">
        <f>SUMPRODUCT((M_BOM[Part Name]=$A73)*M_BOM[RM_Qty_Per_Batch]*IFERROR(INDEX(PP_Grid[#Data],M_BOM[PPGridRow],99),0))/64.4</f>
        <v/>
      </c>
      <c r="CV73">
        <f>SUMPRODUCT((M_BOM[Part Name]=$A73)*M_BOM[RM_Qty_Per_Batch]*IFERROR(INDEX(PP_Grid[#Data],M_BOM[PPGridRow],100),0))/64.4</f>
        <v/>
      </c>
      <c r="CW73">
        <f>SUMPRODUCT((M_BOM[Part Name]=$A73)*M_BOM[RM_Qty_Per_Batch]*IFERROR(INDEX(PP_Grid[#Data],M_BOM[PPGridRow],101),0))/64.4</f>
        <v/>
      </c>
      <c r="CX73">
        <f>SUMPRODUCT((M_BOM[Part Name]=$A73)*M_BOM[RM_Qty_Per_Batch]*IFERROR(INDEX(PP_Grid[#Data],M_BOM[PPGridRow],102),0))/64.4</f>
        <v/>
      </c>
      <c r="CY73">
        <f>SUMPRODUCT((M_BOM[Part Name]=$A73)*M_BOM[RM_Qty_Per_Batch]*IFERROR(INDEX(PP_Grid[#Data],M_BOM[PPGridRow],103),0))/64.4</f>
        <v/>
      </c>
      <c r="CZ73">
        <f>SUMPRODUCT((M_BOM[Part Name]=$A73)*M_BOM[RM_Qty_Per_Batch]*IFERROR(INDEX(PP_Grid[#Data],M_BOM[PPGridRow],104),0))/64.4</f>
        <v/>
      </c>
      <c r="DA73">
        <f>SUMPRODUCT((M_BOM[Part Name]=$A73)*M_BOM[RM_Qty_Per_Batch]*IFERROR(INDEX(PP_Grid[#Data],M_BOM[PPGridRow],105),0))/64.4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Name]=$A74)*M_BOM[RM_Qty_Per_Batch]*IFERROR(INDEX(PP_Grid[#Data],M_BOM[PPGridRow],2),0))/58.6938775510204</f>
        <v/>
      </c>
      <c r="C74">
        <f>SUMPRODUCT((M_BOM[Part Name]=$A74)*M_BOM[RM_Qty_Per_Batch]*IFERROR(INDEX(PP_Grid[#Data],M_BOM[PPGridRow],3),0))/58.6938775510204</f>
        <v/>
      </c>
      <c r="D74">
        <f>SUMPRODUCT((M_BOM[Part Name]=$A74)*M_BOM[RM_Qty_Per_Batch]*IFERROR(INDEX(PP_Grid[#Data],M_BOM[PPGridRow],4),0))/58.6938775510204</f>
        <v/>
      </c>
      <c r="E74">
        <f>SUMPRODUCT((M_BOM[Part Name]=$A74)*M_BOM[RM_Qty_Per_Batch]*IFERROR(INDEX(PP_Grid[#Data],M_BOM[PPGridRow],5),0))/58.6938775510204</f>
        <v/>
      </c>
      <c r="F74">
        <f>SUMPRODUCT((M_BOM[Part Name]=$A74)*M_BOM[RM_Qty_Per_Batch]*IFERROR(INDEX(PP_Grid[#Data],M_BOM[PPGridRow],6),0))/58.6938775510204</f>
        <v/>
      </c>
      <c r="G74">
        <f>SUMPRODUCT((M_BOM[Part Name]=$A74)*M_BOM[RM_Qty_Per_Batch]*IFERROR(INDEX(PP_Grid[#Data],M_BOM[PPGridRow],7),0))/58.6938775510204</f>
        <v/>
      </c>
      <c r="H74">
        <f>SUMPRODUCT((M_BOM[Part Name]=$A74)*M_BOM[RM_Qty_Per_Batch]*IFERROR(INDEX(PP_Grid[#Data],M_BOM[PPGridRow],8),0))/58.6938775510204</f>
        <v/>
      </c>
      <c r="I74">
        <f>SUMPRODUCT((M_BOM[Part Name]=$A74)*M_BOM[RM_Qty_Per_Batch]*IFERROR(INDEX(PP_Grid[#Data],M_BOM[PPGridRow],9),0))/58.6938775510204</f>
        <v/>
      </c>
      <c r="J74">
        <f>SUMPRODUCT((M_BOM[Part Name]=$A74)*M_BOM[RM_Qty_Per_Batch]*IFERROR(INDEX(PP_Grid[#Data],M_BOM[PPGridRow],10),0))/58.6938775510204</f>
        <v/>
      </c>
      <c r="K74">
        <f>SUMPRODUCT((M_BOM[Part Name]=$A74)*M_BOM[RM_Qty_Per_Batch]*IFERROR(INDEX(PP_Grid[#Data],M_BOM[PPGridRow],11),0))/58.6938775510204</f>
        <v/>
      </c>
      <c r="L74">
        <f>SUMPRODUCT((M_BOM[Part Name]=$A74)*M_BOM[RM_Qty_Per_Batch]*IFERROR(INDEX(PP_Grid[#Data],M_BOM[PPGridRow],12),0))/58.6938775510204</f>
        <v/>
      </c>
      <c r="M74">
        <f>SUMPRODUCT((M_BOM[Part Name]=$A74)*M_BOM[RM_Qty_Per_Batch]*IFERROR(INDEX(PP_Grid[#Data],M_BOM[PPGridRow],13),0))/58.6938775510204</f>
        <v/>
      </c>
      <c r="N74">
        <f>SUMPRODUCT((M_BOM[Part Name]=$A74)*M_BOM[RM_Qty_Per_Batch]*IFERROR(INDEX(PP_Grid[#Data],M_BOM[PPGridRow],14),0))/58.6938775510204</f>
        <v/>
      </c>
      <c r="O74">
        <f>SUMPRODUCT((M_BOM[Part Name]=$A74)*M_BOM[RM_Qty_Per_Batch]*IFERROR(INDEX(PP_Grid[#Data],M_BOM[PPGridRow],15),0))/58.6938775510204</f>
        <v/>
      </c>
      <c r="P74">
        <f>SUMPRODUCT((M_BOM[Part Name]=$A74)*M_BOM[RM_Qty_Per_Batch]*IFERROR(INDEX(PP_Grid[#Data],M_BOM[PPGridRow],16),0))/58.6938775510204</f>
        <v/>
      </c>
      <c r="Q74">
        <f>SUMPRODUCT((M_BOM[Part Name]=$A74)*M_BOM[RM_Qty_Per_Batch]*IFERROR(INDEX(PP_Grid[#Data],M_BOM[PPGridRow],17),0))/58.6938775510204</f>
        <v/>
      </c>
      <c r="R74">
        <f>SUMPRODUCT((M_BOM[Part Name]=$A74)*M_BOM[RM_Qty_Per_Batch]*IFERROR(INDEX(PP_Grid[#Data],M_BOM[PPGridRow],18),0))/58.6938775510204</f>
        <v/>
      </c>
      <c r="S74">
        <f>SUMPRODUCT((M_BOM[Part Name]=$A74)*M_BOM[RM_Qty_Per_Batch]*IFERROR(INDEX(PP_Grid[#Data],M_BOM[PPGridRow],19),0))/58.6938775510204</f>
        <v/>
      </c>
      <c r="T74">
        <f>SUMPRODUCT((M_BOM[Part Name]=$A74)*M_BOM[RM_Qty_Per_Batch]*IFERROR(INDEX(PP_Grid[#Data],M_BOM[PPGridRow],20),0))/58.6938775510204</f>
        <v/>
      </c>
      <c r="U74">
        <f>SUMPRODUCT((M_BOM[Part Name]=$A74)*M_BOM[RM_Qty_Per_Batch]*IFERROR(INDEX(PP_Grid[#Data],M_BOM[PPGridRow],21),0))/58.6938775510204</f>
        <v/>
      </c>
      <c r="V74">
        <f>SUMPRODUCT((M_BOM[Part Name]=$A74)*M_BOM[RM_Qty_Per_Batch]*IFERROR(INDEX(PP_Grid[#Data],M_BOM[PPGridRow],22),0))/58.6938775510204</f>
        <v/>
      </c>
      <c r="W74">
        <f>SUMPRODUCT((M_BOM[Part Name]=$A74)*M_BOM[RM_Qty_Per_Batch]*IFERROR(INDEX(PP_Grid[#Data],M_BOM[PPGridRow],23),0))/58.6938775510204</f>
        <v/>
      </c>
      <c r="X74">
        <f>SUMPRODUCT((M_BOM[Part Name]=$A74)*M_BOM[RM_Qty_Per_Batch]*IFERROR(INDEX(PP_Grid[#Data],M_BOM[PPGridRow],24),0))/58.6938775510204</f>
        <v/>
      </c>
      <c r="Y74">
        <f>SUMPRODUCT((M_BOM[Part Name]=$A74)*M_BOM[RM_Qty_Per_Batch]*IFERROR(INDEX(PP_Grid[#Data],M_BOM[PPGridRow],25),0))/58.6938775510204</f>
        <v/>
      </c>
      <c r="Z74">
        <f>SUMPRODUCT((M_BOM[Part Name]=$A74)*M_BOM[RM_Qty_Per_Batch]*IFERROR(INDEX(PP_Grid[#Data],M_BOM[PPGridRow],26),0))/58.6938775510204</f>
        <v/>
      </c>
      <c r="AA74">
        <f>SUMPRODUCT((M_BOM[Part Name]=$A74)*M_BOM[RM_Qty_Per_Batch]*IFERROR(INDEX(PP_Grid[#Data],M_BOM[PPGridRow],27),0))/58.6938775510204</f>
        <v/>
      </c>
      <c r="AB74">
        <f>SUMPRODUCT((M_BOM[Part Name]=$A74)*M_BOM[RM_Qty_Per_Batch]*IFERROR(INDEX(PP_Grid[#Data],M_BOM[PPGridRow],28),0))/58.6938775510204</f>
        <v/>
      </c>
      <c r="AC74">
        <f>SUMPRODUCT((M_BOM[Part Name]=$A74)*M_BOM[RM_Qty_Per_Batch]*IFERROR(INDEX(PP_Grid[#Data],M_BOM[PPGridRow],29),0))/58.6938775510204</f>
        <v/>
      </c>
      <c r="AD74">
        <f>SUMPRODUCT((M_BOM[Part Name]=$A74)*M_BOM[RM_Qty_Per_Batch]*IFERROR(INDEX(PP_Grid[#Data],M_BOM[PPGridRow],30),0))/58.6938775510204</f>
        <v/>
      </c>
      <c r="AE74">
        <f>SUMPRODUCT((M_BOM[Part Name]=$A74)*M_BOM[RM_Qty_Per_Batch]*IFERROR(INDEX(PP_Grid[#Data],M_BOM[PPGridRow],31),0))/58.6938775510204</f>
        <v/>
      </c>
      <c r="AF74">
        <f>SUMPRODUCT((M_BOM[Part Name]=$A74)*M_BOM[RM_Qty_Per_Batch]*IFERROR(INDEX(PP_Grid[#Data],M_BOM[PPGridRow],32),0))/58.6938775510204</f>
        <v/>
      </c>
      <c r="AG74">
        <f>SUMPRODUCT((M_BOM[Part Name]=$A74)*M_BOM[RM_Qty_Per_Batch]*IFERROR(INDEX(PP_Grid[#Data],M_BOM[PPGridRow],33),0))/58.6938775510204</f>
        <v/>
      </c>
      <c r="AH74">
        <f>SUMPRODUCT((M_BOM[Part Name]=$A74)*M_BOM[RM_Qty_Per_Batch]*IFERROR(INDEX(PP_Grid[#Data],M_BOM[PPGridRow],34),0))/58.6938775510204</f>
        <v/>
      </c>
      <c r="AI74">
        <f>SUMPRODUCT((M_BOM[Part Name]=$A74)*M_BOM[RM_Qty_Per_Batch]*IFERROR(INDEX(PP_Grid[#Data],M_BOM[PPGridRow],35),0))/58.6938775510204</f>
        <v/>
      </c>
      <c r="AJ74">
        <f>SUMPRODUCT((M_BOM[Part Name]=$A74)*M_BOM[RM_Qty_Per_Batch]*IFERROR(INDEX(PP_Grid[#Data],M_BOM[PPGridRow],36),0))/58.6938775510204</f>
        <v/>
      </c>
      <c r="AK74">
        <f>SUMPRODUCT((M_BOM[Part Name]=$A74)*M_BOM[RM_Qty_Per_Batch]*IFERROR(INDEX(PP_Grid[#Data],M_BOM[PPGridRow],37),0))/58.6938775510204</f>
        <v/>
      </c>
      <c r="AL74">
        <f>SUMPRODUCT((M_BOM[Part Name]=$A74)*M_BOM[RM_Qty_Per_Batch]*IFERROR(INDEX(PP_Grid[#Data],M_BOM[PPGridRow],38),0))/58.6938775510204</f>
        <v/>
      </c>
      <c r="AM74">
        <f>SUMPRODUCT((M_BOM[Part Name]=$A74)*M_BOM[RM_Qty_Per_Batch]*IFERROR(INDEX(PP_Grid[#Data],M_BOM[PPGridRow],39),0))/58.6938775510204</f>
        <v/>
      </c>
      <c r="AN74">
        <f>SUMPRODUCT((M_BOM[Part Name]=$A74)*M_BOM[RM_Qty_Per_Batch]*IFERROR(INDEX(PP_Grid[#Data],M_BOM[PPGridRow],40),0))/58.6938775510204</f>
        <v/>
      </c>
      <c r="AO74">
        <f>SUMPRODUCT((M_BOM[Part Name]=$A74)*M_BOM[RM_Qty_Per_Batch]*IFERROR(INDEX(PP_Grid[#Data],M_BOM[PPGridRow],41),0))/58.6938775510204</f>
        <v/>
      </c>
      <c r="AP74">
        <f>SUMPRODUCT((M_BOM[Part Name]=$A74)*M_BOM[RM_Qty_Per_Batch]*IFERROR(INDEX(PP_Grid[#Data],M_BOM[PPGridRow],42),0))/58.6938775510204</f>
        <v/>
      </c>
      <c r="AQ74">
        <f>SUMPRODUCT((M_BOM[Part Name]=$A74)*M_BOM[RM_Qty_Per_Batch]*IFERROR(INDEX(PP_Grid[#Data],M_BOM[PPGridRow],43),0))/58.6938775510204</f>
        <v/>
      </c>
      <c r="AR74">
        <f>SUMPRODUCT((M_BOM[Part Name]=$A74)*M_BOM[RM_Qty_Per_Batch]*IFERROR(INDEX(PP_Grid[#Data],M_BOM[PPGridRow],44),0))/58.6938775510204</f>
        <v/>
      </c>
      <c r="AS74">
        <f>SUMPRODUCT((M_BOM[Part Name]=$A74)*M_BOM[RM_Qty_Per_Batch]*IFERROR(INDEX(PP_Grid[#Data],M_BOM[PPGridRow],45),0))/58.6938775510204</f>
        <v/>
      </c>
      <c r="AT74">
        <f>SUMPRODUCT((M_BOM[Part Name]=$A74)*M_BOM[RM_Qty_Per_Batch]*IFERROR(INDEX(PP_Grid[#Data],M_BOM[PPGridRow],46),0))/58.6938775510204</f>
        <v/>
      </c>
      <c r="AU74">
        <f>SUMPRODUCT((M_BOM[Part Name]=$A74)*M_BOM[RM_Qty_Per_Batch]*IFERROR(INDEX(PP_Grid[#Data],M_BOM[PPGridRow],47),0))/58.6938775510204</f>
        <v/>
      </c>
      <c r="AV74">
        <f>SUMPRODUCT((M_BOM[Part Name]=$A74)*M_BOM[RM_Qty_Per_Batch]*IFERROR(INDEX(PP_Grid[#Data],M_BOM[PPGridRow],48),0))/58.6938775510204</f>
        <v/>
      </c>
      <c r="AW74">
        <f>SUMPRODUCT((M_BOM[Part Name]=$A74)*M_BOM[RM_Qty_Per_Batch]*IFERROR(INDEX(PP_Grid[#Data],M_BOM[PPGridRow],49),0))/58.6938775510204</f>
        <v/>
      </c>
      <c r="AX74">
        <f>SUMPRODUCT((M_BOM[Part Name]=$A74)*M_BOM[RM_Qty_Per_Batch]*IFERROR(INDEX(PP_Grid[#Data],M_BOM[PPGridRow],50),0))/58.6938775510204</f>
        <v/>
      </c>
      <c r="AY74">
        <f>SUMPRODUCT((M_BOM[Part Name]=$A74)*M_BOM[RM_Qty_Per_Batch]*IFERROR(INDEX(PP_Grid[#Data],M_BOM[PPGridRow],51),0))/58.6938775510204</f>
        <v/>
      </c>
      <c r="AZ74">
        <f>SUMPRODUCT((M_BOM[Part Name]=$A74)*M_BOM[RM_Qty_Per_Batch]*IFERROR(INDEX(PP_Grid[#Data],M_BOM[PPGridRow],52),0))/58.6938775510204</f>
        <v/>
      </c>
      <c r="BA74">
        <f>SUMPRODUCT((M_BOM[Part Name]=$A74)*M_BOM[RM_Qty_Per_Batch]*IFERROR(INDEX(PP_Grid[#Data],M_BOM[PPGridRow],53),0))/58.6938775510204</f>
        <v/>
      </c>
      <c r="BB74">
        <f>SUMPRODUCT((M_BOM[Part Name]=$A74)*M_BOM[RM_Qty_Per_Batch]*IFERROR(INDEX(PP_Grid[#Data],M_BOM[PPGridRow],54),0))/58.6938775510204</f>
        <v/>
      </c>
      <c r="BC74">
        <f>SUMPRODUCT((M_BOM[Part Name]=$A74)*M_BOM[RM_Qty_Per_Batch]*IFERROR(INDEX(PP_Grid[#Data],M_BOM[PPGridRow],55),0))/58.6938775510204</f>
        <v/>
      </c>
      <c r="BD74">
        <f>SUMPRODUCT((M_BOM[Part Name]=$A74)*M_BOM[RM_Qty_Per_Batch]*IFERROR(INDEX(PP_Grid[#Data],M_BOM[PPGridRow],56),0))/58.6938775510204</f>
        <v/>
      </c>
      <c r="BE74">
        <f>SUMPRODUCT((M_BOM[Part Name]=$A74)*M_BOM[RM_Qty_Per_Batch]*IFERROR(INDEX(PP_Grid[#Data],M_BOM[PPGridRow],57),0))/58.6938775510204</f>
        <v/>
      </c>
      <c r="BF74">
        <f>SUMPRODUCT((M_BOM[Part Name]=$A74)*M_BOM[RM_Qty_Per_Batch]*IFERROR(INDEX(PP_Grid[#Data],M_BOM[PPGridRow],58),0))/58.6938775510204</f>
        <v/>
      </c>
      <c r="BG74">
        <f>SUMPRODUCT((M_BOM[Part Name]=$A74)*M_BOM[RM_Qty_Per_Batch]*IFERROR(INDEX(PP_Grid[#Data],M_BOM[PPGridRow],59),0))/58.6938775510204</f>
        <v/>
      </c>
      <c r="BH74">
        <f>SUMPRODUCT((M_BOM[Part Name]=$A74)*M_BOM[RM_Qty_Per_Batch]*IFERROR(INDEX(PP_Grid[#Data],M_BOM[PPGridRow],60),0))/58.6938775510204</f>
        <v/>
      </c>
      <c r="BI74">
        <f>SUMPRODUCT((M_BOM[Part Name]=$A74)*M_BOM[RM_Qty_Per_Batch]*IFERROR(INDEX(PP_Grid[#Data],M_BOM[PPGridRow],61),0))/58.6938775510204</f>
        <v/>
      </c>
      <c r="BJ74">
        <f>SUMPRODUCT((M_BOM[Part Name]=$A74)*M_BOM[RM_Qty_Per_Batch]*IFERROR(INDEX(PP_Grid[#Data],M_BOM[PPGridRow],62),0))/58.6938775510204</f>
        <v/>
      </c>
      <c r="BK74">
        <f>SUMPRODUCT((M_BOM[Part Name]=$A74)*M_BOM[RM_Qty_Per_Batch]*IFERROR(INDEX(PP_Grid[#Data],M_BOM[PPGridRow],63),0))/58.6938775510204</f>
        <v/>
      </c>
      <c r="BL74">
        <f>SUMPRODUCT((M_BOM[Part Name]=$A74)*M_BOM[RM_Qty_Per_Batch]*IFERROR(INDEX(PP_Grid[#Data],M_BOM[PPGridRow],64),0))/58.6938775510204</f>
        <v/>
      </c>
      <c r="BM74">
        <f>SUMPRODUCT((M_BOM[Part Name]=$A74)*M_BOM[RM_Qty_Per_Batch]*IFERROR(INDEX(PP_Grid[#Data],M_BOM[PPGridRow],65),0))/58.6938775510204</f>
        <v/>
      </c>
      <c r="BN74">
        <f>SUMPRODUCT((M_BOM[Part Name]=$A74)*M_BOM[RM_Qty_Per_Batch]*IFERROR(INDEX(PP_Grid[#Data],M_BOM[PPGridRow],66),0))/58.6938775510204</f>
        <v/>
      </c>
      <c r="BO74">
        <f>SUMPRODUCT((M_BOM[Part Name]=$A74)*M_BOM[RM_Qty_Per_Batch]*IFERROR(INDEX(PP_Grid[#Data],M_BOM[PPGridRow],67),0))/58.6938775510204</f>
        <v/>
      </c>
      <c r="BP74">
        <f>SUMPRODUCT((M_BOM[Part Name]=$A74)*M_BOM[RM_Qty_Per_Batch]*IFERROR(INDEX(PP_Grid[#Data],M_BOM[PPGridRow],68),0))/58.6938775510204</f>
        <v/>
      </c>
      <c r="BQ74">
        <f>SUMPRODUCT((M_BOM[Part Name]=$A74)*M_BOM[RM_Qty_Per_Batch]*IFERROR(INDEX(PP_Grid[#Data],M_BOM[PPGridRow],69),0))/58.6938775510204</f>
        <v/>
      </c>
      <c r="BR74">
        <f>SUMPRODUCT((M_BOM[Part Name]=$A74)*M_BOM[RM_Qty_Per_Batch]*IFERROR(INDEX(PP_Grid[#Data],M_BOM[PPGridRow],70),0))/58.6938775510204</f>
        <v/>
      </c>
      <c r="BS74">
        <f>SUMPRODUCT((M_BOM[Part Name]=$A74)*M_BOM[RM_Qty_Per_Batch]*IFERROR(INDEX(PP_Grid[#Data],M_BOM[PPGridRow],71),0))/58.6938775510204</f>
        <v/>
      </c>
      <c r="BT74">
        <f>SUMPRODUCT((M_BOM[Part Name]=$A74)*M_BOM[RM_Qty_Per_Batch]*IFERROR(INDEX(PP_Grid[#Data],M_BOM[PPGridRow],72),0))/58.6938775510204</f>
        <v/>
      </c>
      <c r="BU74">
        <f>SUMPRODUCT((M_BOM[Part Name]=$A74)*M_BOM[RM_Qty_Per_Batch]*IFERROR(INDEX(PP_Grid[#Data],M_BOM[PPGridRow],73),0))/58.6938775510204</f>
        <v/>
      </c>
      <c r="BV74">
        <f>SUMPRODUCT((M_BOM[Part Name]=$A74)*M_BOM[RM_Qty_Per_Batch]*IFERROR(INDEX(PP_Grid[#Data],M_BOM[PPGridRow],74),0))/58.6938775510204</f>
        <v/>
      </c>
      <c r="BW74">
        <f>SUMPRODUCT((M_BOM[Part Name]=$A74)*M_BOM[RM_Qty_Per_Batch]*IFERROR(INDEX(PP_Grid[#Data],M_BOM[PPGridRow],75),0))/58.6938775510204</f>
        <v/>
      </c>
      <c r="BX74">
        <f>SUMPRODUCT((M_BOM[Part Name]=$A74)*M_BOM[RM_Qty_Per_Batch]*IFERROR(INDEX(PP_Grid[#Data],M_BOM[PPGridRow],76),0))/58.6938775510204</f>
        <v/>
      </c>
      <c r="BY74">
        <f>SUMPRODUCT((M_BOM[Part Name]=$A74)*M_BOM[RM_Qty_Per_Batch]*IFERROR(INDEX(PP_Grid[#Data],M_BOM[PPGridRow],77),0))/58.6938775510204</f>
        <v/>
      </c>
      <c r="BZ74">
        <f>SUMPRODUCT((M_BOM[Part Name]=$A74)*M_BOM[RM_Qty_Per_Batch]*IFERROR(INDEX(PP_Grid[#Data],M_BOM[PPGridRow],78),0))/58.6938775510204</f>
        <v/>
      </c>
      <c r="CA74">
        <f>SUMPRODUCT((M_BOM[Part Name]=$A74)*M_BOM[RM_Qty_Per_Batch]*IFERROR(INDEX(PP_Grid[#Data],M_BOM[PPGridRow],79),0))/58.6938775510204</f>
        <v/>
      </c>
      <c r="CB74">
        <f>SUMPRODUCT((M_BOM[Part Name]=$A74)*M_BOM[RM_Qty_Per_Batch]*IFERROR(INDEX(PP_Grid[#Data],M_BOM[PPGridRow],80),0))/58.6938775510204</f>
        <v/>
      </c>
      <c r="CC74">
        <f>SUMPRODUCT((M_BOM[Part Name]=$A74)*M_BOM[RM_Qty_Per_Batch]*IFERROR(INDEX(PP_Grid[#Data],M_BOM[PPGridRow],81),0))/58.6938775510204</f>
        <v/>
      </c>
      <c r="CD74">
        <f>SUMPRODUCT((M_BOM[Part Name]=$A74)*M_BOM[RM_Qty_Per_Batch]*IFERROR(INDEX(PP_Grid[#Data],M_BOM[PPGridRow],82),0))/58.6938775510204</f>
        <v/>
      </c>
      <c r="CE74">
        <f>SUMPRODUCT((M_BOM[Part Name]=$A74)*M_BOM[RM_Qty_Per_Batch]*IFERROR(INDEX(PP_Grid[#Data],M_BOM[PPGridRow],83),0))/58.6938775510204</f>
        <v/>
      </c>
      <c r="CF74">
        <f>SUMPRODUCT((M_BOM[Part Name]=$A74)*M_BOM[RM_Qty_Per_Batch]*IFERROR(INDEX(PP_Grid[#Data],M_BOM[PPGridRow],84),0))/58.6938775510204</f>
        <v/>
      </c>
      <c r="CG74">
        <f>SUMPRODUCT((M_BOM[Part Name]=$A74)*M_BOM[RM_Qty_Per_Batch]*IFERROR(INDEX(PP_Grid[#Data],M_BOM[PPGridRow],85),0))/58.6938775510204</f>
        <v/>
      </c>
      <c r="CH74">
        <f>SUMPRODUCT((M_BOM[Part Name]=$A74)*M_BOM[RM_Qty_Per_Batch]*IFERROR(INDEX(PP_Grid[#Data],M_BOM[PPGridRow],86),0))/58.6938775510204</f>
        <v/>
      </c>
      <c r="CI74">
        <f>SUMPRODUCT((M_BOM[Part Name]=$A74)*M_BOM[RM_Qty_Per_Batch]*IFERROR(INDEX(PP_Grid[#Data],M_BOM[PPGridRow],87),0))/58.6938775510204</f>
        <v/>
      </c>
      <c r="CJ74">
        <f>SUMPRODUCT((M_BOM[Part Name]=$A74)*M_BOM[RM_Qty_Per_Batch]*IFERROR(INDEX(PP_Grid[#Data],M_BOM[PPGridRow],88),0))/58.6938775510204</f>
        <v/>
      </c>
      <c r="CK74">
        <f>SUMPRODUCT((M_BOM[Part Name]=$A74)*M_BOM[RM_Qty_Per_Batch]*IFERROR(INDEX(PP_Grid[#Data],M_BOM[PPGridRow],89),0))/58.6938775510204</f>
        <v/>
      </c>
      <c r="CL74">
        <f>SUMPRODUCT((M_BOM[Part Name]=$A74)*M_BOM[RM_Qty_Per_Batch]*IFERROR(INDEX(PP_Grid[#Data],M_BOM[PPGridRow],90),0))/58.6938775510204</f>
        <v/>
      </c>
      <c r="CM74">
        <f>SUMPRODUCT((M_BOM[Part Name]=$A74)*M_BOM[RM_Qty_Per_Batch]*IFERROR(INDEX(PP_Grid[#Data],M_BOM[PPGridRow],91),0))/58.6938775510204</f>
        <v/>
      </c>
      <c r="CN74">
        <f>SUMPRODUCT((M_BOM[Part Name]=$A74)*M_BOM[RM_Qty_Per_Batch]*IFERROR(INDEX(PP_Grid[#Data],M_BOM[PPGridRow],92),0))/58.6938775510204</f>
        <v/>
      </c>
      <c r="CO74">
        <f>SUMPRODUCT((M_BOM[Part Name]=$A74)*M_BOM[RM_Qty_Per_Batch]*IFERROR(INDEX(PP_Grid[#Data],M_BOM[PPGridRow],93),0))/58.6938775510204</f>
        <v/>
      </c>
      <c r="CP74">
        <f>SUMPRODUCT((M_BOM[Part Name]=$A74)*M_BOM[RM_Qty_Per_Batch]*IFERROR(INDEX(PP_Grid[#Data],M_BOM[PPGridRow],94),0))/58.6938775510204</f>
        <v/>
      </c>
      <c r="CQ74">
        <f>SUMPRODUCT((M_BOM[Part Name]=$A74)*M_BOM[RM_Qty_Per_Batch]*IFERROR(INDEX(PP_Grid[#Data],M_BOM[PPGridRow],95),0))/58.6938775510204</f>
        <v/>
      </c>
      <c r="CR74">
        <f>SUMPRODUCT((M_BOM[Part Name]=$A74)*M_BOM[RM_Qty_Per_Batch]*IFERROR(INDEX(PP_Grid[#Data],M_BOM[PPGridRow],96),0))/58.6938775510204</f>
        <v/>
      </c>
      <c r="CS74">
        <f>SUMPRODUCT((M_BOM[Part Name]=$A74)*M_BOM[RM_Qty_Per_Batch]*IFERROR(INDEX(PP_Grid[#Data],M_BOM[PPGridRow],97),0))/58.6938775510204</f>
        <v/>
      </c>
      <c r="CT74">
        <f>SUMPRODUCT((M_BOM[Part Name]=$A74)*M_BOM[RM_Qty_Per_Batch]*IFERROR(INDEX(PP_Grid[#Data],M_BOM[PPGridRow],98),0))/58.6938775510204</f>
        <v/>
      </c>
      <c r="CU74">
        <f>SUMPRODUCT((M_BOM[Part Name]=$A74)*M_BOM[RM_Qty_Per_Batch]*IFERROR(INDEX(PP_Grid[#Data],M_BOM[PPGridRow],99),0))/58.6938775510204</f>
        <v/>
      </c>
      <c r="CV74">
        <f>SUMPRODUCT((M_BOM[Part Name]=$A74)*M_BOM[RM_Qty_Per_Batch]*IFERROR(INDEX(PP_Grid[#Data],M_BOM[PPGridRow],100),0))/58.6938775510204</f>
        <v/>
      </c>
      <c r="CW74">
        <f>SUMPRODUCT((M_BOM[Part Name]=$A74)*M_BOM[RM_Qty_Per_Batch]*IFERROR(INDEX(PP_Grid[#Data],M_BOM[PPGridRow],101),0))/58.6938775510204</f>
        <v/>
      </c>
      <c r="CX74">
        <f>SUMPRODUCT((M_BOM[Part Name]=$A74)*M_BOM[RM_Qty_Per_Batch]*IFERROR(INDEX(PP_Grid[#Data],M_BOM[PPGridRow],102),0))/58.6938775510204</f>
        <v/>
      </c>
      <c r="CY74">
        <f>SUMPRODUCT((M_BOM[Part Name]=$A74)*M_BOM[RM_Qty_Per_Batch]*IFERROR(INDEX(PP_Grid[#Data],M_BOM[PPGridRow],103),0))/58.6938775510204</f>
        <v/>
      </c>
      <c r="CZ74">
        <f>SUMPRODUCT((M_BOM[Part Name]=$A74)*M_BOM[RM_Qty_Per_Batch]*IFERROR(INDEX(PP_Grid[#Data],M_BOM[PPGridRow],104),0))/58.6938775510204</f>
        <v/>
      </c>
      <c r="DA74">
        <f>SUMPRODUCT((M_BOM[Part Name]=$A74)*M_BOM[RM_Qty_Per_Batch]*IFERROR(INDEX(PP_Grid[#Data],M_BOM[PPGridRow],105),0))/58.6938775510204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Name]=$A77)*M_BOM[RM_Qty_Per_Batch]*IFERROR(INDEX(PP_Grid[#Data],M_BOM[PPGridRow],2),0))/44.26</f>
        <v/>
      </c>
      <c r="C77">
        <f>SUMPRODUCT((M_BOM[Part Name]=$A77)*M_BOM[RM_Qty_Per_Batch]*IFERROR(INDEX(PP_Grid[#Data],M_BOM[PPGridRow],3),0))/44.26</f>
        <v/>
      </c>
      <c r="D77">
        <f>SUMPRODUCT((M_BOM[Part Name]=$A77)*M_BOM[RM_Qty_Per_Batch]*IFERROR(INDEX(PP_Grid[#Data],M_BOM[PPGridRow],4),0))/44.26</f>
        <v/>
      </c>
      <c r="E77">
        <f>SUMPRODUCT((M_BOM[Part Name]=$A77)*M_BOM[RM_Qty_Per_Batch]*IFERROR(INDEX(PP_Grid[#Data],M_BOM[PPGridRow],5),0))/44.26</f>
        <v/>
      </c>
      <c r="F77">
        <f>SUMPRODUCT((M_BOM[Part Name]=$A77)*M_BOM[RM_Qty_Per_Batch]*IFERROR(INDEX(PP_Grid[#Data],M_BOM[PPGridRow],6),0))/44.26</f>
        <v/>
      </c>
      <c r="G77">
        <f>SUMPRODUCT((M_BOM[Part Name]=$A77)*M_BOM[RM_Qty_Per_Batch]*IFERROR(INDEX(PP_Grid[#Data],M_BOM[PPGridRow],7),0))/44.26</f>
        <v/>
      </c>
      <c r="H77">
        <f>SUMPRODUCT((M_BOM[Part Name]=$A77)*M_BOM[RM_Qty_Per_Batch]*IFERROR(INDEX(PP_Grid[#Data],M_BOM[PPGridRow],8),0))/44.26</f>
        <v/>
      </c>
      <c r="I77">
        <f>SUMPRODUCT((M_BOM[Part Name]=$A77)*M_BOM[RM_Qty_Per_Batch]*IFERROR(INDEX(PP_Grid[#Data],M_BOM[PPGridRow],9),0))/44.26</f>
        <v/>
      </c>
      <c r="J77">
        <f>SUMPRODUCT((M_BOM[Part Name]=$A77)*M_BOM[RM_Qty_Per_Batch]*IFERROR(INDEX(PP_Grid[#Data],M_BOM[PPGridRow],10),0))/44.26</f>
        <v/>
      </c>
      <c r="K77">
        <f>SUMPRODUCT((M_BOM[Part Name]=$A77)*M_BOM[RM_Qty_Per_Batch]*IFERROR(INDEX(PP_Grid[#Data],M_BOM[PPGridRow],11),0))/44.26</f>
        <v/>
      </c>
      <c r="L77">
        <f>SUMPRODUCT((M_BOM[Part Name]=$A77)*M_BOM[RM_Qty_Per_Batch]*IFERROR(INDEX(PP_Grid[#Data],M_BOM[PPGridRow],12),0))/44.26</f>
        <v/>
      </c>
      <c r="M77">
        <f>SUMPRODUCT((M_BOM[Part Name]=$A77)*M_BOM[RM_Qty_Per_Batch]*IFERROR(INDEX(PP_Grid[#Data],M_BOM[PPGridRow],13),0))/44.26</f>
        <v/>
      </c>
      <c r="N77">
        <f>SUMPRODUCT((M_BOM[Part Name]=$A77)*M_BOM[RM_Qty_Per_Batch]*IFERROR(INDEX(PP_Grid[#Data],M_BOM[PPGridRow],14),0))/44.26</f>
        <v/>
      </c>
      <c r="O77">
        <f>SUMPRODUCT((M_BOM[Part Name]=$A77)*M_BOM[RM_Qty_Per_Batch]*IFERROR(INDEX(PP_Grid[#Data],M_BOM[PPGridRow],15),0))/44.26</f>
        <v/>
      </c>
      <c r="P77">
        <f>SUMPRODUCT((M_BOM[Part Name]=$A77)*M_BOM[RM_Qty_Per_Batch]*IFERROR(INDEX(PP_Grid[#Data],M_BOM[PPGridRow],16),0))/44.26</f>
        <v/>
      </c>
      <c r="Q77">
        <f>SUMPRODUCT((M_BOM[Part Name]=$A77)*M_BOM[RM_Qty_Per_Batch]*IFERROR(INDEX(PP_Grid[#Data],M_BOM[PPGridRow],17),0))/44.26</f>
        <v/>
      </c>
      <c r="R77">
        <f>SUMPRODUCT((M_BOM[Part Name]=$A77)*M_BOM[RM_Qty_Per_Batch]*IFERROR(INDEX(PP_Grid[#Data],M_BOM[PPGridRow],18),0))/44.26</f>
        <v/>
      </c>
      <c r="S77">
        <f>SUMPRODUCT((M_BOM[Part Name]=$A77)*M_BOM[RM_Qty_Per_Batch]*IFERROR(INDEX(PP_Grid[#Data],M_BOM[PPGridRow],19),0))/44.26</f>
        <v/>
      </c>
      <c r="T77">
        <f>SUMPRODUCT((M_BOM[Part Name]=$A77)*M_BOM[RM_Qty_Per_Batch]*IFERROR(INDEX(PP_Grid[#Data],M_BOM[PPGridRow],20),0))/44.26</f>
        <v/>
      </c>
      <c r="U77">
        <f>SUMPRODUCT((M_BOM[Part Name]=$A77)*M_BOM[RM_Qty_Per_Batch]*IFERROR(INDEX(PP_Grid[#Data],M_BOM[PPGridRow],21),0))/44.26</f>
        <v/>
      </c>
      <c r="V77">
        <f>SUMPRODUCT((M_BOM[Part Name]=$A77)*M_BOM[RM_Qty_Per_Batch]*IFERROR(INDEX(PP_Grid[#Data],M_BOM[PPGridRow],22),0))/44.26</f>
        <v/>
      </c>
      <c r="W77">
        <f>SUMPRODUCT((M_BOM[Part Name]=$A77)*M_BOM[RM_Qty_Per_Batch]*IFERROR(INDEX(PP_Grid[#Data],M_BOM[PPGridRow],23),0))/44.26</f>
        <v/>
      </c>
      <c r="X77">
        <f>SUMPRODUCT((M_BOM[Part Name]=$A77)*M_BOM[RM_Qty_Per_Batch]*IFERROR(INDEX(PP_Grid[#Data],M_BOM[PPGridRow],24),0))/44.26</f>
        <v/>
      </c>
      <c r="Y77">
        <f>SUMPRODUCT((M_BOM[Part Name]=$A77)*M_BOM[RM_Qty_Per_Batch]*IFERROR(INDEX(PP_Grid[#Data],M_BOM[PPGridRow],25),0))/44.26</f>
        <v/>
      </c>
      <c r="Z77">
        <f>SUMPRODUCT((M_BOM[Part Name]=$A77)*M_BOM[RM_Qty_Per_Batch]*IFERROR(INDEX(PP_Grid[#Data],M_BOM[PPGridRow],26),0))/44.26</f>
        <v/>
      </c>
      <c r="AA77">
        <f>SUMPRODUCT((M_BOM[Part Name]=$A77)*M_BOM[RM_Qty_Per_Batch]*IFERROR(INDEX(PP_Grid[#Data],M_BOM[PPGridRow],27),0))/44.26</f>
        <v/>
      </c>
      <c r="AB77">
        <f>SUMPRODUCT((M_BOM[Part Name]=$A77)*M_BOM[RM_Qty_Per_Batch]*IFERROR(INDEX(PP_Grid[#Data],M_BOM[PPGridRow],28),0))/44.26</f>
        <v/>
      </c>
      <c r="AC77">
        <f>SUMPRODUCT((M_BOM[Part Name]=$A77)*M_BOM[RM_Qty_Per_Batch]*IFERROR(INDEX(PP_Grid[#Data],M_BOM[PPGridRow],29),0))/44.26</f>
        <v/>
      </c>
      <c r="AD77">
        <f>SUMPRODUCT((M_BOM[Part Name]=$A77)*M_BOM[RM_Qty_Per_Batch]*IFERROR(INDEX(PP_Grid[#Data],M_BOM[PPGridRow],30),0))/44.26</f>
        <v/>
      </c>
      <c r="AE77">
        <f>SUMPRODUCT((M_BOM[Part Name]=$A77)*M_BOM[RM_Qty_Per_Batch]*IFERROR(INDEX(PP_Grid[#Data],M_BOM[PPGridRow],31),0))/44.26</f>
        <v/>
      </c>
      <c r="AF77">
        <f>SUMPRODUCT((M_BOM[Part Name]=$A77)*M_BOM[RM_Qty_Per_Batch]*IFERROR(INDEX(PP_Grid[#Data],M_BOM[PPGridRow],32),0))/44.26</f>
        <v/>
      </c>
      <c r="AG77">
        <f>SUMPRODUCT((M_BOM[Part Name]=$A77)*M_BOM[RM_Qty_Per_Batch]*IFERROR(INDEX(PP_Grid[#Data],M_BOM[PPGridRow],33),0))/44.26</f>
        <v/>
      </c>
      <c r="AH77">
        <f>SUMPRODUCT((M_BOM[Part Name]=$A77)*M_BOM[RM_Qty_Per_Batch]*IFERROR(INDEX(PP_Grid[#Data],M_BOM[PPGridRow],34),0))/44.26</f>
        <v/>
      </c>
      <c r="AI77">
        <f>SUMPRODUCT((M_BOM[Part Name]=$A77)*M_BOM[RM_Qty_Per_Batch]*IFERROR(INDEX(PP_Grid[#Data],M_BOM[PPGridRow],35),0))/44.26</f>
        <v/>
      </c>
      <c r="AJ77">
        <f>SUMPRODUCT((M_BOM[Part Name]=$A77)*M_BOM[RM_Qty_Per_Batch]*IFERROR(INDEX(PP_Grid[#Data],M_BOM[PPGridRow],36),0))/44.26</f>
        <v/>
      </c>
      <c r="AK77">
        <f>SUMPRODUCT((M_BOM[Part Name]=$A77)*M_BOM[RM_Qty_Per_Batch]*IFERROR(INDEX(PP_Grid[#Data],M_BOM[PPGridRow],37),0))/44.26</f>
        <v/>
      </c>
      <c r="AL77">
        <f>SUMPRODUCT((M_BOM[Part Name]=$A77)*M_BOM[RM_Qty_Per_Batch]*IFERROR(INDEX(PP_Grid[#Data],M_BOM[PPGridRow],38),0))/44.26</f>
        <v/>
      </c>
      <c r="AM77">
        <f>SUMPRODUCT((M_BOM[Part Name]=$A77)*M_BOM[RM_Qty_Per_Batch]*IFERROR(INDEX(PP_Grid[#Data],M_BOM[PPGridRow],39),0))/44.26</f>
        <v/>
      </c>
      <c r="AN77">
        <f>SUMPRODUCT((M_BOM[Part Name]=$A77)*M_BOM[RM_Qty_Per_Batch]*IFERROR(INDEX(PP_Grid[#Data],M_BOM[PPGridRow],40),0))/44.26</f>
        <v/>
      </c>
      <c r="AO77">
        <f>SUMPRODUCT((M_BOM[Part Name]=$A77)*M_BOM[RM_Qty_Per_Batch]*IFERROR(INDEX(PP_Grid[#Data],M_BOM[PPGridRow],41),0))/44.26</f>
        <v/>
      </c>
      <c r="AP77">
        <f>SUMPRODUCT((M_BOM[Part Name]=$A77)*M_BOM[RM_Qty_Per_Batch]*IFERROR(INDEX(PP_Grid[#Data],M_BOM[PPGridRow],42),0))/44.26</f>
        <v/>
      </c>
      <c r="AQ77">
        <f>SUMPRODUCT((M_BOM[Part Name]=$A77)*M_BOM[RM_Qty_Per_Batch]*IFERROR(INDEX(PP_Grid[#Data],M_BOM[PPGridRow],43),0))/44.26</f>
        <v/>
      </c>
      <c r="AR77">
        <f>SUMPRODUCT((M_BOM[Part Name]=$A77)*M_BOM[RM_Qty_Per_Batch]*IFERROR(INDEX(PP_Grid[#Data],M_BOM[PPGridRow],44),0))/44.26</f>
        <v/>
      </c>
      <c r="AS77">
        <f>SUMPRODUCT((M_BOM[Part Name]=$A77)*M_BOM[RM_Qty_Per_Batch]*IFERROR(INDEX(PP_Grid[#Data],M_BOM[PPGridRow],45),0))/44.26</f>
        <v/>
      </c>
      <c r="AT77">
        <f>SUMPRODUCT((M_BOM[Part Name]=$A77)*M_BOM[RM_Qty_Per_Batch]*IFERROR(INDEX(PP_Grid[#Data],M_BOM[PPGridRow],46),0))/44.26</f>
        <v/>
      </c>
      <c r="AU77">
        <f>SUMPRODUCT((M_BOM[Part Name]=$A77)*M_BOM[RM_Qty_Per_Batch]*IFERROR(INDEX(PP_Grid[#Data],M_BOM[PPGridRow],47),0))/44.26</f>
        <v/>
      </c>
      <c r="AV77">
        <f>SUMPRODUCT((M_BOM[Part Name]=$A77)*M_BOM[RM_Qty_Per_Batch]*IFERROR(INDEX(PP_Grid[#Data],M_BOM[PPGridRow],48),0))/44.26</f>
        <v/>
      </c>
      <c r="AW77">
        <f>SUMPRODUCT((M_BOM[Part Name]=$A77)*M_BOM[RM_Qty_Per_Batch]*IFERROR(INDEX(PP_Grid[#Data],M_BOM[PPGridRow],49),0))/44.26</f>
        <v/>
      </c>
      <c r="AX77">
        <f>SUMPRODUCT((M_BOM[Part Name]=$A77)*M_BOM[RM_Qty_Per_Batch]*IFERROR(INDEX(PP_Grid[#Data],M_BOM[PPGridRow],50),0))/44.26</f>
        <v/>
      </c>
      <c r="AY77">
        <f>SUMPRODUCT((M_BOM[Part Name]=$A77)*M_BOM[RM_Qty_Per_Batch]*IFERROR(INDEX(PP_Grid[#Data],M_BOM[PPGridRow],51),0))/44.26</f>
        <v/>
      </c>
      <c r="AZ77">
        <f>SUMPRODUCT((M_BOM[Part Name]=$A77)*M_BOM[RM_Qty_Per_Batch]*IFERROR(INDEX(PP_Grid[#Data],M_BOM[PPGridRow],52),0))/44.26</f>
        <v/>
      </c>
      <c r="BA77">
        <f>SUMPRODUCT((M_BOM[Part Name]=$A77)*M_BOM[RM_Qty_Per_Batch]*IFERROR(INDEX(PP_Grid[#Data],M_BOM[PPGridRow],53),0))/44.26</f>
        <v/>
      </c>
      <c r="BB77">
        <f>SUMPRODUCT((M_BOM[Part Name]=$A77)*M_BOM[RM_Qty_Per_Batch]*IFERROR(INDEX(PP_Grid[#Data],M_BOM[PPGridRow],54),0))/44.26</f>
        <v/>
      </c>
      <c r="BC77">
        <f>SUMPRODUCT((M_BOM[Part Name]=$A77)*M_BOM[RM_Qty_Per_Batch]*IFERROR(INDEX(PP_Grid[#Data],M_BOM[PPGridRow],55),0))/44.26</f>
        <v/>
      </c>
      <c r="BD77">
        <f>SUMPRODUCT((M_BOM[Part Name]=$A77)*M_BOM[RM_Qty_Per_Batch]*IFERROR(INDEX(PP_Grid[#Data],M_BOM[PPGridRow],56),0))/44.26</f>
        <v/>
      </c>
      <c r="BE77">
        <f>SUMPRODUCT((M_BOM[Part Name]=$A77)*M_BOM[RM_Qty_Per_Batch]*IFERROR(INDEX(PP_Grid[#Data],M_BOM[PPGridRow],57),0))/44.26</f>
        <v/>
      </c>
      <c r="BF77">
        <f>SUMPRODUCT((M_BOM[Part Name]=$A77)*M_BOM[RM_Qty_Per_Batch]*IFERROR(INDEX(PP_Grid[#Data],M_BOM[PPGridRow],58),0))/44.26</f>
        <v/>
      </c>
      <c r="BG77">
        <f>SUMPRODUCT((M_BOM[Part Name]=$A77)*M_BOM[RM_Qty_Per_Batch]*IFERROR(INDEX(PP_Grid[#Data],M_BOM[PPGridRow],59),0))/44.26</f>
        <v/>
      </c>
      <c r="BH77">
        <f>SUMPRODUCT((M_BOM[Part Name]=$A77)*M_BOM[RM_Qty_Per_Batch]*IFERROR(INDEX(PP_Grid[#Data],M_BOM[PPGridRow],60),0))/44.26</f>
        <v/>
      </c>
      <c r="BI77">
        <f>SUMPRODUCT((M_BOM[Part Name]=$A77)*M_BOM[RM_Qty_Per_Batch]*IFERROR(INDEX(PP_Grid[#Data],M_BOM[PPGridRow],61),0))/44.26</f>
        <v/>
      </c>
      <c r="BJ77">
        <f>SUMPRODUCT((M_BOM[Part Name]=$A77)*M_BOM[RM_Qty_Per_Batch]*IFERROR(INDEX(PP_Grid[#Data],M_BOM[PPGridRow],62),0))/44.26</f>
        <v/>
      </c>
      <c r="BK77">
        <f>SUMPRODUCT((M_BOM[Part Name]=$A77)*M_BOM[RM_Qty_Per_Batch]*IFERROR(INDEX(PP_Grid[#Data],M_BOM[PPGridRow],63),0))/44.26</f>
        <v/>
      </c>
      <c r="BL77">
        <f>SUMPRODUCT((M_BOM[Part Name]=$A77)*M_BOM[RM_Qty_Per_Batch]*IFERROR(INDEX(PP_Grid[#Data],M_BOM[PPGridRow],64),0))/44.26</f>
        <v/>
      </c>
      <c r="BM77">
        <f>SUMPRODUCT((M_BOM[Part Name]=$A77)*M_BOM[RM_Qty_Per_Batch]*IFERROR(INDEX(PP_Grid[#Data],M_BOM[PPGridRow],65),0))/44.26</f>
        <v/>
      </c>
      <c r="BN77">
        <f>SUMPRODUCT((M_BOM[Part Name]=$A77)*M_BOM[RM_Qty_Per_Batch]*IFERROR(INDEX(PP_Grid[#Data],M_BOM[PPGridRow],66),0))/44.26</f>
        <v/>
      </c>
      <c r="BO77">
        <f>SUMPRODUCT((M_BOM[Part Name]=$A77)*M_BOM[RM_Qty_Per_Batch]*IFERROR(INDEX(PP_Grid[#Data],M_BOM[PPGridRow],67),0))/44.26</f>
        <v/>
      </c>
      <c r="BP77">
        <f>SUMPRODUCT((M_BOM[Part Name]=$A77)*M_BOM[RM_Qty_Per_Batch]*IFERROR(INDEX(PP_Grid[#Data],M_BOM[PPGridRow],68),0))/44.26</f>
        <v/>
      </c>
      <c r="BQ77">
        <f>SUMPRODUCT((M_BOM[Part Name]=$A77)*M_BOM[RM_Qty_Per_Batch]*IFERROR(INDEX(PP_Grid[#Data],M_BOM[PPGridRow],69),0))/44.26</f>
        <v/>
      </c>
      <c r="BR77">
        <f>SUMPRODUCT((M_BOM[Part Name]=$A77)*M_BOM[RM_Qty_Per_Batch]*IFERROR(INDEX(PP_Grid[#Data],M_BOM[PPGridRow],70),0))/44.26</f>
        <v/>
      </c>
      <c r="BS77">
        <f>SUMPRODUCT((M_BOM[Part Name]=$A77)*M_BOM[RM_Qty_Per_Batch]*IFERROR(INDEX(PP_Grid[#Data],M_BOM[PPGridRow],71),0))/44.26</f>
        <v/>
      </c>
      <c r="BT77">
        <f>SUMPRODUCT((M_BOM[Part Name]=$A77)*M_BOM[RM_Qty_Per_Batch]*IFERROR(INDEX(PP_Grid[#Data],M_BOM[PPGridRow],72),0))/44.26</f>
        <v/>
      </c>
      <c r="BU77">
        <f>SUMPRODUCT((M_BOM[Part Name]=$A77)*M_BOM[RM_Qty_Per_Batch]*IFERROR(INDEX(PP_Grid[#Data],M_BOM[PPGridRow],73),0))/44.26</f>
        <v/>
      </c>
      <c r="BV77">
        <f>SUMPRODUCT((M_BOM[Part Name]=$A77)*M_BOM[RM_Qty_Per_Batch]*IFERROR(INDEX(PP_Grid[#Data],M_BOM[PPGridRow],74),0))/44.26</f>
        <v/>
      </c>
      <c r="BW77">
        <f>SUMPRODUCT((M_BOM[Part Name]=$A77)*M_BOM[RM_Qty_Per_Batch]*IFERROR(INDEX(PP_Grid[#Data],M_BOM[PPGridRow],75),0))/44.26</f>
        <v/>
      </c>
      <c r="BX77">
        <f>SUMPRODUCT((M_BOM[Part Name]=$A77)*M_BOM[RM_Qty_Per_Batch]*IFERROR(INDEX(PP_Grid[#Data],M_BOM[PPGridRow],76),0))/44.26</f>
        <v/>
      </c>
      <c r="BY77">
        <f>SUMPRODUCT((M_BOM[Part Name]=$A77)*M_BOM[RM_Qty_Per_Batch]*IFERROR(INDEX(PP_Grid[#Data],M_BOM[PPGridRow],77),0))/44.26</f>
        <v/>
      </c>
      <c r="BZ77">
        <f>SUMPRODUCT((M_BOM[Part Name]=$A77)*M_BOM[RM_Qty_Per_Batch]*IFERROR(INDEX(PP_Grid[#Data],M_BOM[PPGridRow],78),0))/44.26</f>
        <v/>
      </c>
      <c r="CA77">
        <f>SUMPRODUCT((M_BOM[Part Name]=$A77)*M_BOM[RM_Qty_Per_Batch]*IFERROR(INDEX(PP_Grid[#Data],M_BOM[PPGridRow],79),0))/44.26</f>
        <v/>
      </c>
      <c r="CB77">
        <f>SUMPRODUCT((M_BOM[Part Name]=$A77)*M_BOM[RM_Qty_Per_Batch]*IFERROR(INDEX(PP_Grid[#Data],M_BOM[PPGridRow],80),0))/44.26</f>
        <v/>
      </c>
      <c r="CC77">
        <f>SUMPRODUCT((M_BOM[Part Name]=$A77)*M_BOM[RM_Qty_Per_Batch]*IFERROR(INDEX(PP_Grid[#Data],M_BOM[PPGridRow],81),0))/44.26</f>
        <v/>
      </c>
      <c r="CD77">
        <f>SUMPRODUCT((M_BOM[Part Name]=$A77)*M_BOM[RM_Qty_Per_Batch]*IFERROR(INDEX(PP_Grid[#Data],M_BOM[PPGridRow],82),0))/44.26</f>
        <v/>
      </c>
      <c r="CE77">
        <f>SUMPRODUCT((M_BOM[Part Name]=$A77)*M_BOM[RM_Qty_Per_Batch]*IFERROR(INDEX(PP_Grid[#Data],M_BOM[PPGridRow],83),0))/44.26</f>
        <v/>
      </c>
      <c r="CF77">
        <f>SUMPRODUCT((M_BOM[Part Name]=$A77)*M_BOM[RM_Qty_Per_Batch]*IFERROR(INDEX(PP_Grid[#Data],M_BOM[PPGridRow],84),0))/44.26</f>
        <v/>
      </c>
      <c r="CG77">
        <f>SUMPRODUCT((M_BOM[Part Name]=$A77)*M_BOM[RM_Qty_Per_Batch]*IFERROR(INDEX(PP_Grid[#Data],M_BOM[PPGridRow],85),0))/44.26</f>
        <v/>
      </c>
      <c r="CH77">
        <f>SUMPRODUCT((M_BOM[Part Name]=$A77)*M_BOM[RM_Qty_Per_Batch]*IFERROR(INDEX(PP_Grid[#Data],M_BOM[PPGridRow],86),0))/44.26</f>
        <v/>
      </c>
      <c r="CI77">
        <f>SUMPRODUCT((M_BOM[Part Name]=$A77)*M_BOM[RM_Qty_Per_Batch]*IFERROR(INDEX(PP_Grid[#Data],M_BOM[PPGridRow],87),0))/44.26</f>
        <v/>
      </c>
      <c r="CJ77">
        <f>SUMPRODUCT((M_BOM[Part Name]=$A77)*M_BOM[RM_Qty_Per_Batch]*IFERROR(INDEX(PP_Grid[#Data],M_BOM[PPGridRow],88),0))/44.26</f>
        <v/>
      </c>
      <c r="CK77">
        <f>SUMPRODUCT((M_BOM[Part Name]=$A77)*M_BOM[RM_Qty_Per_Batch]*IFERROR(INDEX(PP_Grid[#Data],M_BOM[PPGridRow],89),0))/44.26</f>
        <v/>
      </c>
      <c r="CL77">
        <f>SUMPRODUCT((M_BOM[Part Name]=$A77)*M_BOM[RM_Qty_Per_Batch]*IFERROR(INDEX(PP_Grid[#Data],M_BOM[PPGridRow],90),0))/44.26</f>
        <v/>
      </c>
      <c r="CM77">
        <f>SUMPRODUCT((M_BOM[Part Name]=$A77)*M_BOM[RM_Qty_Per_Batch]*IFERROR(INDEX(PP_Grid[#Data],M_BOM[PPGridRow],91),0))/44.26</f>
        <v/>
      </c>
      <c r="CN77">
        <f>SUMPRODUCT((M_BOM[Part Name]=$A77)*M_BOM[RM_Qty_Per_Batch]*IFERROR(INDEX(PP_Grid[#Data],M_BOM[PPGridRow],92),0))/44.26</f>
        <v/>
      </c>
      <c r="CO77">
        <f>SUMPRODUCT((M_BOM[Part Name]=$A77)*M_BOM[RM_Qty_Per_Batch]*IFERROR(INDEX(PP_Grid[#Data],M_BOM[PPGridRow],93),0))/44.26</f>
        <v/>
      </c>
      <c r="CP77">
        <f>SUMPRODUCT((M_BOM[Part Name]=$A77)*M_BOM[RM_Qty_Per_Batch]*IFERROR(INDEX(PP_Grid[#Data],M_BOM[PPGridRow],94),0))/44.26</f>
        <v/>
      </c>
      <c r="CQ77">
        <f>SUMPRODUCT((M_BOM[Part Name]=$A77)*M_BOM[RM_Qty_Per_Batch]*IFERROR(INDEX(PP_Grid[#Data],M_BOM[PPGridRow],95),0))/44.26</f>
        <v/>
      </c>
      <c r="CR77">
        <f>SUMPRODUCT((M_BOM[Part Name]=$A77)*M_BOM[RM_Qty_Per_Batch]*IFERROR(INDEX(PP_Grid[#Data],M_BOM[PPGridRow],96),0))/44.26</f>
        <v/>
      </c>
      <c r="CS77">
        <f>SUMPRODUCT((M_BOM[Part Name]=$A77)*M_BOM[RM_Qty_Per_Batch]*IFERROR(INDEX(PP_Grid[#Data],M_BOM[PPGridRow],97),0))/44.26</f>
        <v/>
      </c>
      <c r="CT77">
        <f>SUMPRODUCT((M_BOM[Part Name]=$A77)*M_BOM[RM_Qty_Per_Batch]*IFERROR(INDEX(PP_Grid[#Data],M_BOM[PPGridRow],98),0))/44.26</f>
        <v/>
      </c>
      <c r="CU77">
        <f>SUMPRODUCT((M_BOM[Part Name]=$A77)*M_BOM[RM_Qty_Per_Batch]*IFERROR(INDEX(PP_Grid[#Data],M_BOM[PPGridRow],99),0))/44.26</f>
        <v/>
      </c>
      <c r="CV77">
        <f>SUMPRODUCT((M_BOM[Part Name]=$A77)*M_BOM[RM_Qty_Per_Batch]*IFERROR(INDEX(PP_Grid[#Data],M_BOM[PPGridRow],100),0))/44.26</f>
        <v/>
      </c>
      <c r="CW77">
        <f>SUMPRODUCT((M_BOM[Part Name]=$A77)*M_BOM[RM_Qty_Per_Batch]*IFERROR(INDEX(PP_Grid[#Data],M_BOM[PPGridRow],101),0))/44.26</f>
        <v/>
      </c>
      <c r="CX77">
        <f>SUMPRODUCT((M_BOM[Part Name]=$A77)*M_BOM[RM_Qty_Per_Batch]*IFERROR(INDEX(PP_Grid[#Data],M_BOM[PPGridRow],102),0))/44.26</f>
        <v/>
      </c>
      <c r="CY77">
        <f>SUMPRODUCT((M_BOM[Part Name]=$A77)*M_BOM[RM_Qty_Per_Batch]*IFERROR(INDEX(PP_Grid[#Data],M_BOM[PPGridRow],103),0))/44.26</f>
        <v/>
      </c>
      <c r="CZ77">
        <f>SUMPRODUCT((M_BOM[Part Name]=$A77)*M_BOM[RM_Qty_Per_Batch]*IFERROR(INDEX(PP_Grid[#Data],M_BOM[PPGridRow],104),0))/44.26</f>
        <v/>
      </c>
      <c r="DA77">
        <f>SUMPRODUCT((M_BOM[Part Name]=$A77)*M_BOM[RM_Qty_Per_Batch]*IFERROR(INDEX(PP_Grid[#Data],M_BOM[PPGridRow],105),0))/44.26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Name]=$A78)*M_BOM[RM_Qty_Per_Batch]*IFERROR(INDEX(PP_Grid[#Data],M_BOM[PPGridRow],2),0))/32.24</f>
        <v/>
      </c>
      <c r="C78">
        <f>SUMPRODUCT((M_BOM[Part Name]=$A78)*M_BOM[RM_Qty_Per_Batch]*IFERROR(INDEX(PP_Grid[#Data],M_BOM[PPGridRow],3),0))/32.24</f>
        <v/>
      </c>
      <c r="D78">
        <f>SUMPRODUCT((M_BOM[Part Name]=$A78)*M_BOM[RM_Qty_Per_Batch]*IFERROR(INDEX(PP_Grid[#Data],M_BOM[PPGridRow],4),0))/32.24</f>
        <v/>
      </c>
      <c r="E78">
        <f>SUMPRODUCT((M_BOM[Part Name]=$A78)*M_BOM[RM_Qty_Per_Batch]*IFERROR(INDEX(PP_Grid[#Data],M_BOM[PPGridRow],5),0))/32.24</f>
        <v/>
      </c>
      <c r="F78">
        <f>SUMPRODUCT((M_BOM[Part Name]=$A78)*M_BOM[RM_Qty_Per_Batch]*IFERROR(INDEX(PP_Grid[#Data],M_BOM[PPGridRow],6),0))/32.24</f>
        <v/>
      </c>
      <c r="G78">
        <f>SUMPRODUCT((M_BOM[Part Name]=$A78)*M_BOM[RM_Qty_Per_Batch]*IFERROR(INDEX(PP_Grid[#Data],M_BOM[PPGridRow],7),0))/32.24</f>
        <v/>
      </c>
      <c r="H78">
        <f>SUMPRODUCT((M_BOM[Part Name]=$A78)*M_BOM[RM_Qty_Per_Batch]*IFERROR(INDEX(PP_Grid[#Data],M_BOM[PPGridRow],8),0))/32.24</f>
        <v/>
      </c>
      <c r="I78">
        <f>SUMPRODUCT((M_BOM[Part Name]=$A78)*M_BOM[RM_Qty_Per_Batch]*IFERROR(INDEX(PP_Grid[#Data],M_BOM[PPGridRow],9),0))/32.24</f>
        <v/>
      </c>
      <c r="J78">
        <f>SUMPRODUCT((M_BOM[Part Name]=$A78)*M_BOM[RM_Qty_Per_Batch]*IFERROR(INDEX(PP_Grid[#Data],M_BOM[PPGridRow],10),0))/32.24</f>
        <v/>
      </c>
      <c r="K78">
        <f>SUMPRODUCT((M_BOM[Part Name]=$A78)*M_BOM[RM_Qty_Per_Batch]*IFERROR(INDEX(PP_Grid[#Data],M_BOM[PPGridRow],11),0))/32.24</f>
        <v/>
      </c>
      <c r="L78">
        <f>SUMPRODUCT((M_BOM[Part Name]=$A78)*M_BOM[RM_Qty_Per_Batch]*IFERROR(INDEX(PP_Grid[#Data],M_BOM[PPGridRow],12),0))/32.24</f>
        <v/>
      </c>
      <c r="M78">
        <f>SUMPRODUCT((M_BOM[Part Name]=$A78)*M_BOM[RM_Qty_Per_Batch]*IFERROR(INDEX(PP_Grid[#Data],M_BOM[PPGridRow],13),0))/32.24</f>
        <v/>
      </c>
      <c r="N78">
        <f>SUMPRODUCT((M_BOM[Part Name]=$A78)*M_BOM[RM_Qty_Per_Batch]*IFERROR(INDEX(PP_Grid[#Data],M_BOM[PPGridRow],14),0))/32.24</f>
        <v/>
      </c>
      <c r="O78">
        <f>SUMPRODUCT((M_BOM[Part Name]=$A78)*M_BOM[RM_Qty_Per_Batch]*IFERROR(INDEX(PP_Grid[#Data],M_BOM[PPGridRow],15),0))/32.24</f>
        <v/>
      </c>
      <c r="P78">
        <f>SUMPRODUCT((M_BOM[Part Name]=$A78)*M_BOM[RM_Qty_Per_Batch]*IFERROR(INDEX(PP_Grid[#Data],M_BOM[PPGridRow],16),0))/32.24</f>
        <v/>
      </c>
      <c r="Q78">
        <f>SUMPRODUCT((M_BOM[Part Name]=$A78)*M_BOM[RM_Qty_Per_Batch]*IFERROR(INDEX(PP_Grid[#Data],M_BOM[PPGridRow],17),0))/32.24</f>
        <v/>
      </c>
      <c r="R78">
        <f>SUMPRODUCT((M_BOM[Part Name]=$A78)*M_BOM[RM_Qty_Per_Batch]*IFERROR(INDEX(PP_Grid[#Data],M_BOM[PPGridRow],18),0))/32.24</f>
        <v/>
      </c>
      <c r="S78">
        <f>SUMPRODUCT((M_BOM[Part Name]=$A78)*M_BOM[RM_Qty_Per_Batch]*IFERROR(INDEX(PP_Grid[#Data],M_BOM[PPGridRow],19),0))/32.24</f>
        <v/>
      </c>
      <c r="T78">
        <f>SUMPRODUCT((M_BOM[Part Name]=$A78)*M_BOM[RM_Qty_Per_Batch]*IFERROR(INDEX(PP_Grid[#Data],M_BOM[PPGridRow],20),0))/32.24</f>
        <v/>
      </c>
      <c r="U78">
        <f>SUMPRODUCT((M_BOM[Part Name]=$A78)*M_BOM[RM_Qty_Per_Batch]*IFERROR(INDEX(PP_Grid[#Data],M_BOM[PPGridRow],21),0))/32.24</f>
        <v/>
      </c>
      <c r="V78">
        <f>SUMPRODUCT((M_BOM[Part Name]=$A78)*M_BOM[RM_Qty_Per_Batch]*IFERROR(INDEX(PP_Grid[#Data],M_BOM[PPGridRow],22),0))/32.24</f>
        <v/>
      </c>
      <c r="W78">
        <f>SUMPRODUCT((M_BOM[Part Name]=$A78)*M_BOM[RM_Qty_Per_Batch]*IFERROR(INDEX(PP_Grid[#Data],M_BOM[PPGridRow],23),0))/32.24</f>
        <v/>
      </c>
      <c r="X78">
        <f>SUMPRODUCT((M_BOM[Part Name]=$A78)*M_BOM[RM_Qty_Per_Batch]*IFERROR(INDEX(PP_Grid[#Data],M_BOM[PPGridRow],24),0))/32.24</f>
        <v/>
      </c>
      <c r="Y78">
        <f>SUMPRODUCT((M_BOM[Part Name]=$A78)*M_BOM[RM_Qty_Per_Batch]*IFERROR(INDEX(PP_Grid[#Data],M_BOM[PPGridRow],25),0))/32.24</f>
        <v/>
      </c>
      <c r="Z78">
        <f>SUMPRODUCT((M_BOM[Part Name]=$A78)*M_BOM[RM_Qty_Per_Batch]*IFERROR(INDEX(PP_Grid[#Data],M_BOM[PPGridRow],26),0))/32.24</f>
        <v/>
      </c>
      <c r="AA78">
        <f>SUMPRODUCT((M_BOM[Part Name]=$A78)*M_BOM[RM_Qty_Per_Batch]*IFERROR(INDEX(PP_Grid[#Data],M_BOM[PPGridRow],27),0))/32.24</f>
        <v/>
      </c>
      <c r="AB78">
        <f>SUMPRODUCT((M_BOM[Part Name]=$A78)*M_BOM[RM_Qty_Per_Batch]*IFERROR(INDEX(PP_Grid[#Data],M_BOM[PPGridRow],28),0))/32.24</f>
        <v/>
      </c>
      <c r="AC78">
        <f>SUMPRODUCT((M_BOM[Part Name]=$A78)*M_BOM[RM_Qty_Per_Batch]*IFERROR(INDEX(PP_Grid[#Data],M_BOM[PPGridRow],29),0))/32.24</f>
        <v/>
      </c>
      <c r="AD78">
        <f>SUMPRODUCT((M_BOM[Part Name]=$A78)*M_BOM[RM_Qty_Per_Batch]*IFERROR(INDEX(PP_Grid[#Data],M_BOM[PPGridRow],30),0))/32.24</f>
        <v/>
      </c>
      <c r="AE78">
        <f>SUMPRODUCT((M_BOM[Part Name]=$A78)*M_BOM[RM_Qty_Per_Batch]*IFERROR(INDEX(PP_Grid[#Data],M_BOM[PPGridRow],31),0))/32.24</f>
        <v/>
      </c>
      <c r="AF78">
        <f>SUMPRODUCT((M_BOM[Part Name]=$A78)*M_BOM[RM_Qty_Per_Batch]*IFERROR(INDEX(PP_Grid[#Data],M_BOM[PPGridRow],32),0))/32.24</f>
        <v/>
      </c>
      <c r="AG78">
        <f>SUMPRODUCT((M_BOM[Part Name]=$A78)*M_BOM[RM_Qty_Per_Batch]*IFERROR(INDEX(PP_Grid[#Data],M_BOM[PPGridRow],33),0))/32.24</f>
        <v/>
      </c>
      <c r="AH78">
        <f>SUMPRODUCT((M_BOM[Part Name]=$A78)*M_BOM[RM_Qty_Per_Batch]*IFERROR(INDEX(PP_Grid[#Data],M_BOM[PPGridRow],34),0))/32.24</f>
        <v/>
      </c>
      <c r="AI78">
        <f>SUMPRODUCT((M_BOM[Part Name]=$A78)*M_BOM[RM_Qty_Per_Batch]*IFERROR(INDEX(PP_Grid[#Data],M_BOM[PPGridRow],35),0))/32.24</f>
        <v/>
      </c>
      <c r="AJ78">
        <f>SUMPRODUCT((M_BOM[Part Name]=$A78)*M_BOM[RM_Qty_Per_Batch]*IFERROR(INDEX(PP_Grid[#Data],M_BOM[PPGridRow],36),0))/32.24</f>
        <v/>
      </c>
      <c r="AK78">
        <f>SUMPRODUCT((M_BOM[Part Name]=$A78)*M_BOM[RM_Qty_Per_Batch]*IFERROR(INDEX(PP_Grid[#Data],M_BOM[PPGridRow],37),0))/32.24</f>
        <v/>
      </c>
      <c r="AL78">
        <f>SUMPRODUCT((M_BOM[Part Name]=$A78)*M_BOM[RM_Qty_Per_Batch]*IFERROR(INDEX(PP_Grid[#Data],M_BOM[PPGridRow],38),0))/32.24</f>
        <v/>
      </c>
      <c r="AM78">
        <f>SUMPRODUCT((M_BOM[Part Name]=$A78)*M_BOM[RM_Qty_Per_Batch]*IFERROR(INDEX(PP_Grid[#Data],M_BOM[PPGridRow],39),0))/32.24</f>
        <v/>
      </c>
      <c r="AN78">
        <f>SUMPRODUCT((M_BOM[Part Name]=$A78)*M_BOM[RM_Qty_Per_Batch]*IFERROR(INDEX(PP_Grid[#Data],M_BOM[PPGridRow],40),0))/32.24</f>
        <v/>
      </c>
      <c r="AO78">
        <f>SUMPRODUCT((M_BOM[Part Name]=$A78)*M_BOM[RM_Qty_Per_Batch]*IFERROR(INDEX(PP_Grid[#Data],M_BOM[PPGridRow],41),0))/32.24</f>
        <v/>
      </c>
      <c r="AP78">
        <f>SUMPRODUCT((M_BOM[Part Name]=$A78)*M_BOM[RM_Qty_Per_Batch]*IFERROR(INDEX(PP_Grid[#Data],M_BOM[PPGridRow],42),0))/32.24</f>
        <v/>
      </c>
      <c r="AQ78">
        <f>SUMPRODUCT((M_BOM[Part Name]=$A78)*M_BOM[RM_Qty_Per_Batch]*IFERROR(INDEX(PP_Grid[#Data],M_BOM[PPGridRow],43),0))/32.24</f>
        <v/>
      </c>
      <c r="AR78">
        <f>SUMPRODUCT((M_BOM[Part Name]=$A78)*M_BOM[RM_Qty_Per_Batch]*IFERROR(INDEX(PP_Grid[#Data],M_BOM[PPGridRow],44),0))/32.24</f>
        <v/>
      </c>
      <c r="AS78">
        <f>SUMPRODUCT((M_BOM[Part Name]=$A78)*M_BOM[RM_Qty_Per_Batch]*IFERROR(INDEX(PP_Grid[#Data],M_BOM[PPGridRow],45),0))/32.24</f>
        <v/>
      </c>
      <c r="AT78">
        <f>SUMPRODUCT((M_BOM[Part Name]=$A78)*M_BOM[RM_Qty_Per_Batch]*IFERROR(INDEX(PP_Grid[#Data],M_BOM[PPGridRow],46),0))/32.24</f>
        <v/>
      </c>
      <c r="AU78">
        <f>SUMPRODUCT((M_BOM[Part Name]=$A78)*M_BOM[RM_Qty_Per_Batch]*IFERROR(INDEX(PP_Grid[#Data],M_BOM[PPGridRow],47),0))/32.24</f>
        <v/>
      </c>
      <c r="AV78">
        <f>SUMPRODUCT((M_BOM[Part Name]=$A78)*M_BOM[RM_Qty_Per_Batch]*IFERROR(INDEX(PP_Grid[#Data],M_BOM[PPGridRow],48),0))/32.24</f>
        <v/>
      </c>
      <c r="AW78">
        <f>SUMPRODUCT((M_BOM[Part Name]=$A78)*M_BOM[RM_Qty_Per_Batch]*IFERROR(INDEX(PP_Grid[#Data],M_BOM[PPGridRow],49),0))/32.24</f>
        <v/>
      </c>
      <c r="AX78">
        <f>SUMPRODUCT((M_BOM[Part Name]=$A78)*M_BOM[RM_Qty_Per_Batch]*IFERROR(INDEX(PP_Grid[#Data],M_BOM[PPGridRow],50),0))/32.24</f>
        <v/>
      </c>
      <c r="AY78">
        <f>SUMPRODUCT((M_BOM[Part Name]=$A78)*M_BOM[RM_Qty_Per_Batch]*IFERROR(INDEX(PP_Grid[#Data],M_BOM[PPGridRow],51),0))/32.24</f>
        <v/>
      </c>
      <c r="AZ78">
        <f>SUMPRODUCT((M_BOM[Part Name]=$A78)*M_BOM[RM_Qty_Per_Batch]*IFERROR(INDEX(PP_Grid[#Data],M_BOM[PPGridRow],52),0))/32.24</f>
        <v/>
      </c>
      <c r="BA78">
        <f>SUMPRODUCT((M_BOM[Part Name]=$A78)*M_BOM[RM_Qty_Per_Batch]*IFERROR(INDEX(PP_Grid[#Data],M_BOM[PPGridRow],53),0))/32.24</f>
        <v/>
      </c>
      <c r="BB78">
        <f>SUMPRODUCT((M_BOM[Part Name]=$A78)*M_BOM[RM_Qty_Per_Batch]*IFERROR(INDEX(PP_Grid[#Data],M_BOM[PPGridRow],54),0))/32.24</f>
        <v/>
      </c>
      <c r="BC78">
        <f>SUMPRODUCT((M_BOM[Part Name]=$A78)*M_BOM[RM_Qty_Per_Batch]*IFERROR(INDEX(PP_Grid[#Data],M_BOM[PPGridRow],55),0))/32.24</f>
        <v/>
      </c>
      <c r="BD78">
        <f>SUMPRODUCT((M_BOM[Part Name]=$A78)*M_BOM[RM_Qty_Per_Batch]*IFERROR(INDEX(PP_Grid[#Data],M_BOM[PPGridRow],56),0))/32.24</f>
        <v/>
      </c>
      <c r="BE78">
        <f>SUMPRODUCT((M_BOM[Part Name]=$A78)*M_BOM[RM_Qty_Per_Batch]*IFERROR(INDEX(PP_Grid[#Data],M_BOM[PPGridRow],57),0))/32.24</f>
        <v/>
      </c>
      <c r="BF78">
        <f>SUMPRODUCT((M_BOM[Part Name]=$A78)*M_BOM[RM_Qty_Per_Batch]*IFERROR(INDEX(PP_Grid[#Data],M_BOM[PPGridRow],58),0))/32.24</f>
        <v/>
      </c>
      <c r="BG78">
        <f>SUMPRODUCT((M_BOM[Part Name]=$A78)*M_BOM[RM_Qty_Per_Batch]*IFERROR(INDEX(PP_Grid[#Data],M_BOM[PPGridRow],59),0))/32.24</f>
        <v/>
      </c>
      <c r="BH78">
        <f>SUMPRODUCT((M_BOM[Part Name]=$A78)*M_BOM[RM_Qty_Per_Batch]*IFERROR(INDEX(PP_Grid[#Data],M_BOM[PPGridRow],60),0))/32.24</f>
        <v/>
      </c>
      <c r="BI78">
        <f>SUMPRODUCT((M_BOM[Part Name]=$A78)*M_BOM[RM_Qty_Per_Batch]*IFERROR(INDEX(PP_Grid[#Data],M_BOM[PPGridRow],61),0))/32.24</f>
        <v/>
      </c>
      <c r="BJ78">
        <f>SUMPRODUCT((M_BOM[Part Name]=$A78)*M_BOM[RM_Qty_Per_Batch]*IFERROR(INDEX(PP_Grid[#Data],M_BOM[PPGridRow],62),0))/32.24</f>
        <v/>
      </c>
      <c r="BK78">
        <f>SUMPRODUCT((M_BOM[Part Name]=$A78)*M_BOM[RM_Qty_Per_Batch]*IFERROR(INDEX(PP_Grid[#Data],M_BOM[PPGridRow],63),0))/32.24</f>
        <v/>
      </c>
      <c r="BL78">
        <f>SUMPRODUCT((M_BOM[Part Name]=$A78)*M_BOM[RM_Qty_Per_Batch]*IFERROR(INDEX(PP_Grid[#Data],M_BOM[PPGridRow],64),0))/32.24</f>
        <v/>
      </c>
      <c r="BM78">
        <f>SUMPRODUCT((M_BOM[Part Name]=$A78)*M_BOM[RM_Qty_Per_Batch]*IFERROR(INDEX(PP_Grid[#Data],M_BOM[PPGridRow],65),0))/32.24</f>
        <v/>
      </c>
      <c r="BN78">
        <f>SUMPRODUCT((M_BOM[Part Name]=$A78)*M_BOM[RM_Qty_Per_Batch]*IFERROR(INDEX(PP_Grid[#Data],M_BOM[PPGridRow],66),0))/32.24</f>
        <v/>
      </c>
      <c r="BO78">
        <f>SUMPRODUCT((M_BOM[Part Name]=$A78)*M_BOM[RM_Qty_Per_Batch]*IFERROR(INDEX(PP_Grid[#Data],M_BOM[PPGridRow],67),0))/32.24</f>
        <v/>
      </c>
      <c r="BP78">
        <f>SUMPRODUCT((M_BOM[Part Name]=$A78)*M_BOM[RM_Qty_Per_Batch]*IFERROR(INDEX(PP_Grid[#Data],M_BOM[PPGridRow],68),0))/32.24</f>
        <v/>
      </c>
      <c r="BQ78">
        <f>SUMPRODUCT((M_BOM[Part Name]=$A78)*M_BOM[RM_Qty_Per_Batch]*IFERROR(INDEX(PP_Grid[#Data],M_BOM[PPGridRow],69),0))/32.24</f>
        <v/>
      </c>
      <c r="BR78">
        <f>SUMPRODUCT((M_BOM[Part Name]=$A78)*M_BOM[RM_Qty_Per_Batch]*IFERROR(INDEX(PP_Grid[#Data],M_BOM[PPGridRow],70),0))/32.24</f>
        <v/>
      </c>
      <c r="BS78">
        <f>SUMPRODUCT((M_BOM[Part Name]=$A78)*M_BOM[RM_Qty_Per_Batch]*IFERROR(INDEX(PP_Grid[#Data],M_BOM[PPGridRow],71),0))/32.24</f>
        <v/>
      </c>
      <c r="BT78">
        <f>SUMPRODUCT((M_BOM[Part Name]=$A78)*M_BOM[RM_Qty_Per_Batch]*IFERROR(INDEX(PP_Grid[#Data],M_BOM[PPGridRow],72),0))/32.24</f>
        <v/>
      </c>
      <c r="BU78">
        <f>SUMPRODUCT((M_BOM[Part Name]=$A78)*M_BOM[RM_Qty_Per_Batch]*IFERROR(INDEX(PP_Grid[#Data],M_BOM[PPGridRow],73),0))/32.24</f>
        <v/>
      </c>
      <c r="BV78">
        <f>SUMPRODUCT((M_BOM[Part Name]=$A78)*M_BOM[RM_Qty_Per_Batch]*IFERROR(INDEX(PP_Grid[#Data],M_BOM[PPGridRow],74),0))/32.24</f>
        <v/>
      </c>
      <c r="BW78">
        <f>SUMPRODUCT((M_BOM[Part Name]=$A78)*M_BOM[RM_Qty_Per_Batch]*IFERROR(INDEX(PP_Grid[#Data],M_BOM[PPGridRow],75),0))/32.24</f>
        <v/>
      </c>
      <c r="BX78">
        <f>SUMPRODUCT((M_BOM[Part Name]=$A78)*M_BOM[RM_Qty_Per_Batch]*IFERROR(INDEX(PP_Grid[#Data],M_BOM[PPGridRow],76),0))/32.24</f>
        <v/>
      </c>
      <c r="BY78">
        <f>SUMPRODUCT((M_BOM[Part Name]=$A78)*M_BOM[RM_Qty_Per_Batch]*IFERROR(INDEX(PP_Grid[#Data],M_BOM[PPGridRow],77),0))/32.24</f>
        <v/>
      </c>
      <c r="BZ78">
        <f>SUMPRODUCT((M_BOM[Part Name]=$A78)*M_BOM[RM_Qty_Per_Batch]*IFERROR(INDEX(PP_Grid[#Data],M_BOM[PPGridRow],78),0))/32.24</f>
        <v/>
      </c>
      <c r="CA78">
        <f>SUMPRODUCT((M_BOM[Part Name]=$A78)*M_BOM[RM_Qty_Per_Batch]*IFERROR(INDEX(PP_Grid[#Data],M_BOM[PPGridRow],79),0))/32.24</f>
        <v/>
      </c>
      <c r="CB78">
        <f>SUMPRODUCT((M_BOM[Part Name]=$A78)*M_BOM[RM_Qty_Per_Batch]*IFERROR(INDEX(PP_Grid[#Data],M_BOM[PPGridRow],80),0))/32.24</f>
        <v/>
      </c>
      <c r="CC78">
        <f>SUMPRODUCT((M_BOM[Part Name]=$A78)*M_BOM[RM_Qty_Per_Batch]*IFERROR(INDEX(PP_Grid[#Data],M_BOM[PPGridRow],81),0))/32.24</f>
        <v/>
      </c>
      <c r="CD78">
        <f>SUMPRODUCT((M_BOM[Part Name]=$A78)*M_BOM[RM_Qty_Per_Batch]*IFERROR(INDEX(PP_Grid[#Data],M_BOM[PPGridRow],82),0))/32.24</f>
        <v/>
      </c>
      <c r="CE78">
        <f>SUMPRODUCT((M_BOM[Part Name]=$A78)*M_BOM[RM_Qty_Per_Batch]*IFERROR(INDEX(PP_Grid[#Data],M_BOM[PPGridRow],83),0))/32.24</f>
        <v/>
      </c>
      <c r="CF78">
        <f>SUMPRODUCT((M_BOM[Part Name]=$A78)*M_BOM[RM_Qty_Per_Batch]*IFERROR(INDEX(PP_Grid[#Data],M_BOM[PPGridRow],84),0))/32.24</f>
        <v/>
      </c>
      <c r="CG78">
        <f>SUMPRODUCT((M_BOM[Part Name]=$A78)*M_BOM[RM_Qty_Per_Batch]*IFERROR(INDEX(PP_Grid[#Data],M_BOM[PPGridRow],85),0))/32.24</f>
        <v/>
      </c>
      <c r="CH78">
        <f>SUMPRODUCT((M_BOM[Part Name]=$A78)*M_BOM[RM_Qty_Per_Batch]*IFERROR(INDEX(PP_Grid[#Data],M_BOM[PPGridRow],86),0))/32.24</f>
        <v/>
      </c>
      <c r="CI78">
        <f>SUMPRODUCT((M_BOM[Part Name]=$A78)*M_BOM[RM_Qty_Per_Batch]*IFERROR(INDEX(PP_Grid[#Data],M_BOM[PPGridRow],87),0))/32.24</f>
        <v/>
      </c>
      <c r="CJ78">
        <f>SUMPRODUCT((M_BOM[Part Name]=$A78)*M_BOM[RM_Qty_Per_Batch]*IFERROR(INDEX(PP_Grid[#Data],M_BOM[PPGridRow],88),0))/32.24</f>
        <v/>
      </c>
      <c r="CK78">
        <f>SUMPRODUCT((M_BOM[Part Name]=$A78)*M_BOM[RM_Qty_Per_Batch]*IFERROR(INDEX(PP_Grid[#Data],M_BOM[PPGridRow],89),0))/32.24</f>
        <v/>
      </c>
      <c r="CL78">
        <f>SUMPRODUCT((M_BOM[Part Name]=$A78)*M_BOM[RM_Qty_Per_Batch]*IFERROR(INDEX(PP_Grid[#Data],M_BOM[PPGridRow],90),0))/32.24</f>
        <v/>
      </c>
      <c r="CM78">
        <f>SUMPRODUCT((M_BOM[Part Name]=$A78)*M_BOM[RM_Qty_Per_Batch]*IFERROR(INDEX(PP_Grid[#Data],M_BOM[PPGridRow],91),0))/32.24</f>
        <v/>
      </c>
      <c r="CN78">
        <f>SUMPRODUCT((M_BOM[Part Name]=$A78)*M_BOM[RM_Qty_Per_Batch]*IFERROR(INDEX(PP_Grid[#Data],M_BOM[PPGridRow],92),0))/32.24</f>
        <v/>
      </c>
      <c r="CO78">
        <f>SUMPRODUCT((M_BOM[Part Name]=$A78)*M_BOM[RM_Qty_Per_Batch]*IFERROR(INDEX(PP_Grid[#Data],M_BOM[PPGridRow],93),0))/32.24</f>
        <v/>
      </c>
      <c r="CP78">
        <f>SUMPRODUCT((M_BOM[Part Name]=$A78)*M_BOM[RM_Qty_Per_Batch]*IFERROR(INDEX(PP_Grid[#Data],M_BOM[PPGridRow],94),0))/32.24</f>
        <v/>
      </c>
      <c r="CQ78">
        <f>SUMPRODUCT((M_BOM[Part Name]=$A78)*M_BOM[RM_Qty_Per_Batch]*IFERROR(INDEX(PP_Grid[#Data],M_BOM[PPGridRow],95),0))/32.24</f>
        <v/>
      </c>
      <c r="CR78">
        <f>SUMPRODUCT((M_BOM[Part Name]=$A78)*M_BOM[RM_Qty_Per_Batch]*IFERROR(INDEX(PP_Grid[#Data],M_BOM[PPGridRow],96),0))/32.24</f>
        <v/>
      </c>
      <c r="CS78">
        <f>SUMPRODUCT((M_BOM[Part Name]=$A78)*M_BOM[RM_Qty_Per_Batch]*IFERROR(INDEX(PP_Grid[#Data],M_BOM[PPGridRow],97),0))/32.24</f>
        <v/>
      </c>
      <c r="CT78">
        <f>SUMPRODUCT((M_BOM[Part Name]=$A78)*M_BOM[RM_Qty_Per_Batch]*IFERROR(INDEX(PP_Grid[#Data],M_BOM[PPGridRow],98),0))/32.24</f>
        <v/>
      </c>
      <c r="CU78">
        <f>SUMPRODUCT((M_BOM[Part Name]=$A78)*M_BOM[RM_Qty_Per_Batch]*IFERROR(INDEX(PP_Grid[#Data],M_BOM[PPGridRow],99),0))/32.24</f>
        <v/>
      </c>
      <c r="CV78">
        <f>SUMPRODUCT((M_BOM[Part Name]=$A78)*M_BOM[RM_Qty_Per_Batch]*IFERROR(INDEX(PP_Grid[#Data],M_BOM[PPGridRow],100),0))/32.24</f>
        <v/>
      </c>
      <c r="CW78">
        <f>SUMPRODUCT((M_BOM[Part Name]=$A78)*M_BOM[RM_Qty_Per_Batch]*IFERROR(INDEX(PP_Grid[#Data],M_BOM[PPGridRow],101),0))/32.24</f>
        <v/>
      </c>
      <c r="CX78">
        <f>SUMPRODUCT((M_BOM[Part Name]=$A78)*M_BOM[RM_Qty_Per_Batch]*IFERROR(INDEX(PP_Grid[#Data],M_BOM[PPGridRow],102),0))/32.24</f>
        <v/>
      </c>
      <c r="CY78">
        <f>SUMPRODUCT((M_BOM[Part Name]=$A78)*M_BOM[RM_Qty_Per_Batch]*IFERROR(INDEX(PP_Grid[#Data],M_BOM[PPGridRow],103),0))/32.24</f>
        <v/>
      </c>
      <c r="CZ78">
        <f>SUMPRODUCT((M_BOM[Part Name]=$A78)*M_BOM[RM_Qty_Per_Batch]*IFERROR(INDEX(PP_Grid[#Data],M_BOM[PPGridRow],104),0))/32.24</f>
        <v/>
      </c>
      <c r="DA78">
        <f>SUMPRODUCT((M_BOM[Part Name]=$A78)*M_BOM[RM_Qty_Per_Batch]*IFERROR(INDEX(PP_Grid[#Data],M_BOM[PPGridRow],105),0))/32.24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Name]=$A79)*M_BOM[RM_Qty_Per_Batch]*IFERROR(INDEX(PP_Grid[#Data],M_BOM[PPGridRow],2),0))/58.21</f>
        <v/>
      </c>
      <c r="C79">
        <f>SUMPRODUCT((M_BOM[Part Name]=$A79)*M_BOM[RM_Qty_Per_Batch]*IFERROR(INDEX(PP_Grid[#Data],M_BOM[PPGridRow],3),0))/58.21</f>
        <v/>
      </c>
      <c r="D79">
        <f>SUMPRODUCT((M_BOM[Part Name]=$A79)*M_BOM[RM_Qty_Per_Batch]*IFERROR(INDEX(PP_Grid[#Data],M_BOM[PPGridRow],4),0))/58.21</f>
        <v/>
      </c>
      <c r="E79">
        <f>SUMPRODUCT((M_BOM[Part Name]=$A79)*M_BOM[RM_Qty_Per_Batch]*IFERROR(INDEX(PP_Grid[#Data],M_BOM[PPGridRow],5),0))/58.21</f>
        <v/>
      </c>
      <c r="F79">
        <f>SUMPRODUCT((M_BOM[Part Name]=$A79)*M_BOM[RM_Qty_Per_Batch]*IFERROR(INDEX(PP_Grid[#Data],M_BOM[PPGridRow],6),0))/58.21</f>
        <v/>
      </c>
      <c r="G79">
        <f>SUMPRODUCT((M_BOM[Part Name]=$A79)*M_BOM[RM_Qty_Per_Batch]*IFERROR(INDEX(PP_Grid[#Data],M_BOM[PPGridRow],7),0))/58.21</f>
        <v/>
      </c>
      <c r="H79">
        <f>SUMPRODUCT((M_BOM[Part Name]=$A79)*M_BOM[RM_Qty_Per_Batch]*IFERROR(INDEX(PP_Grid[#Data],M_BOM[PPGridRow],8),0))/58.21</f>
        <v/>
      </c>
      <c r="I79">
        <f>SUMPRODUCT((M_BOM[Part Name]=$A79)*M_BOM[RM_Qty_Per_Batch]*IFERROR(INDEX(PP_Grid[#Data],M_BOM[PPGridRow],9),0))/58.21</f>
        <v/>
      </c>
      <c r="J79">
        <f>SUMPRODUCT((M_BOM[Part Name]=$A79)*M_BOM[RM_Qty_Per_Batch]*IFERROR(INDEX(PP_Grid[#Data],M_BOM[PPGridRow],10),0))/58.21</f>
        <v/>
      </c>
      <c r="K79">
        <f>SUMPRODUCT((M_BOM[Part Name]=$A79)*M_BOM[RM_Qty_Per_Batch]*IFERROR(INDEX(PP_Grid[#Data],M_BOM[PPGridRow],11),0))/58.21</f>
        <v/>
      </c>
      <c r="L79">
        <f>SUMPRODUCT((M_BOM[Part Name]=$A79)*M_BOM[RM_Qty_Per_Batch]*IFERROR(INDEX(PP_Grid[#Data],M_BOM[PPGridRow],12),0))/58.21</f>
        <v/>
      </c>
      <c r="M79">
        <f>SUMPRODUCT((M_BOM[Part Name]=$A79)*M_BOM[RM_Qty_Per_Batch]*IFERROR(INDEX(PP_Grid[#Data],M_BOM[PPGridRow],13),0))/58.21</f>
        <v/>
      </c>
      <c r="N79">
        <f>SUMPRODUCT((M_BOM[Part Name]=$A79)*M_BOM[RM_Qty_Per_Batch]*IFERROR(INDEX(PP_Grid[#Data],M_BOM[PPGridRow],14),0))/58.21</f>
        <v/>
      </c>
      <c r="O79">
        <f>SUMPRODUCT((M_BOM[Part Name]=$A79)*M_BOM[RM_Qty_Per_Batch]*IFERROR(INDEX(PP_Grid[#Data],M_BOM[PPGridRow],15),0))/58.21</f>
        <v/>
      </c>
      <c r="P79">
        <f>SUMPRODUCT((M_BOM[Part Name]=$A79)*M_BOM[RM_Qty_Per_Batch]*IFERROR(INDEX(PP_Grid[#Data],M_BOM[PPGridRow],16),0))/58.21</f>
        <v/>
      </c>
      <c r="Q79">
        <f>SUMPRODUCT((M_BOM[Part Name]=$A79)*M_BOM[RM_Qty_Per_Batch]*IFERROR(INDEX(PP_Grid[#Data],M_BOM[PPGridRow],17),0))/58.21</f>
        <v/>
      </c>
      <c r="R79">
        <f>SUMPRODUCT((M_BOM[Part Name]=$A79)*M_BOM[RM_Qty_Per_Batch]*IFERROR(INDEX(PP_Grid[#Data],M_BOM[PPGridRow],18),0))/58.21</f>
        <v/>
      </c>
      <c r="S79">
        <f>SUMPRODUCT((M_BOM[Part Name]=$A79)*M_BOM[RM_Qty_Per_Batch]*IFERROR(INDEX(PP_Grid[#Data],M_BOM[PPGridRow],19),0))/58.21</f>
        <v/>
      </c>
      <c r="T79">
        <f>SUMPRODUCT((M_BOM[Part Name]=$A79)*M_BOM[RM_Qty_Per_Batch]*IFERROR(INDEX(PP_Grid[#Data],M_BOM[PPGridRow],20),0))/58.21</f>
        <v/>
      </c>
      <c r="U79">
        <f>SUMPRODUCT((M_BOM[Part Name]=$A79)*M_BOM[RM_Qty_Per_Batch]*IFERROR(INDEX(PP_Grid[#Data],M_BOM[PPGridRow],21),0))/58.21</f>
        <v/>
      </c>
      <c r="V79">
        <f>SUMPRODUCT((M_BOM[Part Name]=$A79)*M_BOM[RM_Qty_Per_Batch]*IFERROR(INDEX(PP_Grid[#Data],M_BOM[PPGridRow],22),0))/58.21</f>
        <v/>
      </c>
      <c r="W79">
        <f>SUMPRODUCT((M_BOM[Part Name]=$A79)*M_BOM[RM_Qty_Per_Batch]*IFERROR(INDEX(PP_Grid[#Data],M_BOM[PPGridRow],23),0))/58.21</f>
        <v/>
      </c>
      <c r="X79">
        <f>SUMPRODUCT((M_BOM[Part Name]=$A79)*M_BOM[RM_Qty_Per_Batch]*IFERROR(INDEX(PP_Grid[#Data],M_BOM[PPGridRow],24),0))/58.21</f>
        <v/>
      </c>
      <c r="Y79">
        <f>SUMPRODUCT((M_BOM[Part Name]=$A79)*M_BOM[RM_Qty_Per_Batch]*IFERROR(INDEX(PP_Grid[#Data],M_BOM[PPGridRow],25),0))/58.21</f>
        <v/>
      </c>
      <c r="Z79">
        <f>SUMPRODUCT((M_BOM[Part Name]=$A79)*M_BOM[RM_Qty_Per_Batch]*IFERROR(INDEX(PP_Grid[#Data],M_BOM[PPGridRow],26),0))/58.21</f>
        <v/>
      </c>
      <c r="AA79">
        <f>SUMPRODUCT((M_BOM[Part Name]=$A79)*M_BOM[RM_Qty_Per_Batch]*IFERROR(INDEX(PP_Grid[#Data],M_BOM[PPGridRow],27),0))/58.21</f>
        <v/>
      </c>
      <c r="AB79">
        <f>SUMPRODUCT((M_BOM[Part Name]=$A79)*M_BOM[RM_Qty_Per_Batch]*IFERROR(INDEX(PP_Grid[#Data],M_BOM[PPGridRow],28),0))/58.21</f>
        <v/>
      </c>
      <c r="AC79">
        <f>SUMPRODUCT((M_BOM[Part Name]=$A79)*M_BOM[RM_Qty_Per_Batch]*IFERROR(INDEX(PP_Grid[#Data],M_BOM[PPGridRow],29),0))/58.21</f>
        <v/>
      </c>
      <c r="AD79">
        <f>SUMPRODUCT((M_BOM[Part Name]=$A79)*M_BOM[RM_Qty_Per_Batch]*IFERROR(INDEX(PP_Grid[#Data],M_BOM[PPGridRow],30),0))/58.21</f>
        <v/>
      </c>
      <c r="AE79">
        <f>SUMPRODUCT((M_BOM[Part Name]=$A79)*M_BOM[RM_Qty_Per_Batch]*IFERROR(INDEX(PP_Grid[#Data],M_BOM[PPGridRow],31),0))/58.21</f>
        <v/>
      </c>
      <c r="AF79">
        <f>SUMPRODUCT((M_BOM[Part Name]=$A79)*M_BOM[RM_Qty_Per_Batch]*IFERROR(INDEX(PP_Grid[#Data],M_BOM[PPGridRow],32),0))/58.21</f>
        <v/>
      </c>
      <c r="AG79">
        <f>SUMPRODUCT((M_BOM[Part Name]=$A79)*M_BOM[RM_Qty_Per_Batch]*IFERROR(INDEX(PP_Grid[#Data],M_BOM[PPGridRow],33),0))/58.21</f>
        <v/>
      </c>
      <c r="AH79">
        <f>SUMPRODUCT((M_BOM[Part Name]=$A79)*M_BOM[RM_Qty_Per_Batch]*IFERROR(INDEX(PP_Grid[#Data],M_BOM[PPGridRow],34),0))/58.21</f>
        <v/>
      </c>
      <c r="AI79">
        <f>SUMPRODUCT((M_BOM[Part Name]=$A79)*M_BOM[RM_Qty_Per_Batch]*IFERROR(INDEX(PP_Grid[#Data],M_BOM[PPGridRow],35),0))/58.21</f>
        <v/>
      </c>
      <c r="AJ79">
        <f>SUMPRODUCT((M_BOM[Part Name]=$A79)*M_BOM[RM_Qty_Per_Batch]*IFERROR(INDEX(PP_Grid[#Data],M_BOM[PPGridRow],36),0))/58.21</f>
        <v/>
      </c>
      <c r="AK79">
        <f>SUMPRODUCT((M_BOM[Part Name]=$A79)*M_BOM[RM_Qty_Per_Batch]*IFERROR(INDEX(PP_Grid[#Data],M_BOM[PPGridRow],37),0))/58.21</f>
        <v/>
      </c>
      <c r="AL79">
        <f>SUMPRODUCT((M_BOM[Part Name]=$A79)*M_BOM[RM_Qty_Per_Batch]*IFERROR(INDEX(PP_Grid[#Data],M_BOM[PPGridRow],38),0))/58.21</f>
        <v/>
      </c>
      <c r="AM79">
        <f>SUMPRODUCT((M_BOM[Part Name]=$A79)*M_BOM[RM_Qty_Per_Batch]*IFERROR(INDEX(PP_Grid[#Data],M_BOM[PPGridRow],39),0))/58.21</f>
        <v/>
      </c>
      <c r="AN79">
        <f>SUMPRODUCT((M_BOM[Part Name]=$A79)*M_BOM[RM_Qty_Per_Batch]*IFERROR(INDEX(PP_Grid[#Data],M_BOM[PPGridRow],40),0))/58.21</f>
        <v/>
      </c>
      <c r="AO79">
        <f>SUMPRODUCT((M_BOM[Part Name]=$A79)*M_BOM[RM_Qty_Per_Batch]*IFERROR(INDEX(PP_Grid[#Data],M_BOM[PPGridRow],41),0))/58.21</f>
        <v/>
      </c>
      <c r="AP79">
        <f>SUMPRODUCT((M_BOM[Part Name]=$A79)*M_BOM[RM_Qty_Per_Batch]*IFERROR(INDEX(PP_Grid[#Data],M_BOM[PPGridRow],42),0))/58.21</f>
        <v/>
      </c>
      <c r="AQ79">
        <f>SUMPRODUCT((M_BOM[Part Name]=$A79)*M_BOM[RM_Qty_Per_Batch]*IFERROR(INDEX(PP_Grid[#Data],M_BOM[PPGridRow],43),0))/58.21</f>
        <v/>
      </c>
      <c r="AR79">
        <f>SUMPRODUCT((M_BOM[Part Name]=$A79)*M_BOM[RM_Qty_Per_Batch]*IFERROR(INDEX(PP_Grid[#Data],M_BOM[PPGridRow],44),0))/58.21</f>
        <v/>
      </c>
      <c r="AS79">
        <f>SUMPRODUCT((M_BOM[Part Name]=$A79)*M_BOM[RM_Qty_Per_Batch]*IFERROR(INDEX(PP_Grid[#Data],M_BOM[PPGridRow],45),0))/58.21</f>
        <v/>
      </c>
      <c r="AT79">
        <f>SUMPRODUCT((M_BOM[Part Name]=$A79)*M_BOM[RM_Qty_Per_Batch]*IFERROR(INDEX(PP_Grid[#Data],M_BOM[PPGridRow],46),0))/58.21</f>
        <v/>
      </c>
      <c r="AU79">
        <f>SUMPRODUCT((M_BOM[Part Name]=$A79)*M_BOM[RM_Qty_Per_Batch]*IFERROR(INDEX(PP_Grid[#Data],M_BOM[PPGridRow],47),0))/58.21</f>
        <v/>
      </c>
      <c r="AV79">
        <f>SUMPRODUCT((M_BOM[Part Name]=$A79)*M_BOM[RM_Qty_Per_Batch]*IFERROR(INDEX(PP_Grid[#Data],M_BOM[PPGridRow],48),0))/58.21</f>
        <v/>
      </c>
      <c r="AW79">
        <f>SUMPRODUCT((M_BOM[Part Name]=$A79)*M_BOM[RM_Qty_Per_Batch]*IFERROR(INDEX(PP_Grid[#Data],M_BOM[PPGridRow],49),0))/58.21</f>
        <v/>
      </c>
      <c r="AX79">
        <f>SUMPRODUCT((M_BOM[Part Name]=$A79)*M_BOM[RM_Qty_Per_Batch]*IFERROR(INDEX(PP_Grid[#Data],M_BOM[PPGridRow],50),0))/58.21</f>
        <v/>
      </c>
      <c r="AY79">
        <f>SUMPRODUCT((M_BOM[Part Name]=$A79)*M_BOM[RM_Qty_Per_Batch]*IFERROR(INDEX(PP_Grid[#Data],M_BOM[PPGridRow],51),0))/58.21</f>
        <v/>
      </c>
      <c r="AZ79">
        <f>SUMPRODUCT((M_BOM[Part Name]=$A79)*M_BOM[RM_Qty_Per_Batch]*IFERROR(INDEX(PP_Grid[#Data],M_BOM[PPGridRow],52),0))/58.21</f>
        <v/>
      </c>
      <c r="BA79">
        <f>SUMPRODUCT((M_BOM[Part Name]=$A79)*M_BOM[RM_Qty_Per_Batch]*IFERROR(INDEX(PP_Grid[#Data],M_BOM[PPGridRow],53),0))/58.21</f>
        <v/>
      </c>
      <c r="BB79">
        <f>SUMPRODUCT((M_BOM[Part Name]=$A79)*M_BOM[RM_Qty_Per_Batch]*IFERROR(INDEX(PP_Grid[#Data],M_BOM[PPGridRow],54),0))/58.21</f>
        <v/>
      </c>
      <c r="BC79">
        <f>SUMPRODUCT((M_BOM[Part Name]=$A79)*M_BOM[RM_Qty_Per_Batch]*IFERROR(INDEX(PP_Grid[#Data],M_BOM[PPGridRow],55),0))/58.21</f>
        <v/>
      </c>
      <c r="BD79">
        <f>SUMPRODUCT((M_BOM[Part Name]=$A79)*M_BOM[RM_Qty_Per_Batch]*IFERROR(INDEX(PP_Grid[#Data],M_BOM[PPGridRow],56),0))/58.21</f>
        <v/>
      </c>
      <c r="BE79">
        <f>SUMPRODUCT((M_BOM[Part Name]=$A79)*M_BOM[RM_Qty_Per_Batch]*IFERROR(INDEX(PP_Grid[#Data],M_BOM[PPGridRow],57),0))/58.21</f>
        <v/>
      </c>
      <c r="BF79">
        <f>SUMPRODUCT((M_BOM[Part Name]=$A79)*M_BOM[RM_Qty_Per_Batch]*IFERROR(INDEX(PP_Grid[#Data],M_BOM[PPGridRow],58),0))/58.21</f>
        <v/>
      </c>
      <c r="BG79">
        <f>SUMPRODUCT((M_BOM[Part Name]=$A79)*M_BOM[RM_Qty_Per_Batch]*IFERROR(INDEX(PP_Grid[#Data],M_BOM[PPGridRow],59),0))/58.21</f>
        <v/>
      </c>
      <c r="BH79">
        <f>SUMPRODUCT((M_BOM[Part Name]=$A79)*M_BOM[RM_Qty_Per_Batch]*IFERROR(INDEX(PP_Grid[#Data],M_BOM[PPGridRow],60),0))/58.21</f>
        <v/>
      </c>
      <c r="BI79">
        <f>SUMPRODUCT((M_BOM[Part Name]=$A79)*M_BOM[RM_Qty_Per_Batch]*IFERROR(INDEX(PP_Grid[#Data],M_BOM[PPGridRow],61),0))/58.21</f>
        <v/>
      </c>
      <c r="BJ79">
        <f>SUMPRODUCT((M_BOM[Part Name]=$A79)*M_BOM[RM_Qty_Per_Batch]*IFERROR(INDEX(PP_Grid[#Data],M_BOM[PPGridRow],62),0))/58.21</f>
        <v/>
      </c>
      <c r="BK79">
        <f>SUMPRODUCT((M_BOM[Part Name]=$A79)*M_BOM[RM_Qty_Per_Batch]*IFERROR(INDEX(PP_Grid[#Data],M_BOM[PPGridRow],63),0))/58.21</f>
        <v/>
      </c>
      <c r="BL79">
        <f>SUMPRODUCT((M_BOM[Part Name]=$A79)*M_BOM[RM_Qty_Per_Batch]*IFERROR(INDEX(PP_Grid[#Data],M_BOM[PPGridRow],64),0))/58.21</f>
        <v/>
      </c>
      <c r="BM79">
        <f>SUMPRODUCT((M_BOM[Part Name]=$A79)*M_BOM[RM_Qty_Per_Batch]*IFERROR(INDEX(PP_Grid[#Data],M_BOM[PPGridRow],65),0))/58.21</f>
        <v/>
      </c>
      <c r="BN79">
        <f>SUMPRODUCT((M_BOM[Part Name]=$A79)*M_BOM[RM_Qty_Per_Batch]*IFERROR(INDEX(PP_Grid[#Data],M_BOM[PPGridRow],66),0))/58.21</f>
        <v/>
      </c>
      <c r="BO79">
        <f>SUMPRODUCT((M_BOM[Part Name]=$A79)*M_BOM[RM_Qty_Per_Batch]*IFERROR(INDEX(PP_Grid[#Data],M_BOM[PPGridRow],67),0))/58.21</f>
        <v/>
      </c>
      <c r="BP79">
        <f>SUMPRODUCT((M_BOM[Part Name]=$A79)*M_BOM[RM_Qty_Per_Batch]*IFERROR(INDEX(PP_Grid[#Data],M_BOM[PPGridRow],68),0))/58.21</f>
        <v/>
      </c>
      <c r="BQ79">
        <f>SUMPRODUCT((M_BOM[Part Name]=$A79)*M_BOM[RM_Qty_Per_Batch]*IFERROR(INDEX(PP_Grid[#Data],M_BOM[PPGridRow],69),0))/58.21</f>
        <v/>
      </c>
      <c r="BR79">
        <f>SUMPRODUCT((M_BOM[Part Name]=$A79)*M_BOM[RM_Qty_Per_Batch]*IFERROR(INDEX(PP_Grid[#Data],M_BOM[PPGridRow],70),0))/58.21</f>
        <v/>
      </c>
      <c r="BS79">
        <f>SUMPRODUCT((M_BOM[Part Name]=$A79)*M_BOM[RM_Qty_Per_Batch]*IFERROR(INDEX(PP_Grid[#Data],M_BOM[PPGridRow],71),0))/58.21</f>
        <v/>
      </c>
      <c r="BT79">
        <f>SUMPRODUCT((M_BOM[Part Name]=$A79)*M_BOM[RM_Qty_Per_Batch]*IFERROR(INDEX(PP_Grid[#Data],M_BOM[PPGridRow],72),0))/58.21</f>
        <v/>
      </c>
      <c r="BU79">
        <f>SUMPRODUCT((M_BOM[Part Name]=$A79)*M_BOM[RM_Qty_Per_Batch]*IFERROR(INDEX(PP_Grid[#Data],M_BOM[PPGridRow],73),0))/58.21</f>
        <v/>
      </c>
      <c r="BV79">
        <f>SUMPRODUCT((M_BOM[Part Name]=$A79)*M_BOM[RM_Qty_Per_Batch]*IFERROR(INDEX(PP_Grid[#Data],M_BOM[PPGridRow],74),0))/58.21</f>
        <v/>
      </c>
      <c r="BW79">
        <f>SUMPRODUCT((M_BOM[Part Name]=$A79)*M_BOM[RM_Qty_Per_Batch]*IFERROR(INDEX(PP_Grid[#Data],M_BOM[PPGridRow],75),0))/58.21</f>
        <v/>
      </c>
      <c r="BX79">
        <f>SUMPRODUCT((M_BOM[Part Name]=$A79)*M_BOM[RM_Qty_Per_Batch]*IFERROR(INDEX(PP_Grid[#Data],M_BOM[PPGridRow],76),0))/58.21</f>
        <v/>
      </c>
      <c r="BY79">
        <f>SUMPRODUCT((M_BOM[Part Name]=$A79)*M_BOM[RM_Qty_Per_Batch]*IFERROR(INDEX(PP_Grid[#Data],M_BOM[PPGridRow],77),0))/58.21</f>
        <v/>
      </c>
      <c r="BZ79">
        <f>SUMPRODUCT((M_BOM[Part Name]=$A79)*M_BOM[RM_Qty_Per_Batch]*IFERROR(INDEX(PP_Grid[#Data],M_BOM[PPGridRow],78),0))/58.21</f>
        <v/>
      </c>
      <c r="CA79">
        <f>SUMPRODUCT((M_BOM[Part Name]=$A79)*M_BOM[RM_Qty_Per_Batch]*IFERROR(INDEX(PP_Grid[#Data],M_BOM[PPGridRow],79),0))/58.21</f>
        <v/>
      </c>
      <c r="CB79">
        <f>SUMPRODUCT((M_BOM[Part Name]=$A79)*M_BOM[RM_Qty_Per_Batch]*IFERROR(INDEX(PP_Grid[#Data],M_BOM[PPGridRow],80),0))/58.21</f>
        <v/>
      </c>
      <c r="CC79">
        <f>SUMPRODUCT((M_BOM[Part Name]=$A79)*M_BOM[RM_Qty_Per_Batch]*IFERROR(INDEX(PP_Grid[#Data],M_BOM[PPGridRow],81),0))/58.21</f>
        <v/>
      </c>
      <c r="CD79">
        <f>SUMPRODUCT((M_BOM[Part Name]=$A79)*M_BOM[RM_Qty_Per_Batch]*IFERROR(INDEX(PP_Grid[#Data],M_BOM[PPGridRow],82),0))/58.21</f>
        <v/>
      </c>
      <c r="CE79">
        <f>SUMPRODUCT((M_BOM[Part Name]=$A79)*M_BOM[RM_Qty_Per_Batch]*IFERROR(INDEX(PP_Grid[#Data],M_BOM[PPGridRow],83),0))/58.21</f>
        <v/>
      </c>
      <c r="CF79">
        <f>SUMPRODUCT((M_BOM[Part Name]=$A79)*M_BOM[RM_Qty_Per_Batch]*IFERROR(INDEX(PP_Grid[#Data],M_BOM[PPGridRow],84),0))/58.21</f>
        <v/>
      </c>
      <c r="CG79">
        <f>SUMPRODUCT((M_BOM[Part Name]=$A79)*M_BOM[RM_Qty_Per_Batch]*IFERROR(INDEX(PP_Grid[#Data],M_BOM[PPGridRow],85),0))/58.21</f>
        <v/>
      </c>
      <c r="CH79">
        <f>SUMPRODUCT((M_BOM[Part Name]=$A79)*M_BOM[RM_Qty_Per_Batch]*IFERROR(INDEX(PP_Grid[#Data],M_BOM[PPGridRow],86),0))/58.21</f>
        <v/>
      </c>
      <c r="CI79">
        <f>SUMPRODUCT((M_BOM[Part Name]=$A79)*M_BOM[RM_Qty_Per_Batch]*IFERROR(INDEX(PP_Grid[#Data],M_BOM[PPGridRow],87),0))/58.21</f>
        <v/>
      </c>
      <c r="CJ79">
        <f>SUMPRODUCT((M_BOM[Part Name]=$A79)*M_BOM[RM_Qty_Per_Batch]*IFERROR(INDEX(PP_Grid[#Data],M_BOM[PPGridRow],88),0))/58.21</f>
        <v/>
      </c>
      <c r="CK79">
        <f>SUMPRODUCT((M_BOM[Part Name]=$A79)*M_BOM[RM_Qty_Per_Batch]*IFERROR(INDEX(PP_Grid[#Data],M_BOM[PPGridRow],89),0))/58.21</f>
        <v/>
      </c>
      <c r="CL79">
        <f>SUMPRODUCT((M_BOM[Part Name]=$A79)*M_BOM[RM_Qty_Per_Batch]*IFERROR(INDEX(PP_Grid[#Data],M_BOM[PPGridRow],90),0))/58.21</f>
        <v/>
      </c>
      <c r="CM79">
        <f>SUMPRODUCT((M_BOM[Part Name]=$A79)*M_BOM[RM_Qty_Per_Batch]*IFERROR(INDEX(PP_Grid[#Data],M_BOM[PPGridRow],91),0))/58.21</f>
        <v/>
      </c>
      <c r="CN79">
        <f>SUMPRODUCT((M_BOM[Part Name]=$A79)*M_BOM[RM_Qty_Per_Batch]*IFERROR(INDEX(PP_Grid[#Data],M_BOM[PPGridRow],92),0))/58.21</f>
        <v/>
      </c>
      <c r="CO79">
        <f>SUMPRODUCT((M_BOM[Part Name]=$A79)*M_BOM[RM_Qty_Per_Batch]*IFERROR(INDEX(PP_Grid[#Data],M_BOM[PPGridRow],93),0))/58.21</f>
        <v/>
      </c>
      <c r="CP79">
        <f>SUMPRODUCT((M_BOM[Part Name]=$A79)*M_BOM[RM_Qty_Per_Batch]*IFERROR(INDEX(PP_Grid[#Data],M_BOM[PPGridRow],94),0))/58.21</f>
        <v/>
      </c>
      <c r="CQ79">
        <f>SUMPRODUCT((M_BOM[Part Name]=$A79)*M_BOM[RM_Qty_Per_Batch]*IFERROR(INDEX(PP_Grid[#Data],M_BOM[PPGridRow],95),0))/58.21</f>
        <v/>
      </c>
      <c r="CR79">
        <f>SUMPRODUCT((M_BOM[Part Name]=$A79)*M_BOM[RM_Qty_Per_Batch]*IFERROR(INDEX(PP_Grid[#Data],M_BOM[PPGridRow],96),0))/58.21</f>
        <v/>
      </c>
      <c r="CS79">
        <f>SUMPRODUCT((M_BOM[Part Name]=$A79)*M_BOM[RM_Qty_Per_Batch]*IFERROR(INDEX(PP_Grid[#Data],M_BOM[PPGridRow],97),0))/58.21</f>
        <v/>
      </c>
      <c r="CT79">
        <f>SUMPRODUCT((M_BOM[Part Name]=$A79)*M_BOM[RM_Qty_Per_Batch]*IFERROR(INDEX(PP_Grid[#Data],M_BOM[PPGridRow],98),0))/58.21</f>
        <v/>
      </c>
      <c r="CU79">
        <f>SUMPRODUCT((M_BOM[Part Name]=$A79)*M_BOM[RM_Qty_Per_Batch]*IFERROR(INDEX(PP_Grid[#Data],M_BOM[PPGridRow],99),0))/58.21</f>
        <v/>
      </c>
      <c r="CV79">
        <f>SUMPRODUCT((M_BOM[Part Name]=$A79)*M_BOM[RM_Qty_Per_Batch]*IFERROR(INDEX(PP_Grid[#Data],M_BOM[PPGridRow],100),0))/58.21</f>
        <v/>
      </c>
      <c r="CW79">
        <f>SUMPRODUCT((M_BOM[Part Name]=$A79)*M_BOM[RM_Qty_Per_Batch]*IFERROR(INDEX(PP_Grid[#Data],M_BOM[PPGridRow],101),0))/58.21</f>
        <v/>
      </c>
      <c r="CX79">
        <f>SUMPRODUCT((M_BOM[Part Name]=$A79)*M_BOM[RM_Qty_Per_Batch]*IFERROR(INDEX(PP_Grid[#Data],M_BOM[PPGridRow],102),0))/58.21</f>
        <v/>
      </c>
      <c r="CY79">
        <f>SUMPRODUCT((M_BOM[Part Name]=$A79)*M_BOM[RM_Qty_Per_Batch]*IFERROR(INDEX(PP_Grid[#Data],M_BOM[PPGridRow],103),0))/58.21</f>
        <v/>
      </c>
      <c r="CZ79">
        <f>SUMPRODUCT((M_BOM[Part Name]=$A79)*M_BOM[RM_Qty_Per_Batch]*IFERROR(INDEX(PP_Grid[#Data],M_BOM[PPGridRow],104),0))/58.21</f>
        <v/>
      </c>
      <c r="DA79">
        <f>SUMPRODUCT((M_BOM[Part Name]=$A79)*M_BOM[RM_Qty_Per_Batch]*IFERROR(INDEX(PP_Grid[#Data],M_BOM[PPGridRow],105),0))/58.21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Name]=$A80)*M_BOM[RM_Qty_Per_Batch]*IFERROR(INDEX(PP_Grid[#Data],M_BOM[PPGridRow],2),0))/38.85</f>
        <v/>
      </c>
      <c r="C80">
        <f>SUMPRODUCT((M_BOM[Part Name]=$A80)*M_BOM[RM_Qty_Per_Batch]*IFERROR(INDEX(PP_Grid[#Data],M_BOM[PPGridRow],3),0))/38.85</f>
        <v/>
      </c>
      <c r="D80">
        <f>SUMPRODUCT((M_BOM[Part Name]=$A80)*M_BOM[RM_Qty_Per_Batch]*IFERROR(INDEX(PP_Grid[#Data],M_BOM[PPGridRow],4),0))/38.85</f>
        <v/>
      </c>
      <c r="E80">
        <f>SUMPRODUCT((M_BOM[Part Name]=$A80)*M_BOM[RM_Qty_Per_Batch]*IFERROR(INDEX(PP_Grid[#Data],M_BOM[PPGridRow],5),0))/38.85</f>
        <v/>
      </c>
      <c r="F80">
        <f>SUMPRODUCT((M_BOM[Part Name]=$A80)*M_BOM[RM_Qty_Per_Batch]*IFERROR(INDEX(PP_Grid[#Data],M_BOM[PPGridRow],6),0))/38.85</f>
        <v/>
      </c>
      <c r="G80">
        <f>SUMPRODUCT((M_BOM[Part Name]=$A80)*M_BOM[RM_Qty_Per_Batch]*IFERROR(INDEX(PP_Grid[#Data],M_BOM[PPGridRow],7),0))/38.85</f>
        <v/>
      </c>
      <c r="H80">
        <f>SUMPRODUCT((M_BOM[Part Name]=$A80)*M_BOM[RM_Qty_Per_Batch]*IFERROR(INDEX(PP_Grid[#Data],M_BOM[PPGridRow],8),0))/38.85</f>
        <v/>
      </c>
      <c r="I80">
        <f>SUMPRODUCT((M_BOM[Part Name]=$A80)*M_BOM[RM_Qty_Per_Batch]*IFERROR(INDEX(PP_Grid[#Data],M_BOM[PPGridRow],9),0))/38.85</f>
        <v/>
      </c>
      <c r="J80">
        <f>SUMPRODUCT((M_BOM[Part Name]=$A80)*M_BOM[RM_Qty_Per_Batch]*IFERROR(INDEX(PP_Grid[#Data],M_BOM[PPGridRow],10),0))/38.85</f>
        <v/>
      </c>
      <c r="K80">
        <f>SUMPRODUCT((M_BOM[Part Name]=$A80)*M_BOM[RM_Qty_Per_Batch]*IFERROR(INDEX(PP_Grid[#Data],M_BOM[PPGridRow],11),0))/38.85</f>
        <v/>
      </c>
      <c r="L80">
        <f>SUMPRODUCT((M_BOM[Part Name]=$A80)*M_BOM[RM_Qty_Per_Batch]*IFERROR(INDEX(PP_Grid[#Data],M_BOM[PPGridRow],12),0))/38.85</f>
        <v/>
      </c>
      <c r="M80">
        <f>SUMPRODUCT((M_BOM[Part Name]=$A80)*M_BOM[RM_Qty_Per_Batch]*IFERROR(INDEX(PP_Grid[#Data],M_BOM[PPGridRow],13),0))/38.85</f>
        <v/>
      </c>
      <c r="N80">
        <f>SUMPRODUCT((M_BOM[Part Name]=$A80)*M_BOM[RM_Qty_Per_Batch]*IFERROR(INDEX(PP_Grid[#Data],M_BOM[PPGridRow],14),0))/38.85</f>
        <v/>
      </c>
      <c r="O80">
        <f>SUMPRODUCT((M_BOM[Part Name]=$A80)*M_BOM[RM_Qty_Per_Batch]*IFERROR(INDEX(PP_Grid[#Data],M_BOM[PPGridRow],15),0))/38.85</f>
        <v/>
      </c>
      <c r="P80">
        <f>SUMPRODUCT((M_BOM[Part Name]=$A80)*M_BOM[RM_Qty_Per_Batch]*IFERROR(INDEX(PP_Grid[#Data],M_BOM[PPGridRow],16),0))/38.85</f>
        <v/>
      </c>
      <c r="Q80">
        <f>SUMPRODUCT((M_BOM[Part Name]=$A80)*M_BOM[RM_Qty_Per_Batch]*IFERROR(INDEX(PP_Grid[#Data],M_BOM[PPGridRow],17),0))/38.85</f>
        <v/>
      </c>
      <c r="R80">
        <f>SUMPRODUCT((M_BOM[Part Name]=$A80)*M_BOM[RM_Qty_Per_Batch]*IFERROR(INDEX(PP_Grid[#Data],M_BOM[PPGridRow],18),0))/38.85</f>
        <v/>
      </c>
      <c r="S80">
        <f>SUMPRODUCT((M_BOM[Part Name]=$A80)*M_BOM[RM_Qty_Per_Batch]*IFERROR(INDEX(PP_Grid[#Data],M_BOM[PPGridRow],19),0))/38.85</f>
        <v/>
      </c>
      <c r="T80">
        <f>SUMPRODUCT((M_BOM[Part Name]=$A80)*M_BOM[RM_Qty_Per_Batch]*IFERROR(INDEX(PP_Grid[#Data],M_BOM[PPGridRow],20),0))/38.85</f>
        <v/>
      </c>
      <c r="U80">
        <f>SUMPRODUCT((M_BOM[Part Name]=$A80)*M_BOM[RM_Qty_Per_Batch]*IFERROR(INDEX(PP_Grid[#Data],M_BOM[PPGridRow],21),0))/38.85</f>
        <v/>
      </c>
      <c r="V80">
        <f>SUMPRODUCT((M_BOM[Part Name]=$A80)*M_BOM[RM_Qty_Per_Batch]*IFERROR(INDEX(PP_Grid[#Data],M_BOM[PPGridRow],22),0))/38.85</f>
        <v/>
      </c>
      <c r="W80">
        <f>SUMPRODUCT((M_BOM[Part Name]=$A80)*M_BOM[RM_Qty_Per_Batch]*IFERROR(INDEX(PP_Grid[#Data],M_BOM[PPGridRow],23),0))/38.85</f>
        <v/>
      </c>
      <c r="X80">
        <f>SUMPRODUCT((M_BOM[Part Name]=$A80)*M_BOM[RM_Qty_Per_Batch]*IFERROR(INDEX(PP_Grid[#Data],M_BOM[PPGridRow],24),0))/38.85</f>
        <v/>
      </c>
      <c r="Y80">
        <f>SUMPRODUCT((M_BOM[Part Name]=$A80)*M_BOM[RM_Qty_Per_Batch]*IFERROR(INDEX(PP_Grid[#Data],M_BOM[PPGridRow],25),0))/38.85</f>
        <v/>
      </c>
      <c r="Z80">
        <f>SUMPRODUCT((M_BOM[Part Name]=$A80)*M_BOM[RM_Qty_Per_Batch]*IFERROR(INDEX(PP_Grid[#Data],M_BOM[PPGridRow],26),0))/38.85</f>
        <v/>
      </c>
      <c r="AA80">
        <f>SUMPRODUCT((M_BOM[Part Name]=$A80)*M_BOM[RM_Qty_Per_Batch]*IFERROR(INDEX(PP_Grid[#Data],M_BOM[PPGridRow],27),0))/38.85</f>
        <v/>
      </c>
      <c r="AB80">
        <f>SUMPRODUCT((M_BOM[Part Name]=$A80)*M_BOM[RM_Qty_Per_Batch]*IFERROR(INDEX(PP_Grid[#Data],M_BOM[PPGridRow],28),0))/38.85</f>
        <v/>
      </c>
      <c r="AC80">
        <f>SUMPRODUCT((M_BOM[Part Name]=$A80)*M_BOM[RM_Qty_Per_Batch]*IFERROR(INDEX(PP_Grid[#Data],M_BOM[PPGridRow],29),0))/38.85</f>
        <v/>
      </c>
      <c r="AD80">
        <f>SUMPRODUCT((M_BOM[Part Name]=$A80)*M_BOM[RM_Qty_Per_Batch]*IFERROR(INDEX(PP_Grid[#Data],M_BOM[PPGridRow],30),0))/38.85</f>
        <v/>
      </c>
      <c r="AE80">
        <f>SUMPRODUCT((M_BOM[Part Name]=$A80)*M_BOM[RM_Qty_Per_Batch]*IFERROR(INDEX(PP_Grid[#Data],M_BOM[PPGridRow],31),0))/38.85</f>
        <v/>
      </c>
      <c r="AF80">
        <f>SUMPRODUCT((M_BOM[Part Name]=$A80)*M_BOM[RM_Qty_Per_Batch]*IFERROR(INDEX(PP_Grid[#Data],M_BOM[PPGridRow],32),0))/38.85</f>
        <v/>
      </c>
      <c r="AG80">
        <f>SUMPRODUCT((M_BOM[Part Name]=$A80)*M_BOM[RM_Qty_Per_Batch]*IFERROR(INDEX(PP_Grid[#Data],M_BOM[PPGridRow],33),0))/38.85</f>
        <v/>
      </c>
      <c r="AH80">
        <f>SUMPRODUCT((M_BOM[Part Name]=$A80)*M_BOM[RM_Qty_Per_Batch]*IFERROR(INDEX(PP_Grid[#Data],M_BOM[PPGridRow],34),0))/38.85</f>
        <v/>
      </c>
      <c r="AI80">
        <f>SUMPRODUCT((M_BOM[Part Name]=$A80)*M_BOM[RM_Qty_Per_Batch]*IFERROR(INDEX(PP_Grid[#Data],M_BOM[PPGridRow],35),0))/38.85</f>
        <v/>
      </c>
      <c r="AJ80">
        <f>SUMPRODUCT((M_BOM[Part Name]=$A80)*M_BOM[RM_Qty_Per_Batch]*IFERROR(INDEX(PP_Grid[#Data],M_BOM[PPGridRow],36),0))/38.85</f>
        <v/>
      </c>
      <c r="AK80">
        <f>SUMPRODUCT((M_BOM[Part Name]=$A80)*M_BOM[RM_Qty_Per_Batch]*IFERROR(INDEX(PP_Grid[#Data],M_BOM[PPGridRow],37),0))/38.85</f>
        <v/>
      </c>
      <c r="AL80">
        <f>SUMPRODUCT((M_BOM[Part Name]=$A80)*M_BOM[RM_Qty_Per_Batch]*IFERROR(INDEX(PP_Grid[#Data],M_BOM[PPGridRow],38),0))/38.85</f>
        <v/>
      </c>
      <c r="AM80">
        <f>SUMPRODUCT((M_BOM[Part Name]=$A80)*M_BOM[RM_Qty_Per_Batch]*IFERROR(INDEX(PP_Grid[#Data],M_BOM[PPGridRow],39),0))/38.85</f>
        <v/>
      </c>
      <c r="AN80">
        <f>SUMPRODUCT((M_BOM[Part Name]=$A80)*M_BOM[RM_Qty_Per_Batch]*IFERROR(INDEX(PP_Grid[#Data],M_BOM[PPGridRow],40),0))/38.85</f>
        <v/>
      </c>
      <c r="AO80">
        <f>SUMPRODUCT((M_BOM[Part Name]=$A80)*M_BOM[RM_Qty_Per_Batch]*IFERROR(INDEX(PP_Grid[#Data],M_BOM[PPGridRow],41),0))/38.85</f>
        <v/>
      </c>
      <c r="AP80">
        <f>SUMPRODUCT((M_BOM[Part Name]=$A80)*M_BOM[RM_Qty_Per_Batch]*IFERROR(INDEX(PP_Grid[#Data],M_BOM[PPGridRow],42),0))/38.85</f>
        <v/>
      </c>
      <c r="AQ80">
        <f>SUMPRODUCT((M_BOM[Part Name]=$A80)*M_BOM[RM_Qty_Per_Batch]*IFERROR(INDEX(PP_Grid[#Data],M_BOM[PPGridRow],43),0))/38.85</f>
        <v/>
      </c>
      <c r="AR80">
        <f>SUMPRODUCT((M_BOM[Part Name]=$A80)*M_BOM[RM_Qty_Per_Batch]*IFERROR(INDEX(PP_Grid[#Data],M_BOM[PPGridRow],44),0))/38.85</f>
        <v/>
      </c>
      <c r="AS80">
        <f>SUMPRODUCT((M_BOM[Part Name]=$A80)*M_BOM[RM_Qty_Per_Batch]*IFERROR(INDEX(PP_Grid[#Data],M_BOM[PPGridRow],45),0))/38.85</f>
        <v/>
      </c>
      <c r="AT80">
        <f>SUMPRODUCT((M_BOM[Part Name]=$A80)*M_BOM[RM_Qty_Per_Batch]*IFERROR(INDEX(PP_Grid[#Data],M_BOM[PPGridRow],46),0))/38.85</f>
        <v/>
      </c>
      <c r="AU80">
        <f>SUMPRODUCT((M_BOM[Part Name]=$A80)*M_BOM[RM_Qty_Per_Batch]*IFERROR(INDEX(PP_Grid[#Data],M_BOM[PPGridRow],47),0))/38.85</f>
        <v/>
      </c>
      <c r="AV80">
        <f>SUMPRODUCT((M_BOM[Part Name]=$A80)*M_BOM[RM_Qty_Per_Batch]*IFERROR(INDEX(PP_Grid[#Data],M_BOM[PPGridRow],48),0))/38.85</f>
        <v/>
      </c>
      <c r="AW80">
        <f>SUMPRODUCT((M_BOM[Part Name]=$A80)*M_BOM[RM_Qty_Per_Batch]*IFERROR(INDEX(PP_Grid[#Data],M_BOM[PPGridRow],49),0))/38.85</f>
        <v/>
      </c>
      <c r="AX80">
        <f>SUMPRODUCT((M_BOM[Part Name]=$A80)*M_BOM[RM_Qty_Per_Batch]*IFERROR(INDEX(PP_Grid[#Data],M_BOM[PPGridRow],50),0))/38.85</f>
        <v/>
      </c>
      <c r="AY80">
        <f>SUMPRODUCT((M_BOM[Part Name]=$A80)*M_BOM[RM_Qty_Per_Batch]*IFERROR(INDEX(PP_Grid[#Data],M_BOM[PPGridRow],51),0))/38.85</f>
        <v/>
      </c>
      <c r="AZ80">
        <f>SUMPRODUCT((M_BOM[Part Name]=$A80)*M_BOM[RM_Qty_Per_Batch]*IFERROR(INDEX(PP_Grid[#Data],M_BOM[PPGridRow],52),0))/38.85</f>
        <v/>
      </c>
      <c r="BA80">
        <f>SUMPRODUCT((M_BOM[Part Name]=$A80)*M_BOM[RM_Qty_Per_Batch]*IFERROR(INDEX(PP_Grid[#Data],M_BOM[PPGridRow],53),0))/38.85</f>
        <v/>
      </c>
      <c r="BB80">
        <f>SUMPRODUCT((M_BOM[Part Name]=$A80)*M_BOM[RM_Qty_Per_Batch]*IFERROR(INDEX(PP_Grid[#Data],M_BOM[PPGridRow],54),0))/38.85</f>
        <v/>
      </c>
      <c r="BC80">
        <f>SUMPRODUCT((M_BOM[Part Name]=$A80)*M_BOM[RM_Qty_Per_Batch]*IFERROR(INDEX(PP_Grid[#Data],M_BOM[PPGridRow],55),0))/38.85</f>
        <v/>
      </c>
      <c r="BD80">
        <f>SUMPRODUCT((M_BOM[Part Name]=$A80)*M_BOM[RM_Qty_Per_Batch]*IFERROR(INDEX(PP_Grid[#Data],M_BOM[PPGridRow],56),0))/38.85</f>
        <v/>
      </c>
      <c r="BE80">
        <f>SUMPRODUCT((M_BOM[Part Name]=$A80)*M_BOM[RM_Qty_Per_Batch]*IFERROR(INDEX(PP_Grid[#Data],M_BOM[PPGridRow],57),0))/38.85</f>
        <v/>
      </c>
      <c r="BF80">
        <f>SUMPRODUCT((M_BOM[Part Name]=$A80)*M_BOM[RM_Qty_Per_Batch]*IFERROR(INDEX(PP_Grid[#Data],M_BOM[PPGridRow],58),0))/38.85</f>
        <v/>
      </c>
      <c r="BG80">
        <f>SUMPRODUCT((M_BOM[Part Name]=$A80)*M_BOM[RM_Qty_Per_Batch]*IFERROR(INDEX(PP_Grid[#Data],M_BOM[PPGridRow],59),0))/38.85</f>
        <v/>
      </c>
      <c r="BH80">
        <f>SUMPRODUCT((M_BOM[Part Name]=$A80)*M_BOM[RM_Qty_Per_Batch]*IFERROR(INDEX(PP_Grid[#Data],M_BOM[PPGridRow],60),0))/38.85</f>
        <v/>
      </c>
      <c r="BI80">
        <f>SUMPRODUCT((M_BOM[Part Name]=$A80)*M_BOM[RM_Qty_Per_Batch]*IFERROR(INDEX(PP_Grid[#Data],M_BOM[PPGridRow],61),0))/38.85</f>
        <v/>
      </c>
      <c r="BJ80">
        <f>SUMPRODUCT((M_BOM[Part Name]=$A80)*M_BOM[RM_Qty_Per_Batch]*IFERROR(INDEX(PP_Grid[#Data],M_BOM[PPGridRow],62),0))/38.85</f>
        <v/>
      </c>
      <c r="BK80">
        <f>SUMPRODUCT((M_BOM[Part Name]=$A80)*M_BOM[RM_Qty_Per_Batch]*IFERROR(INDEX(PP_Grid[#Data],M_BOM[PPGridRow],63),0))/38.85</f>
        <v/>
      </c>
      <c r="BL80">
        <f>SUMPRODUCT((M_BOM[Part Name]=$A80)*M_BOM[RM_Qty_Per_Batch]*IFERROR(INDEX(PP_Grid[#Data],M_BOM[PPGridRow],64),0))/38.85</f>
        <v/>
      </c>
      <c r="BM80">
        <f>SUMPRODUCT((M_BOM[Part Name]=$A80)*M_BOM[RM_Qty_Per_Batch]*IFERROR(INDEX(PP_Grid[#Data],M_BOM[PPGridRow],65),0))/38.85</f>
        <v/>
      </c>
      <c r="BN80">
        <f>SUMPRODUCT((M_BOM[Part Name]=$A80)*M_BOM[RM_Qty_Per_Batch]*IFERROR(INDEX(PP_Grid[#Data],M_BOM[PPGridRow],66),0))/38.85</f>
        <v/>
      </c>
      <c r="BO80">
        <f>SUMPRODUCT((M_BOM[Part Name]=$A80)*M_BOM[RM_Qty_Per_Batch]*IFERROR(INDEX(PP_Grid[#Data],M_BOM[PPGridRow],67),0))/38.85</f>
        <v/>
      </c>
      <c r="BP80">
        <f>SUMPRODUCT((M_BOM[Part Name]=$A80)*M_BOM[RM_Qty_Per_Batch]*IFERROR(INDEX(PP_Grid[#Data],M_BOM[PPGridRow],68),0))/38.85</f>
        <v/>
      </c>
      <c r="BQ80">
        <f>SUMPRODUCT((M_BOM[Part Name]=$A80)*M_BOM[RM_Qty_Per_Batch]*IFERROR(INDEX(PP_Grid[#Data],M_BOM[PPGridRow],69),0))/38.85</f>
        <v/>
      </c>
      <c r="BR80">
        <f>SUMPRODUCT((M_BOM[Part Name]=$A80)*M_BOM[RM_Qty_Per_Batch]*IFERROR(INDEX(PP_Grid[#Data],M_BOM[PPGridRow],70),0))/38.85</f>
        <v/>
      </c>
      <c r="BS80">
        <f>SUMPRODUCT((M_BOM[Part Name]=$A80)*M_BOM[RM_Qty_Per_Batch]*IFERROR(INDEX(PP_Grid[#Data],M_BOM[PPGridRow],71),0))/38.85</f>
        <v/>
      </c>
      <c r="BT80">
        <f>SUMPRODUCT((M_BOM[Part Name]=$A80)*M_BOM[RM_Qty_Per_Batch]*IFERROR(INDEX(PP_Grid[#Data],M_BOM[PPGridRow],72),0))/38.85</f>
        <v/>
      </c>
      <c r="BU80">
        <f>SUMPRODUCT((M_BOM[Part Name]=$A80)*M_BOM[RM_Qty_Per_Batch]*IFERROR(INDEX(PP_Grid[#Data],M_BOM[PPGridRow],73),0))/38.85</f>
        <v/>
      </c>
      <c r="BV80">
        <f>SUMPRODUCT((M_BOM[Part Name]=$A80)*M_BOM[RM_Qty_Per_Batch]*IFERROR(INDEX(PP_Grid[#Data],M_BOM[PPGridRow],74),0))/38.85</f>
        <v/>
      </c>
      <c r="BW80">
        <f>SUMPRODUCT((M_BOM[Part Name]=$A80)*M_BOM[RM_Qty_Per_Batch]*IFERROR(INDEX(PP_Grid[#Data],M_BOM[PPGridRow],75),0))/38.85</f>
        <v/>
      </c>
      <c r="BX80">
        <f>SUMPRODUCT((M_BOM[Part Name]=$A80)*M_BOM[RM_Qty_Per_Batch]*IFERROR(INDEX(PP_Grid[#Data],M_BOM[PPGridRow],76),0))/38.85</f>
        <v/>
      </c>
      <c r="BY80">
        <f>SUMPRODUCT((M_BOM[Part Name]=$A80)*M_BOM[RM_Qty_Per_Batch]*IFERROR(INDEX(PP_Grid[#Data],M_BOM[PPGridRow],77),0))/38.85</f>
        <v/>
      </c>
      <c r="BZ80">
        <f>SUMPRODUCT((M_BOM[Part Name]=$A80)*M_BOM[RM_Qty_Per_Batch]*IFERROR(INDEX(PP_Grid[#Data],M_BOM[PPGridRow],78),0))/38.85</f>
        <v/>
      </c>
      <c r="CA80">
        <f>SUMPRODUCT((M_BOM[Part Name]=$A80)*M_BOM[RM_Qty_Per_Batch]*IFERROR(INDEX(PP_Grid[#Data],M_BOM[PPGridRow],79),0))/38.85</f>
        <v/>
      </c>
      <c r="CB80">
        <f>SUMPRODUCT((M_BOM[Part Name]=$A80)*M_BOM[RM_Qty_Per_Batch]*IFERROR(INDEX(PP_Grid[#Data],M_BOM[PPGridRow],80),0))/38.85</f>
        <v/>
      </c>
      <c r="CC80">
        <f>SUMPRODUCT((M_BOM[Part Name]=$A80)*M_BOM[RM_Qty_Per_Batch]*IFERROR(INDEX(PP_Grid[#Data],M_BOM[PPGridRow],81),0))/38.85</f>
        <v/>
      </c>
      <c r="CD80">
        <f>SUMPRODUCT((M_BOM[Part Name]=$A80)*M_BOM[RM_Qty_Per_Batch]*IFERROR(INDEX(PP_Grid[#Data],M_BOM[PPGridRow],82),0))/38.85</f>
        <v/>
      </c>
      <c r="CE80">
        <f>SUMPRODUCT((M_BOM[Part Name]=$A80)*M_BOM[RM_Qty_Per_Batch]*IFERROR(INDEX(PP_Grid[#Data],M_BOM[PPGridRow],83),0))/38.85</f>
        <v/>
      </c>
      <c r="CF80">
        <f>SUMPRODUCT((M_BOM[Part Name]=$A80)*M_BOM[RM_Qty_Per_Batch]*IFERROR(INDEX(PP_Grid[#Data],M_BOM[PPGridRow],84),0))/38.85</f>
        <v/>
      </c>
      <c r="CG80">
        <f>SUMPRODUCT((M_BOM[Part Name]=$A80)*M_BOM[RM_Qty_Per_Batch]*IFERROR(INDEX(PP_Grid[#Data],M_BOM[PPGridRow],85),0))/38.85</f>
        <v/>
      </c>
      <c r="CH80">
        <f>SUMPRODUCT((M_BOM[Part Name]=$A80)*M_BOM[RM_Qty_Per_Batch]*IFERROR(INDEX(PP_Grid[#Data],M_BOM[PPGridRow],86),0))/38.85</f>
        <v/>
      </c>
      <c r="CI80">
        <f>SUMPRODUCT((M_BOM[Part Name]=$A80)*M_BOM[RM_Qty_Per_Batch]*IFERROR(INDEX(PP_Grid[#Data],M_BOM[PPGridRow],87),0))/38.85</f>
        <v/>
      </c>
      <c r="CJ80">
        <f>SUMPRODUCT((M_BOM[Part Name]=$A80)*M_BOM[RM_Qty_Per_Batch]*IFERROR(INDEX(PP_Grid[#Data],M_BOM[PPGridRow],88),0))/38.85</f>
        <v/>
      </c>
      <c r="CK80">
        <f>SUMPRODUCT((M_BOM[Part Name]=$A80)*M_BOM[RM_Qty_Per_Batch]*IFERROR(INDEX(PP_Grid[#Data],M_BOM[PPGridRow],89),0))/38.85</f>
        <v/>
      </c>
      <c r="CL80">
        <f>SUMPRODUCT((M_BOM[Part Name]=$A80)*M_BOM[RM_Qty_Per_Batch]*IFERROR(INDEX(PP_Grid[#Data],M_BOM[PPGridRow],90),0))/38.85</f>
        <v/>
      </c>
      <c r="CM80">
        <f>SUMPRODUCT((M_BOM[Part Name]=$A80)*M_BOM[RM_Qty_Per_Batch]*IFERROR(INDEX(PP_Grid[#Data],M_BOM[PPGridRow],91),0))/38.85</f>
        <v/>
      </c>
      <c r="CN80">
        <f>SUMPRODUCT((M_BOM[Part Name]=$A80)*M_BOM[RM_Qty_Per_Batch]*IFERROR(INDEX(PP_Grid[#Data],M_BOM[PPGridRow],92),0))/38.85</f>
        <v/>
      </c>
      <c r="CO80">
        <f>SUMPRODUCT((M_BOM[Part Name]=$A80)*M_BOM[RM_Qty_Per_Batch]*IFERROR(INDEX(PP_Grid[#Data],M_BOM[PPGridRow],93),0))/38.85</f>
        <v/>
      </c>
      <c r="CP80">
        <f>SUMPRODUCT((M_BOM[Part Name]=$A80)*M_BOM[RM_Qty_Per_Batch]*IFERROR(INDEX(PP_Grid[#Data],M_BOM[PPGridRow],94),0))/38.85</f>
        <v/>
      </c>
      <c r="CQ80">
        <f>SUMPRODUCT((M_BOM[Part Name]=$A80)*M_BOM[RM_Qty_Per_Batch]*IFERROR(INDEX(PP_Grid[#Data],M_BOM[PPGridRow],95),0))/38.85</f>
        <v/>
      </c>
      <c r="CR80">
        <f>SUMPRODUCT((M_BOM[Part Name]=$A80)*M_BOM[RM_Qty_Per_Batch]*IFERROR(INDEX(PP_Grid[#Data],M_BOM[PPGridRow],96),0))/38.85</f>
        <v/>
      </c>
      <c r="CS80">
        <f>SUMPRODUCT((M_BOM[Part Name]=$A80)*M_BOM[RM_Qty_Per_Batch]*IFERROR(INDEX(PP_Grid[#Data],M_BOM[PPGridRow],97),0))/38.85</f>
        <v/>
      </c>
      <c r="CT80">
        <f>SUMPRODUCT((M_BOM[Part Name]=$A80)*M_BOM[RM_Qty_Per_Batch]*IFERROR(INDEX(PP_Grid[#Data],M_BOM[PPGridRow],98),0))/38.85</f>
        <v/>
      </c>
      <c r="CU80">
        <f>SUMPRODUCT((M_BOM[Part Name]=$A80)*M_BOM[RM_Qty_Per_Batch]*IFERROR(INDEX(PP_Grid[#Data],M_BOM[PPGridRow],99),0))/38.85</f>
        <v/>
      </c>
      <c r="CV80">
        <f>SUMPRODUCT((M_BOM[Part Name]=$A80)*M_BOM[RM_Qty_Per_Batch]*IFERROR(INDEX(PP_Grid[#Data],M_BOM[PPGridRow],100),0))/38.85</f>
        <v/>
      </c>
      <c r="CW80">
        <f>SUMPRODUCT((M_BOM[Part Name]=$A80)*M_BOM[RM_Qty_Per_Batch]*IFERROR(INDEX(PP_Grid[#Data],M_BOM[PPGridRow],101),0))/38.85</f>
        <v/>
      </c>
      <c r="CX80">
        <f>SUMPRODUCT((M_BOM[Part Name]=$A80)*M_BOM[RM_Qty_Per_Batch]*IFERROR(INDEX(PP_Grid[#Data],M_BOM[PPGridRow],102),0))/38.85</f>
        <v/>
      </c>
      <c r="CY80">
        <f>SUMPRODUCT((M_BOM[Part Name]=$A80)*M_BOM[RM_Qty_Per_Batch]*IFERROR(INDEX(PP_Grid[#Data],M_BOM[PPGridRow],103),0))/38.85</f>
        <v/>
      </c>
      <c r="CZ80">
        <f>SUMPRODUCT((M_BOM[Part Name]=$A80)*M_BOM[RM_Qty_Per_Batch]*IFERROR(INDEX(PP_Grid[#Data],M_BOM[PPGridRow],104),0))/38.85</f>
        <v/>
      </c>
      <c r="DA80">
        <f>SUMPRODUCT((M_BOM[Part Name]=$A80)*M_BOM[RM_Qty_Per_Batch]*IFERROR(INDEX(PP_Grid[#Data],M_BOM[PPGridRow],105),0))/38.85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Name]=$A81)*M_BOM[RM_Qty_Per_Batch]*IFERROR(INDEX(PP_Grid[#Data],M_BOM[PPGridRow],2),0))/36.03</f>
        <v/>
      </c>
      <c r="C81">
        <f>SUMPRODUCT((M_BOM[Part Name]=$A81)*M_BOM[RM_Qty_Per_Batch]*IFERROR(INDEX(PP_Grid[#Data],M_BOM[PPGridRow],3),0))/36.03</f>
        <v/>
      </c>
      <c r="D81">
        <f>SUMPRODUCT((M_BOM[Part Name]=$A81)*M_BOM[RM_Qty_Per_Batch]*IFERROR(INDEX(PP_Grid[#Data],M_BOM[PPGridRow],4),0))/36.03</f>
        <v/>
      </c>
      <c r="E81">
        <f>SUMPRODUCT((M_BOM[Part Name]=$A81)*M_BOM[RM_Qty_Per_Batch]*IFERROR(INDEX(PP_Grid[#Data],M_BOM[PPGridRow],5),0))/36.03</f>
        <v/>
      </c>
      <c r="F81">
        <f>SUMPRODUCT((M_BOM[Part Name]=$A81)*M_BOM[RM_Qty_Per_Batch]*IFERROR(INDEX(PP_Grid[#Data],M_BOM[PPGridRow],6),0))/36.03</f>
        <v/>
      </c>
      <c r="G81">
        <f>SUMPRODUCT((M_BOM[Part Name]=$A81)*M_BOM[RM_Qty_Per_Batch]*IFERROR(INDEX(PP_Grid[#Data],M_BOM[PPGridRow],7),0))/36.03</f>
        <v/>
      </c>
      <c r="H81">
        <f>SUMPRODUCT((M_BOM[Part Name]=$A81)*M_BOM[RM_Qty_Per_Batch]*IFERROR(INDEX(PP_Grid[#Data],M_BOM[PPGridRow],8),0))/36.03</f>
        <v/>
      </c>
      <c r="I81">
        <f>SUMPRODUCT((M_BOM[Part Name]=$A81)*M_BOM[RM_Qty_Per_Batch]*IFERROR(INDEX(PP_Grid[#Data],M_BOM[PPGridRow],9),0))/36.03</f>
        <v/>
      </c>
      <c r="J81">
        <f>SUMPRODUCT((M_BOM[Part Name]=$A81)*M_BOM[RM_Qty_Per_Batch]*IFERROR(INDEX(PP_Grid[#Data],M_BOM[PPGridRow],10),0))/36.03</f>
        <v/>
      </c>
      <c r="K81">
        <f>SUMPRODUCT((M_BOM[Part Name]=$A81)*M_BOM[RM_Qty_Per_Batch]*IFERROR(INDEX(PP_Grid[#Data],M_BOM[PPGridRow],11),0))/36.03</f>
        <v/>
      </c>
      <c r="L81">
        <f>SUMPRODUCT((M_BOM[Part Name]=$A81)*M_BOM[RM_Qty_Per_Batch]*IFERROR(INDEX(PP_Grid[#Data],M_BOM[PPGridRow],12),0))/36.03</f>
        <v/>
      </c>
      <c r="M81">
        <f>SUMPRODUCT((M_BOM[Part Name]=$A81)*M_BOM[RM_Qty_Per_Batch]*IFERROR(INDEX(PP_Grid[#Data],M_BOM[PPGridRow],13),0))/36.03</f>
        <v/>
      </c>
      <c r="N81">
        <f>SUMPRODUCT((M_BOM[Part Name]=$A81)*M_BOM[RM_Qty_Per_Batch]*IFERROR(INDEX(PP_Grid[#Data],M_BOM[PPGridRow],14),0))/36.03</f>
        <v/>
      </c>
      <c r="O81">
        <f>SUMPRODUCT((M_BOM[Part Name]=$A81)*M_BOM[RM_Qty_Per_Batch]*IFERROR(INDEX(PP_Grid[#Data],M_BOM[PPGridRow],15),0))/36.03</f>
        <v/>
      </c>
      <c r="P81">
        <f>SUMPRODUCT((M_BOM[Part Name]=$A81)*M_BOM[RM_Qty_Per_Batch]*IFERROR(INDEX(PP_Grid[#Data],M_BOM[PPGridRow],16),0))/36.03</f>
        <v/>
      </c>
      <c r="Q81">
        <f>SUMPRODUCT((M_BOM[Part Name]=$A81)*M_BOM[RM_Qty_Per_Batch]*IFERROR(INDEX(PP_Grid[#Data],M_BOM[PPGridRow],17),0))/36.03</f>
        <v/>
      </c>
      <c r="R81">
        <f>SUMPRODUCT((M_BOM[Part Name]=$A81)*M_BOM[RM_Qty_Per_Batch]*IFERROR(INDEX(PP_Grid[#Data],M_BOM[PPGridRow],18),0))/36.03</f>
        <v/>
      </c>
      <c r="S81">
        <f>SUMPRODUCT((M_BOM[Part Name]=$A81)*M_BOM[RM_Qty_Per_Batch]*IFERROR(INDEX(PP_Grid[#Data],M_BOM[PPGridRow],19),0))/36.03</f>
        <v/>
      </c>
      <c r="T81">
        <f>SUMPRODUCT((M_BOM[Part Name]=$A81)*M_BOM[RM_Qty_Per_Batch]*IFERROR(INDEX(PP_Grid[#Data],M_BOM[PPGridRow],20),0))/36.03</f>
        <v/>
      </c>
      <c r="U81">
        <f>SUMPRODUCT((M_BOM[Part Name]=$A81)*M_BOM[RM_Qty_Per_Batch]*IFERROR(INDEX(PP_Grid[#Data],M_BOM[PPGridRow],21),0))/36.03</f>
        <v/>
      </c>
      <c r="V81">
        <f>SUMPRODUCT((M_BOM[Part Name]=$A81)*M_BOM[RM_Qty_Per_Batch]*IFERROR(INDEX(PP_Grid[#Data],M_BOM[PPGridRow],22),0))/36.03</f>
        <v/>
      </c>
      <c r="W81">
        <f>SUMPRODUCT((M_BOM[Part Name]=$A81)*M_BOM[RM_Qty_Per_Batch]*IFERROR(INDEX(PP_Grid[#Data],M_BOM[PPGridRow],23),0))/36.03</f>
        <v/>
      </c>
      <c r="X81">
        <f>SUMPRODUCT((M_BOM[Part Name]=$A81)*M_BOM[RM_Qty_Per_Batch]*IFERROR(INDEX(PP_Grid[#Data],M_BOM[PPGridRow],24),0))/36.03</f>
        <v/>
      </c>
      <c r="Y81">
        <f>SUMPRODUCT((M_BOM[Part Name]=$A81)*M_BOM[RM_Qty_Per_Batch]*IFERROR(INDEX(PP_Grid[#Data],M_BOM[PPGridRow],25),0))/36.03</f>
        <v/>
      </c>
      <c r="Z81">
        <f>SUMPRODUCT((M_BOM[Part Name]=$A81)*M_BOM[RM_Qty_Per_Batch]*IFERROR(INDEX(PP_Grid[#Data],M_BOM[PPGridRow],26),0))/36.03</f>
        <v/>
      </c>
      <c r="AA81">
        <f>SUMPRODUCT((M_BOM[Part Name]=$A81)*M_BOM[RM_Qty_Per_Batch]*IFERROR(INDEX(PP_Grid[#Data],M_BOM[PPGridRow],27),0))/36.03</f>
        <v/>
      </c>
      <c r="AB81">
        <f>SUMPRODUCT((M_BOM[Part Name]=$A81)*M_BOM[RM_Qty_Per_Batch]*IFERROR(INDEX(PP_Grid[#Data],M_BOM[PPGridRow],28),0))/36.03</f>
        <v/>
      </c>
      <c r="AC81">
        <f>SUMPRODUCT((M_BOM[Part Name]=$A81)*M_BOM[RM_Qty_Per_Batch]*IFERROR(INDEX(PP_Grid[#Data],M_BOM[PPGridRow],29),0))/36.03</f>
        <v/>
      </c>
      <c r="AD81">
        <f>SUMPRODUCT((M_BOM[Part Name]=$A81)*M_BOM[RM_Qty_Per_Batch]*IFERROR(INDEX(PP_Grid[#Data],M_BOM[PPGridRow],30),0))/36.03</f>
        <v/>
      </c>
      <c r="AE81">
        <f>SUMPRODUCT((M_BOM[Part Name]=$A81)*M_BOM[RM_Qty_Per_Batch]*IFERROR(INDEX(PP_Grid[#Data],M_BOM[PPGridRow],31),0))/36.03</f>
        <v/>
      </c>
      <c r="AF81">
        <f>SUMPRODUCT((M_BOM[Part Name]=$A81)*M_BOM[RM_Qty_Per_Batch]*IFERROR(INDEX(PP_Grid[#Data],M_BOM[PPGridRow],32),0))/36.03</f>
        <v/>
      </c>
      <c r="AG81">
        <f>SUMPRODUCT((M_BOM[Part Name]=$A81)*M_BOM[RM_Qty_Per_Batch]*IFERROR(INDEX(PP_Grid[#Data],M_BOM[PPGridRow],33),0))/36.03</f>
        <v/>
      </c>
      <c r="AH81">
        <f>SUMPRODUCT((M_BOM[Part Name]=$A81)*M_BOM[RM_Qty_Per_Batch]*IFERROR(INDEX(PP_Grid[#Data],M_BOM[PPGridRow],34),0))/36.03</f>
        <v/>
      </c>
      <c r="AI81">
        <f>SUMPRODUCT((M_BOM[Part Name]=$A81)*M_BOM[RM_Qty_Per_Batch]*IFERROR(INDEX(PP_Grid[#Data],M_BOM[PPGridRow],35),0))/36.03</f>
        <v/>
      </c>
      <c r="AJ81">
        <f>SUMPRODUCT((M_BOM[Part Name]=$A81)*M_BOM[RM_Qty_Per_Batch]*IFERROR(INDEX(PP_Grid[#Data],M_BOM[PPGridRow],36),0))/36.03</f>
        <v/>
      </c>
      <c r="AK81">
        <f>SUMPRODUCT((M_BOM[Part Name]=$A81)*M_BOM[RM_Qty_Per_Batch]*IFERROR(INDEX(PP_Grid[#Data],M_BOM[PPGridRow],37),0))/36.03</f>
        <v/>
      </c>
      <c r="AL81">
        <f>SUMPRODUCT((M_BOM[Part Name]=$A81)*M_BOM[RM_Qty_Per_Batch]*IFERROR(INDEX(PP_Grid[#Data],M_BOM[PPGridRow],38),0))/36.03</f>
        <v/>
      </c>
      <c r="AM81">
        <f>SUMPRODUCT((M_BOM[Part Name]=$A81)*M_BOM[RM_Qty_Per_Batch]*IFERROR(INDEX(PP_Grid[#Data],M_BOM[PPGridRow],39),0))/36.03</f>
        <v/>
      </c>
      <c r="AN81">
        <f>SUMPRODUCT((M_BOM[Part Name]=$A81)*M_BOM[RM_Qty_Per_Batch]*IFERROR(INDEX(PP_Grid[#Data],M_BOM[PPGridRow],40),0))/36.03</f>
        <v/>
      </c>
      <c r="AO81">
        <f>SUMPRODUCT((M_BOM[Part Name]=$A81)*M_BOM[RM_Qty_Per_Batch]*IFERROR(INDEX(PP_Grid[#Data],M_BOM[PPGridRow],41),0))/36.03</f>
        <v/>
      </c>
      <c r="AP81">
        <f>SUMPRODUCT((M_BOM[Part Name]=$A81)*M_BOM[RM_Qty_Per_Batch]*IFERROR(INDEX(PP_Grid[#Data],M_BOM[PPGridRow],42),0))/36.03</f>
        <v/>
      </c>
      <c r="AQ81">
        <f>SUMPRODUCT((M_BOM[Part Name]=$A81)*M_BOM[RM_Qty_Per_Batch]*IFERROR(INDEX(PP_Grid[#Data],M_BOM[PPGridRow],43),0))/36.03</f>
        <v/>
      </c>
      <c r="AR81">
        <f>SUMPRODUCT((M_BOM[Part Name]=$A81)*M_BOM[RM_Qty_Per_Batch]*IFERROR(INDEX(PP_Grid[#Data],M_BOM[PPGridRow],44),0))/36.03</f>
        <v/>
      </c>
      <c r="AS81">
        <f>SUMPRODUCT((M_BOM[Part Name]=$A81)*M_BOM[RM_Qty_Per_Batch]*IFERROR(INDEX(PP_Grid[#Data],M_BOM[PPGridRow],45),0))/36.03</f>
        <v/>
      </c>
      <c r="AT81">
        <f>SUMPRODUCT((M_BOM[Part Name]=$A81)*M_BOM[RM_Qty_Per_Batch]*IFERROR(INDEX(PP_Grid[#Data],M_BOM[PPGridRow],46),0))/36.03</f>
        <v/>
      </c>
      <c r="AU81">
        <f>SUMPRODUCT((M_BOM[Part Name]=$A81)*M_BOM[RM_Qty_Per_Batch]*IFERROR(INDEX(PP_Grid[#Data],M_BOM[PPGridRow],47),0))/36.03</f>
        <v/>
      </c>
      <c r="AV81">
        <f>SUMPRODUCT((M_BOM[Part Name]=$A81)*M_BOM[RM_Qty_Per_Batch]*IFERROR(INDEX(PP_Grid[#Data],M_BOM[PPGridRow],48),0))/36.03</f>
        <v/>
      </c>
      <c r="AW81">
        <f>SUMPRODUCT((M_BOM[Part Name]=$A81)*M_BOM[RM_Qty_Per_Batch]*IFERROR(INDEX(PP_Grid[#Data],M_BOM[PPGridRow],49),0))/36.03</f>
        <v/>
      </c>
      <c r="AX81">
        <f>SUMPRODUCT((M_BOM[Part Name]=$A81)*M_BOM[RM_Qty_Per_Batch]*IFERROR(INDEX(PP_Grid[#Data],M_BOM[PPGridRow],50),0))/36.03</f>
        <v/>
      </c>
      <c r="AY81">
        <f>SUMPRODUCT((M_BOM[Part Name]=$A81)*M_BOM[RM_Qty_Per_Batch]*IFERROR(INDEX(PP_Grid[#Data],M_BOM[PPGridRow],51),0))/36.03</f>
        <v/>
      </c>
      <c r="AZ81">
        <f>SUMPRODUCT((M_BOM[Part Name]=$A81)*M_BOM[RM_Qty_Per_Batch]*IFERROR(INDEX(PP_Grid[#Data],M_BOM[PPGridRow],52),0))/36.03</f>
        <v/>
      </c>
      <c r="BA81">
        <f>SUMPRODUCT((M_BOM[Part Name]=$A81)*M_BOM[RM_Qty_Per_Batch]*IFERROR(INDEX(PP_Grid[#Data],M_BOM[PPGridRow],53),0))/36.03</f>
        <v/>
      </c>
      <c r="BB81">
        <f>SUMPRODUCT((M_BOM[Part Name]=$A81)*M_BOM[RM_Qty_Per_Batch]*IFERROR(INDEX(PP_Grid[#Data],M_BOM[PPGridRow],54),0))/36.03</f>
        <v/>
      </c>
      <c r="BC81">
        <f>SUMPRODUCT((M_BOM[Part Name]=$A81)*M_BOM[RM_Qty_Per_Batch]*IFERROR(INDEX(PP_Grid[#Data],M_BOM[PPGridRow],55),0))/36.03</f>
        <v/>
      </c>
      <c r="BD81">
        <f>SUMPRODUCT((M_BOM[Part Name]=$A81)*M_BOM[RM_Qty_Per_Batch]*IFERROR(INDEX(PP_Grid[#Data],M_BOM[PPGridRow],56),0))/36.03</f>
        <v/>
      </c>
      <c r="BE81">
        <f>SUMPRODUCT((M_BOM[Part Name]=$A81)*M_BOM[RM_Qty_Per_Batch]*IFERROR(INDEX(PP_Grid[#Data],M_BOM[PPGridRow],57),0))/36.03</f>
        <v/>
      </c>
      <c r="BF81">
        <f>SUMPRODUCT((M_BOM[Part Name]=$A81)*M_BOM[RM_Qty_Per_Batch]*IFERROR(INDEX(PP_Grid[#Data],M_BOM[PPGridRow],58),0))/36.03</f>
        <v/>
      </c>
      <c r="BG81">
        <f>SUMPRODUCT((M_BOM[Part Name]=$A81)*M_BOM[RM_Qty_Per_Batch]*IFERROR(INDEX(PP_Grid[#Data],M_BOM[PPGridRow],59),0))/36.03</f>
        <v/>
      </c>
      <c r="BH81">
        <f>SUMPRODUCT((M_BOM[Part Name]=$A81)*M_BOM[RM_Qty_Per_Batch]*IFERROR(INDEX(PP_Grid[#Data],M_BOM[PPGridRow],60),0))/36.03</f>
        <v/>
      </c>
      <c r="BI81">
        <f>SUMPRODUCT((M_BOM[Part Name]=$A81)*M_BOM[RM_Qty_Per_Batch]*IFERROR(INDEX(PP_Grid[#Data],M_BOM[PPGridRow],61),0))/36.03</f>
        <v/>
      </c>
      <c r="BJ81">
        <f>SUMPRODUCT((M_BOM[Part Name]=$A81)*M_BOM[RM_Qty_Per_Batch]*IFERROR(INDEX(PP_Grid[#Data],M_BOM[PPGridRow],62),0))/36.03</f>
        <v/>
      </c>
      <c r="BK81">
        <f>SUMPRODUCT((M_BOM[Part Name]=$A81)*M_BOM[RM_Qty_Per_Batch]*IFERROR(INDEX(PP_Grid[#Data],M_BOM[PPGridRow],63),0))/36.03</f>
        <v/>
      </c>
      <c r="BL81">
        <f>SUMPRODUCT((M_BOM[Part Name]=$A81)*M_BOM[RM_Qty_Per_Batch]*IFERROR(INDEX(PP_Grid[#Data],M_BOM[PPGridRow],64),0))/36.03</f>
        <v/>
      </c>
      <c r="BM81">
        <f>SUMPRODUCT((M_BOM[Part Name]=$A81)*M_BOM[RM_Qty_Per_Batch]*IFERROR(INDEX(PP_Grid[#Data],M_BOM[PPGridRow],65),0))/36.03</f>
        <v/>
      </c>
      <c r="BN81">
        <f>SUMPRODUCT((M_BOM[Part Name]=$A81)*M_BOM[RM_Qty_Per_Batch]*IFERROR(INDEX(PP_Grid[#Data],M_BOM[PPGridRow],66),0))/36.03</f>
        <v/>
      </c>
      <c r="BO81">
        <f>SUMPRODUCT((M_BOM[Part Name]=$A81)*M_BOM[RM_Qty_Per_Batch]*IFERROR(INDEX(PP_Grid[#Data],M_BOM[PPGridRow],67),0))/36.03</f>
        <v/>
      </c>
      <c r="BP81">
        <f>SUMPRODUCT((M_BOM[Part Name]=$A81)*M_BOM[RM_Qty_Per_Batch]*IFERROR(INDEX(PP_Grid[#Data],M_BOM[PPGridRow],68),0))/36.03</f>
        <v/>
      </c>
      <c r="BQ81">
        <f>SUMPRODUCT((M_BOM[Part Name]=$A81)*M_BOM[RM_Qty_Per_Batch]*IFERROR(INDEX(PP_Grid[#Data],M_BOM[PPGridRow],69),0))/36.03</f>
        <v/>
      </c>
      <c r="BR81">
        <f>SUMPRODUCT((M_BOM[Part Name]=$A81)*M_BOM[RM_Qty_Per_Batch]*IFERROR(INDEX(PP_Grid[#Data],M_BOM[PPGridRow],70),0))/36.03</f>
        <v/>
      </c>
      <c r="BS81">
        <f>SUMPRODUCT((M_BOM[Part Name]=$A81)*M_BOM[RM_Qty_Per_Batch]*IFERROR(INDEX(PP_Grid[#Data],M_BOM[PPGridRow],71),0))/36.03</f>
        <v/>
      </c>
      <c r="BT81">
        <f>SUMPRODUCT((M_BOM[Part Name]=$A81)*M_BOM[RM_Qty_Per_Batch]*IFERROR(INDEX(PP_Grid[#Data],M_BOM[PPGridRow],72),0))/36.03</f>
        <v/>
      </c>
      <c r="BU81">
        <f>SUMPRODUCT((M_BOM[Part Name]=$A81)*M_BOM[RM_Qty_Per_Batch]*IFERROR(INDEX(PP_Grid[#Data],M_BOM[PPGridRow],73),0))/36.03</f>
        <v/>
      </c>
      <c r="BV81">
        <f>SUMPRODUCT((M_BOM[Part Name]=$A81)*M_BOM[RM_Qty_Per_Batch]*IFERROR(INDEX(PP_Grid[#Data],M_BOM[PPGridRow],74),0))/36.03</f>
        <v/>
      </c>
      <c r="BW81">
        <f>SUMPRODUCT((M_BOM[Part Name]=$A81)*M_BOM[RM_Qty_Per_Batch]*IFERROR(INDEX(PP_Grid[#Data],M_BOM[PPGridRow],75),0))/36.03</f>
        <v/>
      </c>
      <c r="BX81">
        <f>SUMPRODUCT((M_BOM[Part Name]=$A81)*M_BOM[RM_Qty_Per_Batch]*IFERROR(INDEX(PP_Grid[#Data],M_BOM[PPGridRow],76),0))/36.03</f>
        <v/>
      </c>
      <c r="BY81">
        <f>SUMPRODUCT((M_BOM[Part Name]=$A81)*M_BOM[RM_Qty_Per_Batch]*IFERROR(INDEX(PP_Grid[#Data],M_BOM[PPGridRow],77),0))/36.03</f>
        <v/>
      </c>
      <c r="BZ81">
        <f>SUMPRODUCT((M_BOM[Part Name]=$A81)*M_BOM[RM_Qty_Per_Batch]*IFERROR(INDEX(PP_Grid[#Data],M_BOM[PPGridRow],78),0))/36.03</f>
        <v/>
      </c>
      <c r="CA81">
        <f>SUMPRODUCT((M_BOM[Part Name]=$A81)*M_BOM[RM_Qty_Per_Batch]*IFERROR(INDEX(PP_Grid[#Data],M_BOM[PPGridRow],79),0))/36.03</f>
        <v/>
      </c>
      <c r="CB81">
        <f>SUMPRODUCT((M_BOM[Part Name]=$A81)*M_BOM[RM_Qty_Per_Batch]*IFERROR(INDEX(PP_Grid[#Data],M_BOM[PPGridRow],80),0))/36.03</f>
        <v/>
      </c>
      <c r="CC81">
        <f>SUMPRODUCT((M_BOM[Part Name]=$A81)*M_BOM[RM_Qty_Per_Batch]*IFERROR(INDEX(PP_Grid[#Data],M_BOM[PPGridRow],81),0))/36.03</f>
        <v/>
      </c>
      <c r="CD81">
        <f>SUMPRODUCT((M_BOM[Part Name]=$A81)*M_BOM[RM_Qty_Per_Batch]*IFERROR(INDEX(PP_Grid[#Data],M_BOM[PPGridRow],82),0))/36.03</f>
        <v/>
      </c>
      <c r="CE81">
        <f>SUMPRODUCT((M_BOM[Part Name]=$A81)*M_BOM[RM_Qty_Per_Batch]*IFERROR(INDEX(PP_Grid[#Data],M_BOM[PPGridRow],83),0))/36.03</f>
        <v/>
      </c>
      <c r="CF81">
        <f>SUMPRODUCT((M_BOM[Part Name]=$A81)*M_BOM[RM_Qty_Per_Batch]*IFERROR(INDEX(PP_Grid[#Data],M_BOM[PPGridRow],84),0))/36.03</f>
        <v/>
      </c>
      <c r="CG81">
        <f>SUMPRODUCT((M_BOM[Part Name]=$A81)*M_BOM[RM_Qty_Per_Batch]*IFERROR(INDEX(PP_Grid[#Data],M_BOM[PPGridRow],85),0))/36.03</f>
        <v/>
      </c>
      <c r="CH81">
        <f>SUMPRODUCT((M_BOM[Part Name]=$A81)*M_BOM[RM_Qty_Per_Batch]*IFERROR(INDEX(PP_Grid[#Data],M_BOM[PPGridRow],86),0))/36.03</f>
        <v/>
      </c>
      <c r="CI81">
        <f>SUMPRODUCT((M_BOM[Part Name]=$A81)*M_BOM[RM_Qty_Per_Batch]*IFERROR(INDEX(PP_Grid[#Data],M_BOM[PPGridRow],87),0))/36.03</f>
        <v/>
      </c>
      <c r="CJ81">
        <f>SUMPRODUCT((M_BOM[Part Name]=$A81)*M_BOM[RM_Qty_Per_Batch]*IFERROR(INDEX(PP_Grid[#Data],M_BOM[PPGridRow],88),0))/36.03</f>
        <v/>
      </c>
      <c r="CK81">
        <f>SUMPRODUCT((M_BOM[Part Name]=$A81)*M_BOM[RM_Qty_Per_Batch]*IFERROR(INDEX(PP_Grid[#Data],M_BOM[PPGridRow],89),0))/36.03</f>
        <v/>
      </c>
      <c r="CL81">
        <f>SUMPRODUCT((M_BOM[Part Name]=$A81)*M_BOM[RM_Qty_Per_Batch]*IFERROR(INDEX(PP_Grid[#Data],M_BOM[PPGridRow],90),0))/36.03</f>
        <v/>
      </c>
      <c r="CM81">
        <f>SUMPRODUCT((M_BOM[Part Name]=$A81)*M_BOM[RM_Qty_Per_Batch]*IFERROR(INDEX(PP_Grid[#Data],M_BOM[PPGridRow],91),0))/36.03</f>
        <v/>
      </c>
      <c r="CN81">
        <f>SUMPRODUCT((M_BOM[Part Name]=$A81)*M_BOM[RM_Qty_Per_Batch]*IFERROR(INDEX(PP_Grid[#Data],M_BOM[PPGridRow],92),0))/36.03</f>
        <v/>
      </c>
      <c r="CO81">
        <f>SUMPRODUCT((M_BOM[Part Name]=$A81)*M_BOM[RM_Qty_Per_Batch]*IFERROR(INDEX(PP_Grid[#Data],M_BOM[PPGridRow],93),0))/36.03</f>
        <v/>
      </c>
      <c r="CP81">
        <f>SUMPRODUCT((M_BOM[Part Name]=$A81)*M_BOM[RM_Qty_Per_Batch]*IFERROR(INDEX(PP_Grid[#Data],M_BOM[PPGridRow],94),0))/36.03</f>
        <v/>
      </c>
      <c r="CQ81">
        <f>SUMPRODUCT((M_BOM[Part Name]=$A81)*M_BOM[RM_Qty_Per_Batch]*IFERROR(INDEX(PP_Grid[#Data],M_BOM[PPGridRow],95),0))/36.03</f>
        <v/>
      </c>
      <c r="CR81">
        <f>SUMPRODUCT((M_BOM[Part Name]=$A81)*M_BOM[RM_Qty_Per_Batch]*IFERROR(INDEX(PP_Grid[#Data],M_BOM[PPGridRow],96),0))/36.03</f>
        <v/>
      </c>
      <c r="CS81">
        <f>SUMPRODUCT((M_BOM[Part Name]=$A81)*M_BOM[RM_Qty_Per_Batch]*IFERROR(INDEX(PP_Grid[#Data],M_BOM[PPGridRow],97),0))/36.03</f>
        <v/>
      </c>
      <c r="CT81">
        <f>SUMPRODUCT((M_BOM[Part Name]=$A81)*M_BOM[RM_Qty_Per_Batch]*IFERROR(INDEX(PP_Grid[#Data],M_BOM[PPGridRow],98),0))/36.03</f>
        <v/>
      </c>
      <c r="CU81">
        <f>SUMPRODUCT((M_BOM[Part Name]=$A81)*M_BOM[RM_Qty_Per_Batch]*IFERROR(INDEX(PP_Grid[#Data],M_BOM[PPGridRow],99),0))/36.03</f>
        <v/>
      </c>
      <c r="CV81">
        <f>SUMPRODUCT((M_BOM[Part Name]=$A81)*M_BOM[RM_Qty_Per_Batch]*IFERROR(INDEX(PP_Grid[#Data],M_BOM[PPGridRow],100),0))/36.03</f>
        <v/>
      </c>
      <c r="CW81">
        <f>SUMPRODUCT((M_BOM[Part Name]=$A81)*M_BOM[RM_Qty_Per_Batch]*IFERROR(INDEX(PP_Grid[#Data],M_BOM[PPGridRow],101),0))/36.03</f>
        <v/>
      </c>
      <c r="CX81">
        <f>SUMPRODUCT((M_BOM[Part Name]=$A81)*M_BOM[RM_Qty_Per_Batch]*IFERROR(INDEX(PP_Grid[#Data],M_BOM[PPGridRow],102),0))/36.03</f>
        <v/>
      </c>
      <c r="CY81">
        <f>SUMPRODUCT((M_BOM[Part Name]=$A81)*M_BOM[RM_Qty_Per_Batch]*IFERROR(INDEX(PP_Grid[#Data],M_BOM[PPGridRow],103),0))/36.03</f>
        <v/>
      </c>
      <c r="CZ81">
        <f>SUMPRODUCT((M_BOM[Part Name]=$A81)*M_BOM[RM_Qty_Per_Batch]*IFERROR(INDEX(PP_Grid[#Data],M_BOM[PPGridRow],104),0))/36.03</f>
        <v/>
      </c>
      <c r="DA81">
        <f>SUMPRODUCT((M_BOM[Part Name]=$A81)*M_BOM[RM_Qty_Per_Batch]*IFERROR(INDEX(PP_Grid[#Data],M_BOM[PPGridRow],105),0))/36.03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Name]=$A82)*M_BOM[RM_Qty_Per_Batch]*IFERROR(INDEX(PP_Grid[#Data],M_BOM[PPGridRow],2),0))/36.61</f>
        <v/>
      </c>
      <c r="C82">
        <f>SUMPRODUCT((M_BOM[Part Name]=$A82)*M_BOM[RM_Qty_Per_Batch]*IFERROR(INDEX(PP_Grid[#Data],M_BOM[PPGridRow],3),0))/36.61</f>
        <v/>
      </c>
      <c r="D82">
        <f>SUMPRODUCT((M_BOM[Part Name]=$A82)*M_BOM[RM_Qty_Per_Batch]*IFERROR(INDEX(PP_Grid[#Data],M_BOM[PPGridRow],4),0))/36.61</f>
        <v/>
      </c>
      <c r="E82">
        <f>SUMPRODUCT((M_BOM[Part Name]=$A82)*M_BOM[RM_Qty_Per_Batch]*IFERROR(INDEX(PP_Grid[#Data],M_BOM[PPGridRow],5),0))/36.61</f>
        <v/>
      </c>
      <c r="F82">
        <f>SUMPRODUCT((M_BOM[Part Name]=$A82)*M_BOM[RM_Qty_Per_Batch]*IFERROR(INDEX(PP_Grid[#Data],M_BOM[PPGridRow],6),0))/36.61</f>
        <v/>
      </c>
      <c r="G82">
        <f>SUMPRODUCT((M_BOM[Part Name]=$A82)*M_BOM[RM_Qty_Per_Batch]*IFERROR(INDEX(PP_Grid[#Data],M_BOM[PPGridRow],7),0))/36.61</f>
        <v/>
      </c>
      <c r="H82">
        <f>SUMPRODUCT((M_BOM[Part Name]=$A82)*M_BOM[RM_Qty_Per_Batch]*IFERROR(INDEX(PP_Grid[#Data],M_BOM[PPGridRow],8),0))/36.61</f>
        <v/>
      </c>
      <c r="I82">
        <f>SUMPRODUCT((M_BOM[Part Name]=$A82)*M_BOM[RM_Qty_Per_Batch]*IFERROR(INDEX(PP_Grid[#Data],M_BOM[PPGridRow],9),0))/36.61</f>
        <v/>
      </c>
      <c r="J82">
        <f>SUMPRODUCT((M_BOM[Part Name]=$A82)*M_BOM[RM_Qty_Per_Batch]*IFERROR(INDEX(PP_Grid[#Data],M_BOM[PPGridRow],10),0))/36.61</f>
        <v/>
      </c>
      <c r="K82">
        <f>SUMPRODUCT((M_BOM[Part Name]=$A82)*M_BOM[RM_Qty_Per_Batch]*IFERROR(INDEX(PP_Grid[#Data],M_BOM[PPGridRow],11),0))/36.61</f>
        <v/>
      </c>
      <c r="L82">
        <f>SUMPRODUCT((M_BOM[Part Name]=$A82)*M_BOM[RM_Qty_Per_Batch]*IFERROR(INDEX(PP_Grid[#Data],M_BOM[PPGridRow],12),0))/36.61</f>
        <v/>
      </c>
      <c r="M82">
        <f>SUMPRODUCT((M_BOM[Part Name]=$A82)*M_BOM[RM_Qty_Per_Batch]*IFERROR(INDEX(PP_Grid[#Data],M_BOM[PPGridRow],13),0))/36.61</f>
        <v/>
      </c>
      <c r="N82">
        <f>SUMPRODUCT((M_BOM[Part Name]=$A82)*M_BOM[RM_Qty_Per_Batch]*IFERROR(INDEX(PP_Grid[#Data],M_BOM[PPGridRow],14),0))/36.61</f>
        <v/>
      </c>
      <c r="O82">
        <f>SUMPRODUCT((M_BOM[Part Name]=$A82)*M_BOM[RM_Qty_Per_Batch]*IFERROR(INDEX(PP_Grid[#Data],M_BOM[PPGridRow],15),0))/36.61</f>
        <v/>
      </c>
      <c r="P82">
        <f>SUMPRODUCT((M_BOM[Part Name]=$A82)*M_BOM[RM_Qty_Per_Batch]*IFERROR(INDEX(PP_Grid[#Data],M_BOM[PPGridRow],16),0))/36.61</f>
        <v/>
      </c>
      <c r="Q82">
        <f>SUMPRODUCT((M_BOM[Part Name]=$A82)*M_BOM[RM_Qty_Per_Batch]*IFERROR(INDEX(PP_Grid[#Data],M_BOM[PPGridRow],17),0))/36.61</f>
        <v/>
      </c>
      <c r="R82">
        <f>SUMPRODUCT((M_BOM[Part Name]=$A82)*M_BOM[RM_Qty_Per_Batch]*IFERROR(INDEX(PP_Grid[#Data],M_BOM[PPGridRow],18),0))/36.61</f>
        <v/>
      </c>
      <c r="S82">
        <f>SUMPRODUCT((M_BOM[Part Name]=$A82)*M_BOM[RM_Qty_Per_Batch]*IFERROR(INDEX(PP_Grid[#Data],M_BOM[PPGridRow],19),0))/36.61</f>
        <v/>
      </c>
      <c r="T82">
        <f>SUMPRODUCT((M_BOM[Part Name]=$A82)*M_BOM[RM_Qty_Per_Batch]*IFERROR(INDEX(PP_Grid[#Data],M_BOM[PPGridRow],20),0))/36.61</f>
        <v/>
      </c>
      <c r="U82">
        <f>SUMPRODUCT((M_BOM[Part Name]=$A82)*M_BOM[RM_Qty_Per_Batch]*IFERROR(INDEX(PP_Grid[#Data],M_BOM[PPGridRow],21),0))/36.61</f>
        <v/>
      </c>
      <c r="V82">
        <f>SUMPRODUCT((M_BOM[Part Name]=$A82)*M_BOM[RM_Qty_Per_Batch]*IFERROR(INDEX(PP_Grid[#Data],M_BOM[PPGridRow],22),0))/36.61</f>
        <v/>
      </c>
      <c r="W82">
        <f>SUMPRODUCT((M_BOM[Part Name]=$A82)*M_BOM[RM_Qty_Per_Batch]*IFERROR(INDEX(PP_Grid[#Data],M_BOM[PPGridRow],23),0))/36.61</f>
        <v/>
      </c>
      <c r="X82">
        <f>SUMPRODUCT((M_BOM[Part Name]=$A82)*M_BOM[RM_Qty_Per_Batch]*IFERROR(INDEX(PP_Grid[#Data],M_BOM[PPGridRow],24),0))/36.61</f>
        <v/>
      </c>
      <c r="Y82">
        <f>SUMPRODUCT((M_BOM[Part Name]=$A82)*M_BOM[RM_Qty_Per_Batch]*IFERROR(INDEX(PP_Grid[#Data],M_BOM[PPGridRow],25),0))/36.61</f>
        <v/>
      </c>
      <c r="Z82">
        <f>SUMPRODUCT((M_BOM[Part Name]=$A82)*M_BOM[RM_Qty_Per_Batch]*IFERROR(INDEX(PP_Grid[#Data],M_BOM[PPGridRow],26),0))/36.61</f>
        <v/>
      </c>
      <c r="AA82">
        <f>SUMPRODUCT((M_BOM[Part Name]=$A82)*M_BOM[RM_Qty_Per_Batch]*IFERROR(INDEX(PP_Grid[#Data],M_BOM[PPGridRow],27),0))/36.61</f>
        <v/>
      </c>
      <c r="AB82">
        <f>SUMPRODUCT((M_BOM[Part Name]=$A82)*M_BOM[RM_Qty_Per_Batch]*IFERROR(INDEX(PP_Grid[#Data],M_BOM[PPGridRow],28),0))/36.61</f>
        <v/>
      </c>
      <c r="AC82">
        <f>SUMPRODUCT((M_BOM[Part Name]=$A82)*M_BOM[RM_Qty_Per_Batch]*IFERROR(INDEX(PP_Grid[#Data],M_BOM[PPGridRow],29),0))/36.61</f>
        <v/>
      </c>
      <c r="AD82">
        <f>SUMPRODUCT((M_BOM[Part Name]=$A82)*M_BOM[RM_Qty_Per_Batch]*IFERROR(INDEX(PP_Grid[#Data],M_BOM[PPGridRow],30),0))/36.61</f>
        <v/>
      </c>
      <c r="AE82">
        <f>SUMPRODUCT((M_BOM[Part Name]=$A82)*M_BOM[RM_Qty_Per_Batch]*IFERROR(INDEX(PP_Grid[#Data],M_BOM[PPGridRow],31),0))/36.61</f>
        <v/>
      </c>
      <c r="AF82">
        <f>SUMPRODUCT((M_BOM[Part Name]=$A82)*M_BOM[RM_Qty_Per_Batch]*IFERROR(INDEX(PP_Grid[#Data],M_BOM[PPGridRow],32),0))/36.61</f>
        <v/>
      </c>
      <c r="AG82">
        <f>SUMPRODUCT((M_BOM[Part Name]=$A82)*M_BOM[RM_Qty_Per_Batch]*IFERROR(INDEX(PP_Grid[#Data],M_BOM[PPGridRow],33),0))/36.61</f>
        <v/>
      </c>
      <c r="AH82">
        <f>SUMPRODUCT((M_BOM[Part Name]=$A82)*M_BOM[RM_Qty_Per_Batch]*IFERROR(INDEX(PP_Grid[#Data],M_BOM[PPGridRow],34),0))/36.61</f>
        <v/>
      </c>
      <c r="AI82">
        <f>SUMPRODUCT((M_BOM[Part Name]=$A82)*M_BOM[RM_Qty_Per_Batch]*IFERROR(INDEX(PP_Grid[#Data],M_BOM[PPGridRow],35),0))/36.61</f>
        <v/>
      </c>
      <c r="AJ82">
        <f>SUMPRODUCT((M_BOM[Part Name]=$A82)*M_BOM[RM_Qty_Per_Batch]*IFERROR(INDEX(PP_Grid[#Data],M_BOM[PPGridRow],36),0))/36.61</f>
        <v/>
      </c>
      <c r="AK82">
        <f>SUMPRODUCT((M_BOM[Part Name]=$A82)*M_BOM[RM_Qty_Per_Batch]*IFERROR(INDEX(PP_Grid[#Data],M_BOM[PPGridRow],37),0))/36.61</f>
        <v/>
      </c>
      <c r="AL82">
        <f>SUMPRODUCT((M_BOM[Part Name]=$A82)*M_BOM[RM_Qty_Per_Batch]*IFERROR(INDEX(PP_Grid[#Data],M_BOM[PPGridRow],38),0))/36.61</f>
        <v/>
      </c>
      <c r="AM82">
        <f>SUMPRODUCT((M_BOM[Part Name]=$A82)*M_BOM[RM_Qty_Per_Batch]*IFERROR(INDEX(PP_Grid[#Data],M_BOM[PPGridRow],39),0))/36.61</f>
        <v/>
      </c>
      <c r="AN82">
        <f>SUMPRODUCT((M_BOM[Part Name]=$A82)*M_BOM[RM_Qty_Per_Batch]*IFERROR(INDEX(PP_Grid[#Data],M_BOM[PPGridRow],40),0))/36.61</f>
        <v/>
      </c>
      <c r="AO82">
        <f>SUMPRODUCT((M_BOM[Part Name]=$A82)*M_BOM[RM_Qty_Per_Batch]*IFERROR(INDEX(PP_Grid[#Data],M_BOM[PPGridRow],41),0))/36.61</f>
        <v/>
      </c>
      <c r="AP82">
        <f>SUMPRODUCT((M_BOM[Part Name]=$A82)*M_BOM[RM_Qty_Per_Batch]*IFERROR(INDEX(PP_Grid[#Data],M_BOM[PPGridRow],42),0))/36.61</f>
        <v/>
      </c>
      <c r="AQ82">
        <f>SUMPRODUCT((M_BOM[Part Name]=$A82)*M_BOM[RM_Qty_Per_Batch]*IFERROR(INDEX(PP_Grid[#Data],M_BOM[PPGridRow],43),0))/36.61</f>
        <v/>
      </c>
      <c r="AR82">
        <f>SUMPRODUCT((M_BOM[Part Name]=$A82)*M_BOM[RM_Qty_Per_Batch]*IFERROR(INDEX(PP_Grid[#Data],M_BOM[PPGridRow],44),0))/36.61</f>
        <v/>
      </c>
      <c r="AS82">
        <f>SUMPRODUCT((M_BOM[Part Name]=$A82)*M_BOM[RM_Qty_Per_Batch]*IFERROR(INDEX(PP_Grid[#Data],M_BOM[PPGridRow],45),0))/36.61</f>
        <v/>
      </c>
      <c r="AT82">
        <f>SUMPRODUCT((M_BOM[Part Name]=$A82)*M_BOM[RM_Qty_Per_Batch]*IFERROR(INDEX(PP_Grid[#Data],M_BOM[PPGridRow],46),0))/36.61</f>
        <v/>
      </c>
      <c r="AU82">
        <f>SUMPRODUCT((M_BOM[Part Name]=$A82)*M_BOM[RM_Qty_Per_Batch]*IFERROR(INDEX(PP_Grid[#Data],M_BOM[PPGridRow],47),0))/36.61</f>
        <v/>
      </c>
      <c r="AV82">
        <f>SUMPRODUCT((M_BOM[Part Name]=$A82)*M_BOM[RM_Qty_Per_Batch]*IFERROR(INDEX(PP_Grid[#Data],M_BOM[PPGridRow],48),0))/36.61</f>
        <v/>
      </c>
      <c r="AW82">
        <f>SUMPRODUCT((M_BOM[Part Name]=$A82)*M_BOM[RM_Qty_Per_Batch]*IFERROR(INDEX(PP_Grid[#Data],M_BOM[PPGridRow],49),0))/36.61</f>
        <v/>
      </c>
      <c r="AX82">
        <f>SUMPRODUCT((M_BOM[Part Name]=$A82)*M_BOM[RM_Qty_Per_Batch]*IFERROR(INDEX(PP_Grid[#Data],M_BOM[PPGridRow],50),0))/36.61</f>
        <v/>
      </c>
      <c r="AY82">
        <f>SUMPRODUCT((M_BOM[Part Name]=$A82)*M_BOM[RM_Qty_Per_Batch]*IFERROR(INDEX(PP_Grid[#Data],M_BOM[PPGridRow],51),0))/36.61</f>
        <v/>
      </c>
      <c r="AZ82">
        <f>SUMPRODUCT((M_BOM[Part Name]=$A82)*M_BOM[RM_Qty_Per_Batch]*IFERROR(INDEX(PP_Grid[#Data],M_BOM[PPGridRow],52),0))/36.61</f>
        <v/>
      </c>
      <c r="BA82">
        <f>SUMPRODUCT((M_BOM[Part Name]=$A82)*M_BOM[RM_Qty_Per_Batch]*IFERROR(INDEX(PP_Grid[#Data],M_BOM[PPGridRow],53),0))/36.61</f>
        <v/>
      </c>
      <c r="BB82">
        <f>SUMPRODUCT((M_BOM[Part Name]=$A82)*M_BOM[RM_Qty_Per_Batch]*IFERROR(INDEX(PP_Grid[#Data],M_BOM[PPGridRow],54),0))/36.61</f>
        <v/>
      </c>
      <c r="BC82">
        <f>SUMPRODUCT((M_BOM[Part Name]=$A82)*M_BOM[RM_Qty_Per_Batch]*IFERROR(INDEX(PP_Grid[#Data],M_BOM[PPGridRow],55),0))/36.61</f>
        <v/>
      </c>
      <c r="BD82">
        <f>SUMPRODUCT((M_BOM[Part Name]=$A82)*M_BOM[RM_Qty_Per_Batch]*IFERROR(INDEX(PP_Grid[#Data],M_BOM[PPGridRow],56),0))/36.61</f>
        <v/>
      </c>
      <c r="BE82">
        <f>SUMPRODUCT((M_BOM[Part Name]=$A82)*M_BOM[RM_Qty_Per_Batch]*IFERROR(INDEX(PP_Grid[#Data],M_BOM[PPGridRow],57),0))/36.61</f>
        <v/>
      </c>
      <c r="BF82">
        <f>SUMPRODUCT((M_BOM[Part Name]=$A82)*M_BOM[RM_Qty_Per_Batch]*IFERROR(INDEX(PP_Grid[#Data],M_BOM[PPGridRow],58),0))/36.61</f>
        <v/>
      </c>
      <c r="BG82">
        <f>SUMPRODUCT((M_BOM[Part Name]=$A82)*M_BOM[RM_Qty_Per_Batch]*IFERROR(INDEX(PP_Grid[#Data],M_BOM[PPGridRow],59),0))/36.61</f>
        <v/>
      </c>
      <c r="BH82">
        <f>SUMPRODUCT((M_BOM[Part Name]=$A82)*M_BOM[RM_Qty_Per_Batch]*IFERROR(INDEX(PP_Grid[#Data],M_BOM[PPGridRow],60),0))/36.61</f>
        <v/>
      </c>
      <c r="BI82">
        <f>SUMPRODUCT((M_BOM[Part Name]=$A82)*M_BOM[RM_Qty_Per_Batch]*IFERROR(INDEX(PP_Grid[#Data],M_BOM[PPGridRow],61),0))/36.61</f>
        <v/>
      </c>
      <c r="BJ82">
        <f>SUMPRODUCT((M_BOM[Part Name]=$A82)*M_BOM[RM_Qty_Per_Batch]*IFERROR(INDEX(PP_Grid[#Data],M_BOM[PPGridRow],62),0))/36.61</f>
        <v/>
      </c>
      <c r="BK82">
        <f>SUMPRODUCT((M_BOM[Part Name]=$A82)*M_BOM[RM_Qty_Per_Batch]*IFERROR(INDEX(PP_Grid[#Data],M_BOM[PPGridRow],63),0))/36.61</f>
        <v/>
      </c>
      <c r="BL82">
        <f>SUMPRODUCT((M_BOM[Part Name]=$A82)*M_BOM[RM_Qty_Per_Batch]*IFERROR(INDEX(PP_Grid[#Data],M_BOM[PPGridRow],64),0))/36.61</f>
        <v/>
      </c>
      <c r="BM82">
        <f>SUMPRODUCT((M_BOM[Part Name]=$A82)*M_BOM[RM_Qty_Per_Batch]*IFERROR(INDEX(PP_Grid[#Data],M_BOM[PPGridRow],65),0))/36.61</f>
        <v/>
      </c>
      <c r="BN82">
        <f>SUMPRODUCT((M_BOM[Part Name]=$A82)*M_BOM[RM_Qty_Per_Batch]*IFERROR(INDEX(PP_Grid[#Data],M_BOM[PPGridRow],66),0))/36.61</f>
        <v/>
      </c>
      <c r="BO82">
        <f>SUMPRODUCT((M_BOM[Part Name]=$A82)*M_BOM[RM_Qty_Per_Batch]*IFERROR(INDEX(PP_Grid[#Data],M_BOM[PPGridRow],67),0))/36.61</f>
        <v/>
      </c>
      <c r="BP82">
        <f>SUMPRODUCT((M_BOM[Part Name]=$A82)*M_BOM[RM_Qty_Per_Batch]*IFERROR(INDEX(PP_Grid[#Data],M_BOM[PPGridRow],68),0))/36.61</f>
        <v/>
      </c>
      <c r="BQ82">
        <f>SUMPRODUCT((M_BOM[Part Name]=$A82)*M_BOM[RM_Qty_Per_Batch]*IFERROR(INDEX(PP_Grid[#Data],M_BOM[PPGridRow],69),0))/36.61</f>
        <v/>
      </c>
      <c r="BR82">
        <f>SUMPRODUCT((M_BOM[Part Name]=$A82)*M_BOM[RM_Qty_Per_Batch]*IFERROR(INDEX(PP_Grid[#Data],M_BOM[PPGridRow],70),0))/36.61</f>
        <v/>
      </c>
      <c r="BS82">
        <f>SUMPRODUCT((M_BOM[Part Name]=$A82)*M_BOM[RM_Qty_Per_Batch]*IFERROR(INDEX(PP_Grid[#Data],M_BOM[PPGridRow],71),0))/36.61</f>
        <v/>
      </c>
      <c r="BT82">
        <f>SUMPRODUCT((M_BOM[Part Name]=$A82)*M_BOM[RM_Qty_Per_Batch]*IFERROR(INDEX(PP_Grid[#Data],M_BOM[PPGridRow],72),0))/36.61</f>
        <v/>
      </c>
      <c r="BU82">
        <f>SUMPRODUCT((M_BOM[Part Name]=$A82)*M_BOM[RM_Qty_Per_Batch]*IFERROR(INDEX(PP_Grid[#Data],M_BOM[PPGridRow],73),0))/36.61</f>
        <v/>
      </c>
      <c r="BV82">
        <f>SUMPRODUCT((M_BOM[Part Name]=$A82)*M_BOM[RM_Qty_Per_Batch]*IFERROR(INDEX(PP_Grid[#Data],M_BOM[PPGridRow],74),0))/36.61</f>
        <v/>
      </c>
      <c r="BW82">
        <f>SUMPRODUCT((M_BOM[Part Name]=$A82)*M_BOM[RM_Qty_Per_Batch]*IFERROR(INDEX(PP_Grid[#Data],M_BOM[PPGridRow],75),0))/36.61</f>
        <v/>
      </c>
      <c r="BX82">
        <f>SUMPRODUCT((M_BOM[Part Name]=$A82)*M_BOM[RM_Qty_Per_Batch]*IFERROR(INDEX(PP_Grid[#Data],M_BOM[PPGridRow],76),0))/36.61</f>
        <v/>
      </c>
      <c r="BY82">
        <f>SUMPRODUCT((M_BOM[Part Name]=$A82)*M_BOM[RM_Qty_Per_Batch]*IFERROR(INDEX(PP_Grid[#Data],M_BOM[PPGridRow],77),0))/36.61</f>
        <v/>
      </c>
      <c r="BZ82">
        <f>SUMPRODUCT((M_BOM[Part Name]=$A82)*M_BOM[RM_Qty_Per_Batch]*IFERROR(INDEX(PP_Grid[#Data],M_BOM[PPGridRow],78),0))/36.61</f>
        <v/>
      </c>
      <c r="CA82">
        <f>SUMPRODUCT((M_BOM[Part Name]=$A82)*M_BOM[RM_Qty_Per_Batch]*IFERROR(INDEX(PP_Grid[#Data],M_BOM[PPGridRow],79),0))/36.61</f>
        <v/>
      </c>
      <c r="CB82">
        <f>SUMPRODUCT((M_BOM[Part Name]=$A82)*M_BOM[RM_Qty_Per_Batch]*IFERROR(INDEX(PP_Grid[#Data],M_BOM[PPGridRow],80),0))/36.61</f>
        <v/>
      </c>
      <c r="CC82">
        <f>SUMPRODUCT((M_BOM[Part Name]=$A82)*M_BOM[RM_Qty_Per_Batch]*IFERROR(INDEX(PP_Grid[#Data],M_BOM[PPGridRow],81),0))/36.61</f>
        <v/>
      </c>
      <c r="CD82">
        <f>SUMPRODUCT((M_BOM[Part Name]=$A82)*M_BOM[RM_Qty_Per_Batch]*IFERROR(INDEX(PP_Grid[#Data],M_BOM[PPGridRow],82),0))/36.61</f>
        <v/>
      </c>
      <c r="CE82">
        <f>SUMPRODUCT((M_BOM[Part Name]=$A82)*M_BOM[RM_Qty_Per_Batch]*IFERROR(INDEX(PP_Grid[#Data],M_BOM[PPGridRow],83),0))/36.61</f>
        <v/>
      </c>
      <c r="CF82">
        <f>SUMPRODUCT((M_BOM[Part Name]=$A82)*M_BOM[RM_Qty_Per_Batch]*IFERROR(INDEX(PP_Grid[#Data],M_BOM[PPGridRow],84),0))/36.61</f>
        <v/>
      </c>
      <c r="CG82">
        <f>SUMPRODUCT((M_BOM[Part Name]=$A82)*M_BOM[RM_Qty_Per_Batch]*IFERROR(INDEX(PP_Grid[#Data],M_BOM[PPGridRow],85),0))/36.61</f>
        <v/>
      </c>
      <c r="CH82">
        <f>SUMPRODUCT((M_BOM[Part Name]=$A82)*M_BOM[RM_Qty_Per_Batch]*IFERROR(INDEX(PP_Grid[#Data],M_BOM[PPGridRow],86),0))/36.61</f>
        <v/>
      </c>
      <c r="CI82">
        <f>SUMPRODUCT((M_BOM[Part Name]=$A82)*M_BOM[RM_Qty_Per_Batch]*IFERROR(INDEX(PP_Grid[#Data],M_BOM[PPGridRow],87),0))/36.61</f>
        <v/>
      </c>
      <c r="CJ82">
        <f>SUMPRODUCT((M_BOM[Part Name]=$A82)*M_BOM[RM_Qty_Per_Batch]*IFERROR(INDEX(PP_Grid[#Data],M_BOM[PPGridRow],88),0))/36.61</f>
        <v/>
      </c>
      <c r="CK82">
        <f>SUMPRODUCT((M_BOM[Part Name]=$A82)*M_BOM[RM_Qty_Per_Batch]*IFERROR(INDEX(PP_Grid[#Data],M_BOM[PPGridRow],89),0))/36.61</f>
        <v/>
      </c>
      <c r="CL82">
        <f>SUMPRODUCT((M_BOM[Part Name]=$A82)*M_BOM[RM_Qty_Per_Batch]*IFERROR(INDEX(PP_Grid[#Data],M_BOM[PPGridRow],90),0))/36.61</f>
        <v/>
      </c>
      <c r="CM82">
        <f>SUMPRODUCT((M_BOM[Part Name]=$A82)*M_BOM[RM_Qty_Per_Batch]*IFERROR(INDEX(PP_Grid[#Data],M_BOM[PPGridRow],91),0))/36.61</f>
        <v/>
      </c>
      <c r="CN82">
        <f>SUMPRODUCT((M_BOM[Part Name]=$A82)*M_BOM[RM_Qty_Per_Batch]*IFERROR(INDEX(PP_Grid[#Data],M_BOM[PPGridRow],92),0))/36.61</f>
        <v/>
      </c>
      <c r="CO82">
        <f>SUMPRODUCT((M_BOM[Part Name]=$A82)*M_BOM[RM_Qty_Per_Batch]*IFERROR(INDEX(PP_Grid[#Data],M_BOM[PPGridRow],93),0))/36.61</f>
        <v/>
      </c>
      <c r="CP82">
        <f>SUMPRODUCT((M_BOM[Part Name]=$A82)*M_BOM[RM_Qty_Per_Batch]*IFERROR(INDEX(PP_Grid[#Data],M_BOM[PPGridRow],94),0))/36.61</f>
        <v/>
      </c>
      <c r="CQ82">
        <f>SUMPRODUCT((M_BOM[Part Name]=$A82)*M_BOM[RM_Qty_Per_Batch]*IFERROR(INDEX(PP_Grid[#Data],M_BOM[PPGridRow],95),0))/36.61</f>
        <v/>
      </c>
      <c r="CR82">
        <f>SUMPRODUCT((M_BOM[Part Name]=$A82)*M_BOM[RM_Qty_Per_Batch]*IFERROR(INDEX(PP_Grid[#Data],M_BOM[PPGridRow],96),0))/36.61</f>
        <v/>
      </c>
      <c r="CS82">
        <f>SUMPRODUCT((M_BOM[Part Name]=$A82)*M_BOM[RM_Qty_Per_Batch]*IFERROR(INDEX(PP_Grid[#Data],M_BOM[PPGridRow],97),0))/36.61</f>
        <v/>
      </c>
      <c r="CT82">
        <f>SUMPRODUCT((M_BOM[Part Name]=$A82)*M_BOM[RM_Qty_Per_Batch]*IFERROR(INDEX(PP_Grid[#Data],M_BOM[PPGridRow],98),0))/36.61</f>
        <v/>
      </c>
      <c r="CU82">
        <f>SUMPRODUCT((M_BOM[Part Name]=$A82)*M_BOM[RM_Qty_Per_Batch]*IFERROR(INDEX(PP_Grid[#Data],M_BOM[PPGridRow],99),0))/36.61</f>
        <v/>
      </c>
      <c r="CV82">
        <f>SUMPRODUCT((M_BOM[Part Name]=$A82)*M_BOM[RM_Qty_Per_Batch]*IFERROR(INDEX(PP_Grid[#Data],M_BOM[PPGridRow],100),0))/36.61</f>
        <v/>
      </c>
      <c r="CW82">
        <f>SUMPRODUCT((M_BOM[Part Name]=$A82)*M_BOM[RM_Qty_Per_Batch]*IFERROR(INDEX(PP_Grid[#Data],M_BOM[PPGridRow],101),0))/36.61</f>
        <v/>
      </c>
      <c r="CX82">
        <f>SUMPRODUCT((M_BOM[Part Name]=$A82)*M_BOM[RM_Qty_Per_Batch]*IFERROR(INDEX(PP_Grid[#Data],M_BOM[PPGridRow],102),0))/36.61</f>
        <v/>
      </c>
      <c r="CY82">
        <f>SUMPRODUCT((M_BOM[Part Name]=$A82)*M_BOM[RM_Qty_Per_Batch]*IFERROR(INDEX(PP_Grid[#Data],M_BOM[PPGridRow],103),0))/36.61</f>
        <v/>
      </c>
      <c r="CZ82">
        <f>SUMPRODUCT((M_BOM[Part Name]=$A82)*M_BOM[RM_Qty_Per_Batch]*IFERROR(INDEX(PP_Grid[#Data],M_BOM[PPGridRow],104),0))/36.61</f>
        <v/>
      </c>
      <c r="DA82">
        <f>SUMPRODUCT((M_BOM[Part Name]=$A82)*M_BOM[RM_Qty_Per_Batch]*IFERROR(INDEX(PP_Grid[#Data],M_BOM[PPGridRow],105),0))/36.61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Name]=$A83)*M_BOM[RM_Qty_Per_Batch]*IFERROR(INDEX(PP_Grid[#Data],M_BOM[PPGridRow],2),0))/29.82</f>
        <v/>
      </c>
      <c r="C83">
        <f>SUMPRODUCT((M_BOM[Part Name]=$A83)*M_BOM[RM_Qty_Per_Batch]*IFERROR(INDEX(PP_Grid[#Data],M_BOM[PPGridRow],3),0))/29.82</f>
        <v/>
      </c>
      <c r="D83">
        <f>SUMPRODUCT((M_BOM[Part Name]=$A83)*M_BOM[RM_Qty_Per_Batch]*IFERROR(INDEX(PP_Grid[#Data],M_BOM[PPGridRow],4),0))/29.82</f>
        <v/>
      </c>
      <c r="E83">
        <f>SUMPRODUCT((M_BOM[Part Name]=$A83)*M_BOM[RM_Qty_Per_Batch]*IFERROR(INDEX(PP_Grid[#Data],M_BOM[PPGridRow],5),0))/29.82</f>
        <v/>
      </c>
      <c r="F83">
        <f>SUMPRODUCT((M_BOM[Part Name]=$A83)*M_BOM[RM_Qty_Per_Batch]*IFERROR(INDEX(PP_Grid[#Data],M_BOM[PPGridRow],6),0))/29.82</f>
        <v/>
      </c>
      <c r="G83">
        <f>SUMPRODUCT((M_BOM[Part Name]=$A83)*M_BOM[RM_Qty_Per_Batch]*IFERROR(INDEX(PP_Grid[#Data],M_BOM[PPGridRow],7),0))/29.82</f>
        <v/>
      </c>
      <c r="H83">
        <f>SUMPRODUCT((M_BOM[Part Name]=$A83)*M_BOM[RM_Qty_Per_Batch]*IFERROR(INDEX(PP_Grid[#Data],M_BOM[PPGridRow],8),0))/29.82</f>
        <v/>
      </c>
      <c r="I83">
        <f>SUMPRODUCT((M_BOM[Part Name]=$A83)*M_BOM[RM_Qty_Per_Batch]*IFERROR(INDEX(PP_Grid[#Data],M_BOM[PPGridRow],9),0))/29.82</f>
        <v/>
      </c>
      <c r="J83">
        <f>SUMPRODUCT((M_BOM[Part Name]=$A83)*M_BOM[RM_Qty_Per_Batch]*IFERROR(INDEX(PP_Grid[#Data],M_BOM[PPGridRow],10),0))/29.82</f>
        <v/>
      </c>
      <c r="K83">
        <f>SUMPRODUCT((M_BOM[Part Name]=$A83)*M_BOM[RM_Qty_Per_Batch]*IFERROR(INDEX(PP_Grid[#Data],M_BOM[PPGridRow],11),0))/29.82</f>
        <v/>
      </c>
      <c r="L83">
        <f>SUMPRODUCT((M_BOM[Part Name]=$A83)*M_BOM[RM_Qty_Per_Batch]*IFERROR(INDEX(PP_Grid[#Data],M_BOM[PPGridRow],12),0))/29.82</f>
        <v/>
      </c>
      <c r="M83">
        <f>SUMPRODUCT((M_BOM[Part Name]=$A83)*M_BOM[RM_Qty_Per_Batch]*IFERROR(INDEX(PP_Grid[#Data],M_BOM[PPGridRow],13),0))/29.82</f>
        <v/>
      </c>
      <c r="N83">
        <f>SUMPRODUCT((M_BOM[Part Name]=$A83)*M_BOM[RM_Qty_Per_Batch]*IFERROR(INDEX(PP_Grid[#Data],M_BOM[PPGridRow],14),0))/29.82</f>
        <v/>
      </c>
      <c r="O83">
        <f>SUMPRODUCT((M_BOM[Part Name]=$A83)*M_BOM[RM_Qty_Per_Batch]*IFERROR(INDEX(PP_Grid[#Data],M_BOM[PPGridRow],15),0))/29.82</f>
        <v/>
      </c>
      <c r="P83">
        <f>SUMPRODUCT((M_BOM[Part Name]=$A83)*M_BOM[RM_Qty_Per_Batch]*IFERROR(INDEX(PP_Grid[#Data],M_BOM[PPGridRow],16),0))/29.82</f>
        <v/>
      </c>
      <c r="Q83">
        <f>SUMPRODUCT((M_BOM[Part Name]=$A83)*M_BOM[RM_Qty_Per_Batch]*IFERROR(INDEX(PP_Grid[#Data],M_BOM[PPGridRow],17),0))/29.82</f>
        <v/>
      </c>
      <c r="R83">
        <f>SUMPRODUCT((M_BOM[Part Name]=$A83)*M_BOM[RM_Qty_Per_Batch]*IFERROR(INDEX(PP_Grid[#Data],M_BOM[PPGridRow],18),0))/29.82</f>
        <v/>
      </c>
      <c r="S83">
        <f>SUMPRODUCT((M_BOM[Part Name]=$A83)*M_BOM[RM_Qty_Per_Batch]*IFERROR(INDEX(PP_Grid[#Data],M_BOM[PPGridRow],19),0))/29.82</f>
        <v/>
      </c>
      <c r="T83">
        <f>SUMPRODUCT((M_BOM[Part Name]=$A83)*M_BOM[RM_Qty_Per_Batch]*IFERROR(INDEX(PP_Grid[#Data],M_BOM[PPGridRow],20),0))/29.82</f>
        <v/>
      </c>
      <c r="U83">
        <f>SUMPRODUCT((M_BOM[Part Name]=$A83)*M_BOM[RM_Qty_Per_Batch]*IFERROR(INDEX(PP_Grid[#Data],M_BOM[PPGridRow],21),0))/29.82</f>
        <v/>
      </c>
      <c r="V83">
        <f>SUMPRODUCT((M_BOM[Part Name]=$A83)*M_BOM[RM_Qty_Per_Batch]*IFERROR(INDEX(PP_Grid[#Data],M_BOM[PPGridRow],22),0))/29.82</f>
        <v/>
      </c>
      <c r="W83">
        <f>SUMPRODUCT((M_BOM[Part Name]=$A83)*M_BOM[RM_Qty_Per_Batch]*IFERROR(INDEX(PP_Grid[#Data],M_BOM[PPGridRow],23),0))/29.82</f>
        <v/>
      </c>
      <c r="X83">
        <f>SUMPRODUCT((M_BOM[Part Name]=$A83)*M_BOM[RM_Qty_Per_Batch]*IFERROR(INDEX(PP_Grid[#Data],M_BOM[PPGridRow],24),0))/29.82</f>
        <v/>
      </c>
      <c r="Y83">
        <f>SUMPRODUCT((M_BOM[Part Name]=$A83)*M_BOM[RM_Qty_Per_Batch]*IFERROR(INDEX(PP_Grid[#Data],M_BOM[PPGridRow],25),0))/29.82</f>
        <v/>
      </c>
      <c r="Z83">
        <f>SUMPRODUCT((M_BOM[Part Name]=$A83)*M_BOM[RM_Qty_Per_Batch]*IFERROR(INDEX(PP_Grid[#Data],M_BOM[PPGridRow],26),0))/29.82</f>
        <v/>
      </c>
      <c r="AA83">
        <f>SUMPRODUCT((M_BOM[Part Name]=$A83)*M_BOM[RM_Qty_Per_Batch]*IFERROR(INDEX(PP_Grid[#Data],M_BOM[PPGridRow],27),0))/29.82</f>
        <v/>
      </c>
      <c r="AB83">
        <f>SUMPRODUCT((M_BOM[Part Name]=$A83)*M_BOM[RM_Qty_Per_Batch]*IFERROR(INDEX(PP_Grid[#Data],M_BOM[PPGridRow],28),0))/29.82</f>
        <v/>
      </c>
      <c r="AC83">
        <f>SUMPRODUCT((M_BOM[Part Name]=$A83)*M_BOM[RM_Qty_Per_Batch]*IFERROR(INDEX(PP_Grid[#Data],M_BOM[PPGridRow],29),0))/29.82</f>
        <v/>
      </c>
      <c r="AD83">
        <f>SUMPRODUCT((M_BOM[Part Name]=$A83)*M_BOM[RM_Qty_Per_Batch]*IFERROR(INDEX(PP_Grid[#Data],M_BOM[PPGridRow],30),0))/29.82</f>
        <v/>
      </c>
      <c r="AE83">
        <f>SUMPRODUCT((M_BOM[Part Name]=$A83)*M_BOM[RM_Qty_Per_Batch]*IFERROR(INDEX(PP_Grid[#Data],M_BOM[PPGridRow],31),0))/29.82</f>
        <v/>
      </c>
      <c r="AF83">
        <f>SUMPRODUCT((M_BOM[Part Name]=$A83)*M_BOM[RM_Qty_Per_Batch]*IFERROR(INDEX(PP_Grid[#Data],M_BOM[PPGridRow],32),0))/29.82</f>
        <v/>
      </c>
      <c r="AG83">
        <f>SUMPRODUCT((M_BOM[Part Name]=$A83)*M_BOM[RM_Qty_Per_Batch]*IFERROR(INDEX(PP_Grid[#Data],M_BOM[PPGridRow],33),0))/29.82</f>
        <v/>
      </c>
      <c r="AH83">
        <f>SUMPRODUCT((M_BOM[Part Name]=$A83)*M_BOM[RM_Qty_Per_Batch]*IFERROR(INDEX(PP_Grid[#Data],M_BOM[PPGridRow],34),0))/29.82</f>
        <v/>
      </c>
      <c r="AI83">
        <f>SUMPRODUCT((M_BOM[Part Name]=$A83)*M_BOM[RM_Qty_Per_Batch]*IFERROR(INDEX(PP_Grid[#Data],M_BOM[PPGridRow],35),0))/29.82</f>
        <v/>
      </c>
      <c r="AJ83">
        <f>SUMPRODUCT((M_BOM[Part Name]=$A83)*M_BOM[RM_Qty_Per_Batch]*IFERROR(INDEX(PP_Grid[#Data],M_BOM[PPGridRow],36),0))/29.82</f>
        <v/>
      </c>
      <c r="AK83">
        <f>SUMPRODUCT((M_BOM[Part Name]=$A83)*M_BOM[RM_Qty_Per_Batch]*IFERROR(INDEX(PP_Grid[#Data],M_BOM[PPGridRow],37),0))/29.82</f>
        <v/>
      </c>
      <c r="AL83">
        <f>SUMPRODUCT((M_BOM[Part Name]=$A83)*M_BOM[RM_Qty_Per_Batch]*IFERROR(INDEX(PP_Grid[#Data],M_BOM[PPGridRow],38),0))/29.82</f>
        <v/>
      </c>
      <c r="AM83">
        <f>SUMPRODUCT((M_BOM[Part Name]=$A83)*M_BOM[RM_Qty_Per_Batch]*IFERROR(INDEX(PP_Grid[#Data],M_BOM[PPGridRow],39),0))/29.82</f>
        <v/>
      </c>
      <c r="AN83">
        <f>SUMPRODUCT((M_BOM[Part Name]=$A83)*M_BOM[RM_Qty_Per_Batch]*IFERROR(INDEX(PP_Grid[#Data],M_BOM[PPGridRow],40),0))/29.82</f>
        <v/>
      </c>
      <c r="AO83">
        <f>SUMPRODUCT((M_BOM[Part Name]=$A83)*M_BOM[RM_Qty_Per_Batch]*IFERROR(INDEX(PP_Grid[#Data],M_BOM[PPGridRow],41),0))/29.82</f>
        <v/>
      </c>
      <c r="AP83">
        <f>SUMPRODUCT((M_BOM[Part Name]=$A83)*M_BOM[RM_Qty_Per_Batch]*IFERROR(INDEX(PP_Grid[#Data],M_BOM[PPGridRow],42),0))/29.82</f>
        <v/>
      </c>
      <c r="AQ83">
        <f>SUMPRODUCT((M_BOM[Part Name]=$A83)*M_BOM[RM_Qty_Per_Batch]*IFERROR(INDEX(PP_Grid[#Data],M_BOM[PPGridRow],43),0))/29.82</f>
        <v/>
      </c>
      <c r="AR83">
        <f>SUMPRODUCT((M_BOM[Part Name]=$A83)*M_BOM[RM_Qty_Per_Batch]*IFERROR(INDEX(PP_Grid[#Data],M_BOM[PPGridRow],44),0))/29.82</f>
        <v/>
      </c>
      <c r="AS83">
        <f>SUMPRODUCT((M_BOM[Part Name]=$A83)*M_BOM[RM_Qty_Per_Batch]*IFERROR(INDEX(PP_Grid[#Data],M_BOM[PPGridRow],45),0))/29.82</f>
        <v/>
      </c>
      <c r="AT83">
        <f>SUMPRODUCT((M_BOM[Part Name]=$A83)*M_BOM[RM_Qty_Per_Batch]*IFERROR(INDEX(PP_Grid[#Data],M_BOM[PPGridRow],46),0))/29.82</f>
        <v/>
      </c>
      <c r="AU83">
        <f>SUMPRODUCT((M_BOM[Part Name]=$A83)*M_BOM[RM_Qty_Per_Batch]*IFERROR(INDEX(PP_Grid[#Data],M_BOM[PPGridRow],47),0))/29.82</f>
        <v/>
      </c>
      <c r="AV83">
        <f>SUMPRODUCT((M_BOM[Part Name]=$A83)*M_BOM[RM_Qty_Per_Batch]*IFERROR(INDEX(PP_Grid[#Data],M_BOM[PPGridRow],48),0))/29.82</f>
        <v/>
      </c>
      <c r="AW83">
        <f>SUMPRODUCT((M_BOM[Part Name]=$A83)*M_BOM[RM_Qty_Per_Batch]*IFERROR(INDEX(PP_Grid[#Data],M_BOM[PPGridRow],49),0))/29.82</f>
        <v/>
      </c>
      <c r="AX83">
        <f>SUMPRODUCT((M_BOM[Part Name]=$A83)*M_BOM[RM_Qty_Per_Batch]*IFERROR(INDEX(PP_Grid[#Data],M_BOM[PPGridRow],50),0))/29.82</f>
        <v/>
      </c>
      <c r="AY83">
        <f>SUMPRODUCT((M_BOM[Part Name]=$A83)*M_BOM[RM_Qty_Per_Batch]*IFERROR(INDEX(PP_Grid[#Data],M_BOM[PPGridRow],51),0))/29.82</f>
        <v/>
      </c>
      <c r="AZ83">
        <f>SUMPRODUCT((M_BOM[Part Name]=$A83)*M_BOM[RM_Qty_Per_Batch]*IFERROR(INDEX(PP_Grid[#Data],M_BOM[PPGridRow],52),0))/29.82</f>
        <v/>
      </c>
      <c r="BA83">
        <f>SUMPRODUCT((M_BOM[Part Name]=$A83)*M_BOM[RM_Qty_Per_Batch]*IFERROR(INDEX(PP_Grid[#Data],M_BOM[PPGridRow],53),0))/29.82</f>
        <v/>
      </c>
      <c r="BB83">
        <f>SUMPRODUCT((M_BOM[Part Name]=$A83)*M_BOM[RM_Qty_Per_Batch]*IFERROR(INDEX(PP_Grid[#Data],M_BOM[PPGridRow],54),0))/29.82</f>
        <v/>
      </c>
      <c r="BC83">
        <f>SUMPRODUCT((M_BOM[Part Name]=$A83)*M_BOM[RM_Qty_Per_Batch]*IFERROR(INDEX(PP_Grid[#Data],M_BOM[PPGridRow],55),0))/29.82</f>
        <v/>
      </c>
      <c r="BD83">
        <f>SUMPRODUCT((M_BOM[Part Name]=$A83)*M_BOM[RM_Qty_Per_Batch]*IFERROR(INDEX(PP_Grid[#Data],M_BOM[PPGridRow],56),0))/29.82</f>
        <v/>
      </c>
      <c r="BE83">
        <f>SUMPRODUCT((M_BOM[Part Name]=$A83)*M_BOM[RM_Qty_Per_Batch]*IFERROR(INDEX(PP_Grid[#Data],M_BOM[PPGridRow],57),0))/29.82</f>
        <v/>
      </c>
      <c r="BF83">
        <f>SUMPRODUCT((M_BOM[Part Name]=$A83)*M_BOM[RM_Qty_Per_Batch]*IFERROR(INDEX(PP_Grid[#Data],M_BOM[PPGridRow],58),0))/29.82</f>
        <v/>
      </c>
      <c r="BG83">
        <f>SUMPRODUCT((M_BOM[Part Name]=$A83)*M_BOM[RM_Qty_Per_Batch]*IFERROR(INDEX(PP_Grid[#Data],M_BOM[PPGridRow],59),0))/29.82</f>
        <v/>
      </c>
      <c r="BH83">
        <f>SUMPRODUCT((M_BOM[Part Name]=$A83)*M_BOM[RM_Qty_Per_Batch]*IFERROR(INDEX(PP_Grid[#Data],M_BOM[PPGridRow],60),0))/29.82</f>
        <v/>
      </c>
      <c r="BI83">
        <f>SUMPRODUCT((M_BOM[Part Name]=$A83)*M_BOM[RM_Qty_Per_Batch]*IFERROR(INDEX(PP_Grid[#Data],M_BOM[PPGridRow],61),0))/29.82</f>
        <v/>
      </c>
      <c r="BJ83">
        <f>SUMPRODUCT((M_BOM[Part Name]=$A83)*M_BOM[RM_Qty_Per_Batch]*IFERROR(INDEX(PP_Grid[#Data],M_BOM[PPGridRow],62),0))/29.82</f>
        <v/>
      </c>
      <c r="BK83">
        <f>SUMPRODUCT((M_BOM[Part Name]=$A83)*M_BOM[RM_Qty_Per_Batch]*IFERROR(INDEX(PP_Grid[#Data],M_BOM[PPGridRow],63),0))/29.82</f>
        <v/>
      </c>
      <c r="BL83">
        <f>SUMPRODUCT((M_BOM[Part Name]=$A83)*M_BOM[RM_Qty_Per_Batch]*IFERROR(INDEX(PP_Grid[#Data],M_BOM[PPGridRow],64),0))/29.82</f>
        <v/>
      </c>
      <c r="BM83">
        <f>SUMPRODUCT((M_BOM[Part Name]=$A83)*M_BOM[RM_Qty_Per_Batch]*IFERROR(INDEX(PP_Grid[#Data],M_BOM[PPGridRow],65),0))/29.82</f>
        <v/>
      </c>
      <c r="BN83">
        <f>SUMPRODUCT((M_BOM[Part Name]=$A83)*M_BOM[RM_Qty_Per_Batch]*IFERROR(INDEX(PP_Grid[#Data],M_BOM[PPGridRow],66),0))/29.82</f>
        <v/>
      </c>
      <c r="BO83">
        <f>SUMPRODUCT((M_BOM[Part Name]=$A83)*M_BOM[RM_Qty_Per_Batch]*IFERROR(INDEX(PP_Grid[#Data],M_BOM[PPGridRow],67),0))/29.82</f>
        <v/>
      </c>
      <c r="BP83">
        <f>SUMPRODUCT((M_BOM[Part Name]=$A83)*M_BOM[RM_Qty_Per_Batch]*IFERROR(INDEX(PP_Grid[#Data],M_BOM[PPGridRow],68),0))/29.82</f>
        <v/>
      </c>
      <c r="BQ83">
        <f>SUMPRODUCT((M_BOM[Part Name]=$A83)*M_BOM[RM_Qty_Per_Batch]*IFERROR(INDEX(PP_Grid[#Data],M_BOM[PPGridRow],69),0))/29.82</f>
        <v/>
      </c>
      <c r="BR83">
        <f>SUMPRODUCT((M_BOM[Part Name]=$A83)*M_BOM[RM_Qty_Per_Batch]*IFERROR(INDEX(PP_Grid[#Data],M_BOM[PPGridRow],70),0))/29.82</f>
        <v/>
      </c>
      <c r="BS83">
        <f>SUMPRODUCT((M_BOM[Part Name]=$A83)*M_BOM[RM_Qty_Per_Batch]*IFERROR(INDEX(PP_Grid[#Data],M_BOM[PPGridRow],71),0))/29.82</f>
        <v/>
      </c>
      <c r="BT83">
        <f>SUMPRODUCT((M_BOM[Part Name]=$A83)*M_BOM[RM_Qty_Per_Batch]*IFERROR(INDEX(PP_Grid[#Data],M_BOM[PPGridRow],72),0))/29.82</f>
        <v/>
      </c>
      <c r="BU83">
        <f>SUMPRODUCT((M_BOM[Part Name]=$A83)*M_BOM[RM_Qty_Per_Batch]*IFERROR(INDEX(PP_Grid[#Data],M_BOM[PPGridRow],73),0))/29.82</f>
        <v/>
      </c>
      <c r="BV83">
        <f>SUMPRODUCT((M_BOM[Part Name]=$A83)*M_BOM[RM_Qty_Per_Batch]*IFERROR(INDEX(PP_Grid[#Data],M_BOM[PPGridRow],74),0))/29.82</f>
        <v/>
      </c>
      <c r="BW83">
        <f>SUMPRODUCT((M_BOM[Part Name]=$A83)*M_BOM[RM_Qty_Per_Batch]*IFERROR(INDEX(PP_Grid[#Data],M_BOM[PPGridRow],75),0))/29.82</f>
        <v/>
      </c>
      <c r="BX83">
        <f>SUMPRODUCT((M_BOM[Part Name]=$A83)*M_BOM[RM_Qty_Per_Batch]*IFERROR(INDEX(PP_Grid[#Data],M_BOM[PPGridRow],76),0))/29.82</f>
        <v/>
      </c>
      <c r="BY83">
        <f>SUMPRODUCT((M_BOM[Part Name]=$A83)*M_BOM[RM_Qty_Per_Batch]*IFERROR(INDEX(PP_Grid[#Data],M_BOM[PPGridRow],77),0))/29.82</f>
        <v/>
      </c>
      <c r="BZ83">
        <f>SUMPRODUCT((M_BOM[Part Name]=$A83)*M_BOM[RM_Qty_Per_Batch]*IFERROR(INDEX(PP_Grid[#Data],M_BOM[PPGridRow],78),0))/29.82</f>
        <v/>
      </c>
      <c r="CA83">
        <f>SUMPRODUCT((M_BOM[Part Name]=$A83)*M_BOM[RM_Qty_Per_Batch]*IFERROR(INDEX(PP_Grid[#Data],M_BOM[PPGridRow],79),0))/29.82</f>
        <v/>
      </c>
      <c r="CB83">
        <f>SUMPRODUCT((M_BOM[Part Name]=$A83)*M_BOM[RM_Qty_Per_Batch]*IFERROR(INDEX(PP_Grid[#Data],M_BOM[PPGridRow],80),0))/29.82</f>
        <v/>
      </c>
      <c r="CC83">
        <f>SUMPRODUCT((M_BOM[Part Name]=$A83)*M_BOM[RM_Qty_Per_Batch]*IFERROR(INDEX(PP_Grid[#Data],M_BOM[PPGridRow],81),0))/29.82</f>
        <v/>
      </c>
      <c r="CD83">
        <f>SUMPRODUCT((M_BOM[Part Name]=$A83)*M_BOM[RM_Qty_Per_Batch]*IFERROR(INDEX(PP_Grid[#Data],M_BOM[PPGridRow],82),0))/29.82</f>
        <v/>
      </c>
      <c r="CE83">
        <f>SUMPRODUCT((M_BOM[Part Name]=$A83)*M_BOM[RM_Qty_Per_Batch]*IFERROR(INDEX(PP_Grid[#Data],M_BOM[PPGridRow],83),0))/29.82</f>
        <v/>
      </c>
      <c r="CF83">
        <f>SUMPRODUCT((M_BOM[Part Name]=$A83)*M_BOM[RM_Qty_Per_Batch]*IFERROR(INDEX(PP_Grid[#Data],M_BOM[PPGridRow],84),0))/29.82</f>
        <v/>
      </c>
      <c r="CG83">
        <f>SUMPRODUCT((M_BOM[Part Name]=$A83)*M_BOM[RM_Qty_Per_Batch]*IFERROR(INDEX(PP_Grid[#Data],M_BOM[PPGridRow],85),0))/29.82</f>
        <v/>
      </c>
      <c r="CH83">
        <f>SUMPRODUCT((M_BOM[Part Name]=$A83)*M_BOM[RM_Qty_Per_Batch]*IFERROR(INDEX(PP_Grid[#Data],M_BOM[PPGridRow],86),0))/29.82</f>
        <v/>
      </c>
      <c r="CI83">
        <f>SUMPRODUCT((M_BOM[Part Name]=$A83)*M_BOM[RM_Qty_Per_Batch]*IFERROR(INDEX(PP_Grid[#Data],M_BOM[PPGridRow],87),0))/29.82</f>
        <v/>
      </c>
      <c r="CJ83">
        <f>SUMPRODUCT((M_BOM[Part Name]=$A83)*M_BOM[RM_Qty_Per_Batch]*IFERROR(INDEX(PP_Grid[#Data],M_BOM[PPGridRow],88),0))/29.82</f>
        <v/>
      </c>
      <c r="CK83">
        <f>SUMPRODUCT((M_BOM[Part Name]=$A83)*M_BOM[RM_Qty_Per_Batch]*IFERROR(INDEX(PP_Grid[#Data],M_BOM[PPGridRow],89),0))/29.82</f>
        <v/>
      </c>
      <c r="CL83">
        <f>SUMPRODUCT((M_BOM[Part Name]=$A83)*M_BOM[RM_Qty_Per_Batch]*IFERROR(INDEX(PP_Grid[#Data],M_BOM[PPGridRow],90),0))/29.82</f>
        <v/>
      </c>
      <c r="CM83">
        <f>SUMPRODUCT((M_BOM[Part Name]=$A83)*M_BOM[RM_Qty_Per_Batch]*IFERROR(INDEX(PP_Grid[#Data],M_BOM[PPGridRow],91),0))/29.82</f>
        <v/>
      </c>
      <c r="CN83">
        <f>SUMPRODUCT((M_BOM[Part Name]=$A83)*M_BOM[RM_Qty_Per_Batch]*IFERROR(INDEX(PP_Grid[#Data],M_BOM[PPGridRow],92),0))/29.82</f>
        <v/>
      </c>
      <c r="CO83">
        <f>SUMPRODUCT((M_BOM[Part Name]=$A83)*M_BOM[RM_Qty_Per_Batch]*IFERROR(INDEX(PP_Grid[#Data],M_BOM[PPGridRow],93),0))/29.82</f>
        <v/>
      </c>
      <c r="CP83">
        <f>SUMPRODUCT((M_BOM[Part Name]=$A83)*M_BOM[RM_Qty_Per_Batch]*IFERROR(INDEX(PP_Grid[#Data],M_BOM[PPGridRow],94),0))/29.82</f>
        <v/>
      </c>
      <c r="CQ83">
        <f>SUMPRODUCT((M_BOM[Part Name]=$A83)*M_BOM[RM_Qty_Per_Batch]*IFERROR(INDEX(PP_Grid[#Data],M_BOM[PPGridRow],95),0))/29.82</f>
        <v/>
      </c>
      <c r="CR83">
        <f>SUMPRODUCT((M_BOM[Part Name]=$A83)*M_BOM[RM_Qty_Per_Batch]*IFERROR(INDEX(PP_Grid[#Data],M_BOM[PPGridRow],96),0))/29.82</f>
        <v/>
      </c>
      <c r="CS83">
        <f>SUMPRODUCT((M_BOM[Part Name]=$A83)*M_BOM[RM_Qty_Per_Batch]*IFERROR(INDEX(PP_Grid[#Data],M_BOM[PPGridRow],97),0))/29.82</f>
        <v/>
      </c>
      <c r="CT83">
        <f>SUMPRODUCT((M_BOM[Part Name]=$A83)*M_BOM[RM_Qty_Per_Batch]*IFERROR(INDEX(PP_Grid[#Data],M_BOM[PPGridRow],98),0))/29.82</f>
        <v/>
      </c>
      <c r="CU83">
        <f>SUMPRODUCT((M_BOM[Part Name]=$A83)*M_BOM[RM_Qty_Per_Batch]*IFERROR(INDEX(PP_Grid[#Data],M_BOM[PPGridRow],99),0))/29.82</f>
        <v/>
      </c>
      <c r="CV83">
        <f>SUMPRODUCT((M_BOM[Part Name]=$A83)*M_BOM[RM_Qty_Per_Batch]*IFERROR(INDEX(PP_Grid[#Data],M_BOM[PPGridRow],100),0))/29.82</f>
        <v/>
      </c>
      <c r="CW83">
        <f>SUMPRODUCT((M_BOM[Part Name]=$A83)*M_BOM[RM_Qty_Per_Batch]*IFERROR(INDEX(PP_Grid[#Data],M_BOM[PPGridRow],101),0))/29.82</f>
        <v/>
      </c>
      <c r="CX83">
        <f>SUMPRODUCT((M_BOM[Part Name]=$A83)*M_BOM[RM_Qty_Per_Batch]*IFERROR(INDEX(PP_Grid[#Data],M_BOM[PPGridRow],102),0))/29.82</f>
        <v/>
      </c>
      <c r="CY83">
        <f>SUMPRODUCT((M_BOM[Part Name]=$A83)*M_BOM[RM_Qty_Per_Batch]*IFERROR(INDEX(PP_Grid[#Data],M_BOM[PPGridRow],103),0))/29.82</f>
        <v/>
      </c>
      <c r="CZ83">
        <f>SUMPRODUCT((M_BOM[Part Name]=$A83)*M_BOM[RM_Qty_Per_Batch]*IFERROR(INDEX(PP_Grid[#Data],M_BOM[PPGridRow],104),0))/29.82</f>
        <v/>
      </c>
      <c r="DA83">
        <f>SUMPRODUCT((M_BOM[Part Name]=$A83)*M_BOM[RM_Qty_Per_Batch]*IFERROR(INDEX(PP_Grid[#Data],M_BOM[PPGridRow],105),0))/29.82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Name]=$A84)*M_BOM[RM_Qty_Per_Batch]*IFERROR(INDEX(PP_Grid[#Data],M_BOM[PPGridRow],2),0))/52.15</f>
        <v/>
      </c>
      <c r="C84">
        <f>SUMPRODUCT((M_BOM[Part Name]=$A84)*M_BOM[RM_Qty_Per_Batch]*IFERROR(INDEX(PP_Grid[#Data],M_BOM[PPGridRow],3),0))/52.15</f>
        <v/>
      </c>
      <c r="D84">
        <f>SUMPRODUCT((M_BOM[Part Name]=$A84)*M_BOM[RM_Qty_Per_Batch]*IFERROR(INDEX(PP_Grid[#Data],M_BOM[PPGridRow],4),0))/52.15</f>
        <v/>
      </c>
      <c r="E84">
        <f>SUMPRODUCT((M_BOM[Part Name]=$A84)*M_BOM[RM_Qty_Per_Batch]*IFERROR(INDEX(PP_Grid[#Data],M_BOM[PPGridRow],5),0))/52.15</f>
        <v/>
      </c>
      <c r="F84">
        <f>SUMPRODUCT((M_BOM[Part Name]=$A84)*M_BOM[RM_Qty_Per_Batch]*IFERROR(INDEX(PP_Grid[#Data],M_BOM[PPGridRow],6),0))/52.15</f>
        <v/>
      </c>
      <c r="G84">
        <f>SUMPRODUCT((M_BOM[Part Name]=$A84)*M_BOM[RM_Qty_Per_Batch]*IFERROR(INDEX(PP_Grid[#Data],M_BOM[PPGridRow],7),0))/52.15</f>
        <v/>
      </c>
      <c r="H84">
        <f>SUMPRODUCT((M_BOM[Part Name]=$A84)*M_BOM[RM_Qty_Per_Batch]*IFERROR(INDEX(PP_Grid[#Data],M_BOM[PPGridRow],8),0))/52.15</f>
        <v/>
      </c>
      <c r="I84">
        <f>SUMPRODUCT((M_BOM[Part Name]=$A84)*M_BOM[RM_Qty_Per_Batch]*IFERROR(INDEX(PP_Grid[#Data],M_BOM[PPGridRow],9),0))/52.15</f>
        <v/>
      </c>
      <c r="J84">
        <f>SUMPRODUCT((M_BOM[Part Name]=$A84)*M_BOM[RM_Qty_Per_Batch]*IFERROR(INDEX(PP_Grid[#Data],M_BOM[PPGridRow],10),0))/52.15</f>
        <v/>
      </c>
      <c r="K84">
        <f>SUMPRODUCT((M_BOM[Part Name]=$A84)*M_BOM[RM_Qty_Per_Batch]*IFERROR(INDEX(PP_Grid[#Data],M_BOM[PPGridRow],11),0))/52.15</f>
        <v/>
      </c>
      <c r="L84">
        <f>SUMPRODUCT((M_BOM[Part Name]=$A84)*M_BOM[RM_Qty_Per_Batch]*IFERROR(INDEX(PP_Grid[#Data],M_BOM[PPGridRow],12),0))/52.15</f>
        <v/>
      </c>
      <c r="M84">
        <f>SUMPRODUCT((M_BOM[Part Name]=$A84)*M_BOM[RM_Qty_Per_Batch]*IFERROR(INDEX(PP_Grid[#Data],M_BOM[PPGridRow],13),0))/52.15</f>
        <v/>
      </c>
      <c r="N84">
        <f>SUMPRODUCT((M_BOM[Part Name]=$A84)*M_BOM[RM_Qty_Per_Batch]*IFERROR(INDEX(PP_Grid[#Data],M_BOM[PPGridRow],14),0))/52.15</f>
        <v/>
      </c>
      <c r="O84">
        <f>SUMPRODUCT((M_BOM[Part Name]=$A84)*M_BOM[RM_Qty_Per_Batch]*IFERROR(INDEX(PP_Grid[#Data],M_BOM[PPGridRow],15),0))/52.15</f>
        <v/>
      </c>
      <c r="P84">
        <f>SUMPRODUCT((M_BOM[Part Name]=$A84)*M_BOM[RM_Qty_Per_Batch]*IFERROR(INDEX(PP_Grid[#Data],M_BOM[PPGridRow],16),0))/52.15</f>
        <v/>
      </c>
      <c r="Q84">
        <f>SUMPRODUCT((M_BOM[Part Name]=$A84)*M_BOM[RM_Qty_Per_Batch]*IFERROR(INDEX(PP_Grid[#Data],M_BOM[PPGridRow],17),0))/52.15</f>
        <v/>
      </c>
      <c r="R84">
        <f>SUMPRODUCT((M_BOM[Part Name]=$A84)*M_BOM[RM_Qty_Per_Batch]*IFERROR(INDEX(PP_Grid[#Data],M_BOM[PPGridRow],18),0))/52.15</f>
        <v/>
      </c>
      <c r="S84">
        <f>SUMPRODUCT((M_BOM[Part Name]=$A84)*M_BOM[RM_Qty_Per_Batch]*IFERROR(INDEX(PP_Grid[#Data],M_BOM[PPGridRow],19),0))/52.15</f>
        <v/>
      </c>
      <c r="T84">
        <f>SUMPRODUCT((M_BOM[Part Name]=$A84)*M_BOM[RM_Qty_Per_Batch]*IFERROR(INDEX(PP_Grid[#Data],M_BOM[PPGridRow],20),0))/52.15</f>
        <v/>
      </c>
      <c r="U84">
        <f>SUMPRODUCT((M_BOM[Part Name]=$A84)*M_BOM[RM_Qty_Per_Batch]*IFERROR(INDEX(PP_Grid[#Data],M_BOM[PPGridRow],21),0))/52.15</f>
        <v/>
      </c>
      <c r="V84">
        <f>SUMPRODUCT((M_BOM[Part Name]=$A84)*M_BOM[RM_Qty_Per_Batch]*IFERROR(INDEX(PP_Grid[#Data],M_BOM[PPGridRow],22),0))/52.15</f>
        <v/>
      </c>
      <c r="W84">
        <f>SUMPRODUCT((M_BOM[Part Name]=$A84)*M_BOM[RM_Qty_Per_Batch]*IFERROR(INDEX(PP_Grid[#Data],M_BOM[PPGridRow],23),0))/52.15</f>
        <v/>
      </c>
      <c r="X84">
        <f>SUMPRODUCT((M_BOM[Part Name]=$A84)*M_BOM[RM_Qty_Per_Batch]*IFERROR(INDEX(PP_Grid[#Data],M_BOM[PPGridRow],24),0))/52.15</f>
        <v/>
      </c>
      <c r="Y84">
        <f>SUMPRODUCT((M_BOM[Part Name]=$A84)*M_BOM[RM_Qty_Per_Batch]*IFERROR(INDEX(PP_Grid[#Data],M_BOM[PPGridRow],25),0))/52.15</f>
        <v/>
      </c>
      <c r="Z84">
        <f>SUMPRODUCT((M_BOM[Part Name]=$A84)*M_BOM[RM_Qty_Per_Batch]*IFERROR(INDEX(PP_Grid[#Data],M_BOM[PPGridRow],26),0))/52.15</f>
        <v/>
      </c>
      <c r="AA84">
        <f>SUMPRODUCT((M_BOM[Part Name]=$A84)*M_BOM[RM_Qty_Per_Batch]*IFERROR(INDEX(PP_Grid[#Data],M_BOM[PPGridRow],27),0))/52.15</f>
        <v/>
      </c>
      <c r="AB84">
        <f>SUMPRODUCT((M_BOM[Part Name]=$A84)*M_BOM[RM_Qty_Per_Batch]*IFERROR(INDEX(PP_Grid[#Data],M_BOM[PPGridRow],28),0))/52.15</f>
        <v/>
      </c>
      <c r="AC84">
        <f>SUMPRODUCT((M_BOM[Part Name]=$A84)*M_BOM[RM_Qty_Per_Batch]*IFERROR(INDEX(PP_Grid[#Data],M_BOM[PPGridRow],29),0))/52.15</f>
        <v/>
      </c>
      <c r="AD84">
        <f>SUMPRODUCT((M_BOM[Part Name]=$A84)*M_BOM[RM_Qty_Per_Batch]*IFERROR(INDEX(PP_Grid[#Data],M_BOM[PPGridRow],30),0))/52.15</f>
        <v/>
      </c>
      <c r="AE84">
        <f>SUMPRODUCT((M_BOM[Part Name]=$A84)*M_BOM[RM_Qty_Per_Batch]*IFERROR(INDEX(PP_Grid[#Data],M_BOM[PPGridRow],31),0))/52.15</f>
        <v/>
      </c>
      <c r="AF84">
        <f>SUMPRODUCT((M_BOM[Part Name]=$A84)*M_BOM[RM_Qty_Per_Batch]*IFERROR(INDEX(PP_Grid[#Data],M_BOM[PPGridRow],32),0))/52.15</f>
        <v/>
      </c>
      <c r="AG84">
        <f>SUMPRODUCT((M_BOM[Part Name]=$A84)*M_BOM[RM_Qty_Per_Batch]*IFERROR(INDEX(PP_Grid[#Data],M_BOM[PPGridRow],33),0))/52.15</f>
        <v/>
      </c>
      <c r="AH84">
        <f>SUMPRODUCT((M_BOM[Part Name]=$A84)*M_BOM[RM_Qty_Per_Batch]*IFERROR(INDEX(PP_Grid[#Data],M_BOM[PPGridRow],34),0))/52.15</f>
        <v/>
      </c>
      <c r="AI84">
        <f>SUMPRODUCT((M_BOM[Part Name]=$A84)*M_BOM[RM_Qty_Per_Batch]*IFERROR(INDEX(PP_Grid[#Data],M_BOM[PPGridRow],35),0))/52.15</f>
        <v/>
      </c>
      <c r="AJ84">
        <f>SUMPRODUCT((M_BOM[Part Name]=$A84)*M_BOM[RM_Qty_Per_Batch]*IFERROR(INDEX(PP_Grid[#Data],M_BOM[PPGridRow],36),0))/52.15</f>
        <v/>
      </c>
      <c r="AK84">
        <f>SUMPRODUCT((M_BOM[Part Name]=$A84)*M_BOM[RM_Qty_Per_Batch]*IFERROR(INDEX(PP_Grid[#Data],M_BOM[PPGridRow],37),0))/52.15</f>
        <v/>
      </c>
      <c r="AL84">
        <f>SUMPRODUCT((M_BOM[Part Name]=$A84)*M_BOM[RM_Qty_Per_Batch]*IFERROR(INDEX(PP_Grid[#Data],M_BOM[PPGridRow],38),0))/52.15</f>
        <v/>
      </c>
      <c r="AM84">
        <f>SUMPRODUCT((M_BOM[Part Name]=$A84)*M_BOM[RM_Qty_Per_Batch]*IFERROR(INDEX(PP_Grid[#Data],M_BOM[PPGridRow],39),0))/52.15</f>
        <v/>
      </c>
      <c r="AN84">
        <f>SUMPRODUCT((M_BOM[Part Name]=$A84)*M_BOM[RM_Qty_Per_Batch]*IFERROR(INDEX(PP_Grid[#Data],M_BOM[PPGridRow],40),0))/52.15</f>
        <v/>
      </c>
      <c r="AO84">
        <f>SUMPRODUCT((M_BOM[Part Name]=$A84)*M_BOM[RM_Qty_Per_Batch]*IFERROR(INDEX(PP_Grid[#Data],M_BOM[PPGridRow],41),0))/52.15</f>
        <v/>
      </c>
      <c r="AP84">
        <f>SUMPRODUCT((M_BOM[Part Name]=$A84)*M_BOM[RM_Qty_Per_Batch]*IFERROR(INDEX(PP_Grid[#Data],M_BOM[PPGridRow],42),0))/52.15</f>
        <v/>
      </c>
      <c r="AQ84">
        <f>SUMPRODUCT((M_BOM[Part Name]=$A84)*M_BOM[RM_Qty_Per_Batch]*IFERROR(INDEX(PP_Grid[#Data],M_BOM[PPGridRow],43),0))/52.15</f>
        <v/>
      </c>
      <c r="AR84">
        <f>SUMPRODUCT((M_BOM[Part Name]=$A84)*M_BOM[RM_Qty_Per_Batch]*IFERROR(INDEX(PP_Grid[#Data],M_BOM[PPGridRow],44),0))/52.15</f>
        <v/>
      </c>
      <c r="AS84">
        <f>SUMPRODUCT((M_BOM[Part Name]=$A84)*M_BOM[RM_Qty_Per_Batch]*IFERROR(INDEX(PP_Grid[#Data],M_BOM[PPGridRow],45),0))/52.15</f>
        <v/>
      </c>
      <c r="AT84">
        <f>SUMPRODUCT((M_BOM[Part Name]=$A84)*M_BOM[RM_Qty_Per_Batch]*IFERROR(INDEX(PP_Grid[#Data],M_BOM[PPGridRow],46),0))/52.15</f>
        <v/>
      </c>
      <c r="AU84">
        <f>SUMPRODUCT((M_BOM[Part Name]=$A84)*M_BOM[RM_Qty_Per_Batch]*IFERROR(INDEX(PP_Grid[#Data],M_BOM[PPGridRow],47),0))/52.15</f>
        <v/>
      </c>
      <c r="AV84">
        <f>SUMPRODUCT((M_BOM[Part Name]=$A84)*M_BOM[RM_Qty_Per_Batch]*IFERROR(INDEX(PP_Grid[#Data],M_BOM[PPGridRow],48),0))/52.15</f>
        <v/>
      </c>
      <c r="AW84">
        <f>SUMPRODUCT((M_BOM[Part Name]=$A84)*M_BOM[RM_Qty_Per_Batch]*IFERROR(INDEX(PP_Grid[#Data],M_BOM[PPGridRow],49),0))/52.15</f>
        <v/>
      </c>
      <c r="AX84">
        <f>SUMPRODUCT((M_BOM[Part Name]=$A84)*M_BOM[RM_Qty_Per_Batch]*IFERROR(INDEX(PP_Grid[#Data],M_BOM[PPGridRow],50),0))/52.15</f>
        <v/>
      </c>
      <c r="AY84">
        <f>SUMPRODUCT((M_BOM[Part Name]=$A84)*M_BOM[RM_Qty_Per_Batch]*IFERROR(INDEX(PP_Grid[#Data],M_BOM[PPGridRow],51),0))/52.15</f>
        <v/>
      </c>
      <c r="AZ84">
        <f>SUMPRODUCT((M_BOM[Part Name]=$A84)*M_BOM[RM_Qty_Per_Batch]*IFERROR(INDEX(PP_Grid[#Data],M_BOM[PPGridRow],52),0))/52.15</f>
        <v/>
      </c>
      <c r="BA84">
        <f>SUMPRODUCT((M_BOM[Part Name]=$A84)*M_BOM[RM_Qty_Per_Batch]*IFERROR(INDEX(PP_Grid[#Data],M_BOM[PPGridRow],53),0))/52.15</f>
        <v/>
      </c>
      <c r="BB84">
        <f>SUMPRODUCT((M_BOM[Part Name]=$A84)*M_BOM[RM_Qty_Per_Batch]*IFERROR(INDEX(PP_Grid[#Data],M_BOM[PPGridRow],54),0))/52.15</f>
        <v/>
      </c>
      <c r="BC84">
        <f>SUMPRODUCT((M_BOM[Part Name]=$A84)*M_BOM[RM_Qty_Per_Batch]*IFERROR(INDEX(PP_Grid[#Data],M_BOM[PPGridRow],55),0))/52.15</f>
        <v/>
      </c>
      <c r="BD84">
        <f>SUMPRODUCT((M_BOM[Part Name]=$A84)*M_BOM[RM_Qty_Per_Batch]*IFERROR(INDEX(PP_Grid[#Data],M_BOM[PPGridRow],56),0))/52.15</f>
        <v/>
      </c>
      <c r="BE84">
        <f>SUMPRODUCT((M_BOM[Part Name]=$A84)*M_BOM[RM_Qty_Per_Batch]*IFERROR(INDEX(PP_Grid[#Data],M_BOM[PPGridRow],57),0))/52.15</f>
        <v/>
      </c>
      <c r="BF84">
        <f>SUMPRODUCT((M_BOM[Part Name]=$A84)*M_BOM[RM_Qty_Per_Batch]*IFERROR(INDEX(PP_Grid[#Data],M_BOM[PPGridRow],58),0))/52.15</f>
        <v/>
      </c>
      <c r="BG84">
        <f>SUMPRODUCT((M_BOM[Part Name]=$A84)*M_BOM[RM_Qty_Per_Batch]*IFERROR(INDEX(PP_Grid[#Data],M_BOM[PPGridRow],59),0))/52.15</f>
        <v/>
      </c>
      <c r="BH84">
        <f>SUMPRODUCT((M_BOM[Part Name]=$A84)*M_BOM[RM_Qty_Per_Batch]*IFERROR(INDEX(PP_Grid[#Data],M_BOM[PPGridRow],60),0))/52.15</f>
        <v/>
      </c>
      <c r="BI84">
        <f>SUMPRODUCT((M_BOM[Part Name]=$A84)*M_BOM[RM_Qty_Per_Batch]*IFERROR(INDEX(PP_Grid[#Data],M_BOM[PPGridRow],61),0))/52.15</f>
        <v/>
      </c>
      <c r="BJ84">
        <f>SUMPRODUCT((M_BOM[Part Name]=$A84)*M_BOM[RM_Qty_Per_Batch]*IFERROR(INDEX(PP_Grid[#Data],M_BOM[PPGridRow],62),0))/52.15</f>
        <v/>
      </c>
      <c r="BK84">
        <f>SUMPRODUCT((M_BOM[Part Name]=$A84)*M_BOM[RM_Qty_Per_Batch]*IFERROR(INDEX(PP_Grid[#Data],M_BOM[PPGridRow],63),0))/52.15</f>
        <v/>
      </c>
      <c r="BL84">
        <f>SUMPRODUCT((M_BOM[Part Name]=$A84)*M_BOM[RM_Qty_Per_Batch]*IFERROR(INDEX(PP_Grid[#Data],M_BOM[PPGridRow],64),0))/52.15</f>
        <v/>
      </c>
      <c r="BM84">
        <f>SUMPRODUCT((M_BOM[Part Name]=$A84)*M_BOM[RM_Qty_Per_Batch]*IFERROR(INDEX(PP_Grid[#Data],M_BOM[PPGridRow],65),0))/52.15</f>
        <v/>
      </c>
      <c r="BN84">
        <f>SUMPRODUCT((M_BOM[Part Name]=$A84)*M_BOM[RM_Qty_Per_Batch]*IFERROR(INDEX(PP_Grid[#Data],M_BOM[PPGridRow],66),0))/52.15</f>
        <v/>
      </c>
      <c r="BO84">
        <f>SUMPRODUCT((M_BOM[Part Name]=$A84)*M_BOM[RM_Qty_Per_Batch]*IFERROR(INDEX(PP_Grid[#Data],M_BOM[PPGridRow],67),0))/52.15</f>
        <v/>
      </c>
      <c r="BP84">
        <f>SUMPRODUCT((M_BOM[Part Name]=$A84)*M_BOM[RM_Qty_Per_Batch]*IFERROR(INDEX(PP_Grid[#Data],M_BOM[PPGridRow],68),0))/52.15</f>
        <v/>
      </c>
      <c r="BQ84">
        <f>SUMPRODUCT((M_BOM[Part Name]=$A84)*M_BOM[RM_Qty_Per_Batch]*IFERROR(INDEX(PP_Grid[#Data],M_BOM[PPGridRow],69),0))/52.15</f>
        <v/>
      </c>
      <c r="BR84">
        <f>SUMPRODUCT((M_BOM[Part Name]=$A84)*M_BOM[RM_Qty_Per_Batch]*IFERROR(INDEX(PP_Grid[#Data],M_BOM[PPGridRow],70),0))/52.15</f>
        <v/>
      </c>
      <c r="BS84">
        <f>SUMPRODUCT((M_BOM[Part Name]=$A84)*M_BOM[RM_Qty_Per_Batch]*IFERROR(INDEX(PP_Grid[#Data],M_BOM[PPGridRow],71),0))/52.15</f>
        <v/>
      </c>
      <c r="BT84">
        <f>SUMPRODUCT((M_BOM[Part Name]=$A84)*M_BOM[RM_Qty_Per_Batch]*IFERROR(INDEX(PP_Grid[#Data],M_BOM[PPGridRow],72),0))/52.15</f>
        <v/>
      </c>
      <c r="BU84">
        <f>SUMPRODUCT((M_BOM[Part Name]=$A84)*M_BOM[RM_Qty_Per_Batch]*IFERROR(INDEX(PP_Grid[#Data],M_BOM[PPGridRow],73),0))/52.15</f>
        <v/>
      </c>
      <c r="BV84">
        <f>SUMPRODUCT((M_BOM[Part Name]=$A84)*M_BOM[RM_Qty_Per_Batch]*IFERROR(INDEX(PP_Grid[#Data],M_BOM[PPGridRow],74),0))/52.15</f>
        <v/>
      </c>
      <c r="BW84">
        <f>SUMPRODUCT((M_BOM[Part Name]=$A84)*M_BOM[RM_Qty_Per_Batch]*IFERROR(INDEX(PP_Grid[#Data],M_BOM[PPGridRow],75),0))/52.15</f>
        <v/>
      </c>
      <c r="BX84">
        <f>SUMPRODUCT((M_BOM[Part Name]=$A84)*M_BOM[RM_Qty_Per_Batch]*IFERROR(INDEX(PP_Grid[#Data],M_BOM[PPGridRow],76),0))/52.15</f>
        <v/>
      </c>
      <c r="BY84">
        <f>SUMPRODUCT((M_BOM[Part Name]=$A84)*M_BOM[RM_Qty_Per_Batch]*IFERROR(INDEX(PP_Grid[#Data],M_BOM[PPGridRow],77),0))/52.15</f>
        <v/>
      </c>
      <c r="BZ84">
        <f>SUMPRODUCT((M_BOM[Part Name]=$A84)*M_BOM[RM_Qty_Per_Batch]*IFERROR(INDEX(PP_Grid[#Data],M_BOM[PPGridRow],78),0))/52.15</f>
        <v/>
      </c>
      <c r="CA84">
        <f>SUMPRODUCT((M_BOM[Part Name]=$A84)*M_BOM[RM_Qty_Per_Batch]*IFERROR(INDEX(PP_Grid[#Data],M_BOM[PPGridRow],79),0))/52.15</f>
        <v/>
      </c>
      <c r="CB84">
        <f>SUMPRODUCT((M_BOM[Part Name]=$A84)*M_BOM[RM_Qty_Per_Batch]*IFERROR(INDEX(PP_Grid[#Data],M_BOM[PPGridRow],80),0))/52.15</f>
        <v/>
      </c>
      <c r="CC84">
        <f>SUMPRODUCT((M_BOM[Part Name]=$A84)*M_BOM[RM_Qty_Per_Batch]*IFERROR(INDEX(PP_Grid[#Data],M_BOM[PPGridRow],81),0))/52.15</f>
        <v/>
      </c>
      <c r="CD84">
        <f>SUMPRODUCT((M_BOM[Part Name]=$A84)*M_BOM[RM_Qty_Per_Batch]*IFERROR(INDEX(PP_Grid[#Data],M_BOM[PPGridRow],82),0))/52.15</f>
        <v/>
      </c>
      <c r="CE84">
        <f>SUMPRODUCT((M_BOM[Part Name]=$A84)*M_BOM[RM_Qty_Per_Batch]*IFERROR(INDEX(PP_Grid[#Data],M_BOM[PPGridRow],83),0))/52.15</f>
        <v/>
      </c>
      <c r="CF84">
        <f>SUMPRODUCT((M_BOM[Part Name]=$A84)*M_BOM[RM_Qty_Per_Batch]*IFERROR(INDEX(PP_Grid[#Data],M_BOM[PPGridRow],84),0))/52.15</f>
        <v/>
      </c>
      <c r="CG84">
        <f>SUMPRODUCT((M_BOM[Part Name]=$A84)*M_BOM[RM_Qty_Per_Batch]*IFERROR(INDEX(PP_Grid[#Data],M_BOM[PPGridRow],85),0))/52.15</f>
        <v/>
      </c>
      <c r="CH84">
        <f>SUMPRODUCT((M_BOM[Part Name]=$A84)*M_BOM[RM_Qty_Per_Batch]*IFERROR(INDEX(PP_Grid[#Data],M_BOM[PPGridRow],86),0))/52.15</f>
        <v/>
      </c>
      <c r="CI84">
        <f>SUMPRODUCT((M_BOM[Part Name]=$A84)*M_BOM[RM_Qty_Per_Batch]*IFERROR(INDEX(PP_Grid[#Data],M_BOM[PPGridRow],87),0))/52.15</f>
        <v/>
      </c>
      <c r="CJ84">
        <f>SUMPRODUCT((M_BOM[Part Name]=$A84)*M_BOM[RM_Qty_Per_Batch]*IFERROR(INDEX(PP_Grid[#Data],M_BOM[PPGridRow],88),0))/52.15</f>
        <v/>
      </c>
      <c r="CK84">
        <f>SUMPRODUCT((M_BOM[Part Name]=$A84)*M_BOM[RM_Qty_Per_Batch]*IFERROR(INDEX(PP_Grid[#Data],M_BOM[PPGridRow],89),0))/52.15</f>
        <v/>
      </c>
      <c r="CL84">
        <f>SUMPRODUCT((M_BOM[Part Name]=$A84)*M_BOM[RM_Qty_Per_Batch]*IFERROR(INDEX(PP_Grid[#Data],M_BOM[PPGridRow],90),0))/52.15</f>
        <v/>
      </c>
      <c r="CM84">
        <f>SUMPRODUCT((M_BOM[Part Name]=$A84)*M_BOM[RM_Qty_Per_Batch]*IFERROR(INDEX(PP_Grid[#Data],M_BOM[PPGridRow],91),0))/52.15</f>
        <v/>
      </c>
      <c r="CN84">
        <f>SUMPRODUCT((M_BOM[Part Name]=$A84)*M_BOM[RM_Qty_Per_Batch]*IFERROR(INDEX(PP_Grid[#Data],M_BOM[PPGridRow],92),0))/52.15</f>
        <v/>
      </c>
      <c r="CO84">
        <f>SUMPRODUCT((M_BOM[Part Name]=$A84)*M_BOM[RM_Qty_Per_Batch]*IFERROR(INDEX(PP_Grid[#Data],M_BOM[PPGridRow],93),0))/52.15</f>
        <v/>
      </c>
      <c r="CP84">
        <f>SUMPRODUCT((M_BOM[Part Name]=$A84)*M_BOM[RM_Qty_Per_Batch]*IFERROR(INDEX(PP_Grid[#Data],M_BOM[PPGridRow],94),0))/52.15</f>
        <v/>
      </c>
      <c r="CQ84">
        <f>SUMPRODUCT((M_BOM[Part Name]=$A84)*M_BOM[RM_Qty_Per_Batch]*IFERROR(INDEX(PP_Grid[#Data],M_BOM[PPGridRow],95),0))/52.15</f>
        <v/>
      </c>
      <c r="CR84">
        <f>SUMPRODUCT((M_BOM[Part Name]=$A84)*M_BOM[RM_Qty_Per_Batch]*IFERROR(INDEX(PP_Grid[#Data],M_BOM[PPGridRow],96),0))/52.15</f>
        <v/>
      </c>
      <c r="CS84">
        <f>SUMPRODUCT((M_BOM[Part Name]=$A84)*M_BOM[RM_Qty_Per_Batch]*IFERROR(INDEX(PP_Grid[#Data],M_BOM[PPGridRow],97),0))/52.15</f>
        <v/>
      </c>
      <c r="CT84">
        <f>SUMPRODUCT((M_BOM[Part Name]=$A84)*M_BOM[RM_Qty_Per_Batch]*IFERROR(INDEX(PP_Grid[#Data],M_BOM[PPGridRow],98),0))/52.15</f>
        <v/>
      </c>
      <c r="CU84">
        <f>SUMPRODUCT((M_BOM[Part Name]=$A84)*M_BOM[RM_Qty_Per_Batch]*IFERROR(INDEX(PP_Grid[#Data],M_BOM[PPGridRow],99),0))/52.15</f>
        <v/>
      </c>
      <c r="CV84">
        <f>SUMPRODUCT((M_BOM[Part Name]=$A84)*M_BOM[RM_Qty_Per_Batch]*IFERROR(INDEX(PP_Grid[#Data],M_BOM[PPGridRow],100),0))/52.15</f>
        <v/>
      </c>
      <c r="CW84">
        <f>SUMPRODUCT((M_BOM[Part Name]=$A84)*M_BOM[RM_Qty_Per_Batch]*IFERROR(INDEX(PP_Grid[#Data],M_BOM[PPGridRow],101),0))/52.15</f>
        <v/>
      </c>
      <c r="CX84">
        <f>SUMPRODUCT((M_BOM[Part Name]=$A84)*M_BOM[RM_Qty_Per_Batch]*IFERROR(INDEX(PP_Grid[#Data],M_BOM[PPGridRow],102),0))/52.15</f>
        <v/>
      </c>
      <c r="CY84">
        <f>SUMPRODUCT((M_BOM[Part Name]=$A84)*M_BOM[RM_Qty_Per_Batch]*IFERROR(INDEX(PP_Grid[#Data],M_BOM[PPGridRow],103),0))/52.15</f>
        <v/>
      </c>
      <c r="CZ84">
        <f>SUMPRODUCT((M_BOM[Part Name]=$A84)*M_BOM[RM_Qty_Per_Batch]*IFERROR(INDEX(PP_Grid[#Data],M_BOM[PPGridRow],104),0))/52.15</f>
        <v/>
      </c>
      <c r="DA84">
        <f>SUMPRODUCT((M_BOM[Part Name]=$A84)*M_BOM[RM_Qty_Per_Batch]*IFERROR(INDEX(PP_Grid[#Data],M_BOM[PPGridRow],105),0))/52.15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Name]=$A85)*M_BOM[RM_Qty_Per_Batch]*IFERROR(INDEX(PP_Grid[#Data],M_BOM[PPGridRow],2),0))/51.73</f>
        <v/>
      </c>
      <c r="C85">
        <f>SUMPRODUCT((M_BOM[Part Name]=$A85)*M_BOM[RM_Qty_Per_Batch]*IFERROR(INDEX(PP_Grid[#Data],M_BOM[PPGridRow],3),0))/51.73</f>
        <v/>
      </c>
      <c r="D85">
        <f>SUMPRODUCT((M_BOM[Part Name]=$A85)*M_BOM[RM_Qty_Per_Batch]*IFERROR(INDEX(PP_Grid[#Data],M_BOM[PPGridRow],4),0))/51.73</f>
        <v/>
      </c>
      <c r="E85">
        <f>SUMPRODUCT((M_BOM[Part Name]=$A85)*M_BOM[RM_Qty_Per_Batch]*IFERROR(INDEX(PP_Grid[#Data],M_BOM[PPGridRow],5),0))/51.73</f>
        <v/>
      </c>
      <c r="F85">
        <f>SUMPRODUCT((M_BOM[Part Name]=$A85)*M_BOM[RM_Qty_Per_Batch]*IFERROR(INDEX(PP_Grid[#Data],M_BOM[PPGridRow],6),0))/51.73</f>
        <v/>
      </c>
      <c r="G85">
        <f>SUMPRODUCT((M_BOM[Part Name]=$A85)*M_BOM[RM_Qty_Per_Batch]*IFERROR(INDEX(PP_Grid[#Data],M_BOM[PPGridRow],7),0))/51.73</f>
        <v/>
      </c>
      <c r="H85">
        <f>SUMPRODUCT((M_BOM[Part Name]=$A85)*M_BOM[RM_Qty_Per_Batch]*IFERROR(INDEX(PP_Grid[#Data],M_BOM[PPGridRow],8),0))/51.73</f>
        <v/>
      </c>
      <c r="I85">
        <f>SUMPRODUCT((M_BOM[Part Name]=$A85)*M_BOM[RM_Qty_Per_Batch]*IFERROR(INDEX(PP_Grid[#Data],M_BOM[PPGridRow],9),0))/51.73</f>
        <v/>
      </c>
      <c r="J85">
        <f>SUMPRODUCT((M_BOM[Part Name]=$A85)*M_BOM[RM_Qty_Per_Batch]*IFERROR(INDEX(PP_Grid[#Data],M_BOM[PPGridRow],10),0))/51.73</f>
        <v/>
      </c>
      <c r="K85">
        <f>SUMPRODUCT((M_BOM[Part Name]=$A85)*M_BOM[RM_Qty_Per_Batch]*IFERROR(INDEX(PP_Grid[#Data],M_BOM[PPGridRow],11),0))/51.73</f>
        <v/>
      </c>
      <c r="L85">
        <f>SUMPRODUCT((M_BOM[Part Name]=$A85)*M_BOM[RM_Qty_Per_Batch]*IFERROR(INDEX(PP_Grid[#Data],M_BOM[PPGridRow],12),0))/51.73</f>
        <v/>
      </c>
      <c r="M85">
        <f>SUMPRODUCT((M_BOM[Part Name]=$A85)*M_BOM[RM_Qty_Per_Batch]*IFERROR(INDEX(PP_Grid[#Data],M_BOM[PPGridRow],13),0))/51.73</f>
        <v/>
      </c>
      <c r="N85">
        <f>SUMPRODUCT((M_BOM[Part Name]=$A85)*M_BOM[RM_Qty_Per_Batch]*IFERROR(INDEX(PP_Grid[#Data],M_BOM[PPGridRow],14),0))/51.73</f>
        <v/>
      </c>
      <c r="O85">
        <f>SUMPRODUCT((M_BOM[Part Name]=$A85)*M_BOM[RM_Qty_Per_Batch]*IFERROR(INDEX(PP_Grid[#Data],M_BOM[PPGridRow],15),0))/51.73</f>
        <v/>
      </c>
      <c r="P85">
        <f>SUMPRODUCT((M_BOM[Part Name]=$A85)*M_BOM[RM_Qty_Per_Batch]*IFERROR(INDEX(PP_Grid[#Data],M_BOM[PPGridRow],16),0))/51.73</f>
        <v/>
      </c>
      <c r="Q85">
        <f>SUMPRODUCT((M_BOM[Part Name]=$A85)*M_BOM[RM_Qty_Per_Batch]*IFERROR(INDEX(PP_Grid[#Data],M_BOM[PPGridRow],17),0))/51.73</f>
        <v/>
      </c>
      <c r="R85">
        <f>SUMPRODUCT((M_BOM[Part Name]=$A85)*M_BOM[RM_Qty_Per_Batch]*IFERROR(INDEX(PP_Grid[#Data],M_BOM[PPGridRow],18),0))/51.73</f>
        <v/>
      </c>
      <c r="S85">
        <f>SUMPRODUCT((M_BOM[Part Name]=$A85)*M_BOM[RM_Qty_Per_Batch]*IFERROR(INDEX(PP_Grid[#Data],M_BOM[PPGridRow],19),0))/51.73</f>
        <v/>
      </c>
      <c r="T85">
        <f>SUMPRODUCT((M_BOM[Part Name]=$A85)*M_BOM[RM_Qty_Per_Batch]*IFERROR(INDEX(PP_Grid[#Data],M_BOM[PPGridRow],20),0))/51.73</f>
        <v/>
      </c>
      <c r="U85">
        <f>SUMPRODUCT((M_BOM[Part Name]=$A85)*M_BOM[RM_Qty_Per_Batch]*IFERROR(INDEX(PP_Grid[#Data],M_BOM[PPGridRow],21),0))/51.73</f>
        <v/>
      </c>
      <c r="V85">
        <f>SUMPRODUCT((M_BOM[Part Name]=$A85)*M_BOM[RM_Qty_Per_Batch]*IFERROR(INDEX(PP_Grid[#Data],M_BOM[PPGridRow],22),0))/51.73</f>
        <v/>
      </c>
      <c r="W85">
        <f>SUMPRODUCT((M_BOM[Part Name]=$A85)*M_BOM[RM_Qty_Per_Batch]*IFERROR(INDEX(PP_Grid[#Data],M_BOM[PPGridRow],23),0))/51.73</f>
        <v/>
      </c>
      <c r="X85">
        <f>SUMPRODUCT((M_BOM[Part Name]=$A85)*M_BOM[RM_Qty_Per_Batch]*IFERROR(INDEX(PP_Grid[#Data],M_BOM[PPGridRow],24),0))/51.73</f>
        <v/>
      </c>
      <c r="Y85">
        <f>SUMPRODUCT((M_BOM[Part Name]=$A85)*M_BOM[RM_Qty_Per_Batch]*IFERROR(INDEX(PP_Grid[#Data],M_BOM[PPGridRow],25),0))/51.73</f>
        <v/>
      </c>
      <c r="Z85">
        <f>SUMPRODUCT((M_BOM[Part Name]=$A85)*M_BOM[RM_Qty_Per_Batch]*IFERROR(INDEX(PP_Grid[#Data],M_BOM[PPGridRow],26),0))/51.73</f>
        <v/>
      </c>
      <c r="AA85">
        <f>SUMPRODUCT((M_BOM[Part Name]=$A85)*M_BOM[RM_Qty_Per_Batch]*IFERROR(INDEX(PP_Grid[#Data],M_BOM[PPGridRow],27),0))/51.73</f>
        <v/>
      </c>
      <c r="AB85">
        <f>SUMPRODUCT((M_BOM[Part Name]=$A85)*M_BOM[RM_Qty_Per_Batch]*IFERROR(INDEX(PP_Grid[#Data],M_BOM[PPGridRow],28),0))/51.73</f>
        <v/>
      </c>
      <c r="AC85">
        <f>SUMPRODUCT((M_BOM[Part Name]=$A85)*M_BOM[RM_Qty_Per_Batch]*IFERROR(INDEX(PP_Grid[#Data],M_BOM[PPGridRow],29),0))/51.73</f>
        <v/>
      </c>
      <c r="AD85">
        <f>SUMPRODUCT((M_BOM[Part Name]=$A85)*M_BOM[RM_Qty_Per_Batch]*IFERROR(INDEX(PP_Grid[#Data],M_BOM[PPGridRow],30),0))/51.73</f>
        <v/>
      </c>
      <c r="AE85">
        <f>SUMPRODUCT((M_BOM[Part Name]=$A85)*M_BOM[RM_Qty_Per_Batch]*IFERROR(INDEX(PP_Grid[#Data],M_BOM[PPGridRow],31),0))/51.73</f>
        <v/>
      </c>
      <c r="AF85">
        <f>SUMPRODUCT((M_BOM[Part Name]=$A85)*M_BOM[RM_Qty_Per_Batch]*IFERROR(INDEX(PP_Grid[#Data],M_BOM[PPGridRow],32),0))/51.73</f>
        <v/>
      </c>
      <c r="AG85">
        <f>SUMPRODUCT((M_BOM[Part Name]=$A85)*M_BOM[RM_Qty_Per_Batch]*IFERROR(INDEX(PP_Grid[#Data],M_BOM[PPGridRow],33),0))/51.73</f>
        <v/>
      </c>
      <c r="AH85">
        <f>SUMPRODUCT((M_BOM[Part Name]=$A85)*M_BOM[RM_Qty_Per_Batch]*IFERROR(INDEX(PP_Grid[#Data],M_BOM[PPGridRow],34),0))/51.73</f>
        <v/>
      </c>
      <c r="AI85">
        <f>SUMPRODUCT((M_BOM[Part Name]=$A85)*M_BOM[RM_Qty_Per_Batch]*IFERROR(INDEX(PP_Grid[#Data],M_BOM[PPGridRow],35),0))/51.73</f>
        <v/>
      </c>
      <c r="AJ85">
        <f>SUMPRODUCT((M_BOM[Part Name]=$A85)*M_BOM[RM_Qty_Per_Batch]*IFERROR(INDEX(PP_Grid[#Data],M_BOM[PPGridRow],36),0))/51.73</f>
        <v/>
      </c>
      <c r="AK85">
        <f>SUMPRODUCT((M_BOM[Part Name]=$A85)*M_BOM[RM_Qty_Per_Batch]*IFERROR(INDEX(PP_Grid[#Data],M_BOM[PPGridRow],37),0))/51.73</f>
        <v/>
      </c>
      <c r="AL85">
        <f>SUMPRODUCT((M_BOM[Part Name]=$A85)*M_BOM[RM_Qty_Per_Batch]*IFERROR(INDEX(PP_Grid[#Data],M_BOM[PPGridRow],38),0))/51.73</f>
        <v/>
      </c>
      <c r="AM85">
        <f>SUMPRODUCT((M_BOM[Part Name]=$A85)*M_BOM[RM_Qty_Per_Batch]*IFERROR(INDEX(PP_Grid[#Data],M_BOM[PPGridRow],39),0))/51.73</f>
        <v/>
      </c>
      <c r="AN85">
        <f>SUMPRODUCT((M_BOM[Part Name]=$A85)*M_BOM[RM_Qty_Per_Batch]*IFERROR(INDEX(PP_Grid[#Data],M_BOM[PPGridRow],40),0))/51.73</f>
        <v/>
      </c>
      <c r="AO85">
        <f>SUMPRODUCT((M_BOM[Part Name]=$A85)*M_BOM[RM_Qty_Per_Batch]*IFERROR(INDEX(PP_Grid[#Data],M_BOM[PPGridRow],41),0))/51.73</f>
        <v/>
      </c>
      <c r="AP85">
        <f>SUMPRODUCT((M_BOM[Part Name]=$A85)*M_BOM[RM_Qty_Per_Batch]*IFERROR(INDEX(PP_Grid[#Data],M_BOM[PPGridRow],42),0))/51.73</f>
        <v/>
      </c>
      <c r="AQ85">
        <f>SUMPRODUCT((M_BOM[Part Name]=$A85)*M_BOM[RM_Qty_Per_Batch]*IFERROR(INDEX(PP_Grid[#Data],M_BOM[PPGridRow],43),0))/51.73</f>
        <v/>
      </c>
      <c r="AR85">
        <f>SUMPRODUCT((M_BOM[Part Name]=$A85)*M_BOM[RM_Qty_Per_Batch]*IFERROR(INDEX(PP_Grid[#Data],M_BOM[PPGridRow],44),0))/51.73</f>
        <v/>
      </c>
      <c r="AS85">
        <f>SUMPRODUCT((M_BOM[Part Name]=$A85)*M_BOM[RM_Qty_Per_Batch]*IFERROR(INDEX(PP_Grid[#Data],M_BOM[PPGridRow],45),0))/51.73</f>
        <v/>
      </c>
      <c r="AT85">
        <f>SUMPRODUCT((M_BOM[Part Name]=$A85)*M_BOM[RM_Qty_Per_Batch]*IFERROR(INDEX(PP_Grid[#Data],M_BOM[PPGridRow],46),0))/51.73</f>
        <v/>
      </c>
      <c r="AU85">
        <f>SUMPRODUCT((M_BOM[Part Name]=$A85)*M_BOM[RM_Qty_Per_Batch]*IFERROR(INDEX(PP_Grid[#Data],M_BOM[PPGridRow],47),0))/51.73</f>
        <v/>
      </c>
      <c r="AV85">
        <f>SUMPRODUCT((M_BOM[Part Name]=$A85)*M_BOM[RM_Qty_Per_Batch]*IFERROR(INDEX(PP_Grid[#Data],M_BOM[PPGridRow],48),0))/51.73</f>
        <v/>
      </c>
      <c r="AW85">
        <f>SUMPRODUCT((M_BOM[Part Name]=$A85)*M_BOM[RM_Qty_Per_Batch]*IFERROR(INDEX(PP_Grid[#Data],M_BOM[PPGridRow],49),0))/51.73</f>
        <v/>
      </c>
      <c r="AX85">
        <f>SUMPRODUCT((M_BOM[Part Name]=$A85)*M_BOM[RM_Qty_Per_Batch]*IFERROR(INDEX(PP_Grid[#Data],M_BOM[PPGridRow],50),0))/51.73</f>
        <v/>
      </c>
      <c r="AY85">
        <f>SUMPRODUCT((M_BOM[Part Name]=$A85)*M_BOM[RM_Qty_Per_Batch]*IFERROR(INDEX(PP_Grid[#Data],M_BOM[PPGridRow],51),0))/51.73</f>
        <v/>
      </c>
      <c r="AZ85">
        <f>SUMPRODUCT((M_BOM[Part Name]=$A85)*M_BOM[RM_Qty_Per_Batch]*IFERROR(INDEX(PP_Grid[#Data],M_BOM[PPGridRow],52),0))/51.73</f>
        <v/>
      </c>
      <c r="BA85">
        <f>SUMPRODUCT((M_BOM[Part Name]=$A85)*M_BOM[RM_Qty_Per_Batch]*IFERROR(INDEX(PP_Grid[#Data],M_BOM[PPGridRow],53),0))/51.73</f>
        <v/>
      </c>
      <c r="BB85">
        <f>SUMPRODUCT((M_BOM[Part Name]=$A85)*M_BOM[RM_Qty_Per_Batch]*IFERROR(INDEX(PP_Grid[#Data],M_BOM[PPGridRow],54),0))/51.73</f>
        <v/>
      </c>
      <c r="BC85">
        <f>SUMPRODUCT((M_BOM[Part Name]=$A85)*M_BOM[RM_Qty_Per_Batch]*IFERROR(INDEX(PP_Grid[#Data],M_BOM[PPGridRow],55),0))/51.73</f>
        <v/>
      </c>
      <c r="BD85">
        <f>SUMPRODUCT((M_BOM[Part Name]=$A85)*M_BOM[RM_Qty_Per_Batch]*IFERROR(INDEX(PP_Grid[#Data],M_BOM[PPGridRow],56),0))/51.73</f>
        <v/>
      </c>
      <c r="BE85">
        <f>SUMPRODUCT((M_BOM[Part Name]=$A85)*M_BOM[RM_Qty_Per_Batch]*IFERROR(INDEX(PP_Grid[#Data],M_BOM[PPGridRow],57),0))/51.73</f>
        <v/>
      </c>
      <c r="BF85">
        <f>SUMPRODUCT((M_BOM[Part Name]=$A85)*M_BOM[RM_Qty_Per_Batch]*IFERROR(INDEX(PP_Grid[#Data],M_BOM[PPGridRow],58),0))/51.73</f>
        <v/>
      </c>
      <c r="BG85">
        <f>SUMPRODUCT((M_BOM[Part Name]=$A85)*M_BOM[RM_Qty_Per_Batch]*IFERROR(INDEX(PP_Grid[#Data],M_BOM[PPGridRow],59),0))/51.73</f>
        <v/>
      </c>
      <c r="BH85">
        <f>SUMPRODUCT((M_BOM[Part Name]=$A85)*M_BOM[RM_Qty_Per_Batch]*IFERROR(INDEX(PP_Grid[#Data],M_BOM[PPGridRow],60),0))/51.73</f>
        <v/>
      </c>
      <c r="BI85">
        <f>SUMPRODUCT((M_BOM[Part Name]=$A85)*M_BOM[RM_Qty_Per_Batch]*IFERROR(INDEX(PP_Grid[#Data],M_BOM[PPGridRow],61),0))/51.73</f>
        <v/>
      </c>
      <c r="BJ85">
        <f>SUMPRODUCT((M_BOM[Part Name]=$A85)*M_BOM[RM_Qty_Per_Batch]*IFERROR(INDEX(PP_Grid[#Data],M_BOM[PPGridRow],62),0))/51.73</f>
        <v/>
      </c>
      <c r="BK85">
        <f>SUMPRODUCT((M_BOM[Part Name]=$A85)*M_BOM[RM_Qty_Per_Batch]*IFERROR(INDEX(PP_Grid[#Data],M_BOM[PPGridRow],63),0))/51.73</f>
        <v/>
      </c>
      <c r="BL85">
        <f>SUMPRODUCT((M_BOM[Part Name]=$A85)*M_BOM[RM_Qty_Per_Batch]*IFERROR(INDEX(PP_Grid[#Data],M_BOM[PPGridRow],64),0))/51.73</f>
        <v/>
      </c>
      <c r="BM85">
        <f>SUMPRODUCT((M_BOM[Part Name]=$A85)*M_BOM[RM_Qty_Per_Batch]*IFERROR(INDEX(PP_Grid[#Data],M_BOM[PPGridRow],65),0))/51.73</f>
        <v/>
      </c>
      <c r="BN85">
        <f>SUMPRODUCT((M_BOM[Part Name]=$A85)*M_BOM[RM_Qty_Per_Batch]*IFERROR(INDEX(PP_Grid[#Data],M_BOM[PPGridRow],66),0))/51.73</f>
        <v/>
      </c>
      <c r="BO85">
        <f>SUMPRODUCT((M_BOM[Part Name]=$A85)*M_BOM[RM_Qty_Per_Batch]*IFERROR(INDEX(PP_Grid[#Data],M_BOM[PPGridRow],67),0))/51.73</f>
        <v/>
      </c>
      <c r="BP85">
        <f>SUMPRODUCT((M_BOM[Part Name]=$A85)*M_BOM[RM_Qty_Per_Batch]*IFERROR(INDEX(PP_Grid[#Data],M_BOM[PPGridRow],68),0))/51.73</f>
        <v/>
      </c>
      <c r="BQ85">
        <f>SUMPRODUCT((M_BOM[Part Name]=$A85)*M_BOM[RM_Qty_Per_Batch]*IFERROR(INDEX(PP_Grid[#Data],M_BOM[PPGridRow],69),0))/51.73</f>
        <v/>
      </c>
      <c r="BR85">
        <f>SUMPRODUCT((M_BOM[Part Name]=$A85)*M_BOM[RM_Qty_Per_Batch]*IFERROR(INDEX(PP_Grid[#Data],M_BOM[PPGridRow],70),0))/51.73</f>
        <v/>
      </c>
      <c r="BS85">
        <f>SUMPRODUCT((M_BOM[Part Name]=$A85)*M_BOM[RM_Qty_Per_Batch]*IFERROR(INDEX(PP_Grid[#Data],M_BOM[PPGridRow],71),0))/51.73</f>
        <v/>
      </c>
      <c r="BT85">
        <f>SUMPRODUCT((M_BOM[Part Name]=$A85)*M_BOM[RM_Qty_Per_Batch]*IFERROR(INDEX(PP_Grid[#Data],M_BOM[PPGridRow],72),0))/51.73</f>
        <v/>
      </c>
      <c r="BU85">
        <f>SUMPRODUCT((M_BOM[Part Name]=$A85)*M_BOM[RM_Qty_Per_Batch]*IFERROR(INDEX(PP_Grid[#Data],M_BOM[PPGridRow],73),0))/51.73</f>
        <v/>
      </c>
      <c r="BV85">
        <f>SUMPRODUCT((M_BOM[Part Name]=$A85)*M_BOM[RM_Qty_Per_Batch]*IFERROR(INDEX(PP_Grid[#Data],M_BOM[PPGridRow],74),0))/51.73</f>
        <v/>
      </c>
      <c r="BW85">
        <f>SUMPRODUCT((M_BOM[Part Name]=$A85)*M_BOM[RM_Qty_Per_Batch]*IFERROR(INDEX(PP_Grid[#Data],M_BOM[PPGridRow],75),0))/51.73</f>
        <v/>
      </c>
      <c r="BX85">
        <f>SUMPRODUCT((M_BOM[Part Name]=$A85)*M_BOM[RM_Qty_Per_Batch]*IFERROR(INDEX(PP_Grid[#Data],M_BOM[PPGridRow],76),0))/51.73</f>
        <v/>
      </c>
      <c r="BY85">
        <f>SUMPRODUCT((M_BOM[Part Name]=$A85)*M_BOM[RM_Qty_Per_Batch]*IFERROR(INDEX(PP_Grid[#Data],M_BOM[PPGridRow],77),0))/51.73</f>
        <v/>
      </c>
      <c r="BZ85">
        <f>SUMPRODUCT((M_BOM[Part Name]=$A85)*M_BOM[RM_Qty_Per_Batch]*IFERROR(INDEX(PP_Grid[#Data],M_BOM[PPGridRow],78),0))/51.73</f>
        <v/>
      </c>
      <c r="CA85">
        <f>SUMPRODUCT((M_BOM[Part Name]=$A85)*M_BOM[RM_Qty_Per_Batch]*IFERROR(INDEX(PP_Grid[#Data],M_BOM[PPGridRow],79),0))/51.73</f>
        <v/>
      </c>
      <c r="CB85">
        <f>SUMPRODUCT((M_BOM[Part Name]=$A85)*M_BOM[RM_Qty_Per_Batch]*IFERROR(INDEX(PP_Grid[#Data],M_BOM[PPGridRow],80),0))/51.73</f>
        <v/>
      </c>
      <c r="CC85">
        <f>SUMPRODUCT((M_BOM[Part Name]=$A85)*M_BOM[RM_Qty_Per_Batch]*IFERROR(INDEX(PP_Grid[#Data],M_BOM[PPGridRow],81),0))/51.73</f>
        <v/>
      </c>
      <c r="CD85">
        <f>SUMPRODUCT((M_BOM[Part Name]=$A85)*M_BOM[RM_Qty_Per_Batch]*IFERROR(INDEX(PP_Grid[#Data],M_BOM[PPGridRow],82),0))/51.73</f>
        <v/>
      </c>
      <c r="CE85">
        <f>SUMPRODUCT((M_BOM[Part Name]=$A85)*M_BOM[RM_Qty_Per_Batch]*IFERROR(INDEX(PP_Grid[#Data],M_BOM[PPGridRow],83),0))/51.73</f>
        <v/>
      </c>
      <c r="CF85">
        <f>SUMPRODUCT((M_BOM[Part Name]=$A85)*M_BOM[RM_Qty_Per_Batch]*IFERROR(INDEX(PP_Grid[#Data],M_BOM[PPGridRow],84),0))/51.73</f>
        <v/>
      </c>
      <c r="CG85">
        <f>SUMPRODUCT((M_BOM[Part Name]=$A85)*M_BOM[RM_Qty_Per_Batch]*IFERROR(INDEX(PP_Grid[#Data],M_BOM[PPGridRow],85),0))/51.73</f>
        <v/>
      </c>
      <c r="CH85">
        <f>SUMPRODUCT((M_BOM[Part Name]=$A85)*M_BOM[RM_Qty_Per_Batch]*IFERROR(INDEX(PP_Grid[#Data],M_BOM[PPGridRow],86),0))/51.73</f>
        <v/>
      </c>
      <c r="CI85">
        <f>SUMPRODUCT((M_BOM[Part Name]=$A85)*M_BOM[RM_Qty_Per_Batch]*IFERROR(INDEX(PP_Grid[#Data],M_BOM[PPGridRow],87),0))/51.73</f>
        <v/>
      </c>
      <c r="CJ85">
        <f>SUMPRODUCT((M_BOM[Part Name]=$A85)*M_BOM[RM_Qty_Per_Batch]*IFERROR(INDEX(PP_Grid[#Data],M_BOM[PPGridRow],88),0))/51.73</f>
        <v/>
      </c>
      <c r="CK85">
        <f>SUMPRODUCT((M_BOM[Part Name]=$A85)*M_BOM[RM_Qty_Per_Batch]*IFERROR(INDEX(PP_Grid[#Data],M_BOM[PPGridRow],89),0))/51.73</f>
        <v/>
      </c>
      <c r="CL85">
        <f>SUMPRODUCT((M_BOM[Part Name]=$A85)*M_BOM[RM_Qty_Per_Batch]*IFERROR(INDEX(PP_Grid[#Data],M_BOM[PPGridRow],90),0))/51.73</f>
        <v/>
      </c>
      <c r="CM85">
        <f>SUMPRODUCT((M_BOM[Part Name]=$A85)*M_BOM[RM_Qty_Per_Batch]*IFERROR(INDEX(PP_Grid[#Data],M_BOM[PPGridRow],91),0))/51.73</f>
        <v/>
      </c>
      <c r="CN85">
        <f>SUMPRODUCT((M_BOM[Part Name]=$A85)*M_BOM[RM_Qty_Per_Batch]*IFERROR(INDEX(PP_Grid[#Data],M_BOM[PPGridRow],92),0))/51.73</f>
        <v/>
      </c>
      <c r="CO85">
        <f>SUMPRODUCT((M_BOM[Part Name]=$A85)*M_BOM[RM_Qty_Per_Batch]*IFERROR(INDEX(PP_Grid[#Data],M_BOM[PPGridRow],93),0))/51.73</f>
        <v/>
      </c>
      <c r="CP85">
        <f>SUMPRODUCT((M_BOM[Part Name]=$A85)*M_BOM[RM_Qty_Per_Batch]*IFERROR(INDEX(PP_Grid[#Data],M_BOM[PPGridRow],94),0))/51.73</f>
        <v/>
      </c>
      <c r="CQ85">
        <f>SUMPRODUCT((M_BOM[Part Name]=$A85)*M_BOM[RM_Qty_Per_Batch]*IFERROR(INDEX(PP_Grid[#Data],M_BOM[PPGridRow],95),0))/51.73</f>
        <v/>
      </c>
      <c r="CR85">
        <f>SUMPRODUCT((M_BOM[Part Name]=$A85)*M_BOM[RM_Qty_Per_Batch]*IFERROR(INDEX(PP_Grid[#Data],M_BOM[PPGridRow],96),0))/51.73</f>
        <v/>
      </c>
      <c r="CS85">
        <f>SUMPRODUCT((M_BOM[Part Name]=$A85)*M_BOM[RM_Qty_Per_Batch]*IFERROR(INDEX(PP_Grid[#Data],M_BOM[PPGridRow],97),0))/51.73</f>
        <v/>
      </c>
      <c r="CT85">
        <f>SUMPRODUCT((M_BOM[Part Name]=$A85)*M_BOM[RM_Qty_Per_Batch]*IFERROR(INDEX(PP_Grid[#Data],M_BOM[PPGridRow],98),0))/51.73</f>
        <v/>
      </c>
      <c r="CU85">
        <f>SUMPRODUCT((M_BOM[Part Name]=$A85)*M_BOM[RM_Qty_Per_Batch]*IFERROR(INDEX(PP_Grid[#Data],M_BOM[PPGridRow],99),0))/51.73</f>
        <v/>
      </c>
      <c r="CV85">
        <f>SUMPRODUCT((M_BOM[Part Name]=$A85)*M_BOM[RM_Qty_Per_Batch]*IFERROR(INDEX(PP_Grid[#Data],M_BOM[PPGridRow],100),0))/51.73</f>
        <v/>
      </c>
      <c r="CW85">
        <f>SUMPRODUCT((M_BOM[Part Name]=$A85)*M_BOM[RM_Qty_Per_Batch]*IFERROR(INDEX(PP_Grid[#Data],M_BOM[PPGridRow],101),0))/51.73</f>
        <v/>
      </c>
      <c r="CX85">
        <f>SUMPRODUCT((M_BOM[Part Name]=$A85)*M_BOM[RM_Qty_Per_Batch]*IFERROR(INDEX(PP_Grid[#Data],M_BOM[PPGridRow],102),0))/51.73</f>
        <v/>
      </c>
      <c r="CY85">
        <f>SUMPRODUCT((M_BOM[Part Name]=$A85)*M_BOM[RM_Qty_Per_Batch]*IFERROR(INDEX(PP_Grid[#Data],M_BOM[PPGridRow],103),0))/51.73</f>
        <v/>
      </c>
      <c r="CZ85">
        <f>SUMPRODUCT((M_BOM[Part Name]=$A85)*M_BOM[RM_Qty_Per_Batch]*IFERROR(INDEX(PP_Grid[#Data],M_BOM[PPGridRow],104),0))/51.73</f>
        <v/>
      </c>
      <c r="DA85">
        <f>SUMPRODUCT((M_BOM[Part Name]=$A85)*M_BOM[RM_Qty_Per_Batch]*IFERROR(INDEX(PP_Grid[#Data],M_BOM[PPGridRow],105),0))/51.73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Name]=$A86)*M_BOM[RM_Qty_Per_Batch]*IFERROR(INDEX(PP_Grid[#Data],M_BOM[PPGridRow],2),0))/25.69</f>
        <v/>
      </c>
      <c r="C86">
        <f>SUMPRODUCT((M_BOM[Part Name]=$A86)*M_BOM[RM_Qty_Per_Batch]*IFERROR(INDEX(PP_Grid[#Data],M_BOM[PPGridRow],3),0))/25.69</f>
        <v/>
      </c>
      <c r="D86">
        <f>SUMPRODUCT((M_BOM[Part Name]=$A86)*M_BOM[RM_Qty_Per_Batch]*IFERROR(INDEX(PP_Grid[#Data],M_BOM[PPGridRow],4),0))/25.69</f>
        <v/>
      </c>
      <c r="E86">
        <f>SUMPRODUCT((M_BOM[Part Name]=$A86)*M_BOM[RM_Qty_Per_Batch]*IFERROR(INDEX(PP_Grid[#Data],M_BOM[PPGridRow],5),0))/25.69</f>
        <v/>
      </c>
      <c r="F86">
        <f>SUMPRODUCT((M_BOM[Part Name]=$A86)*M_BOM[RM_Qty_Per_Batch]*IFERROR(INDEX(PP_Grid[#Data],M_BOM[PPGridRow],6),0))/25.69</f>
        <v/>
      </c>
      <c r="G86">
        <f>SUMPRODUCT((M_BOM[Part Name]=$A86)*M_BOM[RM_Qty_Per_Batch]*IFERROR(INDEX(PP_Grid[#Data],M_BOM[PPGridRow],7),0))/25.69</f>
        <v/>
      </c>
      <c r="H86">
        <f>SUMPRODUCT((M_BOM[Part Name]=$A86)*M_BOM[RM_Qty_Per_Batch]*IFERROR(INDEX(PP_Grid[#Data],M_BOM[PPGridRow],8),0))/25.69</f>
        <v/>
      </c>
      <c r="I86">
        <f>SUMPRODUCT((M_BOM[Part Name]=$A86)*M_BOM[RM_Qty_Per_Batch]*IFERROR(INDEX(PP_Grid[#Data],M_BOM[PPGridRow],9),0))/25.69</f>
        <v/>
      </c>
      <c r="J86">
        <f>SUMPRODUCT((M_BOM[Part Name]=$A86)*M_BOM[RM_Qty_Per_Batch]*IFERROR(INDEX(PP_Grid[#Data],M_BOM[PPGridRow],10),0))/25.69</f>
        <v/>
      </c>
      <c r="K86">
        <f>SUMPRODUCT((M_BOM[Part Name]=$A86)*M_BOM[RM_Qty_Per_Batch]*IFERROR(INDEX(PP_Grid[#Data],M_BOM[PPGridRow],11),0))/25.69</f>
        <v/>
      </c>
      <c r="L86">
        <f>SUMPRODUCT((M_BOM[Part Name]=$A86)*M_BOM[RM_Qty_Per_Batch]*IFERROR(INDEX(PP_Grid[#Data],M_BOM[PPGridRow],12),0))/25.69</f>
        <v/>
      </c>
      <c r="M86">
        <f>SUMPRODUCT((M_BOM[Part Name]=$A86)*M_BOM[RM_Qty_Per_Batch]*IFERROR(INDEX(PP_Grid[#Data],M_BOM[PPGridRow],13),0))/25.69</f>
        <v/>
      </c>
      <c r="N86">
        <f>SUMPRODUCT((M_BOM[Part Name]=$A86)*M_BOM[RM_Qty_Per_Batch]*IFERROR(INDEX(PP_Grid[#Data],M_BOM[PPGridRow],14),0))/25.69</f>
        <v/>
      </c>
      <c r="O86">
        <f>SUMPRODUCT((M_BOM[Part Name]=$A86)*M_BOM[RM_Qty_Per_Batch]*IFERROR(INDEX(PP_Grid[#Data],M_BOM[PPGridRow],15),0))/25.69</f>
        <v/>
      </c>
      <c r="P86">
        <f>SUMPRODUCT((M_BOM[Part Name]=$A86)*M_BOM[RM_Qty_Per_Batch]*IFERROR(INDEX(PP_Grid[#Data],M_BOM[PPGridRow],16),0))/25.69</f>
        <v/>
      </c>
      <c r="Q86">
        <f>SUMPRODUCT((M_BOM[Part Name]=$A86)*M_BOM[RM_Qty_Per_Batch]*IFERROR(INDEX(PP_Grid[#Data],M_BOM[PPGridRow],17),0))/25.69</f>
        <v/>
      </c>
      <c r="R86">
        <f>SUMPRODUCT((M_BOM[Part Name]=$A86)*M_BOM[RM_Qty_Per_Batch]*IFERROR(INDEX(PP_Grid[#Data],M_BOM[PPGridRow],18),0))/25.69</f>
        <v/>
      </c>
      <c r="S86">
        <f>SUMPRODUCT((M_BOM[Part Name]=$A86)*M_BOM[RM_Qty_Per_Batch]*IFERROR(INDEX(PP_Grid[#Data],M_BOM[PPGridRow],19),0))/25.69</f>
        <v/>
      </c>
      <c r="T86">
        <f>SUMPRODUCT((M_BOM[Part Name]=$A86)*M_BOM[RM_Qty_Per_Batch]*IFERROR(INDEX(PP_Grid[#Data],M_BOM[PPGridRow],20),0))/25.69</f>
        <v/>
      </c>
      <c r="U86">
        <f>SUMPRODUCT((M_BOM[Part Name]=$A86)*M_BOM[RM_Qty_Per_Batch]*IFERROR(INDEX(PP_Grid[#Data],M_BOM[PPGridRow],21),0))/25.69</f>
        <v/>
      </c>
      <c r="V86">
        <f>SUMPRODUCT((M_BOM[Part Name]=$A86)*M_BOM[RM_Qty_Per_Batch]*IFERROR(INDEX(PP_Grid[#Data],M_BOM[PPGridRow],22),0))/25.69</f>
        <v/>
      </c>
      <c r="W86">
        <f>SUMPRODUCT((M_BOM[Part Name]=$A86)*M_BOM[RM_Qty_Per_Batch]*IFERROR(INDEX(PP_Grid[#Data],M_BOM[PPGridRow],23),0))/25.69</f>
        <v/>
      </c>
      <c r="X86">
        <f>SUMPRODUCT((M_BOM[Part Name]=$A86)*M_BOM[RM_Qty_Per_Batch]*IFERROR(INDEX(PP_Grid[#Data],M_BOM[PPGridRow],24),0))/25.69</f>
        <v/>
      </c>
      <c r="Y86">
        <f>SUMPRODUCT((M_BOM[Part Name]=$A86)*M_BOM[RM_Qty_Per_Batch]*IFERROR(INDEX(PP_Grid[#Data],M_BOM[PPGridRow],25),0))/25.69</f>
        <v/>
      </c>
      <c r="Z86">
        <f>SUMPRODUCT((M_BOM[Part Name]=$A86)*M_BOM[RM_Qty_Per_Batch]*IFERROR(INDEX(PP_Grid[#Data],M_BOM[PPGridRow],26),0))/25.69</f>
        <v/>
      </c>
      <c r="AA86">
        <f>SUMPRODUCT((M_BOM[Part Name]=$A86)*M_BOM[RM_Qty_Per_Batch]*IFERROR(INDEX(PP_Grid[#Data],M_BOM[PPGridRow],27),0))/25.69</f>
        <v/>
      </c>
      <c r="AB86">
        <f>SUMPRODUCT((M_BOM[Part Name]=$A86)*M_BOM[RM_Qty_Per_Batch]*IFERROR(INDEX(PP_Grid[#Data],M_BOM[PPGridRow],28),0))/25.69</f>
        <v/>
      </c>
      <c r="AC86">
        <f>SUMPRODUCT((M_BOM[Part Name]=$A86)*M_BOM[RM_Qty_Per_Batch]*IFERROR(INDEX(PP_Grid[#Data],M_BOM[PPGridRow],29),0))/25.69</f>
        <v/>
      </c>
      <c r="AD86">
        <f>SUMPRODUCT((M_BOM[Part Name]=$A86)*M_BOM[RM_Qty_Per_Batch]*IFERROR(INDEX(PP_Grid[#Data],M_BOM[PPGridRow],30),0))/25.69</f>
        <v/>
      </c>
      <c r="AE86">
        <f>SUMPRODUCT((M_BOM[Part Name]=$A86)*M_BOM[RM_Qty_Per_Batch]*IFERROR(INDEX(PP_Grid[#Data],M_BOM[PPGridRow],31),0))/25.69</f>
        <v/>
      </c>
      <c r="AF86">
        <f>SUMPRODUCT((M_BOM[Part Name]=$A86)*M_BOM[RM_Qty_Per_Batch]*IFERROR(INDEX(PP_Grid[#Data],M_BOM[PPGridRow],32),0))/25.69</f>
        <v/>
      </c>
      <c r="AG86">
        <f>SUMPRODUCT((M_BOM[Part Name]=$A86)*M_BOM[RM_Qty_Per_Batch]*IFERROR(INDEX(PP_Grid[#Data],M_BOM[PPGridRow],33),0))/25.69</f>
        <v/>
      </c>
      <c r="AH86">
        <f>SUMPRODUCT((M_BOM[Part Name]=$A86)*M_BOM[RM_Qty_Per_Batch]*IFERROR(INDEX(PP_Grid[#Data],M_BOM[PPGridRow],34),0))/25.69</f>
        <v/>
      </c>
      <c r="AI86">
        <f>SUMPRODUCT((M_BOM[Part Name]=$A86)*M_BOM[RM_Qty_Per_Batch]*IFERROR(INDEX(PP_Grid[#Data],M_BOM[PPGridRow],35),0))/25.69</f>
        <v/>
      </c>
      <c r="AJ86">
        <f>SUMPRODUCT((M_BOM[Part Name]=$A86)*M_BOM[RM_Qty_Per_Batch]*IFERROR(INDEX(PP_Grid[#Data],M_BOM[PPGridRow],36),0))/25.69</f>
        <v/>
      </c>
      <c r="AK86">
        <f>SUMPRODUCT((M_BOM[Part Name]=$A86)*M_BOM[RM_Qty_Per_Batch]*IFERROR(INDEX(PP_Grid[#Data],M_BOM[PPGridRow],37),0))/25.69</f>
        <v/>
      </c>
      <c r="AL86">
        <f>SUMPRODUCT((M_BOM[Part Name]=$A86)*M_BOM[RM_Qty_Per_Batch]*IFERROR(INDEX(PP_Grid[#Data],M_BOM[PPGridRow],38),0))/25.69</f>
        <v/>
      </c>
      <c r="AM86">
        <f>SUMPRODUCT((M_BOM[Part Name]=$A86)*M_BOM[RM_Qty_Per_Batch]*IFERROR(INDEX(PP_Grid[#Data],M_BOM[PPGridRow],39),0))/25.69</f>
        <v/>
      </c>
      <c r="AN86">
        <f>SUMPRODUCT((M_BOM[Part Name]=$A86)*M_BOM[RM_Qty_Per_Batch]*IFERROR(INDEX(PP_Grid[#Data],M_BOM[PPGridRow],40),0))/25.69</f>
        <v/>
      </c>
      <c r="AO86">
        <f>SUMPRODUCT((M_BOM[Part Name]=$A86)*M_BOM[RM_Qty_Per_Batch]*IFERROR(INDEX(PP_Grid[#Data],M_BOM[PPGridRow],41),0))/25.69</f>
        <v/>
      </c>
      <c r="AP86">
        <f>SUMPRODUCT((M_BOM[Part Name]=$A86)*M_BOM[RM_Qty_Per_Batch]*IFERROR(INDEX(PP_Grid[#Data],M_BOM[PPGridRow],42),0))/25.69</f>
        <v/>
      </c>
      <c r="AQ86">
        <f>SUMPRODUCT((M_BOM[Part Name]=$A86)*M_BOM[RM_Qty_Per_Batch]*IFERROR(INDEX(PP_Grid[#Data],M_BOM[PPGridRow],43),0))/25.69</f>
        <v/>
      </c>
      <c r="AR86">
        <f>SUMPRODUCT((M_BOM[Part Name]=$A86)*M_BOM[RM_Qty_Per_Batch]*IFERROR(INDEX(PP_Grid[#Data],M_BOM[PPGridRow],44),0))/25.69</f>
        <v/>
      </c>
      <c r="AS86">
        <f>SUMPRODUCT((M_BOM[Part Name]=$A86)*M_BOM[RM_Qty_Per_Batch]*IFERROR(INDEX(PP_Grid[#Data],M_BOM[PPGridRow],45),0))/25.69</f>
        <v/>
      </c>
      <c r="AT86">
        <f>SUMPRODUCT((M_BOM[Part Name]=$A86)*M_BOM[RM_Qty_Per_Batch]*IFERROR(INDEX(PP_Grid[#Data],M_BOM[PPGridRow],46),0))/25.69</f>
        <v/>
      </c>
      <c r="AU86">
        <f>SUMPRODUCT((M_BOM[Part Name]=$A86)*M_BOM[RM_Qty_Per_Batch]*IFERROR(INDEX(PP_Grid[#Data],M_BOM[PPGridRow],47),0))/25.69</f>
        <v/>
      </c>
      <c r="AV86">
        <f>SUMPRODUCT((M_BOM[Part Name]=$A86)*M_BOM[RM_Qty_Per_Batch]*IFERROR(INDEX(PP_Grid[#Data],M_BOM[PPGridRow],48),0))/25.69</f>
        <v/>
      </c>
      <c r="AW86">
        <f>SUMPRODUCT((M_BOM[Part Name]=$A86)*M_BOM[RM_Qty_Per_Batch]*IFERROR(INDEX(PP_Grid[#Data],M_BOM[PPGridRow],49),0))/25.69</f>
        <v/>
      </c>
      <c r="AX86">
        <f>SUMPRODUCT((M_BOM[Part Name]=$A86)*M_BOM[RM_Qty_Per_Batch]*IFERROR(INDEX(PP_Grid[#Data],M_BOM[PPGridRow],50),0))/25.69</f>
        <v/>
      </c>
      <c r="AY86">
        <f>SUMPRODUCT((M_BOM[Part Name]=$A86)*M_BOM[RM_Qty_Per_Batch]*IFERROR(INDEX(PP_Grid[#Data],M_BOM[PPGridRow],51),0))/25.69</f>
        <v/>
      </c>
      <c r="AZ86">
        <f>SUMPRODUCT((M_BOM[Part Name]=$A86)*M_BOM[RM_Qty_Per_Batch]*IFERROR(INDEX(PP_Grid[#Data],M_BOM[PPGridRow],52),0))/25.69</f>
        <v/>
      </c>
      <c r="BA86">
        <f>SUMPRODUCT((M_BOM[Part Name]=$A86)*M_BOM[RM_Qty_Per_Batch]*IFERROR(INDEX(PP_Grid[#Data],M_BOM[PPGridRow],53),0))/25.69</f>
        <v/>
      </c>
      <c r="BB86">
        <f>SUMPRODUCT((M_BOM[Part Name]=$A86)*M_BOM[RM_Qty_Per_Batch]*IFERROR(INDEX(PP_Grid[#Data],M_BOM[PPGridRow],54),0))/25.69</f>
        <v/>
      </c>
      <c r="BC86">
        <f>SUMPRODUCT((M_BOM[Part Name]=$A86)*M_BOM[RM_Qty_Per_Batch]*IFERROR(INDEX(PP_Grid[#Data],M_BOM[PPGridRow],55),0))/25.69</f>
        <v/>
      </c>
      <c r="BD86">
        <f>SUMPRODUCT((M_BOM[Part Name]=$A86)*M_BOM[RM_Qty_Per_Batch]*IFERROR(INDEX(PP_Grid[#Data],M_BOM[PPGridRow],56),0))/25.69</f>
        <v/>
      </c>
      <c r="BE86">
        <f>SUMPRODUCT((M_BOM[Part Name]=$A86)*M_BOM[RM_Qty_Per_Batch]*IFERROR(INDEX(PP_Grid[#Data],M_BOM[PPGridRow],57),0))/25.69</f>
        <v/>
      </c>
      <c r="BF86">
        <f>SUMPRODUCT((M_BOM[Part Name]=$A86)*M_BOM[RM_Qty_Per_Batch]*IFERROR(INDEX(PP_Grid[#Data],M_BOM[PPGridRow],58),0))/25.69</f>
        <v/>
      </c>
      <c r="BG86">
        <f>SUMPRODUCT((M_BOM[Part Name]=$A86)*M_BOM[RM_Qty_Per_Batch]*IFERROR(INDEX(PP_Grid[#Data],M_BOM[PPGridRow],59),0))/25.69</f>
        <v/>
      </c>
      <c r="BH86">
        <f>SUMPRODUCT((M_BOM[Part Name]=$A86)*M_BOM[RM_Qty_Per_Batch]*IFERROR(INDEX(PP_Grid[#Data],M_BOM[PPGridRow],60),0))/25.69</f>
        <v/>
      </c>
      <c r="BI86">
        <f>SUMPRODUCT((M_BOM[Part Name]=$A86)*M_BOM[RM_Qty_Per_Batch]*IFERROR(INDEX(PP_Grid[#Data],M_BOM[PPGridRow],61),0))/25.69</f>
        <v/>
      </c>
      <c r="BJ86">
        <f>SUMPRODUCT((M_BOM[Part Name]=$A86)*M_BOM[RM_Qty_Per_Batch]*IFERROR(INDEX(PP_Grid[#Data],M_BOM[PPGridRow],62),0))/25.69</f>
        <v/>
      </c>
      <c r="BK86">
        <f>SUMPRODUCT((M_BOM[Part Name]=$A86)*M_BOM[RM_Qty_Per_Batch]*IFERROR(INDEX(PP_Grid[#Data],M_BOM[PPGridRow],63),0))/25.69</f>
        <v/>
      </c>
      <c r="BL86">
        <f>SUMPRODUCT((M_BOM[Part Name]=$A86)*M_BOM[RM_Qty_Per_Batch]*IFERROR(INDEX(PP_Grid[#Data],M_BOM[PPGridRow],64),0))/25.69</f>
        <v/>
      </c>
      <c r="BM86">
        <f>SUMPRODUCT((M_BOM[Part Name]=$A86)*M_BOM[RM_Qty_Per_Batch]*IFERROR(INDEX(PP_Grid[#Data],M_BOM[PPGridRow],65),0))/25.69</f>
        <v/>
      </c>
      <c r="BN86">
        <f>SUMPRODUCT((M_BOM[Part Name]=$A86)*M_BOM[RM_Qty_Per_Batch]*IFERROR(INDEX(PP_Grid[#Data],M_BOM[PPGridRow],66),0))/25.69</f>
        <v/>
      </c>
      <c r="BO86">
        <f>SUMPRODUCT((M_BOM[Part Name]=$A86)*M_BOM[RM_Qty_Per_Batch]*IFERROR(INDEX(PP_Grid[#Data],M_BOM[PPGridRow],67),0))/25.69</f>
        <v/>
      </c>
      <c r="BP86">
        <f>SUMPRODUCT((M_BOM[Part Name]=$A86)*M_BOM[RM_Qty_Per_Batch]*IFERROR(INDEX(PP_Grid[#Data],M_BOM[PPGridRow],68),0))/25.69</f>
        <v/>
      </c>
      <c r="BQ86">
        <f>SUMPRODUCT((M_BOM[Part Name]=$A86)*M_BOM[RM_Qty_Per_Batch]*IFERROR(INDEX(PP_Grid[#Data],M_BOM[PPGridRow],69),0))/25.69</f>
        <v/>
      </c>
      <c r="BR86">
        <f>SUMPRODUCT((M_BOM[Part Name]=$A86)*M_BOM[RM_Qty_Per_Batch]*IFERROR(INDEX(PP_Grid[#Data],M_BOM[PPGridRow],70),0))/25.69</f>
        <v/>
      </c>
      <c r="BS86">
        <f>SUMPRODUCT((M_BOM[Part Name]=$A86)*M_BOM[RM_Qty_Per_Batch]*IFERROR(INDEX(PP_Grid[#Data],M_BOM[PPGridRow],71),0))/25.69</f>
        <v/>
      </c>
      <c r="BT86">
        <f>SUMPRODUCT((M_BOM[Part Name]=$A86)*M_BOM[RM_Qty_Per_Batch]*IFERROR(INDEX(PP_Grid[#Data],M_BOM[PPGridRow],72),0))/25.69</f>
        <v/>
      </c>
      <c r="BU86">
        <f>SUMPRODUCT((M_BOM[Part Name]=$A86)*M_BOM[RM_Qty_Per_Batch]*IFERROR(INDEX(PP_Grid[#Data],M_BOM[PPGridRow],73),0))/25.69</f>
        <v/>
      </c>
      <c r="BV86">
        <f>SUMPRODUCT((M_BOM[Part Name]=$A86)*M_BOM[RM_Qty_Per_Batch]*IFERROR(INDEX(PP_Grid[#Data],M_BOM[PPGridRow],74),0))/25.69</f>
        <v/>
      </c>
      <c r="BW86">
        <f>SUMPRODUCT((M_BOM[Part Name]=$A86)*M_BOM[RM_Qty_Per_Batch]*IFERROR(INDEX(PP_Grid[#Data],M_BOM[PPGridRow],75),0))/25.69</f>
        <v/>
      </c>
      <c r="BX86">
        <f>SUMPRODUCT((M_BOM[Part Name]=$A86)*M_BOM[RM_Qty_Per_Batch]*IFERROR(INDEX(PP_Grid[#Data],M_BOM[PPGridRow],76),0))/25.69</f>
        <v/>
      </c>
      <c r="BY86">
        <f>SUMPRODUCT((M_BOM[Part Name]=$A86)*M_BOM[RM_Qty_Per_Batch]*IFERROR(INDEX(PP_Grid[#Data],M_BOM[PPGridRow],77),0))/25.69</f>
        <v/>
      </c>
      <c r="BZ86">
        <f>SUMPRODUCT((M_BOM[Part Name]=$A86)*M_BOM[RM_Qty_Per_Batch]*IFERROR(INDEX(PP_Grid[#Data],M_BOM[PPGridRow],78),0))/25.69</f>
        <v/>
      </c>
      <c r="CA86">
        <f>SUMPRODUCT((M_BOM[Part Name]=$A86)*M_BOM[RM_Qty_Per_Batch]*IFERROR(INDEX(PP_Grid[#Data],M_BOM[PPGridRow],79),0))/25.69</f>
        <v/>
      </c>
      <c r="CB86">
        <f>SUMPRODUCT((M_BOM[Part Name]=$A86)*M_BOM[RM_Qty_Per_Batch]*IFERROR(INDEX(PP_Grid[#Data],M_BOM[PPGridRow],80),0))/25.69</f>
        <v/>
      </c>
      <c r="CC86">
        <f>SUMPRODUCT((M_BOM[Part Name]=$A86)*M_BOM[RM_Qty_Per_Batch]*IFERROR(INDEX(PP_Grid[#Data],M_BOM[PPGridRow],81),0))/25.69</f>
        <v/>
      </c>
      <c r="CD86">
        <f>SUMPRODUCT((M_BOM[Part Name]=$A86)*M_BOM[RM_Qty_Per_Batch]*IFERROR(INDEX(PP_Grid[#Data],M_BOM[PPGridRow],82),0))/25.69</f>
        <v/>
      </c>
      <c r="CE86">
        <f>SUMPRODUCT((M_BOM[Part Name]=$A86)*M_BOM[RM_Qty_Per_Batch]*IFERROR(INDEX(PP_Grid[#Data],M_BOM[PPGridRow],83),0))/25.69</f>
        <v/>
      </c>
      <c r="CF86">
        <f>SUMPRODUCT((M_BOM[Part Name]=$A86)*M_BOM[RM_Qty_Per_Batch]*IFERROR(INDEX(PP_Grid[#Data],M_BOM[PPGridRow],84),0))/25.69</f>
        <v/>
      </c>
      <c r="CG86">
        <f>SUMPRODUCT((M_BOM[Part Name]=$A86)*M_BOM[RM_Qty_Per_Batch]*IFERROR(INDEX(PP_Grid[#Data],M_BOM[PPGridRow],85),0))/25.69</f>
        <v/>
      </c>
      <c r="CH86">
        <f>SUMPRODUCT((M_BOM[Part Name]=$A86)*M_BOM[RM_Qty_Per_Batch]*IFERROR(INDEX(PP_Grid[#Data],M_BOM[PPGridRow],86),0))/25.69</f>
        <v/>
      </c>
      <c r="CI86">
        <f>SUMPRODUCT((M_BOM[Part Name]=$A86)*M_BOM[RM_Qty_Per_Batch]*IFERROR(INDEX(PP_Grid[#Data],M_BOM[PPGridRow],87),0))/25.69</f>
        <v/>
      </c>
      <c r="CJ86">
        <f>SUMPRODUCT((M_BOM[Part Name]=$A86)*M_BOM[RM_Qty_Per_Batch]*IFERROR(INDEX(PP_Grid[#Data],M_BOM[PPGridRow],88),0))/25.69</f>
        <v/>
      </c>
      <c r="CK86">
        <f>SUMPRODUCT((M_BOM[Part Name]=$A86)*M_BOM[RM_Qty_Per_Batch]*IFERROR(INDEX(PP_Grid[#Data],M_BOM[PPGridRow],89),0))/25.69</f>
        <v/>
      </c>
      <c r="CL86">
        <f>SUMPRODUCT((M_BOM[Part Name]=$A86)*M_BOM[RM_Qty_Per_Batch]*IFERROR(INDEX(PP_Grid[#Data],M_BOM[PPGridRow],90),0))/25.69</f>
        <v/>
      </c>
      <c r="CM86">
        <f>SUMPRODUCT((M_BOM[Part Name]=$A86)*M_BOM[RM_Qty_Per_Batch]*IFERROR(INDEX(PP_Grid[#Data],M_BOM[PPGridRow],91),0))/25.69</f>
        <v/>
      </c>
      <c r="CN86">
        <f>SUMPRODUCT((M_BOM[Part Name]=$A86)*M_BOM[RM_Qty_Per_Batch]*IFERROR(INDEX(PP_Grid[#Data],M_BOM[PPGridRow],92),0))/25.69</f>
        <v/>
      </c>
      <c r="CO86">
        <f>SUMPRODUCT((M_BOM[Part Name]=$A86)*M_BOM[RM_Qty_Per_Batch]*IFERROR(INDEX(PP_Grid[#Data],M_BOM[PPGridRow],93),0))/25.69</f>
        <v/>
      </c>
      <c r="CP86">
        <f>SUMPRODUCT((M_BOM[Part Name]=$A86)*M_BOM[RM_Qty_Per_Batch]*IFERROR(INDEX(PP_Grid[#Data],M_BOM[PPGridRow],94),0))/25.69</f>
        <v/>
      </c>
      <c r="CQ86">
        <f>SUMPRODUCT((M_BOM[Part Name]=$A86)*M_BOM[RM_Qty_Per_Batch]*IFERROR(INDEX(PP_Grid[#Data],M_BOM[PPGridRow],95),0))/25.69</f>
        <v/>
      </c>
      <c r="CR86">
        <f>SUMPRODUCT((M_BOM[Part Name]=$A86)*M_BOM[RM_Qty_Per_Batch]*IFERROR(INDEX(PP_Grid[#Data],M_BOM[PPGridRow],96),0))/25.69</f>
        <v/>
      </c>
      <c r="CS86">
        <f>SUMPRODUCT((M_BOM[Part Name]=$A86)*M_BOM[RM_Qty_Per_Batch]*IFERROR(INDEX(PP_Grid[#Data],M_BOM[PPGridRow],97),0))/25.69</f>
        <v/>
      </c>
      <c r="CT86">
        <f>SUMPRODUCT((M_BOM[Part Name]=$A86)*M_BOM[RM_Qty_Per_Batch]*IFERROR(INDEX(PP_Grid[#Data],M_BOM[PPGridRow],98),0))/25.69</f>
        <v/>
      </c>
      <c r="CU86">
        <f>SUMPRODUCT((M_BOM[Part Name]=$A86)*M_BOM[RM_Qty_Per_Batch]*IFERROR(INDEX(PP_Grid[#Data],M_BOM[PPGridRow],99),0))/25.69</f>
        <v/>
      </c>
      <c r="CV86">
        <f>SUMPRODUCT((M_BOM[Part Name]=$A86)*M_BOM[RM_Qty_Per_Batch]*IFERROR(INDEX(PP_Grid[#Data],M_BOM[PPGridRow],100),0))/25.69</f>
        <v/>
      </c>
      <c r="CW86">
        <f>SUMPRODUCT((M_BOM[Part Name]=$A86)*M_BOM[RM_Qty_Per_Batch]*IFERROR(INDEX(PP_Grid[#Data],M_BOM[PPGridRow],101),0))/25.69</f>
        <v/>
      </c>
      <c r="CX86">
        <f>SUMPRODUCT((M_BOM[Part Name]=$A86)*M_BOM[RM_Qty_Per_Batch]*IFERROR(INDEX(PP_Grid[#Data],M_BOM[PPGridRow],102),0))/25.69</f>
        <v/>
      </c>
      <c r="CY86">
        <f>SUMPRODUCT((M_BOM[Part Name]=$A86)*M_BOM[RM_Qty_Per_Batch]*IFERROR(INDEX(PP_Grid[#Data],M_BOM[PPGridRow],103),0))/25.69</f>
        <v/>
      </c>
      <c r="CZ86">
        <f>SUMPRODUCT((M_BOM[Part Name]=$A86)*M_BOM[RM_Qty_Per_Batch]*IFERROR(INDEX(PP_Grid[#Data],M_BOM[PPGridRow],104),0))/25.69</f>
        <v/>
      </c>
      <c r="DA86">
        <f>SUMPRODUCT((M_BOM[Part Name]=$A86)*M_BOM[RM_Qty_Per_Batch]*IFERROR(INDEX(PP_Grid[#Data],M_BOM[PPGridRow],105),0))/25.69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Name]=$A87)*M_BOM[RM_Qty_Per_Batch]*IFERROR(INDEX(PP_Grid[#Data],M_BOM[PPGridRow],2),0))/25.35</f>
        <v/>
      </c>
      <c r="C87">
        <f>SUMPRODUCT((M_BOM[Part Name]=$A87)*M_BOM[RM_Qty_Per_Batch]*IFERROR(INDEX(PP_Grid[#Data],M_BOM[PPGridRow],3),0))/25.35</f>
        <v/>
      </c>
      <c r="D87">
        <f>SUMPRODUCT((M_BOM[Part Name]=$A87)*M_BOM[RM_Qty_Per_Batch]*IFERROR(INDEX(PP_Grid[#Data],M_BOM[PPGridRow],4),0))/25.35</f>
        <v/>
      </c>
      <c r="E87">
        <f>SUMPRODUCT((M_BOM[Part Name]=$A87)*M_BOM[RM_Qty_Per_Batch]*IFERROR(INDEX(PP_Grid[#Data],M_BOM[PPGridRow],5),0))/25.35</f>
        <v/>
      </c>
      <c r="F87">
        <f>SUMPRODUCT((M_BOM[Part Name]=$A87)*M_BOM[RM_Qty_Per_Batch]*IFERROR(INDEX(PP_Grid[#Data],M_BOM[PPGridRow],6),0))/25.35</f>
        <v/>
      </c>
      <c r="G87">
        <f>SUMPRODUCT((M_BOM[Part Name]=$A87)*M_BOM[RM_Qty_Per_Batch]*IFERROR(INDEX(PP_Grid[#Data],M_BOM[PPGridRow],7),0))/25.35</f>
        <v/>
      </c>
      <c r="H87">
        <f>SUMPRODUCT((M_BOM[Part Name]=$A87)*M_BOM[RM_Qty_Per_Batch]*IFERROR(INDEX(PP_Grid[#Data],M_BOM[PPGridRow],8),0))/25.35</f>
        <v/>
      </c>
      <c r="I87">
        <f>SUMPRODUCT((M_BOM[Part Name]=$A87)*M_BOM[RM_Qty_Per_Batch]*IFERROR(INDEX(PP_Grid[#Data],M_BOM[PPGridRow],9),0))/25.35</f>
        <v/>
      </c>
      <c r="J87">
        <f>SUMPRODUCT((M_BOM[Part Name]=$A87)*M_BOM[RM_Qty_Per_Batch]*IFERROR(INDEX(PP_Grid[#Data],M_BOM[PPGridRow],10),0))/25.35</f>
        <v/>
      </c>
      <c r="K87">
        <f>SUMPRODUCT((M_BOM[Part Name]=$A87)*M_BOM[RM_Qty_Per_Batch]*IFERROR(INDEX(PP_Grid[#Data],M_BOM[PPGridRow],11),0))/25.35</f>
        <v/>
      </c>
      <c r="L87">
        <f>SUMPRODUCT((M_BOM[Part Name]=$A87)*M_BOM[RM_Qty_Per_Batch]*IFERROR(INDEX(PP_Grid[#Data],M_BOM[PPGridRow],12),0))/25.35</f>
        <v/>
      </c>
      <c r="M87">
        <f>SUMPRODUCT((M_BOM[Part Name]=$A87)*M_BOM[RM_Qty_Per_Batch]*IFERROR(INDEX(PP_Grid[#Data],M_BOM[PPGridRow],13),0))/25.35</f>
        <v/>
      </c>
      <c r="N87">
        <f>SUMPRODUCT((M_BOM[Part Name]=$A87)*M_BOM[RM_Qty_Per_Batch]*IFERROR(INDEX(PP_Grid[#Data],M_BOM[PPGridRow],14),0))/25.35</f>
        <v/>
      </c>
      <c r="O87">
        <f>SUMPRODUCT((M_BOM[Part Name]=$A87)*M_BOM[RM_Qty_Per_Batch]*IFERROR(INDEX(PP_Grid[#Data],M_BOM[PPGridRow],15),0))/25.35</f>
        <v/>
      </c>
      <c r="P87">
        <f>SUMPRODUCT((M_BOM[Part Name]=$A87)*M_BOM[RM_Qty_Per_Batch]*IFERROR(INDEX(PP_Grid[#Data],M_BOM[PPGridRow],16),0))/25.35</f>
        <v/>
      </c>
      <c r="Q87">
        <f>SUMPRODUCT((M_BOM[Part Name]=$A87)*M_BOM[RM_Qty_Per_Batch]*IFERROR(INDEX(PP_Grid[#Data],M_BOM[PPGridRow],17),0))/25.35</f>
        <v/>
      </c>
      <c r="R87">
        <f>SUMPRODUCT((M_BOM[Part Name]=$A87)*M_BOM[RM_Qty_Per_Batch]*IFERROR(INDEX(PP_Grid[#Data],M_BOM[PPGridRow],18),0))/25.35</f>
        <v/>
      </c>
      <c r="S87">
        <f>SUMPRODUCT((M_BOM[Part Name]=$A87)*M_BOM[RM_Qty_Per_Batch]*IFERROR(INDEX(PP_Grid[#Data],M_BOM[PPGridRow],19),0))/25.35</f>
        <v/>
      </c>
      <c r="T87">
        <f>SUMPRODUCT((M_BOM[Part Name]=$A87)*M_BOM[RM_Qty_Per_Batch]*IFERROR(INDEX(PP_Grid[#Data],M_BOM[PPGridRow],20),0))/25.35</f>
        <v/>
      </c>
      <c r="U87">
        <f>SUMPRODUCT((M_BOM[Part Name]=$A87)*M_BOM[RM_Qty_Per_Batch]*IFERROR(INDEX(PP_Grid[#Data],M_BOM[PPGridRow],21),0))/25.35</f>
        <v/>
      </c>
      <c r="V87">
        <f>SUMPRODUCT((M_BOM[Part Name]=$A87)*M_BOM[RM_Qty_Per_Batch]*IFERROR(INDEX(PP_Grid[#Data],M_BOM[PPGridRow],22),0))/25.35</f>
        <v/>
      </c>
      <c r="W87">
        <f>SUMPRODUCT((M_BOM[Part Name]=$A87)*M_BOM[RM_Qty_Per_Batch]*IFERROR(INDEX(PP_Grid[#Data],M_BOM[PPGridRow],23),0))/25.35</f>
        <v/>
      </c>
      <c r="X87">
        <f>SUMPRODUCT((M_BOM[Part Name]=$A87)*M_BOM[RM_Qty_Per_Batch]*IFERROR(INDEX(PP_Grid[#Data],M_BOM[PPGridRow],24),0))/25.35</f>
        <v/>
      </c>
      <c r="Y87">
        <f>SUMPRODUCT((M_BOM[Part Name]=$A87)*M_BOM[RM_Qty_Per_Batch]*IFERROR(INDEX(PP_Grid[#Data],M_BOM[PPGridRow],25),0))/25.35</f>
        <v/>
      </c>
      <c r="Z87">
        <f>SUMPRODUCT((M_BOM[Part Name]=$A87)*M_BOM[RM_Qty_Per_Batch]*IFERROR(INDEX(PP_Grid[#Data],M_BOM[PPGridRow],26),0))/25.35</f>
        <v/>
      </c>
      <c r="AA87">
        <f>SUMPRODUCT((M_BOM[Part Name]=$A87)*M_BOM[RM_Qty_Per_Batch]*IFERROR(INDEX(PP_Grid[#Data],M_BOM[PPGridRow],27),0))/25.35</f>
        <v/>
      </c>
      <c r="AB87">
        <f>SUMPRODUCT((M_BOM[Part Name]=$A87)*M_BOM[RM_Qty_Per_Batch]*IFERROR(INDEX(PP_Grid[#Data],M_BOM[PPGridRow],28),0))/25.35</f>
        <v/>
      </c>
      <c r="AC87">
        <f>SUMPRODUCT((M_BOM[Part Name]=$A87)*M_BOM[RM_Qty_Per_Batch]*IFERROR(INDEX(PP_Grid[#Data],M_BOM[PPGridRow],29),0))/25.35</f>
        <v/>
      </c>
      <c r="AD87">
        <f>SUMPRODUCT((M_BOM[Part Name]=$A87)*M_BOM[RM_Qty_Per_Batch]*IFERROR(INDEX(PP_Grid[#Data],M_BOM[PPGridRow],30),0))/25.35</f>
        <v/>
      </c>
      <c r="AE87">
        <f>SUMPRODUCT((M_BOM[Part Name]=$A87)*M_BOM[RM_Qty_Per_Batch]*IFERROR(INDEX(PP_Grid[#Data],M_BOM[PPGridRow],31),0))/25.35</f>
        <v/>
      </c>
      <c r="AF87">
        <f>SUMPRODUCT((M_BOM[Part Name]=$A87)*M_BOM[RM_Qty_Per_Batch]*IFERROR(INDEX(PP_Grid[#Data],M_BOM[PPGridRow],32),0))/25.35</f>
        <v/>
      </c>
      <c r="AG87">
        <f>SUMPRODUCT((M_BOM[Part Name]=$A87)*M_BOM[RM_Qty_Per_Batch]*IFERROR(INDEX(PP_Grid[#Data],M_BOM[PPGridRow],33),0))/25.35</f>
        <v/>
      </c>
      <c r="AH87">
        <f>SUMPRODUCT((M_BOM[Part Name]=$A87)*M_BOM[RM_Qty_Per_Batch]*IFERROR(INDEX(PP_Grid[#Data],M_BOM[PPGridRow],34),0))/25.35</f>
        <v/>
      </c>
      <c r="AI87">
        <f>SUMPRODUCT((M_BOM[Part Name]=$A87)*M_BOM[RM_Qty_Per_Batch]*IFERROR(INDEX(PP_Grid[#Data],M_BOM[PPGridRow],35),0))/25.35</f>
        <v/>
      </c>
      <c r="AJ87">
        <f>SUMPRODUCT((M_BOM[Part Name]=$A87)*M_BOM[RM_Qty_Per_Batch]*IFERROR(INDEX(PP_Grid[#Data],M_BOM[PPGridRow],36),0))/25.35</f>
        <v/>
      </c>
      <c r="AK87">
        <f>SUMPRODUCT((M_BOM[Part Name]=$A87)*M_BOM[RM_Qty_Per_Batch]*IFERROR(INDEX(PP_Grid[#Data],M_BOM[PPGridRow],37),0))/25.35</f>
        <v/>
      </c>
      <c r="AL87">
        <f>SUMPRODUCT((M_BOM[Part Name]=$A87)*M_BOM[RM_Qty_Per_Batch]*IFERROR(INDEX(PP_Grid[#Data],M_BOM[PPGridRow],38),0))/25.35</f>
        <v/>
      </c>
      <c r="AM87">
        <f>SUMPRODUCT((M_BOM[Part Name]=$A87)*M_BOM[RM_Qty_Per_Batch]*IFERROR(INDEX(PP_Grid[#Data],M_BOM[PPGridRow],39),0))/25.35</f>
        <v/>
      </c>
      <c r="AN87">
        <f>SUMPRODUCT((M_BOM[Part Name]=$A87)*M_BOM[RM_Qty_Per_Batch]*IFERROR(INDEX(PP_Grid[#Data],M_BOM[PPGridRow],40),0))/25.35</f>
        <v/>
      </c>
      <c r="AO87">
        <f>SUMPRODUCT((M_BOM[Part Name]=$A87)*M_BOM[RM_Qty_Per_Batch]*IFERROR(INDEX(PP_Grid[#Data],M_BOM[PPGridRow],41),0))/25.35</f>
        <v/>
      </c>
      <c r="AP87">
        <f>SUMPRODUCT((M_BOM[Part Name]=$A87)*M_BOM[RM_Qty_Per_Batch]*IFERROR(INDEX(PP_Grid[#Data],M_BOM[PPGridRow],42),0))/25.35</f>
        <v/>
      </c>
      <c r="AQ87">
        <f>SUMPRODUCT((M_BOM[Part Name]=$A87)*M_BOM[RM_Qty_Per_Batch]*IFERROR(INDEX(PP_Grid[#Data],M_BOM[PPGridRow],43),0))/25.35</f>
        <v/>
      </c>
      <c r="AR87">
        <f>SUMPRODUCT((M_BOM[Part Name]=$A87)*M_BOM[RM_Qty_Per_Batch]*IFERROR(INDEX(PP_Grid[#Data],M_BOM[PPGridRow],44),0))/25.35</f>
        <v/>
      </c>
      <c r="AS87">
        <f>SUMPRODUCT((M_BOM[Part Name]=$A87)*M_BOM[RM_Qty_Per_Batch]*IFERROR(INDEX(PP_Grid[#Data],M_BOM[PPGridRow],45),0))/25.35</f>
        <v/>
      </c>
      <c r="AT87">
        <f>SUMPRODUCT((M_BOM[Part Name]=$A87)*M_BOM[RM_Qty_Per_Batch]*IFERROR(INDEX(PP_Grid[#Data],M_BOM[PPGridRow],46),0))/25.35</f>
        <v/>
      </c>
      <c r="AU87">
        <f>SUMPRODUCT((M_BOM[Part Name]=$A87)*M_BOM[RM_Qty_Per_Batch]*IFERROR(INDEX(PP_Grid[#Data],M_BOM[PPGridRow],47),0))/25.35</f>
        <v/>
      </c>
      <c r="AV87">
        <f>SUMPRODUCT((M_BOM[Part Name]=$A87)*M_BOM[RM_Qty_Per_Batch]*IFERROR(INDEX(PP_Grid[#Data],M_BOM[PPGridRow],48),0))/25.35</f>
        <v/>
      </c>
      <c r="AW87">
        <f>SUMPRODUCT((M_BOM[Part Name]=$A87)*M_BOM[RM_Qty_Per_Batch]*IFERROR(INDEX(PP_Grid[#Data],M_BOM[PPGridRow],49),0))/25.35</f>
        <v/>
      </c>
      <c r="AX87">
        <f>SUMPRODUCT((M_BOM[Part Name]=$A87)*M_BOM[RM_Qty_Per_Batch]*IFERROR(INDEX(PP_Grid[#Data],M_BOM[PPGridRow],50),0))/25.35</f>
        <v/>
      </c>
      <c r="AY87">
        <f>SUMPRODUCT((M_BOM[Part Name]=$A87)*M_BOM[RM_Qty_Per_Batch]*IFERROR(INDEX(PP_Grid[#Data],M_BOM[PPGridRow],51),0))/25.35</f>
        <v/>
      </c>
      <c r="AZ87">
        <f>SUMPRODUCT((M_BOM[Part Name]=$A87)*M_BOM[RM_Qty_Per_Batch]*IFERROR(INDEX(PP_Grid[#Data],M_BOM[PPGridRow],52),0))/25.35</f>
        <v/>
      </c>
      <c r="BA87">
        <f>SUMPRODUCT((M_BOM[Part Name]=$A87)*M_BOM[RM_Qty_Per_Batch]*IFERROR(INDEX(PP_Grid[#Data],M_BOM[PPGridRow],53),0))/25.35</f>
        <v/>
      </c>
      <c r="BB87">
        <f>SUMPRODUCT((M_BOM[Part Name]=$A87)*M_BOM[RM_Qty_Per_Batch]*IFERROR(INDEX(PP_Grid[#Data],M_BOM[PPGridRow],54),0))/25.35</f>
        <v/>
      </c>
      <c r="BC87">
        <f>SUMPRODUCT((M_BOM[Part Name]=$A87)*M_BOM[RM_Qty_Per_Batch]*IFERROR(INDEX(PP_Grid[#Data],M_BOM[PPGridRow],55),0))/25.35</f>
        <v/>
      </c>
      <c r="BD87">
        <f>SUMPRODUCT((M_BOM[Part Name]=$A87)*M_BOM[RM_Qty_Per_Batch]*IFERROR(INDEX(PP_Grid[#Data],M_BOM[PPGridRow],56),0))/25.35</f>
        <v/>
      </c>
      <c r="BE87">
        <f>SUMPRODUCT((M_BOM[Part Name]=$A87)*M_BOM[RM_Qty_Per_Batch]*IFERROR(INDEX(PP_Grid[#Data],M_BOM[PPGridRow],57),0))/25.35</f>
        <v/>
      </c>
      <c r="BF87">
        <f>SUMPRODUCT((M_BOM[Part Name]=$A87)*M_BOM[RM_Qty_Per_Batch]*IFERROR(INDEX(PP_Grid[#Data],M_BOM[PPGridRow],58),0))/25.35</f>
        <v/>
      </c>
      <c r="BG87">
        <f>SUMPRODUCT((M_BOM[Part Name]=$A87)*M_BOM[RM_Qty_Per_Batch]*IFERROR(INDEX(PP_Grid[#Data],M_BOM[PPGridRow],59),0))/25.35</f>
        <v/>
      </c>
      <c r="BH87">
        <f>SUMPRODUCT((M_BOM[Part Name]=$A87)*M_BOM[RM_Qty_Per_Batch]*IFERROR(INDEX(PP_Grid[#Data],M_BOM[PPGridRow],60),0))/25.35</f>
        <v/>
      </c>
      <c r="BI87">
        <f>SUMPRODUCT((M_BOM[Part Name]=$A87)*M_BOM[RM_Qty_Per_Batch]*IFERROR(INDEX(PP_Grid[#Data],M_BOM[PPGridRow],61),0))/25.35</f>
        <v/>
      </c>
      <c r="BJ87">
        <f>SUMPRODUCT((M_BOM[Part Name]=$A87)*M_BOM[RM_Qty_Per_Batch]*IFERROR(INDEX(PP_Grid[#Data],M_BOM[PPGridRow],62),0))/25.35</f>
        <v/>
      </c>
      <c r="BK87">
        <f>SUMPRODUCT((M_BOM[Part Name]=$A87)*M_BOM[RM_Qty_Per_Batch]*IFERROR(INDEX(PP_Grid[#Data],M_BOM[PPGridRow],63),0))/25.35</f>
        <v/>
      </c>
      <c r="BL87">
        <f>SUMPRODUCT((M_BOM[Part Name]=$A87)*M_BOM[RM_Qty_Per_Batch]*IFERROR(INDEX(PP_Grid[#Data],M_BOM[PPGridRow],64),0))/25.35</f>
        <v/>
      </c>
      <c r="BM87">
        <f>SUMPRODUCT((M_BOM[Part Name]=$A87)*M_BOM[RM_Qty_Per_Batch]*IFERROR(INDEX(PP_Grid[#Data],M_BOM[PPGridRow],65),0))/25.35</f>
        <v/>
      </c>
      <c r="BN87">
        <f>SUMPRODUCT((M_BOM[Part Name]=$A87)*M_BOM[RM_Qty_Per_Batch]*IFERROR(INDEX(PP_Grid[#Data],M_BOM[PPGridRow],66),0))/25.35</f>
        <v/>
      </c>
      <c r="BO87">
        <f>SUMPRODUCT((M_BOM[Part Name]=$A87)*M_BOM[RM_Qty_Per_Batch]*IFERROR(INDEX(PP_Grid[#Data],M_BOM[PPGridRow],67),0))/25.35</f>
        <v/>
      </c>
      <c r="BP87">
        <f>SUMPRODUCT((M_BOM[Part Name]=$A87)*M_BOM[RM_Qty_Per_Batch]*IFERROR(INDEX(PP_Grid[#Data],M_BOM[PPGridRow],68),0))/25.35</f>
        <v/>
      </c>
      <c r="BQ87">
        <f>SUMPRODUCT((M_BOM[Part Name]=$A87)*M_BOM[RM_Qty_Per_Batch]*IFERROR(INDEX(PP_Grid[#Data],M_BOM[PPGridRow],69),0))/25.35</f>
        <v/>
      </c>
      <c r="BR87">
        <f>SUMPRODUCT((M_BOM[Part Name]=$A87)*M_BOM[RM_Qty_Per_Batch]*IFERROR(INDEX(PP_Grid[#Data],M_BOM[PPGridRow],70),0))/25.35</f>
        <v/>
      </c>
      <c r="BS87">
        <f>SUMPRODUCT((M_BOM[Part Name]=$A87)*M_BOM[RM_Qty_Per_Batch]*IFERROR(INDEX(PP_Grid[#Data],M_BOM[PPGridRow],71),0))/25.35</f>
        <v/>
      </c>
      <c r="BT87">
        <f>SUMPRODUCT((M_BOM[Part Name]=$A87)*M_BOM[RM_Qty_Per_Batch]*IFERROR(INDEX(PP_Grid[#Data],M_BOM[PPGridRow],72),0))/25.35</f>
        <v/>
      </c>
      <c r="BU87">
        <f>SUMPRODUCT((M_BOM[Part Name]=$A87)*M_BOM[RM_Qty_Per_Batch]*IFERROR(INDEX(PP_Grid[#Data],M_BOM[PPGridRow],73),0))/25.35</f>
        <v/>
      </c>
      <c r="BV87">
        <f>SUMPRODUCT((M_BOM[Part Name]=$A87)*M_BOM[RM_Qty_Per_Batch]*IFERROR(INDEX(PP_Grid[#Data],M_BOM[PPGridRow],74),0))/25.35</f>
        <v/>
      </c>
      <c r="BW87">
        <f>SUMPRODUCT((M_BOM[Part Name]=$A87)*M_BOM[RM_Qty_Per_Batch]*IFERROR(INDEX(PP_Grid[#Data],M_BOM[PPGridRow],75),0))/25.35</f>
        <v/>
      </c>
      <c r="BX87">
        <f>SUMPRODUCT((M_BOM[Part Name]=$A87)*M_BOM[RM_Qty_Per_Batch]*IFERROR(INDEX(PP_Grid[#Data],M_BOM[PPGridRow],76),0))/25.35</f>
        <v/>
      </c>
      <c r="BY87">
        <f>SUMPRODUCT((M_BOM[Part Name]=$A87)*M_BOM[RM_Qty_Per_Batch]*IFERROR(INDEX(PP_Grid[#Data],M_BOM[PPGridRow],77),0))/25.35</f>
        <v/>
      </c>
      <c r="BZ87">
        <f>SUMPRODUCT((M_BOM[Part Name]=$A87)*M_BOM[RM_Qty_Per_Batch]*IFERROR(INDEX(PP_Grid[#Data],M_BOM[PPGridRow],78),0))/25.35</f>
        <v/>
      </c>
      <c r="CA87">
        <f>SUMPRODUCT((M_BOM[Part Name]=$A87)*M_BOM[RM_Qty_Per_Batch]*IFERROR(INDEX(PP_Grid[#Data],M_BOM[PPGridRow],79),0))/25.35</f>
        <v/>
      </c>
      <c r="CB87">
        <f>SUMPRODUCT((M_BOM[Part Name]=$A87)*M_BOM[RM_Qty_Per_Batch]*IFERROR(INDEX(PP_Grid[#Data],M_BOM[PPGridRow],80),0))/25.35</f>
        <v/>
      </c>
      <c r="CC87">
        <f>SUMPRODUCT((M_BOM[Part Name]=$A87)*M_BOM[RM_Qty_Per_Batch]*IFERROR(INDEX(PP_Grid[#Data],M_BOM[PPGridRow],81),0))/25.35</f>
        <v/>
      </c>
      <c r="CD87">
        <f>SUMPRODUCT((M_BOM[Part Name]=$A87)*M_BOM[RM_Qty_Per_Batch]*IFERROR(INDEX(PP_Grid[#Data],M_BOM[PPGridRow],82),0))/25.35</f>
        <v/>
      </c>
      <c r="CE87">
        <f>SUMPRODUCT((M_BOM[Part Name]=$A87)*M_BOM[RM_Qty_Per_Batch]*IFERROR(INDEX(PP_Grid[#Data],M_BOM[PPGridRow],83),0))/25.35</f>
        <v/>
      </c>
      <c r="CF87">
        <f>SUMPRODUCT((M_BOM[Part Name]=$A87)*M_BOM[RM_Qty_Per_Batch]*IFERROR(INDEX(PP_Grid[#Data],M_BOM[PPGridRow],84),0))/25.35</f>
        <v/>
      </c>
      <c r="CG87">
        <f>SUMPRODUCT((M_BOM[Part Name]=$A87)*M_BOM[RM_Qty_Per_Batch]*IFERROR(INDEX(PP_Grid[#Data],M_BOM[PPGridRow],85),0))/25.35</f>
        <v/>
      </c>
      <c r="CH87">
        <f>SUMPRODUCT((M_BOM[Part Name]=$A87)*M_BOM[RM_Qty_Per_Batch]*IFERROR(INDEX(PP_Grid[#Data],M_BOM[PPGridRow],86),0))/25.35</f>
        <v/>
      </c>
      <c r="CI87">
        <f>SUMPRODUCT((M_BOM[Part Name]=$A87)*M_BOM[RM_Qty_Per_Batch]*IFERROR(INDEX(PP_Grid[#Data],M_BOM[PPGridRow],87),0))/25.35</f>
        <v/>
      </c>
      <c r="CJ87">
        <f>SUMPRODUCT((M_BOM[Part Name]=$A87)*M_BOM[RM_Qty_Per_Batch]*IFERROR(INDEX(PP_Grid[#Data],M_BOM[PPGridRow],88),0))/25.35</f>
        <v/>
      </c>
      <c r="CK87">
        <f>SUMPRODUCT((M_BOM[Part Name]=$A87)*M_BOM[RM_Qty_Per_Batch]*IFERROR(INDEX(PP_Grid[#Data],M_BOM[PPGridRow],89),0))/25.35</f>
        <v/>
      </c>
      <c r="CL87">
        <f>SUMPRODUCT((M_BOM[Part Name]=$A87)*M_BOM[RM_Qty_Per_Batch]*IFERROR(INDEX(PP_Grid[#Data],M_BOM[PPGridRow],90),0))/25.35</f>
        <v/>
      </c>
      <c r="CM87">
        <f>SUMPRODUCT((M_BOM[Part Name]=$A87)*M_BOM[RM_Qty_Per_Batch]*IFERROR(INDEX(PP_Grid[#Data],M_BOM[PPGridRow],91),0))/25.35</f>
        <v/>
      </c>
      <c r="CN87">
        <f>SUMPRODUCT((M_BOM[Part Name]=$A87)*M_BOM[RM_Qty_Per_Batch]*IFERROR(INDEX(PP_Grid[#Data],M_BOM[PPGridRow],92),0))/25.35</f>
        <v/>
      </c>
      <c r="CO87">
        <f>SUMPRODUCT((M_BOM[Part Name]=$A87)*M_BOM[RM_Qty_Per_Batch]*IFERROR(INDEX(PP_Grid[#Data],M_BOM[PPGridRow],93),0))/25.35</f>
        <v/>
      </c>
      <c r="CP87">
        <f>SUMPRODUCT((M_BOM[Part Name]=$A87)*M_BOM[RM_Qty_Per_Batch]*IFERROR(INDEX(PP_Grid[#Data],M_BOM[PPGridRow],94),0))/25.35</f>
        <v/>
      </c>
      <c r="CQ87">
        <f>SUMPRODUCT((M_BOM[Part Name]=$A87)*M_BOM[RM_Qty_Per_Batch]*IFERROR(INDEX(PP_Grid[#Data],M_BOM[PPGridRow],95),0))/25.35</f>
        <v/>
      </c>
      <c r="CR87">
        <f>SUMPRODUCT((M_BOM[Part Name]=$A87)*M_BOM[RM_Qty_Per_Batch]*IFERROR(INDEX(PP_Grid[#Data],M_BOM[PPGridRow],96),0))/25.35</f>
        <v/>
      </c>
      <c r="CS87">
        <f>SUMPRODUCT((M_BOM[Part Name]=$A87)*M_BOM[RM_Qty_Per_Batch]*IFERROR(INDEX(PP_Grid[#Data],M_BOM[PPGridRow],97),0))/25.35</f>
        <v/>
      </c>
      <c r="CT87">
        <f>SUMPRODUCT((M_BOM[Part Name]=$A87)*M_BOM[RM_Qty_Per_Batch]*IFERROR(INDEX(PP_Grid[#Data],M_BOM[PPGridRow],98),0))/25.35</f>
        <v/>
      </c>
      <c r="CU87">
        <f>SUMPRODUCT((M_BOM[Part Name]=$A87)*M_BOM[RM_Qty_Per_Batch]*IFERROR(INDEX(PP_Grid[#Data],M_BOM[PPGridRow],99),0))/25.35</f>
        <v/>
      </c>
      <c r="CV87">
        <f>SUMPRODUCT((M_BOM[Part Name]=$A87)*M_BOM[RM_Qty_Per_Batch]*IFERROR(INDEX(PP_Grid[#Data],M_BOM[PPGridRow],100),0))/25.35</f>
        <v/>
      </c>
      <c r="CW87">
        <f>SUMPRODUCT((M_BOM[Part Name]=$A87)*M_BOM[RM_Qty_Per_Batch]*IFERROR(INDEX(PP_Grid[#Data],M_BOM[PPGridRow],101),0))/25.35</f>
        <v/>
      </c>
      <c r="CX87">
        <f>SUMPRODUCT((M_BOM[Part Name]=$A87)*M_BOM[RM_Qty_Per_Batch]*IFERROR(INDEX(PP_Grid[#Data],M_BOM[PPGridRow],102),0))/25.35</f>
        <v/>
      </c>
      <c r="CY87">
        <f>SUMPRODUCT((M_BOM[Part Name]=$A87)*M_BOM[RM_Qty_Per_Batch]*IFERROR(INDEX(PP_Grid[#Data],M_BOM[PPGridRow],103),0))/25.35</f>
        <v/>
      </c>
      <c r="CZ87">
        <f>SUMPRODUCT((M_BOM[Part Name]=$A87)*M_BOM[RM_Qty_Per_Batch]*IFERROR(INDEX(PP_Grid[#Data],M_BOM[PPGridRow],104),0))/25.35</f>
        <v/>
      </c>
      <c r="DA87">
        <f>SUMPRODUCT((M_BOM[Part Name]=$A87)*M_BOM[RM_Qty_Per_Batch]*IFERROR(INDEX(PP_Grid[#Data],M_BOM[PPGridRow],105),0))/25.35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Name]=$A88)*M_BOM[RM_Qty_Per_Batch]*IFERROR(INDEX(PP_Grid[#Data],M_BOM[PPGridRow],2),0))/25.91</f>
        <v/>
      </c>
      <c r="C88">
        <f>SUMPRODUCT((M_BOM[Part Name]=$A88)*M_BOM[RM_Qty_Per_Batch]*IFERROR(INDEX(PP_Grid[#Data],M_BOM[PPGridRow],3),0))/25.91</f>
        <v/>
      </c>
      <c r="D88">
        <f>SUMPRODUCT((M_BOM[Part Name]=$A88)*M_BOM[RM_Qty_Per_Batch]*IFERROR(INDEX(PP_Grid[#Data],M_BOM[PPGridRow],4),0))/25.91</f>
        <v/>
      </c>
      <c r="E88">
        <f>SUMPRODUCT((M_BOM[Part Name]=$A88)*M_BOM[RM_Qty_Per_Batch]*IFERROR(INDEX(PP_Grid[#Data],M_BOM[PPGridRow],5),0))/25.91</f>
        <v/>
      </c>
      <c r="F88">
        <f>SUMPRODUCT((M_BOM[Part Name]=$A88)*M_BOM[RM_Qty_Per_Batch]*IFERROR(INDEX(PP_Grid[#Data],M_BOM[PPGridRow],6),0))/25.91</f>
        <v/>
      </c>
      <c r="G88">
        <f>SUMPRODUCT((M_BOM[Part Name]=$A88)*M_BOM[RM_Qty_Per_Batch]*IFERROR(INDEX(PP_Grid[#Data],M_BOM[PPGridRow],7),0))/25.91</f>
        <v/>
      </c>
      <c r="H88">
        <f>SUMPRODUCT((M_BOM[Part Name]=$A88)*M_BOM[RM_Qty_Per_Batch]*IFERROR(INDEX(PP_Grid[#Data],M_BOM[PPGridRow],8),0))/25.91</f>
        <v/>
      </c>
      <c r="I88">
        <f>SUMPRODUCT((M_BOM[Part Name]=$A88)*M_BOM[RM_Qty_Per_Batch]*IFERROR(INDEX(PP_Grid[#Data],M_BOM[PPGridRow],9),0))/25.91</f>
        <v/>
      </c>
      <c r="J88">
        <f>SUMPRODUCT((M_BOM[Part Name]=$A88)*M_BOM[RM_Qty_Per_Batch]*IFERROR(INDEX(PP_Grid[#Data],M_BOM[PPGridRow],10),0))/25.91</f>
        <v/>
      </c>
      <c r="K88">
        <f>SUMPRODUCT((M_BOM[Part Name]=$A88)*M_BOM[RM_Qty_Per_Batch]*IFERROR(INDEX(PP_Grid[#Data],M_BOM[PPGridRow],11),0))/25.91</f>
        <v/>
      </c>
      <c r="L88">
        <f>SUMPRODUCT((M_BOM[Part Name]=$A88)*M_BOM[RM_Qty_Per_Batch]*IFERROR(INDEX(PP_Grid[#Data],M_BOM[PPGridRow],12),0))/25.91</f>
        <v/>
      </c>
      <c r="M88">
        <f>SUMPRODUCT((M_BOM[Part Name]=$A88)*M_BOM[RM_Qty_Per_Batch]*IFERROR(INDEX(PP_Grid[#Data],M_BOM[PPGridRow],13),0))/25.91</f>
        <v/>
      </c>
      <c r="N88">
        <f>SUMPRODUCT((M_BOM[Part Name]=$A88)*M_BOM[RM_Qty_Per_Batch]*IFERROR(INDEX(PP_Grid[#Data],M_BOM[PPGridRow],14),0))/25.91</f>
        <v/>
      </c>
      <c r="O88">
        <f>SUMPRODUCT((M_BOM[Part Name]=$A88)*M_BOM[RM_Qty_Per_Batch]*IFERROR(INDEX(PP_Grid[#Data],M_BOM[PPGridRow],15),0))/25.91</f>
        <v/>
      </c>
      <c r="P88">
        <f>SUMPRODUCT((M_BOM[Part Name]=$A88)*M_BOM[RM_Qty_Per_Batch]*IFERROR(INDEX(PP_Grid[#Data],M_BOM[PPGridRow],16),0))/25.91</f>
        <v/>
      </c>
      <c r="Q88">
        <f>SUMPRODUCT((M_BOM[Part Name]=$A88)*M_BOM[RM_Qty_Per_Batch]*IFERROR(INDEX(PP_Grid[#Data],M_BOM[PPGridRow],17),0))/25.91</f>
        <v/>
      </c>
      <c r="R88">
        <f>SUMPRODUCT((M_BOM[Part Name]=$A88)*M_BOM[RM_Qty_Per_Batch]*IFERROR(INDEX(PP_Grid[#Data],M_BOM[PPGridRow],18),0))/25.91</f>
        <v/>
      </c>
      <c r="S88">
        <f>SUMPRODUCT((M_BOM[Part Name]=$A88)*M_BOM[RM_Qty_Per_Batch]*IFERROR(INDEX(PP_Grid[#Data],M_BOM[PPGridRow],19),0))/25.91</f>
        <v/>
      </c>
      <c r="T88">
        <f>SUMPRODUCT((M_BOM[Part Name]=$A88)*M_BOM[RM_Qty_Per_Batch]*IFERROR(INDEX(PP_Grid[#Data],M_BOM[PPGridRow],20),0))/25.91</f>
        <v/>
      </c>
      <c r="U88">
        <f>SUMPRODUCT((M_BOM[Part Name]=$A88)*M_BOM[RM_Qty_Per_Batch]*IFERROR(INDEX(PP_Grid[#Data],M_BOM[PPGridRow],21),0))/25.91</f>
        <v/>
      </c>
      <c r="V88">
        <f>SUMPRODUCT((M_BOM[Part Name]=$A88)*M_BOM[RM_Qty_Per_Batch]*IFERROR(INDEX(PP_Grid[#Data],M_BOM[PPGridRow],22),0))/25.91</f>
        <v/>
      </c>
      <c r="W88">
        <f>SUMPRODUCT((M_BOM[Part Name]=$A88)*M_BOM[RM_Qty_Per_Batch]*IFERROR(INDEX(PP_Grid[#Data],M_BOM[PPGridRow],23),0))/25.91</f>
        <v/>
      </c>
      <c r="X88">
        <f>SUMPRODUCT((M_BOM[Part Name]=$A88)*M_BOM[RM_Qty_Per_Batch]*IFERROR(INDEX(PP_Grid[#Data],M_BOM[PPGridRow],24),0))/25.91</f>
        <v/>
      </c>
      <c r="Y88">
        <f>SUMPRODUCT((M_BOM[Part Name]=$A88)*M_BOM[RM_Qty_Per_Batch]*IFERROR(INDEX(PP_Grid[#Data],M_BOM[PPGridRow],25),0))/25.91</f>
        <v/>
      </c>
      <c r="Z88">
        <f>SUMPRODUCT((M_BOM[Part Name]=$A88)*M_BOM[RM_Qty_Per_Batch]*IFERROR(INDEX(PP_Grid[#Data],M_BOM[PPGridRow],26),0))/25.91</f>
        <v/>
      </c>
      <c r="AA88">
        <f>SUMPRODUCT((M_BOM[Part Name]=$A88)*M_BOM[RM_Qty_Per_Batch]*IFERROR(INDEX(PP_Grid[#Data],M_BOM[PPGridRow],27),0))/25.91</f>
        <v/>
      </c>
      <c r="AB88">
        <f>SUMPRODUCT((M_BOM[Part Name]=$A88)*M_BOM[RM_Qty_Per_Batch]*IFERROR(INDEX(PP_Grid[#Data],M_BOM[PPGridRow],28),0))/25.91</f>
        <v/>
      </c>
      <c r="AC88">
        <f>SUMPRODUCT((M_BOM[Part Name]=$A88)*M_BOM[RM_Qty_Per_Batch]*IFERROR(INDEX(PP_Grid[#Data],M_BOM[PPGridRow],29),0))/25.91</f>
        <v/>
      </c>
      <c r="AD88">
        <f>SUMPRODUCT((M_BOM[Part Name]=$A88)*M_BOM[RM_Qty_Per_Batch]*IFERROR(INDEX(PP_Grid[#Data],M_BOM[PPGridRow],30),0))/25.91</f>
        <v/>
      </c>
      <c r="AE88">
        <f>SUMPRODUCT((M_BOM[Part Name]=$A88)*M_BOM[RM_Qty_Per_Batch]*IFERROR(INDEX(PP_Grid[#Data],M_BOM[PPGridRow],31),0))/25.91</f>
        <v/>
      </c>
      <c r="AF88">
        <f>SUMPRODUCT((M_BOM[Part Name]=$A88)*M_BOM[RM_Qty_Per_Batch]*IFERROR(INDEX(PP_Grid[#Data],M_BOM[PPGridRow],32),0))/25.91</f>
        <v/>
      </c>
      <c r="AG88">
        <f>SUMPRODUCT((M_BOM[Part Name]=$A88)*M_BOM[RM_Qty_Per_Batch]*IFERROR(INDEX(PP_Grid[#Data],M_BOM[PPGridRow],33),0))/25.91</f>
        <v/>
      </c>
      <c r="AH88">
        <f>SUMPRODUCT((M_BOM[Part Name]=$A88)*M_BOM[RM_Qty_Per_Batch]*IFERROR(INDEX(PP_Grid[#Data],M_BOM[PPGridRow],34),0))/25.91</f>
        <v/>
      </c>
      <c r="AI88">
        <f>SUMPRODUCT((M_BOM[Part Name]=$A88)*M_BOM[RM_Qty_Per_Batch]*IFERROR(INDEX(PP_Grid[#Data],M_BOM[PPGridRow],35),0))/25.91</f>
        <v/>
      </c>
      <c r="AJ88">
        <f>SUMPRODUCT((M_BOM[Part Name]=$A88)*M_BOM[RM_Qty_Per_Batch]*IFERROR(INDEX(PP_Grid[#Data],M_BOM[PPGridRow],36),0))/25.91</f>
        <v/>
      </c>
      <c r="AK88">
        <f>SUMPRODUCT((M_BOM[Part Name]=$A88)*M_BOM[RM_Qty_Per_Batch]*IFERROR(INDEX(PP_Grid[#Data],M_BOM[PPGridRow],37),0))/25.91</f>
        <v/>
      </c>
      <c r="AL88">
        <f>SUMPRODUCT((M_BOM[Part Name]=$A88)*M_BOM[RM_Qty_Per_Batch]*IFERROR(INDEX(PP_Grid[#Data],M_BOM[PPGridRow],38),0))/25.91</f>
        <v/>
      </c>
      <c r="AM88">
        <f>SUMPRODUCT((M_BOM[Part Name]=$A88)*M_BOM[RM_Qty_Per_Batch]*IFERROR(INDEX(PP_Grid[#Data],M_BOM[PPGridRow],39),0))/25.91</f>
        <v/>
      </c>
      <c r="AN88">
        <f>SUMPRODUCT((M_BOM[Part Name]=$A88)*M_BOM[RM_Qty_Per_Batch]*IFERROR(INDEX(PP_Grid[#Data],M_BOM[PPGridRow],40),0))/25.91</f>
        <v/>
      </c>
      <c r="AO88">
        <f>SUMPRODUCT((M_BOM[Part Name]=$A88)*M_BOM[RM_Qty_Per_Batch]*IFERROR(INDEX(PP_Grid[#Data],M_BOM[PPGridRow],41),0))/25.91</f>
        <v/>
      </c>
      <c r="AP88">
        <f>SUMPRODUCT((M_BOM[Part Name]=$A88)*M_BOM[RM_Qty_Per_Batch]*IFERROR(INDEX(PP_Grid[#Data],M_BOM[PPGridRow],42),0))/25.91</f>
        <v/>
      </c>
      <c r="AQ88">
        <f>SUMPRODUCT((M_BOM[Part Name]=$A88)*M_BOM[RM_Qty_Per_Batch]*IFERROR(INDEX(PP_Grid[#Data],M_BOM[PPGridRow],43),0))/25.91</f>
        <v/>
      </c>
      <c r="AR88">
        <f>SUMPRODUCT((M_BOM[Part Name]=$A88)*M_BOM[RM_Qty_Per_Batch]*IFERROR(INDEX(PP_Grid[#Data],M_BOM[PPGridRow],44),0))/25.91</f>
        <v/>
      </c>
      <c r="AS88">
        <f>SUMPRODUCT((M_BOM[Part Name]=$A88)*M_BOM[RM_Qty_Per_Batch]*IFERROR(INDEX(PP_Grid[#Data],M_BOM[PPGridRow],45),0))/25.91</f>
        <v/>
      </c>
      <c r="AT88">
        <f>SUMPRODUCT((M_BOM[Part Name]=$A88)*M_BOM[RM_Qty_Per_Batch]*IFERROR(INDEX(PP_Grid[#Data],M_BOM[PPGridRow],46),0))/25.91</f>
        <v/>
      </c>
      <c r="AU88">
        <f>SUMPRODUCT((M_BOM[Part Name]=$A88)*M_BOM[RM_Qty_Per_Batch]*IFERROR(INDEX(PP_Grid[#Data],M_BOM[PPGridRow],47),0))/25.91</f>
        <v/>
      </c>
      <c r="AV88">
        <f>SUMPRODUCT((M_BOM[Part Name]=$A88)*M_BOM[RM_Qty_Per_Batch]*IFERROR(INDEX(PP_Grid[#Data],M_BOM[PPGridRow],48),0))/25.91</f>
        <v/>
      </c>
      <c r="AW88">
        <f>SUMPRODUCT((M_BOM[Part Name]=$A88)*M_BOM[RM_Qty_Per_Batch]*IFERROR(INDEX(PP_Grid[#Data],M_BOM[PPGridRow],49),0))/25.91</f>
        <v/>
      </c>
      <c r="AX88">
        <f>SUMPRODUCT((M_BOM[Part Name]=$A88)*M_BOM[RM_Qty_Per_Batch]*IFERROR(INDEX(PP_Grid[#Data],M_BOM[PPGridRow],50),0))/25.91</f>
        <v/>
      </c>
      <c r="AY88">
        <f>SUMPRODUCT((M_BOM[Part Name]=$A88)*M_BOM[RM_Qty_Per_Batch]*IFERROR(INDEX(PP_Grid[#Data],M_BOM[PPGridRow],51),0))/25.91</f>
        <v/>
      </c>
      <c r="AZ88">
        <f>SUMPRODUCT((M_BOM[Part Name]=$A88)*M_BOM[RM_Qty_Per_Batch]*IFERROR(INDEX(PP_Grid[#Data],M_BOM[PPGridRow],52),0))/25.91</f>
        <v/>
      </c>
      <c r="BA88">
        <f>SUMPRODUCT((M_BOM[Part Name]=$A88)*M_BOM[RM_Qty_Per_Batch]*IFERROR(INDEX(PP_Grid[#Data],M_BOM[PPGridRow],53),0))/25.91</f>
        <v/>
      </c>
      <c r="BB88">
        <f>SUMPRODUCT((M_BOM[Part Name]=$A88)*M_BOM[RM_Qty_Per_Batch]*IFERROR(INDEX(PP_Grid[#Data],M_BOM[PPGridRow],54),0))/25.91</f>
        <v/>
      </c>
      <c r="BC88">
        <f>SUMPRODUCT((M_BOM[Part Name]=$A88)*M_BOM[RM_Qty_Per_Batch]*IFERROR(INDEX(PP_Grid[#Data],M_BOM[PPGridRow],55),0))/25.91</f>
        <v/>
      </c>
      <c r="BD88">
        <f>SUMPRODUCT((M_BOM[Part Name]=$A88)*M_BOM[RM_Qty_Per_Batch]*IFERROR(INDEX(PP_Grid[#Data],M_BOM[PPGridRow],56),0))/25.91</f>
        <v/>
      </c>
      <c r="BE88">
        <f>SUMPRODUCT((M_BOM[Part Name]=$A88)*M_BOM[RM_Qty_Per_Batch]*IFERROR(INDEX(PP_Grid[#Data],M_BOM[PPGridRow],57),0))/25.91</f>
        <v/>
      </c>
      <c r="BF88">
        <f>SUMPRODUCT((M_BOM[Part Name]=$A88)*M_BOM[RM_Qty_Per_Batch]*IFERROR(INDEX(PP_Grid[#Data],M_BOM[PPGridRow],58),0))/25.91</f>
        <v/>
      </c>
      <c r="BG88">
        <f>SUMPRODUCT((M_BOM[Part Name]=$A88)*M_BOM[RM_Qty_Per_Batch]*IFERROR(INDEX(PP_Grid[#Data],M_BOM[PPGridRow],59),0))/25.91</f>
        <v/>
      </c>
      <c r="BH88">
        <f>SUMPRODUCT((M_BOM[Part Name]=$A88)*M_BOM[RM_Qty_Per_Batch]*IFERROR(INDEX(PP_Grid[#Data],M_BOM[PPGridRow],60),0))/25.91</f>
        <v/>
      </c>
      <c r="BI88">
        <f>SUMPRODUCT((M_BOM[Part Name]=$A88)*M_BOM[RM_Qty_Per_Batch]*IFERROR(INDEX(PP_Grid[#Data],M_BOM[PPGridRow],61),0))/25.91</f>
        <v/>
      </c>
      <c r="BJ88">
        <f>SUMPRODUCT((M_BOM[Part Name]=$A88)*M_BOM[RM_Qty_Per_Batch]*IFERROR(INDEX(PP_Grid[#Data],M_BOM[PPGridRow],62),0))/25.91</f>
        <v/>
      </c>
      <c r="BK88">
        <f>SUMPRODUCT((M_BOM[Part Name]=$A88)*M_BOM[RM_Qty_Per_Batch]*IFERROR(INDEX(PP_Grid[#Data],M_BOM[PPGridRow],63),0))/25.91</f>
        <v/>
      </c>
      <c r="BL88">
        <f>SUMPRODUCT((M_BOM[Part Name]=$A88)*M_BOM[RM_Qty_Per_Batch]*IFERROR(INDEX(PP_Grid[#Data],M_BOM[PPGridRow],64),0))/25.91</f>
        <v/>
      </c>
      <c r="BM88">
        <f>SUMPRODUCT((M_BOM[Part Name]=$A88)*M_BOM[RM_Qty_Per_Batch]*IFERROR(INDEX(PP_Grid[#Data],M_BOM[PPGridRow],65),0))/25.91</f>
        <v/>
      </c>
      <c r="BN88">
        <f>SUMPRODUCT((M_BOM[Part Name]=$A88)*M_BOM[RM_Qty_Per_Batch]*IFERROR(INDEX(PP_Grid[#Data],M_BOM[PPGridRow],66),0))/25.91</f>
        <v/>
      </c>
      <c r="BO88">
        <f>SUMPRODUCT((M_BOM[Part Name]=$A88)*M_BOM[RM_Qty_Per_Batch]*IFERROR(INDEX(PP_Grid[#Data],M_BOM[PPGridRow],67),0))/25.91</f>
        <v/>
      </c>
      <c r="BP88">
        <f>SUMPRODUCT((M_BOM[Part Name]=$A88)*M_BOM[RM_Qty_Per_Batch]*IFERROR(INDEX(PP_Grid[#Data],M_BOM[PPGridRow],68),0))/25.91</f>
        <v/>
      </c>
      <c r="BQ88">
        <f>SUMPRODUCT((M_BOM[Part Name]=$A88)*M_BOM[RM_Qty_Per_Batch]*IFERROR(INDEX(PP_Grid[#Data],M_BOM[PPGridRow],69),0))/25.91</f>
        <v/>
      </c>
      <c r="BR88">
        <f>SUMPRODUCT((M_BOM[Part Name]=$A88)*M_BOM[RM_Qty_Per_Batch]*IFERROR(INDEX(PP_Grid[#Data],M_BOM[PPGridRow],70),0))/25.91</f>
        <v/>
      </c>
      <c r="BS88">
        <f>SUMPRODUCT((M_BOM[Part Name]=$A88)*M_BOM[RM_Qty_Per_Batch]*IFERROR(INDEX(PP_Grid[#Data],M_BOM[PPGridRow],71),0))/25.91</f>
        <v/>
      </c>
      <c r="BT88">
        <f>SUMPRODUCT((M_BOM[Part Name]=$A88)*M_BOM[RM_Qty_Per_Batch]*IFERROR(INDEX(PP_Grid[#Data],M_BOM[PPGridRow],72),0))/25.91</f>
        <v/>
      </c>
      <c r="BU88">
        <f>SUMPRODUCT((M_BOM[Part Name]=$A88)*M_BOM[RM_Qty_Per_Batch]*IFERROR(INDEX(PP_Grid[#Data],M_BOM[PPGridRow],73),0))/25.91</f>
        <v/>
      </c>
      <c r="BV88">
        <f>SUMPRODUCT((M_BOM[Part Name]=$A88)*M_BOM[RM_Qty_Per_Batch]*IFERROR(INDEX(PP_Grid[#Data],M_BOM[PPGridRow],74),0))/25.91</f>
        <v/>
      </c>
      <c r="BW88">
        <f>SUMPRODUCT((M_BOM[Part Name]=$A88)*M_BOM[RM_Qty_Per_Batch]*IFERROR(INDEX(PP_Grid[#Data],M_BOM[PPGridRow],75),0))/25.91</f>
        <v/>
      </c>
      <c r="BX88">
        <f>SUMPRODUCT((M_BOM[Part Name]=$A88)*M_BOM[RM_Qty_Per_Batch]*IFERROR(INDEX(PP_Grid[#Data],M_BOM[PPGridRow],76),0))/25.91</f>
        <v/>
      </c>
      <c r="BY88">
        <f>SUMPRODUCT((M_BOM[Part Name]=$A88)*M_BOM[RM_Qty_Per_Batch]*IFERROR(INDEX(PP_Grid[#Data],M_BOM[PPGridRow],77),0))/25.91</f>
        <v/>
      </c>
      <c r="BZ88">
        <f>SUMPRODUCT((M_BOM[Part Name]=$A88)*M_BOM[RM_Qty_Per_Batch]*IFERROR(INDEX(PP_Grid[#Data],M_BOM[PPGridRow],78),0))/25.91</f>
        <v/>
      </c>
      <c r="CA88">
        <f>SUMPRODUCT((M_BOM[Part Name]=$A88)*M_BOM[RM_Qty_Per_Batch]*IFERROR(INDEX(PP_Grid[#Data],M_BOM[PPGridRow],79),0))/25.91</f>
        <v/>
      </c>
      <c r="CB88">
        <f>SUMPRODUCT((M_BOM[Part Name]=$A88)*M_BOM[RM_Qty_Per_Batch]*IFERROR(INDEX(PP_Grid[#Data],M_BOM[PPGridRow],80),0))/25.91</f>
        <v/>
      </c>
      <c r="CC88">
        <f>SUMPRODUCT((M_BOM[Part Name]=$A88)*M_BOM[RM_Qty_Per_Batch]*IFERROR(INDEX(PP_Grid[#Data],M_BOM[PPGridRow],81),0))/25.91</f>
        <v/>
      </c>
      <c r="CD88">
        <f>SUMPRODUCT((M_BOM[Part Name]=$A88)*M_BOM[RM_Qty_Per_Batch]*IFERROR(INDEX(PP_Grid[#Data],M_BOM[PPGridRow],82),0))/25.91</f>
        <v/>
      </c>
      <c r="CE88">
        <f>SUMPRODUCT((M_BOM[Part Name]=$A88)*M_BOM[RM_Qty_Per_Batch]*IFERROR(INDEX(PP_Grid[#Data],M_BOM[PPGridRow],83),0))/25.91</f>
        <v/>
      </c>
      <c r="CF88">
        <f>SUMPRODUCT((M_BOM[Part Name]=$A88)*M_BOM[RM_Qty_Per_Batch]*IFERROR(INDEX(PP_Grid[#Data],M_BOM[PPGridRow],84),0))/25.91</f>
        <v/>
      </c>
      <c r="CG88">
        <f>SUMPRODUCT((M_BOM[Part Name]=$A88)*M_BOM[RM_Qty_Per_Batch]*IFERROR(INDEX(PP_Grid[#Data],M_BOM[PPGridRow],85),0))/25.91</f>
        <v/>
      </c>
      <c r="CH88">
        <f>SUMPRODUCT((M_BOM[Part Name]=$A88)*M_BOM[RM_Qty_Per_Batch]*IFERROR(INDEX(PP_Grid[#Data],M_BOM[PPGridRow],86),0))/25.91</f>
        <v/>
      </c>
      <c r="CI88">
        <f>SUMPRODUCT((M_BOM[Part Name]=$A88)*M_BOM[RM_Qty_Per_Batch]*IFERROR(INDEX(PP_Grid[#Data],M_BOM[PPGridRow],87),0))/25.91</f>
        <v/>
      </c>
      <c r="CJ88">
        <f>SUMPRODUCT((M_BOM[Part Name]=$A88)*M_BOM[RM_Qty_Per_Batch]*IFERROR(INDEX(PP_Grid[#Data],M_BOM[PPGridRow],88),0))/25.91</f>
        <v/>
      </c>
      <c r="CK88">
        <f>SUMPRODUCT((M_BOM[Part Name]=$A88)*M_BOM[RM_Qty_Per_Batch]*IFERROR(INDEX(PP_Grid[#Data],M_BOM[PPGridRow],89),0))/25.91</f>
        <v/>
      </c>
      <c r="CL88">
        <f>SUMPRODUCT((M_BOM[Part Name]=$A88)*M_BOM[RM_Qty_Per_Batch]*IFERROR(INDEX(PP_Grid[#Data],M_BOM[PPGridRow],90),0))/25.91</f>
        <v/>
      </c>
      <c r="CM88">
        <f>SUMPRODUCT((M_BOM[Part Name]=$A88)*M_BOM[RM_Qty_Per_Batch]*IFERROR(INDEX(PP_Grid[#Data],M_BOM[PPGridRow],91),0))/25.91</f>
        <v/>
      </c>
      <c r="CN88">
        <f>SUMPRODUCT((M_BOM[Part Name]=$A88)*M_BOM[RM_Qty_Per_Batch]*IFERROR(INDEX(PP_Grid[#Data],M_BOM[PPGridRow],92),0))/25.91</f>
        <v/>
      </c>
      <c r="CO88">
        <f>SUMPRODUCT((M_BOM[Part Name]=$A88)*M_BOM[RM_Qty_Per_Batch]*IFERROR(INDEX(PP_Grid[#Data],M_BOM[PPGridRow],93),0))/25.91</f>
        <v/>
      </c>
      <c r="CP88">
        <f>SUMPRODUCT((M_BOM[Part Name]=$A88)*M_BOM[RM_Qty_Per_Batch]*IFERROR(INDEX(PP_Grid[#Data],M_BOM[PPGridRow],94),0))/25.91</f>
        <v/>
      </c>
      <c r="CQ88">
        <f>SUMPRODUCT((M_BOM[Part Name]=$A88)*M_BOM[RM_Qty_Per_Batch]*IFERROR(INDEX(PP_Grid[#Data],M_BOM[PPGridRow],95),0))/25.91</f>
        <v/>
      </c>
      <c r="CR88">
        <f>SUMPRODUCT((M_BOM[Part Name]=$A88)*M_BOM[RM_Qty_Per_Batch]*IFERROR(INDEX(PP_Grid[#Data],M_BOM[PPGridRow],96),0))/25.91</f>
        <v/>
      </c>
      <c r="CS88">
        <f>SUMPRODUCT((M_BOM[Part Name]=$A88)*M_BOM[RM_Qty_Per_Batch]*IFERROR(INDEX(PP_Grid[#Data],M_BOM[PPGridRow],97),0))/25.91</f>
        <v/>
      </c>
      <c r="CT88">
        <f>SUMPRODUCT((M_BOM[Part Name]=$A88)*M_BOM[RM_Qty_Per_Batch]*IFERROR(INDEX(PP_Grid[#Data],M_BOM[PPGridRow],98),0))/25.91</f>
        <v/>
      </c>
      <c r="CU88">
        <f>SUMPRODUCT((M_BOM[Part Name]=$A88)*M_BOM[RM_Qty_Per_Batch]*IFERROR(INDEX(PP_Grid[#Data],M_BOM[PPGridRow],99),0))/25.91</f>
        <v/>
      </c>
      <c r="CV88">
        <f>SUMPRODUCT((M_BOM[Part Name]=$A88)*M_BOM[RM_Qty_Per_Batch]*IFERROR(INDEX(PP_Grid[#Data],M_BOM[PPGridRow],100),0))/25.91</f>
        <v/>
      </c>
      <c r="CW88">
        <f>SUMPRODUCT((M_BOM[Part Name]=$A88)*M_BOM[RM_Qty_Per_Batch]*IFERROR(INDEX(PP_Grid[#Data],M_BOM[PPGridRow],101),0))/25.91</f>
        <v/>
      </c>
      <c r="CX88">
        <f>SUMPRODUCT((M_BOM[Part Name]=$A88)*M_BOM[RM_Qty_Per_Batch]*IFERROR(INDEX(PP_Grid[#Data],M_BOM[PPGridRow],102),0))/25.91</f>
        <v/>
      </c>
      <c r="CY88">
        <f>SUMPRODUCT((M_BOM[Part Name]=$A88)*M_BOM[RM_Qty_Per_Batch]*IFERROR(INDEX(PP_Grid[#Data],M_BOM[PPGridRow],103),0))/25.91</f>
        <v/>
      </c>
      <c r="CZ88">
        <f>SUMPRODUCT((M_BOM[Part Name]=$A88)*M_BOM[RM_Qty_Per_Batch]*IFERROR(INDEX(PP_Grid[#Data],M_BOM[PPGridRow],104),0))/25.91</f>
        <v/>
      </c>
      <c r="DA88">
        <f>SUMPRODUCT((M_BOM[Part Name]=$A88)*M_BOM[RM_Qty_Per_Batch]*IFERROR(INDEX(PP_Grid[#Data],M_BOM[PPGridRow],105),0))/25.91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Name]=$A89)*M_BOM[RM_Qty_Per_Batch]*IFERROR(INDEX(PP_Grid[#Data],M_BOM[PPGridRow],2),0))/25.89</f>
        <v/>
      </c>
      <c r="C89">
        <f>SUMPRODUCT((M_BOM[Part Name]=$A89)*M_BOM[RM_Qty_Per_Batch]*IFERROR(INDEX(PP_Grid[#Data],M_BOM[PPGridRow],3),0))/25.89</f>
        <v/>
      </c>
      <c r="D89">
        <f>SUMPRODUCT((M_BOM[Part Name]=$A89)*M_BOM[RM_Qty_Per_Batch]*IFERROR(INDEX(PP_Grid[#Data],M_BOM[PPGridRow],4),0))/25.89</f>
        <v/>
      </c>
      <c r="E89">
        <f>SUMPRODUCT((M_BOM[Part Name]=$A89)*M_BOM[RM_Qty_Per_Batch]*IFERROR(INDEX(PP_Grid[#Data],M_BOM[PPGridRow],5),0))/25.89</f>
        <v/>
      </c>
      <c r="F89">
        <f>SUMPRODUCT((M_BOM[Part Name]=$A89)*M_BOM[RM_Qty_Per_Batch]*IFERROR(INDEX(PP_Grid[#Data],M_BOM[PPGridRow],6),0))/25.89</f>
        <v/>
      </c>
      <c r="G89">
        <f>SUMPRODUCT((M_BOM[Part Name]=$A89)*M_BOM[RM_Qty_Per_Batch]*IFERROR(INDEX(PP_Grid[#Data],M_BOM[PPGridRow],7),0))/25.89</f>
        <v/>
      </c>
      <c r="H89">
        <f>SUMPRODUCT((M_BOM[Part Name]=$A89)*M_BOM[RM_Qty_Per_Batch]*IFERROR(INDEX(PP_Grid[#Data],M_BOM[PPGridRow],8),0))/25.89</f>
        <v/>
      </c>
      <c r="I89">
        <f>SUMPRODUCT((M_BOM[Part Name]=$A89)*M_BOM[RM_Qty_Per_Batch]*IFERROR(INDEX(PP_Grid[#Data],M_BOM[PPGridRow],9),0))/25.89</f>
        <v/>
      </c>
      <c r="J89">
        <f>SUMPRODUCT((M_BOM[Part Name]=$A89)*M_BOM[RM_Qty_Per_Batch]*IFERROR(INDEX(PP_Grid[#Data],M_BOM[PPGridRow],10),0))/25.89</f>
        <v/>
      </c>
      <c r="K89">
        <f>SUMPRODUCT((M_BOM[Part Name]=$A89)*M_BOM[RM_Qty_Per_Batch]*IFERROR(INDEX(PP_Grid[#Data],M_BOM[PPGridRow],11),0))/25.89</f>
        <v/>
      </c>
      <c r="L89">
        <f>SUMPRODUCT((M_BOM[Part Name]=$A89)*M_BOM[RM_Qty_Per_Batch]*IFERROR(INDEX(PP_Grid[#Data],M_BOM[PPGridRow],12),0))/25.89</f>
        <v/>
      </c>
      <c r="M89">
        <f>SUMPRODUCT((M_BOM[Part Name]=$A89)*M_BOM[RM_Qty_Per_Batch]*IFERROR(INDEX(PP_Grid[#Data],M_BOM[PPGridRow],13),0))/25.89</f>
        <v/>
      </c>
      <c r="N89">
        <f>SUMPRODUCT((M_BOM[Part Name]=$A89)*M_BOM[RM_Qty_Per_Batch]*IFERROR(INDEX(PP_Grid[#Data],M_BOM[PPGridRow],14),0))/25.89</f>
        <v/>
      </c>
      <c r="O89">
        <f>SUMPRODUCT((M_BOM[Part Name]=$A89)*M_BOM[RM_Qty_Per_Batch]*IFERROR(INDEX(PP_Grid[#Data],M_BOM[PPGridRow],15),0))/25.89</f>
        <v/>
      </c>
      <c r="P89">
        <f>SUMPRODUCT((M_BOM[Part Name]=$A89)*M_BOM[RM_Qty_Per_Batch]*IFERROR(INDEX(PP_Grid[#Data],M_BOM[PPGridRow],16),0))/25.89</f>
        <v/>
      </c>
      <c r="Q89">
        <f>SUMPRODUCT((M_BOM[Part Name]=$A89)*M_BOM[RM_Qty_Per_Batch]*IFERROR(INDEX(PP_Grid[#Data],M_BOM[PPGridRow],17),0))/25.89</f>
        <v/>
      </c>
      <c r="R89">
        <f>SUMPRODUCT((M_BOM[Part Name]=$A89)*M_BOM[RM_Qty_Per_Batch]*IFERROR(INDEX(PP_Grid[#Data],M_BOM[PPGridRow],18),0))/25.89</f>
        <v/>
      </c>
      <c r="S89">
        <f>SUMPRODUCT((M_BOM[Part Name]=$A89)*M_BOM[RM_Qty_Per_Batch]*IFERROR(INDEX(PP_Grid[#Data],M_BOM[PPGridRow],19),0))/25.89</f>
        <v/>
      </c>
      <c r="T89">
        <f>SUMPRODUCT((M_BOM[Part Name]=$A89)*M_BOM[RM_Qty_Per_Batch]*IFERROR(INDEX(PP_Grid[#Data],M_BOM[PPGridRow],20),0))/25.89</f>
        <v/>
      </c>
      <c r="U89">
        <f>SUMPRODUCT((M_BOM[Part Name]=$A89)*M_BOM[RM_Qty_Per_Batch]*IFERROR(INDEX(PP_Grid[#Data],M_BOM[PPGridRow],21),0))/25.89</f>
        <v/>
      </c>
      <c r="V89">
        <f>SUMPRODUCT((M_BOM[Part Name]=$A89)*M_BOM[RM_Qty_Per_Batch]*IFERROR(INDEX(PP_Grid[#Data],M_BOM[PPGridRow],22),0))/25.89</f>
        <v/>
      </c>
      <c r="W89">
        <f>SUMPRODUCT((M_BOM[Part Name]=$A89)*M_BOM[RM_Qty_Per_Batch]*IFERROR(INDEX(PP_Grid[#Data],M_BOM[PPGridRow],23),0))/25.89</f>
        <v/>
      </c>
      <c r="X89">
        <f>SUMPRODUCT((M_BOM[Part Name]=$A89)*M_BOM[RM_Qty_Per_Batch]*IFERROR(INDEX(PP_Grid[#Data],M_BOM[PPGridRow],24),0))/25.89</f>
        <v/>
      </c>
      <c r="Y89">
        <f>SUMPRODUCT((M_BOM[Part Name]=$A89)*M_BOM[RM_Qty_Per_Batch]*IFERROR(INDEX(PP_Grid[#Data],M_BOM[PPGridRow],25),0))/25.89</f>
        <v/>
      </c>
      <c r="Z89">
        <f>SUMPRODUCT((M_BOM[Part Name]=$A89)*M_BOM[RM_Qty_Per_Batch]*IFERROR(INDEX(PP_Grid[#Data],M_BOM[PPGridRow],26),0))/25.89</f>
        <v/>
      </c>
      <c r="AA89">
        <f>SUMPRODUCT((M_BOM[Part Name]=$A89)*M_BOM[RM_Qty_Per_Batch]*IFERROR(INDEX(PP_Grid[#Data],M_BOM[PPGridRow],27),0))/25.89</f>
        <v/>
      </c>
      <c r="AB89">
        <f>SUMPRODUCT((M_BOM[Part Name]=$A89)*M_BOM[RM_Qty_Per_Batch]*IFERROR(INDEX(PP_Grid[#Data],M_BOM[PPGridRow],28),0))/25.89</f>
        <v/>
      </c>
      <c r="AC89">
        <f>SUMPRODUCT((M_BOM[Part Name]=$A89)*M_BOM[RM_Qty_Per_Batch]*IFERROR(INDEX(PP_Grid[#Data],M_BOM[PPGridRow],29),0))/25.89</f>
        <v/>
      </c>
      <c r="AD89">
        <f>SUMPRODUCT((M_BOM[Part Name]=$A89)*M_BOM[RM_Qty_Per_Batch]*IFERROR(INDEX(PP_Grid[#Data],M_BOM[PPGridRow],30),0))/25.89</f>
        <v/>
      </c>
      <c r="AE89">
        <f>SUMPRODUCT((M_BOM[Part Name]=$A89)*M_BOM[RM_Qty_Per_Batch]*IFERROR(INDEX(PP_Grid[#Data],M_BOM[PPGridRow],31),0))/25.89</f>
        <v/>
      </c>
      <c r="AF89">
        <f>SUMPRODUCT((M_BOM[Part Name]=$A89)*M_BOM[RM_Qty_Per_Batch]*IFERROR(INDEX(PP_Grid[#Data],M_BOM[PPGridRow],32),0))/25.89</f>
        <v/>
      </c>
      <c r="AG89">
        <f>SUMPRODUCT((M_BOM[Part Name]=$A89)*M_BOM[RM_Qty_Per_Batch]*IFERROR(INDEX(PP_Grid[#Data],M_BOM[PPGridRow],33),0))/25.89</f>
        <v/>
      </c>
      <c r="AH89">
        <f>SUMPRODUCT((M_BOM[Part Name]=$A89)*M_BOM[RM_Qty_Per_Batch]*IFERROR(INDEX(PP_Grid[#Data],M_BOM[PPGridRow],34),0))/25.89</f>
        <v/>
      </c>
      <c r="AI89">
        <f>SUMPRODUCT((M_BOM[Part Name]=$A89)*M_BOM[RM_Qty_Per_Batch]*IFERROR(INDEX(PP_Grid[#Data],M_BOM[PPGridRow],35),0))/25.89</f>
        <v/>
      </c>
      <c r="AJ89">
        <f>SUMPRODUCT((M_BOM[Part Name]=$A89)*M_BOM[RM_Qty_Per_Batch]*IFERROR(INDEX(PP_Grid[#Data],M_BOM[PPGridRow],36),0))/25.89</f>
        <v/>
      </c>
      <c r="AK89">
        <f>SUMPRODUCT((M_BOM[Part Name]=$A89)*M_BOM[RM_Qty_Per_Batch]*IFERROR(INDEX(PP_Grid[#Data],M_BOM[PPGridRow],37),0))/25.89</f>
        <v/>
      </c>
      <c r="AL89">
        <f>SUMPRODUCT((M_BOM[Part Name]=$A89)*M_BOM[RM_Qty_Per_Batch]*IFERROR(INDEX(PP_Grid[#Data],M_BOM[PPGridRow],38),0))/25.89</f>
        <v/>
      </c>
      <c r="AM89">
        <f>SUMPRODUCT((M_BOM[Part Name]=$A89)*M_BOM[RM_Qty_Per_Batch]*IFERROR(INDEX(PP_Grid[#Data],M_BOM[PPGridRow],39),0))/25.89</f>
        <v/>
      </c>
      <c r="AN89">
        <f>SUMPRODUCT((M_BOM[Part Name]=$A89)*M_BOM[RM_Qty_Per_Batch]*IFERROR(INDEX(PP_Grid[#Data],M_BOM[PPGridRow],40),0))/25.89</f>
        <v/>
      </c>
      <c r="AO89">
        <f>SUMPRODUCT((M_BOM[Part Name]=$A89)*M_BOM[RM_Qty_Per_Batch]*IFERROR(INDEX(PP_Grid[#Data],M_BOM[PPGridRow],41),0))/25.89</f>
        <v/>
      </c>
      <c r="AP89">
        <f>SUMPRODUCT((M_BOM[Part Name]=$A89)*M_BOM[RM_Qty_Per_Batch]*IFERROR(INDEX(PP_Grid[#Data],M_BOM[PPGridRow],42),0))/25.89</f>
        <v/>
      </c>
      <c r="AQ89">
        <f>SUMPRODUCT((M_BOM[Part Name]=$A89)*M_BOM[RM_Qty_Per_Batch]*IFERROR(INDEX(PP_Grid[#Data],M_BOM[PPGridRow],43),0))/25.89</f>
        <v/>
      </c>
      <c r="AR89">
        <f>SUMPRODUCT((M_BOM[Part Name]=$A89)*M_BOM[RM_Qty_Per_Batch]*IFERROR(INDEX(PP_Grid[#Data],M_BOM[PPGridRow],44),0))/25.89</f>
        <v/>
      </c>
      <c r="AS89">
        <f>SUMPRODUCT((M_BOM[Part Name]=$A89)*M_BOM[RM_Qty_Per_Batch]*IFERROR(INDEX(PP_Grid[#Data],M_BOM[PPGridRow],45),0))/25.89</f>
        <v/>
      </c>
      <c r="AT89">
        <f>SUMPRODUCT((M_BOM[Part Name]=$A89)*M_BOM[RM_Qty_Per_Batch]*IFERROR(INDEX(PP_Grid[#Data],M_BOM[PPGridRow],46),0))/25.89</f>
        <v/>
      </c>
      <c r="AU89">
        <f>SUMPRODUCT((M_BOM[Part Name]=$A89)*M_BOM[RM_Qty_Per_Batch]*IFERROR(INDEX(PP_Grid[#Data],M_BOM[PPGridRow],47),0))/25.89</f>
        <v/>
      </c>
      <c r="AV89">
        <f>SUMPRODUCT((M_BOM[Part Name]=$A89)*M_BOM[RM_Qty_Per_Batch]*IFERROR(INDEX(PP_Grid[#Data],M_BOM[PPGridRow],48),0))/25.89</f>
        <v/>
      </c>
      <c r="AW89">
        <f>SUMPRODUCT((M_BOM[Part Name]=$A89)*M_BOM[RM_Qty_Per_Batch]*IFERROR(INDEX(PP_Grid[#Data],M_BOM[PPGridRow],49),0))/25.89</f>
        <v/>
      </c>
      <c r="AX89">
        <f>SUMPRODUCT((M_BOM[Part Name]=$A89)*M_BOM[RM_Qty_Per_Batch]*IFERROR(INDEX(PP_Grid[#Data],M_BOM[PPGridRow],50),0))/25.89</f>
        <v/>
      </c>
      <c r="AY89">
        <f>SUMPRODUCT((M_BOM[Part Name]=$A89)*M_BOM[RM_Qty_Per_Batch]*IFERROR(INDEX(PP_Grid[#Data],M_BOM[PPGridRow],51),0))/25.89</f>
        <v/>
      </c>
      <c r="AZ89">
        <f>SUMPRODUCT((M_BOM[Part Name]=$A89)*M_BOM[RM_Qty_Per_Batch]*IFERROR(INDEX(PP_Grid[#Data],M_BOM[PPGridRow],52),0))/25.89</f>
        <v/>
      </c>
      <c r="BA89">
        <f>SUMPRODUCT((M_BOM[Part Name]=$A89)*M_BOM[RM_Qty_Per_Batch]*IFERROR(INDEX(PP_Grid[#Data],M_BOM[PPGridRow],53),0))/25.89</f>
        <v/>
      </c>
      <c r="BB89">
        <f>SUMPRODUCT((M_BOM[Part Name]=$A89)*M_BOM[RM_Qty_Per_Batch]*IFERROR(INDEX(PP_Grid[#Data],M_BOM[PPGridRow],54),0))/25.89</f>
        <v/>
      </c>
      <c r="BC89">
        <f>SUMPRODUCT((M_BOM[Part Name]=$A89)*M_BOM[RM_Qty_Per_Batch]*IFERROR(INDEX(PP_Grid[#Data],M_BOM[PPGridRow],55),0))/25.89</f>
        <v/>
      </c>
      <c r="BD89">
        <f>SUMPRODUCT((M_BOM[Part Name]=$A89)*M_BOM[RM_Qty_Per_Batch]*IFERROR(INDEX(PP_Grid[#Data],M_BOM[PPGridRow],56),0))/25.89</f>
        <v/>
      </c>
      <c r="BE89">
        <f>SUMPRODUCT((M_BOM[Part Name]=$A89)*M_BOM[RM_Qty_Per_Batch]*IFERROR(INDEX(PP_Grid[#Data],M_BOM[PPGridRow],57),0))/25.89</f>
        <v/>
      </c>
      <c r="BF89">
        <f>SUMPRODUCT((M_BOM[Part Name]=$A89)*M_BOM[RM_Qty_Per_Batch]*IFERROR(INDEX(PP_Grid[#Data],M_BOM[PPGridRow],58),0))/25.89</f>
        <v/>
      </c>
      <c r="BG89">
        <f>SUMPRODUCT((M_BOM[Part Name]=$A89)*M_BOM[RM_Qty_Per_Batch]*IFERROR(INDEX(PP_Grid[#Data],M_BOM[PPGridRow],59),0))/25.89</f>
        <v/>
      </c>
      <c r="BH89">
        <f>SUMPRODUCT((M_BOM[Part Name]=$A89)*M_BOM[RM_Qty_Per_Batch]*IFERROR(INDEX(PP_Grid[#Data],M_BOM[PPGridRow],60),0))/25.89</f>
        <v/>
      </c>
      <c r="BI89">
        <f>SUMPRODUCT((M_BOM[Part Name]=$A89)*M_BOM[RM_Qty_Per_Batch]*IFERROR(INDEX(PP_Grid[#Data],M_BOM[PPGridRow],61),0))/25.89</f>
        <v/>
      </c>
      <c r="BJ89">
        <f>SUMPRODUCT((M_BOM[Part Name]=$A89)*M_BOM[RM_Qty_Per_Batch]*IFERROR(INDEX(PP_Grid[#Data],M_BOM[PPGridRow],62),0))/25.89</f>
        <v/>
      </c>
      <c r="BK89">
        <f>SUMPRODUCT((M_BOM[Part Name]=$A89)*M_BOM[RM_Qty_Per_Batch]*IFERROR(INDEX(PP_Grid[#Data],M_BOM[PPGridRow],63),0))/25.89</f>
        <v/>
      </c>
      <c r="BL89">
        <f>SUMPRODUCT((M_BOM[Part Name]=$A89)*M_BOM[RM_Qty_Per_Batch]*IFERROR(INDEX(PP_Grid[#Data],M_BOM[PPGridRow],64),0))/25.89</f>
        <v/>
      </c>
      <c r="BM89">
        <f>SUMPRODUCT((M_BOM[Part Name]=$A89)*M_BOM[RM_Qty_Per_Batch]*IFERROR(INDEX(PP_Grid[#Data],M_BOM[PPGridRow],65),0))/25.89</f>
        <v/>
      </c>
      <c r="BN89">
        <f>SUMPRODUCT((M_BOM[Part Name]=$A89)*M_BOM[RM_Qty_Per_Batch]*IFERROR(INDEX(PP_Grid[#Data],M_BOM[PPGridRow],66),0))/25.89</f>
        <v/>
      </c>
      <c r="BO89">
        <f>SUMPRODUCT((M_BOM[Part Name]=$A89)*M_BOM[RM_Qty_Per_Batch]*IFERROR(INDEX(PP_Grid[#Data],M_BOM[PPGridRow],67),0))/25.89</f>
        <v/>
      </c>
      <c r="BP89">
        <f>SUMPRODUCT((M_BOM[Part Name]=$A89)*M_BOM[RM_Qty_Per_Batch]*IFERROR(INDEX(PP_Grid[#Data],M_BOM[PPGridRow],68),0))/25.89</f>
        <v/>
      </c>
      <c r="BQ89">
        <f>SUMPRODUCT((M_BOM[Part Name]=$A89)*M_BOM[RM_Qty_Per_Batch]*IFERROR(INDEX(PP_Grid[#Data],M_BOM[PPGridRow],69),0))/25.89</f>
        <v/>
      </c>
      <c r="BR89">
        <f>SUMPRODUCT((M_BOM[Part Name]=$A89)*M_BOM[RM_Qty_Per_Batch]*IFERROR(INDEX(PP_Grid[#Data],M_BOM[PPGridRow],70),0))/25.89</f>
        <v/>
      </c>
      <c r="BS89">
        <f>SUMPRODUCT((M_BOM[Part Name]=$A89)*M_BOM[RM_Qty_Per_Batch]*IFERROR(INDEX(PP_Grid[#Data],M_BOM[PPGridRow],71),0))/25.89</f>
        <v/>
      </c>
      <c r="BT89">
        <f>SUMPRODUCT((M_BOM[Part Name]=$A89)*M_BOM[RM_Qty_Per_Batch]*IFERROR(INDEX(PP_Grid[#Data],M_BOM[PPGridRow],72),0))/25.89</f>
        <v/>
      </c>
      <c r="BU89">
        <f>SUMPRODUCT((M_BOM[Part Name]=$A89)*M_BOM[RM_Qty_Per_Batch]*IFERROR(INDEX(PP_Grid[#Data],M_BOM[PPGridRow],73),0))/25.89</f>
        <v/>
      </c>
      <c r="BV89">
        <f>SUMPRODUCT((M_BOM[Part Name]=$A89)*M_BOM[RM_Qty_Per_Batch]*IFERROR(INDEX(PP_Grid[#Data],M_BOM[PPGridRow],74),0))/25.89</f>
        <v/>
      </c>
      <c r="BW89">
        <f>SUMPRODUCT((M_BOM[Part Name]=$A89)*M_BOM[RM_Qty_Per_Batch]*IFERROR(INDEX(PP_Grid[#Data],M_BOM[PPGridRow],75),0))/25.89</f>
        <v/>
      </c>
      <c r="BX89">
        <f>SUMPRODUCT((M_BOM[Part Name]=$A89)*M_BOM[RM_Qty_Per_Batch]*IFERROR(INDEX(PP_Grid[#Data],M_BOM[PPGridRow],76),0))/25.89</f>
        <v/>
      </c>
      <c r="BY89">
        <f>SUMPRODUCT((M_BOM[Part Name]=$A89)*M_BOM[RM_Qty_Per_Batch]*IFERROR(INDEX(PP_Grid[#Data],M_BOM[PPGridRow],77),0))/25.89</f>
        <v/>
      </c>
      <c r="BZ89">
        <f>SUMPRODUCT((M_BOM[Part Name]=$A89)*M_BOM[RM_Qty_Per_Batch]*IFERROR(INDEX(PP_Grid[#Data],M_BOM[PPGridRow],78),0))/25.89</f>
        <v/>
      </c>
      <c r="CA89">
        <f>SUMPRODUCT((M_BOM[Part Name]=$A89)*M_BOM[RM_Qty_Per_Batch]*IFERROR(INDEX(PP_Grid[#Data],M_BOM[PPGridRow],79),0))/25.89</f>
        <v/>
      </c>
      <c r="CB89">
        <f>SUMPRODUCT((M_BOM[Part Name]=$A89)*M_BOM[RM_Qty_Per_Batch]*IFERROR(INDEX(PP_Grid[#Data],M_BOM[PPGridRow],80),0))/25.89</f>
        <v/>
      </c>
      <c r="CC89">
        <f>SUMPRODUCT((M_BOM[Part Name]=$A89)*M_BOM[RM_Qty_Per_Batch]*IFERROR(INDEX(PP_Grid[#Data],M_BOM[PPGridRow],81),0))/25.89</f>
        <v/>
      </c>
      <c r="CD89">
        <f>SUMPRODUCT((M_BOM[Part Name]=$A89)*M_BOM[RM_Qty_Per_Batch]*IFERROR(INDEX(PP_Grid[#Data],M_BOM[PPGridRow],82),0))/25.89</f>
        <v/>
      </c>
      <c r="CE89">
        <f>SUMPRODUCT((M_BOM[Part Name]=$A89)*M_BOM[RM_Qty_Per_Batch]*IFERROR(INDEX(PP_Grid[#Data],M_BOM[PPGridRow],83),0))/25.89</f>
        <v/>
      </c>
      <c r="CF89">
        <f>SUMPRODUCT((M_BOM[Part Name]=$A89)*M_BOM[RM_Qty_Per_Batch]*IFERROR(INDEX(PP_Grid[#Data],M_BOM[PPGridRow],84),0))/25.89</f>
        <v/>
      </c>
      <c r="CG89">
        <f>SUMPRODUCT((M_BOM[Part Name]=$A89)*M_BOM[RM_Qty_Per_Batch]*IFERROR(INDEX(PP_Grid[#Data],M_BOM[PPGridRow],85),0))/25.89</f>
        <v/>
      </c>
      <c r="CH89">
        <f>SUMPRODUCT((M_BOM[Part Name]=$A89)*M_BOM[RM_Qty_Per_Batch]*IFERROR(INDEX(PP_Grid[#Data],M_BOM[PPGridRow],86),0))/25.89</f>
        <v/>
      </c>
      <c r="CI89">
        <f>SUMPRODUCT((M_BOM[Part Name]=$A89)*M_BOM[RM_Qty_Per_Batch]*IFERROR(INDEX(PP_Grid[#Data],M_BOM[PPGridRow],87),0))/25.89</f>
        <v/>
      </c>
      <c r="CJ89">
        <f>SUMPRODUCT((M_BOM[Part Name]=$A89)*M_BOM[RM_Qty_Per_Batch]*IFERROR(INDEX(PP_Grid[#Data],M_BOM[PPGridRow],88),0))/25.89</f>
        <v/>
      </c>
      <c r="CK89">
        <f>SUMPRODUCT((M_BOM[Part Name]=$A89)*M_BOM[RM_Qty_Per_Batch]*IFERROR(INDEX(PP_Grid[#Data],M_BOM[PPGridRow],89),0))/25.89</f>
        <v/>
      </c>
      <c r="CL89">
        <f>SUMPRODUCT((M_BOM[Part Name]=$A89)*M_BOM[RM_Qty_Per_Batch]*IFERROR(INDEX(PP_Grid[#Data],M_BOM[PPGridRow],90),0))/25.89</f>
        <v/>
      </c>
      <c r="CM89">
        <f>SUMPRODUCT((M_BOM[Part Name]=$A89)*M_BOM[RM_Qty_Per_Batch]*IFERROR(INDEX(PP_Grid[#Data],M_BOM[PPGridRow],91),0))/25.89</f>
        <v/>
      </c>
      <c r="CN89">
        <f>SUMPRODUCT((M_BOM[Part Name]=$A89)*M_BOM[RM_Qty_Per_Batch]*IFERROR(INDEX(PP_Grid[#Data],M_BOM[PPGridRow],92),0))/25.89</f>
        <v/>
      </c>
      <c r="CO89">
        <f>SUMPRODUCT((M_BOM[Part Name]=$A89)*M_BOM[RM_Qty_Per_Batch]*IFERROR(INDEX(PP_Grid[#Data],M_BOM[PPGridRow],93),0))/25.89</f>
        <v/>
      </c>
      <c r="CP89">
        <f>SUMPRODUCT((M_BOM[Part Name]=$A89)*M_BOM[RM_Qty_Per_Batch]*IFERROR(INDEX(PP_Grid[#Data],M_BOM[PPGridRow],94),0))/25.89</f>
        <v/>
      </c>
      <c r="CQ89">
        <f>SUMPRODUCT((M_BOM[Part Name]=$A89)*M_BOM[RM_Qty_Per_Batch]*IFERROR(INDEX(PP_Grid[#Data],M_BOM[PPGridRow],95),0))/25.89</f>
        <v/>
      </c>
      <c r="CR89">
        <f>SUMPRODUCT((M_BOM[Part Name]=$A89)*M_BOM[RM_Qty_Per_Batch]*IFERROR(INDEX(PP_Grid[#Data],M_BOM[PPGridRow],96),0))/25.89</f>
        <v/>
      </c>
      <c r="CS89">
        <f>SUMPRODUCT((M_BOM[Part Name]=$A89)*M_BOM[RM_Qty_Per_Batch]*IFERROR(INDEX(PP_Grid[#Data],M_BOM[PPGridRow],97),0))/25.89</f>
        <v/>
      </c>
      <c r="CT89">
        <f>SUMPRODUCT((M_BOM[Part Name]=$A89)*M_BOM[RM_Qty_Per_Batch]*IFERROR(INDEX(PP_Grid[#Data],M_BOM[PPGridRow],98),0))/25.89</f>
        <v/>
      </c>
      <c r="CU89">
        <f>SUMPRODUCT((M_BOM[Part Name]=$A89)*M_BOM[RM_Qty_Per_Batch]*IFERROR(INDEX(PP_Grid[#Data],M_BOM[PPGridRow],99),0))/25.89</f>
        <v/>
      </c>
      <c r="CV89">
        <f>SUMPRODUCT((M_BOM[Part Name]=$A89)*M_BOM[RM_Qty_Per_Batch]*IFERROR(INDEX(PP_Grid[#Data],M_BOM[PPGridRow],100),0))/25.89</f>
        <v/>
      </c>
      <c r="CW89">
        <f>SUMPRODUCT((M_BOM[Part Name]=$A89)*M_BOM[RM_Qty_Per_Batch]*IFERROR(INDEX(PP_Grid[#Data],M_BOM[PPGridRow],101),0))/25.89</f>
        <v/>
      </c>
      <c r="CX89">
        <f>SUMPRODUCT((M_BOM[Part Name]=$A89)*M_BOM[RM_Qty_Per_Batch]*IFERROR(INDEX(PP_Grid[#Data],M_BOM[PPGridRow],102),0))/25.89</f>
        <v/>
      </c>
      <c r="CY89">
        <f>SUMPRODUCT((M_BOM[Part Name]=$A89)*M_BOM[RM_Qty_Per_Batch]*IFERROR(INDEX(PP_Grid[#Data],M_BOM[PPGridRow],103),0))/25.89</f>
        <v/>
      </c>
      <c r="CZ89">
        <f>SUMPRODUCT((M_BOM[Part Name]=$A89)*M_BOM[RM_Qty_Per_Batch]*IFERROR(INDEX(PP_Grid[#Data],M_BOM[PPGridRow],104),0))/25.89</f>
        <v/>
      </c>
      <c r="DA89">
        <f>SUMPRODUCT((M_BOM[Part Name]=$A89)*M_BOM[RM_Qty_Per_Batch]*IFERROR(INDEX(PP_Grid[#Data],M_BOM[PPGridRow],105),0))/25.89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Name]=$A90)*M_BOM[RM_Qty_Per_Batch]*IFERROR(INDEX(PP_Grid[#Data],M_BOM[PPGridRow],2),0))/17.44</f>
        <v/>
      </c>
      <c r="C90">
        <f>SUMPRODUCT((M_BOM[Part Name]=$A90)*M_BOM[RM_Qty_Per_Batch]*IFERROR(INDEX(PP_Grid[#Data],M_BOM[PPGridRow],3),0))/17.44</f>
        <v/>
      </c>
      <c r="D90">
        <f>SUMPRODUCT((M_BOM[Part Name]=$A90)*M_BOM[RM_Qty_Per_Batch]*IFERROR(INDEX(PP_Grid[#Data],M_BOM[PPGridRow],4),0))/17.44</f>
        <v/>
      </c>
      <c r="E90">
        <f>SUMPRODUCT((M_BOM[Part Name]=$A90)*M_BOM[RM_Qty_Per_Batch]*IFERROR(INDEX(PP_Grid[#Data],M_BOM[PPGridRow],5),0))/17.44</f>
        <v/>
      </c>
      <c r="F90">
        <f>SUMPRODUCT((M_BOM[Part Name]=$A90)*M_BOM[RM_Qty_Per_Batch]*IFERROR(INDEX(PP_Grid[#Data],M_BOM[PPGridRow],6),0))/17.44</f>
        <v/>
      </c>
      <c r="G90">
        <f>SUMPRODUCT((M_BOM[Part Name]=$A90)*M_BOM[RM_Qty_Per_Batch]*IFERROR(INDEX(PP_Grid[#Data],M_BOM[PPGridRow],7),0))/17.44</f>
        <v/>
      </c>
      <c r="H90">
        <f>SUMPRODUCT((M_BOM[Part Name]=$A90)*M_BOM[RM_Qty_Per_Batch]*IFERROR(INDEX(PP_Grid[#Data],M_BOM[PPGridRow],8),0))/17.44</f>
        <v/>
      </c>
      <c r="I90">
        <f>SUMPRODUCT((M_BOM[Part Name]=$A90)*M_BOM[RM_Qty_Per_Batch]*IFERROR(INDEX(PP_Grid[#Data],M_BOM[PPGridRow],9),0))/17.44</f>
        <v/>
      </c>
      <c r="J90">
        <f>SUMPRODUCT((M_BOM[Part Name]=$A90)*M_BOM[RM_Qty_Per_Batch]*IFERROR(INDEX(PP_Grid[#Data],M_BOM[PPGridRow],10),0))/17.44</f>
        <v/>
      </c>
      <c r="K90">
        <f>SUMPRODUCT((M_BOM[Part Name]=$A90)*M_BOM[RM_Qty_Per_Batch]*IFERROR(INDEX(PP_Grid[#Data],M_BOM[PPGridRow],11),0))/17.44</f>
        <v/>
      </c>
      <c r="L90">
        <f>SUMPRODUCT((M_BOM[Part Name]=$A90)*M_BOM[RM_Qty_Per_Batch]*IFERROR(INDEX(PP_Grid[#Data],M_BOM[PPGridRow],12),0))/17.44</f>
        <v/>
      </c>
      <c r="M90">
        <f>SUMPRODUCT((M_BOM[Part Name]=$A90)*M_BOM[RM_Qty_Per_Batch]*IFERROR(INDEX(PP_Grid[#Data],M_BOM[PPGridRow],13),0))/17.44</f>
        <v/>
      </c>
      <c r="N90">
        <f>SUMPRODUCT((M_BOM[Part Name]=$A90)*M_BOM[RM_Qty_Per_Batch]*IFERROR(INDEX(PP_Grid[#Data],M_BOM[PPGridRow],14),0))/17.44</f>
        <v/>
      </c>
      <c r="O90">
        <f>SUMPRODUCT((M_BOM[Part Name]=$A90)*M_BOM[RM_Qty_Per_Batch]*IFERROR(INDEX(PP_Grid[#Data],M_BOM[PPGridRow],15),0))/17.44</f>
        <v/>
      </c>
      <c r="P90">
        <f>SUMPRODUCT((M_BOM[Part Name]=$A90)*M_BOM[RM_Qty_Per_Batch]*IFERROR(INDEX(PP_Grid[#Data],M_BOM[PPGridRow],16),0))/17.44</f>
        <v/>
      </c>
      <c r="Q90">
        <f>SUMPRODUCT((M_BOM[Part Name]=$A90)*M_BOM[RM_Qty_Per_Batch]*IFERROR(INDEX(PP_Grid[#Data],M_BOM[PPGridRow],17),0))/17.44</f>
        <v/>
      </c>
      <c r="R90">
        <f>SUMPRODUCT((M_BOM[Part Name]=$A90)*M_BOM[RM_Qty_Per_Batch]*IFERROR(INDEX(PP_Grid[#Data],M_BOM[PPGridRow],18),0))/17.44</f>
        <v/>
      </c>
      <c r="S90">
        <f>SUMPRODUCT((M_BOM[Part Name]=$A90)*M_BOM[RM_Qty_Per_Batch]*IFERROR(INDEX(PP_Grid[#Data],M_BOM[PPGridRow],19),0))/17.44</f>
        <v/>
      </c>
      <c r="T90">
        <f>SUMPRODUCT((M_BOM[Part Name]=$A90)*M_BOM[RM_Qty_Per_Batch]*IFERROR(INDEX(PP_Grid[#Data],M_BOM[PPGridRow],20),0))/17.44</f>
        <v/>
      </c>
      <c r="U90">
        <f>SUMPRODUCT((M_BOM[Part Name]=$A90)*M_BOM[RM_Qty_Per_Batch]*IFERROR(INDEX(PP_Grid[#Data],M_BOM[PPGridRow],21),0))/17.44</f>
        <v/>
      </c>
      <c r="V90">
        <f>SUMPRODUCT((M_BOM[Part Name]=$A90)*M_BOM[RM_Qty_Per_Batch]*IFERROR(INDEX(PP_Grid[#Data],M_BOM[PPGridRow],22),0))/17.44</f>
        <v/>
      </c>
      <c r="W90">
        <f>SUMPRODUCT((M_BOM[Part Name]=$A90)*M_BOM[RM_Qty_Per_Batch]*IFERROR(INDEX(PP_Grid[#Data],M_BOM[PPGridRow],23),0))/17.44</f>
        <v/>
      </c>
      <c r="X90">
        <f>SUMPRODUCT((M_BOM[Part Name]=$A90)*M_BOM[RM_Qty_Per_Batch]*IFERROR(INDEX(PP_Grid[#Data],M_BOM[PPGridRow],24),0))/17.44</f>
        <v/>
      </c>
      <c r="Y90">
        <f>SUMPRODUCT((M_BOM[Part Name]=$A90)*M_BOM[RM_Qty_Per_Batch]*IFERROR(INDEX(PP_Grid[#Data],M_BOM[PPGridRow],25),0))/17.44</f>
        <v/>
      </c>
      <c r="Z90">
        <f>SUMPRODUCT((M_BOM[Part Name]=$A90)*M_BOM[RM_Qty_Per_Batch]*IFERROR(INDEX(PP_Grid[#Data],M_BOM[PPGridRow],26),0))/17.44</f>
        <v/>
      </c>
      <c r="AA90">
        <f>SUMPRODUCT((M_BOM[Part Name]=$A90)*M_BOM[RM_Qty_Per_Batch]*IFERROR(INDEX(PP_Grid[#Data],M_BOM[PPGridRow],27),0))/17.44</f>
        <v/>
      </c>
      <c r="AB90">
        <f>SUMPRODUCT((M_BOM[Part Name]=$A90)*M_BOM[RM_Qty_Per_Batch]*IFERROR(INDEX(PP_Grid[#Data],M_BOM[PPGridRow],28),0))/17.44</f>
        <v/>
      </c>
      <c r="AC90">
        <f>SUMPRODUCT((M_BOM[Part Name]=$A90)*M_BOM[RM_Qty_Per_Batch]*IFERROR(INDEX(PP_Grid[#Data],M_BOM[PPGridRow],29),0))/17.44</f>
        <v/>
      </c>
      <c r="AD90">
        <f>SUMPRODUCT((M_BOM[Part Name]=$A90)*M_BOM[RM_Qty_Per_Batch]*IFERROR(INDEX(PP_Grid[#Data],M_BOM[PPGridRow],30),0))/17.44</f>
        <v/>
      </c>
      <c r="AE90">
        <f>SUMPRODUCT((M_BOM[Part Name]=$A90)*M_BOM[RM_Qty_Per_Batch]*IFERROR(INDEX(PP_Grid[#Data],M_BOM[PPGridRow],31),0))/17.44</f>
        <v/>
      </c>
      <c r="AF90">
        <f>SUMPRODUCT((M_BOM[Part Name]=$A90)*M_BOM[RM_Qty_Per_Batch]*IFERROR(INDEX(PP_Grid[#Data],M_BOM[PPGridRow],32),0))/17.44</f>
        <v/>
      </c>
      <c r="AG90">
        <f>SUMPRODUCT((M_BOM[Part Name]=$A90)*M_BOM[RM_Qty_Per_Batch]*IFERROR(INDEX(PP_Grid[#Data],M_BOM[PPGridRow],33),0))/17.44</f>
        <v/>
      </c>
      <c r="AH90">
        <f>SUMPRODUCT((M_BOM[Part Name]=$A90)*M_BOM[RM_Qty_Per_Batch]*IFERROR(INDEX(PP_Grid[#Data],M_BOM[PPGridRow],34),0))/17.44</f>
        <v/>
      </c>
      <c r="AI90">
        <f>SUMPRODUCT((M_BOM[Part Name]=$A90)*M_BOM[RM_Qty_Per_Batch]*IFERROR(INDEX(PP_Grid[#Data],M_BOM[PPGridRow],35),0))/17.44</f>
        <v/>
      </c>
      <c r="AJ90">
        <f>SUMPRODUCT((M_BOM[Part Name]=$A90)*M_BOM[RM_Qty_Per_Batch]*IFERROR(INDEX(PP_Grid[#Data],M_BOM[PPGridRow],36),0))/17.44</f>
        <v/>
      </c>
      <c r="AK90">
        <f>SUMPRODUCT((M_BOM[Part Name]=$A90)*M_BOM[RM_Qty_Per_Batch]*IFERROR(INDEX(PP_Grid[#Data],M_BOM[PPGridRow],37),0))/17.44</f>
        <v/>
      </c>
      <c r="AL90">
        <f>SUMPRODUCT((M_BOM[Part Name]=$A90)*M_BOM[RM_Qty_Per_Batch]*IFERROR(INDEX(PP_Grid[#Data],M_BOM[PPGridRow],38),0))/17.44</f>
        <v/>
      </c>
      <c r="AM90">
        <f>SUMPRODUCT((M_BOM[Part Name]=$A90)*M_BOM[RM_Qty_Per_Batch]*IFERROR(INDEX(PP_Grid[#Data],M_BOM[PPGridRow],39),0))/17.44</f>
        <v/>
      </c>
      <c r="AN90">
        <f>SUMPRODUCT((M_BOM[Part Name]=$A90)*M_BOM[RM_Qty_Per_Batch]*IFERROR(INDEX(PP_Grid[#Data],M_BOM[PPGridRow],40),0))/17.44</f>
        <v/>
      </c>
      <c r="AO90">
        <f>SUMPRODUCT((M_BOM[Part Name]=$A90)*M_BOM[RM_Qty_Per_Batch]*IFERROR(INDEX(PP_Grid[#Data],M_BOM[PPGridRow],41),0))/17.44</f>
        <v/>
      </c>
      <c r="AP90">
        <f>SUMPRODUCT((M_BOM[Part Name]=$A90)*M_BOM[RM_Qty_Per_Batch]*IFERROR(INDEX(PP_Grid[#Data],M_BOM[PPGridRow],42),0))/17.44</f>
        <v/>
      </c>
      <c r="AQ90">
        <f>SUMPRODUCT((M_BOM[Part Name]=$A90)*M_BOM[RM_Qty_Per_Batch]*IFERROR(INDEX(PP_Grid[#Data],M_BOM[PPGridRow],43),0))/17.44</f>
        <v/>
      </c>
      <c r="AR90">
        <f>SUMPRODUCT((M_BOM[Part Name]=$A90)*M_BOM[RM_Qty_Per_Batch]*IFERROR(INDEX(PP_Grid[#Data],M_BOM[PPGridRow],44),0))/17.44</f>
        <v/>
      </c>
      <c r="AS90">
        <f>SUMPRODUCT((M_BOM[Part Name]=$A90)*M_BOM[RM_Qty_Per_Batch]*IFERROR(INDEX(PP_Grid[#Data],M_BOM[PPGridRow],45),0))/17.44</f>
        <v/>
      </c>
      <c r="AT90">
        <f>SUMPRODUCT((M_BOM[Part Name]=$A90)*M_BOM[RM_Qty_Per_Batch]*IFERROR(INDEX(PP_Grid[#Data],M_BOM[PPGridRow],46),0))/17.44</f>
        <v/>
      </c>
      <c r="AU90">
        <f>SUMPRODUCT((M_BOM[Part Name]=$A90)*M_BOM[RM_Qty_Per_Batch]*IFERROR(INDEX(PP_Grid[#Data],M_BOM[PPGridRow],47),0))/17.44</f>
        <v/>
      </c>
      <c r="AV90">
        <f>SUMPRODUCT((M_BOM[Part Name]=$A90)*M_BOM[RM_Qty_Per_Batch]*IFERROR(INDEX(PP_Grid[#Data],M_BOM[PPGridRow],48),0))/17.44</f>
        <v/>
      </c>
      <c r="AW90">
        <f>SUMPRODUCT((M_BOM[Part Name]=$A90)*M_BOM[RM_Qty_Per_Batch]*IFERROR(INDEX(PP_Grid[#Data],M_BOM[PPGridRow],49),0))/17.44</f>
        <v/>
      </c>
      <c r="AX90">
        <f>SUMPRODUCT((M_BOM[Part Name]=$A90)*M_BOM[RM_Qty_Per_Batch]*IFERROR(INDEX(PP_Grid[#Data],M_BOM[PPGridRow],50),0))/17.44</f>
        <v/>
      </c>
      <c r="AY90">
        <f>SUMPRODUCT((M_BOM[Part Name]=$A90)*M_BOM[RM_Qty_Per_Batch]*IFERROR(INDEX(PP_Grid[#Data],M_BOM[PPGridRow],51),0))/17.44</f>
        <v/>
      </c>
      <c r="AZ90">
        <f>SUMPRODUCT((M_BOM[Part Name]=$A90)*M_BOM[RM_Qty_Per_Batch]*IFERROR(INDEX(PP_Grid[#Data],M_BOM[PPGridRow],52),0))/17.44</f>
        <v/>
      </c>
      <c r="BA90">
        <f>SUMPRODUCT((M_BOM[Part Name]=$A90)*M_BOM[RM_Qty_Per_Batch]*IFERROR(INDEX(PP_Grid[#Data],M_BOM[PPGridRow],53),0))/17.44</f>
        <v/>
      </c>
      <c r="BB90">
        <f>SUMPRODUCT((M_BOM[Part Name]=$A90)*M_BOM[RM_Qty_Per_Batch]*IFERROR(INDEX(PP_Grid[#Data],M_BOM[PPGridRow],54),0))/17.44</f>
        <v/>
      </c>
      <c r="BC90">
        <f>SUMPRODUCT((M_BOM[Part Name]=$A90)*M_BOM[RM_Qty_Per_Batch]*IFERROR(INDEX(PP_Grid[#Data],M_BOM[PPGridRow],55),0))/17.44</f>
        <v/>
      </c>
      <c r="BD90">
        <f>SUMPRODUCT((M_BOM[Part Name]=$A90)*M_BOM[RM_Qty_Per_Batch]*IFERROR(INDEX(PP_Grid[#Data],M_BOM[PPGridRow],56),0))/17.44</f>
        <v/>
      </c>
      <c r="BE90">
        <f>SUMPRODUCT((M_BOM[Part Name]=$A90)*M_BOM[RM_Qty_Per_Batch]*IFERROR(INDEX(PP_Grid[#Data],M_BOM[PPGridRow],57),0))/17.44</f>
        <v/>
      </c>
      <c r="BF90">
        <f>SUMPRODUCT((M_BOM[Part Name]=$A90)*M_BOM[RM_Qty_Per_Batch]*IFERROR(INDEX(PP_Grid[#Data],M_BOM[PPGridRow],58),0))/17.44</f>
        <v/>
      </c>
      <c r="BG90">
        <f>SUMPRODUCT((M_BOM[Part Name]=$A90)*M_BOM[RM_Qty_Per_Batch]*IFERROR(INDEX(PP_Grid[#Data],M_BOM[PPGridRow],59),0))/17.44</f>
        <v/>
      </c>
      <c r="BH90">
        <f>SUMPRODUCT((M_BOM[Part Name]=$A90)*M_BOM[RM_Qty_Per_Batch]*IFERROR(INDEX(PP_Grid[#Data],M_BOM[PPGridRow],60),0))/17.44</f>
        <v/>
      </c>
      <c r="BI90">
        <f>SUMPRODUCT((M_BOM[Part Name]=$A90)*M_BOM[RM_Qty_Per_Batch]*IFERROR(INDEX(PP_Grid[#Data],M_BOM[PPGridRow],61),0))/17.44</f>
        <v/>
      </c>
      <c r="BJ90">
        <f>SUMPRODUCT((M_BOM[Part Name]=$A90)*M_BOM[RM_Qty_Per_Batch]*IFERROR(INDEX(PP_Grid[#Data],M_BOM[PPGridRow],62),0))/17.44</f>
        <v/>
      </c>
      <c r="BK90">
        <f>SUMPRODUCT((M_BOM[Part Name]=$A90)*M_BOM[RM_Qty_Per_Batch]*IFERROR(INDEX(PP_Grid[#Data],M_BOM[PPGridRow],63),0))/17.44</f>
        <v/>
      </c>
      <c r="BL90">
        <f>SUMPRODUCT((M_BOM[Part Name]=$A90)*M_BOM[RM_Qty_Per_Batch]*IFERROR(INDEX(PP_Grid[#Data],M_BOM[PPGridRow],64),0))/17.44</f>
        <v/>
      </c>
      <c r="BM90">
        <f>SUMPRODUCT((M_BOM[Part Name]=$A90)*M_BOM[RM_Qty_Per_Batch]*IFERROR(INDEX(PP_Grid[#Data],M_BOM[PPGridRow],65),0))/17.44</f>
        <v/>
      </c>
      <c r="BN90">
        <f>SUMPRODUCT((M_BOM[Part Name]=$A90)*M_BOM[RM_Qty_Per_Batch]*IFERROR(INDEX(PP_Grid[#Data],M_BOM[PPGridRow],66),0))/17.44</f>
        <v/>
      </c>
      <c r="BO90">
        <f>SUMPRODUCT((M_BOM[Part Name]=$A90)*M_BOM[RM_Qty_Per_Batch]*IFERROR(INDEX(PP_Grid[#Data],M_BOM[PPGridRow],67),0))/17.44</f>
        <v/>
      </c>
      <c r="BP90">
        <f>SUMPRODUCT((M_BOM[Part Name]=$A90)*M_BOM[RM_Qty_Per_Batch]*IFERROR(INDEX(PP_Grid[#Data],M_BOM[PPGridRow],68),0))/17.44</f>
        <v/>
      </c>
      <c r="BQ90">
        <f>SUMPRODUCT((M_BOM[Part Name]=$A90)*M_BOM[RM_Qty_Per_Batch]*IFERROR(INDEX(PP_Grid[#Data],M_BOM[PPGridRow],69),0))/17.44</f>
        <v/>
      </c>
      <c r="BR90">
        <f>SUMPRODUCT((M_BOM[Part Name]=$A90)*M_BOM[RM_Qty_Per_Batch]*IFERROR(INDEX(PP_Grid[#Data],M_BOM[PPGridRow],70),0))/17.44</f>
        <v/>
      </c>
      <c r="BS90">
        <f>SUMPRODUCT((M_BOM[Part Name]=$A90)*M_BOM[RM_Qty_Per_Batch]*IFERROR(INDEX(PP_Grid[#Data],M_BOM[PPGridRow],71),0))/17.44</f>
        <v/>
      </c>
      <c r="BT90">
        <f>SUMPRODUCT((M_BOM[Part Name]=$A90)*M_BOM[RM_Qty_Per_Batch]*IFERROR(INDEX(PP_Grid[#Data],M_BOM[PPGridRow],72),0))/17.44</f>
        <v/>
      </c>
      <c r="BU90">
        <f>SUMPRODUCT((M_BOM[Part Name]=$A90)*M_BOM[RM_Qty_Per_Batch]*IFERROR(INDEX(PP_Grid[#Data],M_BOM[PPGridRow],73),0))/17.44</f>
        <v/>
      </c>
      <c r="BV90">
        <f>SUMPRODUCT((M_BOM[Part Name]=$A90)*M_BOM[RM_Qty_Per_Batch]*IFERROR(INDEX(PP_Grid[#Data],M_BOM[PPGridRow],74),0))/17.44</f>
        <v/>
      </c>
      <c r="BW90">
        <f>SUMPRODUCT((M_BOM[Part Name]=$A90)*M_BOM[RM_Qty_Per_Batch]*IFERROR(INDEX(PP_Grid[#Data],M_BOM[PPGridRow],75),0))/17.44</f>
        <v/>
      </c>
      <c r="BX90">
        <f>SUMPRODUCT((M_BOM[Part Name]=$A90)*M_BOM[RM_Qty_Per_Batch]*IFERROR(INDEX(PP_Grid[#Data],M_BOM[PPGridRow],76),0))/17.44</f>
        <v/>
      </c>
      <c r="BY90">
        <f>SUMPRODUCT((M_BOM[Part Name]=$A90)*M_BOM[RM_Qty_Per_Batch]*IFERROR(INDEX(PP_Grid[#Data],M_BOM[PPGridRow],77),0))/17.44</f>
        <v/>
      </c>
      <c r="BZ90">
        <f>SUMPRODUCT((M_BOM[Part Name]=$A90)*M_BOM[RM_Qty_Per_Batch]*IFERROR(INDEX(PP_Grid[#Data],M_BOM[PPGridRow],78),0))/17.44</f>
        <v/>
      </c>
      <c r="CA90">
        <f>SUMPRODUCT((M_BOM[Part Name]=$A90)*M_BOM[RM_Qty_Per_Batch]*IFERROR(INDEX(PP_Grid[#Data],M_BOM[PPGridRow],79),0))/17.44</f>
        <v/>
      </c>
      <c r="CB90">
        <f>SUMPRODUCT((M_BOM[Part Name]=$A90)*M_BOM[RM_Qty_Per_Batch]*IFERROR(INDEX(PP_Grid[#Data],M_BOM[PPGridRow],80),0))/17.44</f>
        <v/>
      </c>
      <c r="CC90">
        <f>SUMPRODUCT((M_BOM[Part Name]=$A90)*M_BOM[RM_Qty_Per_Batch]*IFERROR(INDEX(PP_Grid[#Data],M_BOM[PPGridRow],81),0))/17.44</f>
        <v/>
      </c>
      <c r="CD90">
        <f>SUMPRODUCT((M_BOM[Part Name]=$A90)*M_BOM[RM_Qty_Per_Batch]*IFERROR(INDEX(PP_Grid[#Data],M_BOM[PPGridRow],82),0))/17.44</f>
        <v/>
      </c>
      <c r="CE90">
        <f>SUMPRODUCT((M_BOM[Part Name]=$A90)*M_BOM[RM_Qty_Per_Batch]*IFERROR(INDEX(PP_Grid[#Data],M_BOM[PPGridRow],83),0))/17.44</f>
        <v/>
      </c>
      <c r="CF90">
        <f>SUMPRODUCT((M_BOM[Part Name]=$A90)*M_BOM[RM_Qty_Per_Batch]*IFERROR(INDEX(PP_Grid[#Data],M_BOM[PPGridRow],84),0))/17.44</f>
        <v/>
      </c>
      <c r="CG90">
        <f>SUMPRODUCT((M_BOM[Part Name]=$A90)*M_BOM[RM_Qty_Per_Batch]*IFERROR(INDEX(PP_Grid[#Data],M_BOM[PPGridRow],85),0))/17.44</f>
        <v/>
      </c>
      <c r="CH90">
        <f>SUMPRODUCT((M_BOM[Part Name]=$A90)*M_BOM[RM_Qty_Per_Batch]*IFERROR(INDEX(PP_Grid[#Data],M_BOM[PPGridRow],86),0))/17.44</f>
        <v/>
      </c>
      <c r="CI90">
        <f>SUMPRODUCT((M_BOM[Part Name]=$A90)*M_BOM[RM_Qty_Per_Batch]*IFERROR(INDEX(PP_Grid[#Data],M_BOM[PPGridRow],87),0))/17.44</f>
        <v/>
      </c>
      <c r="CJ90">
        <f>SUMPRODUCT((M_BOM[Part Name]=$A90)*M_BOM[RM_Qty_Per_Batch]*IFERROR(INDEX(PP_Grid[#Data],M_BOM[PPGridRow],88),0))/17.44</f>
        <v/>
      </c>
      <c r="CK90">
        <f>SUMPRODUCT((M_BOM[Part Name]=$A90)*M_BOM[RM_Qty_Per_Batch]*IFERROR(INDEX(PP_Grid[#Data],M_BOM[PPGridRow],89),0))/17.44</f>
        <v/>
      </c>
      <c r="CL90">
        <f>SUMPRODUCT((M_BOM[Part Name]=$A90)*M_BOM[RM_Qty_Per_Batch]*IFERROR(INDEX(PP_Grid[#Data],M_BOM[PPGridRow],90),0))/17.44</f>
        <v/>
      </c>
      <c r="CM90">
        <f>SUMPRODUCT((M_BOM[Part Name]=$A90)*M_BOM[RM_Qty_Per_Batch]*IFERROR(INDEX(PP_Grid[#Data],M_BOM[PPGridRow],91),0))/17.44</f>
        <v/>
      </c>
      <c r="CN90">
        <f>SUMPRODUCT((M_BOM[Part Name]=$A90)*M_BOM[RM_Qty_Per_Batch]*IFERROR(INDEX(PP_Grid[#Data],M_BOM[PPGridRow],92),0))/17.44</f>
        <v/>
      </c>
      <c r="CO90">
        <f>SUMPRODUCT((M_BOM[Part Name]=$A90)*M_BOM[RM_Qty_Per_Batch]*IFERROR(INDEX(PP_Grid[#Data],M_BOM[PPGridRow],93),0))/17.44</f>
        <v/>
      </c>
      <c r="CP90">
        <f>SUMPRODUCT((M_BOM[Part Name]=$A90)*M_BOM[RM_Qty_Per_Batch]*IFERROR(INDEX(PP_Grid[#Data],M_BOM[PPGridRow],94),0))/17.44</f>
        <v/>
      </c>
      <c r="CQ90">
        <f>SUMPRODUCT((M_BOM[Part Name]=$A90)*M_BOM[RM_Qty_Per_Batch]*IFERROR(INDEX(PP_Grid[#Data],M_BOM[PPGridRow],95),0))/17.44</f>
        <v/>
      </c>
      <c r="CR90">
        <f>SUMPRODUCT((M_BOM[Part Name]=$A90)*M_BOM[RM_Qty_Per_Batch]*IFERROR(INDEX(PP_Grid[#Data],M_BOM[PPGridRow],96),0))/17.44</f>
        <v/>
      </c>
      <c r="CS90">
        <f>SUMPRODUCT((M_BOM[Part Name]=$A90)*M_BOM[RM_Qty_Per_Batch]*IFERROR(INDEX(PP_Grid[#Data],M_BOM[PPGridRow],97),0))/17.44</f>
        <v/>
      </c>
      <c r="CT90">
        <f>SUMPRODUCT((M_BOM[Part Name]=$A90)*M_BOM[RM_Qty_Per_Batch]*IFERROR(INDEX(PP_Grid[#Data],M_BOM[PPGridRow],98),0))/17.44</f>
        <v/>
      </c>
      <c r="CU90">
        <f>SUMPRODUCT((M_BOM[Part Name]=$A90)*M_BOM[RM_Qty_Per_Batch]*IFERROR(INDEX(PP_Grid[#Data],M_BOM[PPGridRow],99),0))/17.44</f>
        <v/>
      </c>
      <c r="CV90">
        <f>SUMPRODUCT((M_BOM[Part Name]=$A90)*M_BOM[RM_Qty_Per_Batch]*IFERROR(INDEX(PP_Grid[#Data],M_BOM[PPGridRow],100),0))/17.44</f>
        <v/>
      </c>
      <c r="CW90">
        <f>SUMPRODUCT((M_BOM[Part Name]=$A90)*M_BOM[RM_Qty_Per_Batch]*IFERROR(INDEX(PP_Grid[#Data],M_BOM[PPGridRow],101),0))/17.44</f>
        <v/>
      </c>
      <c r="CX90">
        <f>SUMPRODUCT((M_BOM[Part Name]=$A90)*M_BOM[RM_Qty_Per_Batch]*IFERROR(INDEX(PP_Grid[#Data],M_BOM[PPGridRow],102),0))/17.44</f>
        <v/>
      </c>
      <c r="CY90">
        <f>SUMPRODUCT((M_BOM[Part Name]=$A90)*M_BOM[RM_Qty_Per_Batch]*IFERROR(INDEX(PP_Grid[#Data],M_BOM[PPGridRow],103),0))/17.44</f>
        <v/>
      </c>
      <c r="CZ90">
        <f>SUMPRODUCT((M_BOM[Part Name]=$A90)*M_BOM[RM_Qty_Per_Batch]*IFERROR(INDEX(PP_Grid[#Data],M_BOM[PPGridRow],104),0))/17.44</f>
        <v/>
      </c>
      <c r="DA90">
        <f>SUMPRODUCT((M_BOM[Part Name]=$A90)*M_BOM[RM_Qty_Per_Batch]*IFERROR(INDEX(PP_Grid[#Data],M_BOM[PPGridRow],105),0))/17.44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Name]=$A91)*M_BOM[RM_Qty_Per_Batch]*IFERROR(INDEX(PP_Grid[#Data],M_BOM[PPGridRow],2),0))/18.05</f>
        <v/>
      </c>
      <c r="C91">
        <f>SUMPRODUCT((M_BOM[Part Name]=$A91)*M_BOM[RM_Qty_Per_Batch]*IFERROR(INDEX(PP_Grid[#Data],M_BOM[PPGridRow],3),0))/18.05</f>
        <v/>
      </c>
      <c r="D91">
        <f>SUMPRODUCT((M_BOM[Part Name]=$A91)*M_BOM[RM_Qty_Per_Batch]*IFERROR(INDEX(PP_Grid[#Data],M_BOM[PPGridRow],4),0))/18.05</f>
        <v/>
      </c>
      <c r="E91">
        <f>SUMPRODUCT((M_BOM[Part Name]=$A91)*M_BOM[RM_Qty_Per_Batch]*IFERROR(INDEX(PP_Grid[#Data],M_BOM[PPGridRow],5),0))/18.05</f>
        <v/>
      </c>
      <c r="F91">
        <f>SUMPRODUCT((M_BOM[Part Name]=$A91)*M_BOM[RM_Qty_Per_Batch]*IFERROR(INDEX(PP_Grid[#Data],M_BOM[PPGridRow],6),0))/18.05</f>
        <v/>
      </c>
      <c r="G91">
        <f>SUMPRODUCT((M_BOM[Part Name]=$A91)*M_BOM[RM_Qty_Per_Batch]*IFERROR(INDEX(PP_Grid[#Data],M_BOM[PPGridRow],7),0))/18.05</f>
        <v/>
      </c>
      <c r="H91">
        <f>SUMPRODUCT((M_BOM[Part Name]=$A91)*M_BOM[RM_Qty_Per_Batch]*IFERROR(INDEX(PP_Grid[#Data],M_BOM[PPGridRow],8),0))/18.05</f>
        <v/>
      </c>
      <c r="I91">
        <f>SUMPRODUCT((M_BOM[Part Name]=$A91)*M_BOM[RM_Qty_Per_Batch]*IFERROR(INDEX(PP_Grid[#Data],M_BOM[PPGridRow],9),0))/18.05</f>
        <v/>
      </c>
      <c r="J91">
        <f>SUMPRODUCT((M_BOM[Part Name]=$A91)*M_BOM[RM_Qty_Per_Batch]*IFERROR(INDEX(PP_Grid[#Data],M_BOM[PPGridRow],10),0))/18.05</f>
        <v/>
      </c>
      <c r="K91">
        <f>SUMPRODUCT((M_BOM[Part Name]=$A91)*M_BOM[RM_Qty_Per_Batch]*IFERROR(INDEX(PP_Grid[#Data],M_BOM[PPGridRow],11),0))/18.05</f>
        <v/>
      </c>
      <c r="L91">
        <f>SUMPRODUCT((M_BOM[Part Name]=$A91)*M_BOM[RM_Qty_Per_Batch]*IFERROR(INDEX(PP_Grid[#Data],M_BOM[PPGridRow],12),0))/18.05</f>
        <v/>
      </c>
      <c r="M91">
        <f>SUMPRODUCT((M_BOM[Part Name]=$A91)*M_BOM[RM_Qty_Per_Batch]*IFERROR(INDEX(PP_Grid[#Data],M_BOM[PPGridRow],13),0))/18.05</f>
        <v/>
      </c>
      <c r="N91">
        <f>SUMPRODUCT((M_BOM[Part Name]=$A91)*M_BOM[RM_Qty_Per_Batch]*IFERROR(INDEX(PP_Grid[#Data],M_BOM[PPGridRow],14),0))/18.05</f>
        <v/>
      </c>
      <c r="O91">
        <f>SUMPRODUCT((M_BOM[Part Name]=$A91)*M_BOM[RM_Qty_Per_Batch]*IFERROR(INDEX(PP_Grid[#Data],M_BOM[PPGridRow],15),0))/18.05</f>
        <v/>
      </c>
      <c r="P91">
        <f>SUMPRODUCT((M_BOM[Part Name]=$A91)*M_BOM[RM_Qty_Per_Batch]*IFERROR(INDEX(PP_Grid[#Data],M_BOM[PPGridRow],16),0))/18.05</f>
        <v/>
      </c>
      <c r="Q91">
        <f>SUMPRODUCT((M_BOM[Part Name]=$A91)*M_BOM[RM_Qty_Per_Batch]*IFERROR(INDEX(PP_Grid[#Data],M_BOM[PPGridRow],17),0))/18.05</f>
        <v/>
      </c>
      <c r="R91">
        <f>SUMPRODUCT((M_BOM[Part Name]=$A91)*M_BOM[RM_Qty_Per_Batch]*IFERROR(INDEX(PP_Grid[#Data],M_BOM[PPGridRow],18),0))/18.05</f>
        <v/>
      </c>
      <c r="S91">
        <f>SUMPRODUCT((M_BOM[Part Name]=$A91)*M_BOM[RM_Qty_Per_Batch]*IFERROR(INDEX(PP_Grid[#Data],M_BOM[PPGridRow],19),0))/18.05</f>
        <v/>
      </c>
      <c r="T91">
        <f>SUMPRODUCT((M_BOM[Part Name]=$A91)*M_BOM[RM_Qty_Per_Batch]*IFERROR(INDEX(PP_Grid[#Data],M_BOM[PPGridRow],20),0))/18.05</f>
        <v/>
      </c>
      <c r="U91">
        <f>SUMPRODUCT((M_BOM[Part Name]=$A91)*M_BOM[RM_Qty_Per_Batch]*IFERROR(INDEX(PP_Grid[#Data],M_BOM[PPGridRow],21),0))/18.05</f>
        <v/>
      </c>
      <c r="V91">
        <f>SUMPRODUCT((M_BOM[Part Name]=$A91)*M_BOM[RM_Qty_Per_Batch]*IFERROR(INDEX(PP_Grid[#Data],M_BOM[PPGridRow],22),0))/18.05</f>
        <v/>
      </c>
      <c r="W91">
        <f>SUMPRODUCT((M_BOM[Part Name]=$A91)*M_BOM[RM_Qty_Per_Batch]*IFERROR(INDEX(PP_Grid[#Data],M_BOM[PPGridRow],23),0))/18.05</f>
        <v/>
      </c>
      <c r="X91">
        <f>SUMPRODUCT((M_BOM[Part Name]=$A91)*M_BOM[RM_Qty_Per_Batch]*IFERROR(INDEX(PP_Grid[#Data],M_BOM[PPGridRow],24),0))/18.05</f>
        <v/>
      </c>
      <c r="Y91">
        <f>SUMPRODUCT((M_BOM[Part Name]=$A91)*M_BOM[RM_Qty_Per_Batch]*IFERROR(INDEX(PP_Grid[#Data],M_BOM[PPGridRow],25),0))/18.05</f>
        <v/>
      </c>
      <c r="Z91">
        <f>SUMPRODUCT((M_BOM[Part Name]=$A91)*M_BOM[RM_Qty_Per_Batch]*IFERROR(INDEX(PP_Grid[#Data],M_BOM[PPGridRow],26),0))/18.05</f>
        <v/>
      </c>
      <c r="AA91">
        <f>SUMPRODUCT((M_BOM[Part Name]=$A91)*M_BOM[RM_Qty_Per_Batch]*IFERROR(INDEX(PP_Grid[#Data],M_BOM[PPGridRow],27),0))/18.05</f>
        <v/>
      </c>
      <c r="AB91">
        <f>SUMPRODUCT((M_BOM[Part Name]=$A91)*M_BOM[RM_Qty_Per_Batch]*IFERROR(INDEX(PP_Grid[#Data],M_BOM[PPGridRow],28),0))/18.05</f>
        <v/>
      </c>
      <c r="AC91">
        <f>SUMPRODUCT((M_BOM[Part Name]=$A91)*M_BOM[RM_Qty_Per_Batch]*IFERROR(INDEX(PP_Grid[#Data],M_BOM[PPGridRow],29),0))/18.05</f>
        <v/>
      </c>
      <c r="AD91">
        <f>SUMPRODUCT((M_BOM[Part Name]=$A91)*M_BOM[RM_Qty_Per_Batch]*IFERROR(INDEX(PP_Grid[#Data],M_BOM[PPGridRow],30),0))/18.05</f>
        <v/>
      </c>
      <c r="AE91">
        <f>SUMPRODUCT((M_BOM[Part Name]=$A91)*M_BOM[RM_Qty_Per_Batch]*IFERROR(INDEX(PP_Grid[#Data],M_BOM[PPGridRow],31),0))/18.05</f>
        <v/>
      </c>
      <c r="AF91">
        <f>SUMPRODUCT((M_BOM[Part Name]=$A91)*M_BOM[RM_Qty_Per_Batch]*IFERROR(INDEX(PP_Grid[#Data],M_BOM[PPGridRow],32),0))/18.05</f>
        <v/>
      </c>
      <c r="AG91">
        <f>SUMPRODUCT((M_BOM[Part Name]=$A91)*M_BOM[RM_Qty_Per_Batch]*IFERROR(INDEX(PP_Grid[#Data],M_BOM[PPGridRow],33),0))/18.05</f>
        <v/>
      </c>
      <c r="AH91">
        <f>SUMPRODUCT((M_BOM[Part Name]=$A91)*M_BOM[RM_Qty_Per_Batch]*IFERROR(INDEX(PP_Grid[#Data],M_BOM[PPGridRow],34),0))/18.05</f>
        <v/>
      </c>
      <c r="AI91">
        <f>SUMPRODUCT((M_BOM[Part Name]=$A91)*M_BOM[RM_Qty_Per_Batch]*IFERROR(INDEX(PP_Grid[#Data],M_BOM[PPGridRow],35),0))/18.05</f>
        <v/>
      </c>
      <c r="AJ91">
        <f>SUMPRODUCT((M_BOM[Part Name]=$A91)*M_BOM[RM_Qty_Per_Batch]*IFERROR(INDEX(PP_Grid[#Data],M_BOM[PPGridRow],36),0))/18.05</f>
        <v/>
      </c>
      <c r="AK91">
        <f>SUMPRODUCT((M_BOM[Part Name]=$A91)*M_BOM[RM_Qty_Per_Batch]*IFERROR(INDEX(PP_Grid[#Data],M_BOM[PPGridRow],37),0))/18.05</f>
        <v/>
      </c>
      <c r="AL91">
        <f>SUMPRODUCT((M_BOM[Part Name]=$A91)*M_BOM[RM_Qty_Per_Batch]*IFERROR(INDEX(PP_Grid[#Data],M_BOM[PPGridRow],38),0))/18.05</f>
        <v/>
      </c>
      <c r="AM91">
        <f>SUMPRODUCT((M_BOM[Part Name]=$A91)*M_BOM[RM_Qty_Per_Batch]*IFERROR(INDEX(PP_Grid[#Data],M_BOM[PPGridRow],39),0))/18.05</f>
        <v/>
      </c>
      <c r="AN91">
        <f>SUMPRODUCT((M_BOM[Part Name]=$A91)*M_BOM[RM_Qty_Per_Batch]*IFERROR(INDEX(PP_Grid[#Data],M_BOM[PPGridRow],40),0))/18.05</f>
        <v/>
      </c>
      <c r="AO91">
        <f>SUMPRODUCT((M_BOM[Part Name]=$A91)*M_BOM[RM_Qty_Per_Batch]*IFERROR(INDEX(PP_Grid[#Data],M_BOM[PPGridRow],41),0))/18.05</f>
        <v/>
      </c>
      <c r="AP91">
        <f>SUMPRODUCT((M_BOM[Part Name]=$A91)*M_BOM[RM_Qty_Per_Batch]*IFERROR(INDEX(PP_Grid[#Data],M_BOM[PPGridRow],42),0))/18.05</f>
        <v/>
      </c>
      <c r="AQ91">
        <f>SUMPRODUCT((M_BOM[Part Name]=$A91)*M_BOM[RM_Qty_Per_Batch]*IFERROR(INDEX(PP_Grid[#Data],M_BOM[PPGridRow],43),0))/18.05</f>
        <v/>
      </c>
      <c r="AR91">
        <f>SUMPRODUCT((M_BOM[Part Name]=$A91)*M_BOM[RM_Qty_Per_Batch]*IFERROR(INDEX(PP_Grid[#Data],M_BOM[PPGridRow],44),0))/18.05</f>
        <v/>
      </c>
      <c r="AS91">
        <f>SUMPRODUCT((M_BOM[Part Name]=$A91)*M_BOM[RM_Qty_Per_Batch]*IFERROR(INDEX(PP_Grid[#Data],M_BOM[PPGridRow],45),0))/18.05</f>
        <v/>
      </c>
      <c r="AT91">
        <f>SUMPRODUCT((M_BOM[Part Name]=$A91)*M_BOM[RM_Qty_Per_Batch]*IFERROR(INDEX(PP_Grid[#Data],M_BOM[PPGridRow],46),0))/18.05</f>
        <v/>
      </c>
      <c r="AU91">
        <f>SUMPRODUCT((M_BOM[Part Name]=$A91)*M_BOM[RM_Qty_Per_Batch]*IFERROR(INDEX(PP_Grid[#Data],M_BOM[PPGridRow],47),0))/18.05</f>
        <v/>
      </c>
      <c r="AV91">
        <f>SUMPRODUCT((M_BOM[Part Name]=$A91)*M_BOM[RM_Qty_Per_Batch]*IFERROR(INDEX(PP_Grid[#Data],M_BOM[PPGridRow],48),0))/18.05</f>
        <v/>
      </c>
      <c r="AW91">
        <f>SUMPRODUCT((M_BOM[Part Name]=$A91)*M_BOM[RM_Qty_Per_Batch]*IFERROR(INDEX(PP_Grid[#Data],M_BOM[PPGridRow],49),0))/18.05</f>
        <v/>
      </c>
      <c r="AX91">
        <f>SUMPRODUCT((M_BOM[Part Name]=$A91)*M_BOM[RM_Qty_Per_Batch]*IFERROR(INDEX(PP_Grid[#Data],M_BOM[PPGridRow],50),0))/18.05</f>
        <v/>
      </c>
      <c r="AY91">
        <f>SUMPRODUCT((M_BOM[Part Name]=$A91)*M_BOM[RM_Qty_Per_Batch]*IFERROR(INDEX(PP_Grid[#Data],M_BOM[PPGridRow],51),0))/18.05</f>
        <v/>
      </c>
      <c r="AZ91">
        <f>SUMPRODUCT((M_BOM[Part Name]=$A91)*M_BOM[RM_Qty_Per_Batch]*IFERROR(INDEX(PP_Grid[#Data],M_BOM[PPGridRow],52),0))/18.05</f>
        <v/>
      </c>
      <c r="BA91">
        <f>SUMPRODUCT((M_BOM[Part Name]=$A91)*M_BOM[RM_Qty_Per_Batch]*IFERROR(INDEX(PP_Grid[#Data],M_BOM[PPGridRow],53),0))/18.05</f>
        <v/>
      </c>
      <c r="BB91">
        <f>SUMPRODUCT((M_BOM[Part Name]=$A91)*M_BOM[RM_Qty_Per_Batch]*IFERROR(INDEX(PP_Grid[#Data],M_BOM[PPGridRow],54),0))/18.05</f>
        <v/>
      </c>
      <c r="BC91">
        <f>SUMPRODUCT((M_BOM[Part Name]=$A91)*M_BOM[RM_Qty_Per_Batch]*IFERROR(INDEX(PP_Grid[#Data],M_BOM[PPGridRow],55),0))/18.05</f>
        <v/>
      </c>
      <c r="BD91">
        <f>SUMPRODUCT((M_BOM[Part Name]=$A91)*M_BOM[RM_Qty_Per_Batch]*IFERROR(INDEX(PP_Grid[#Data],M_BOM[PPGridRow],56),0))/18.05</f>
        <v/>
      </c>
      <c r="BE91">
        <f>SUMPRODUCT((M_BOM[Part Name]=$A91)*M_BOM[RM_Qty_Per_Batch]*IFERROR(INDEX(PP_Grid[#Data],M_BOM[PPGridRow],57),0))/18.05</f>
        <v/>
      </c>
      <c r="BF91">
        <f>SUMPRODUCT((M_BOM[Part Name]=$A91)*M_BOM[RM_Qty_Per_Batch]*IFERROR(INDEX(PP_Grid[#Data],M_BOM[PPGridRow],58),0))/18.05</f>
        <v/>
      </c>
      <c r="BG91">
        <f>SUMPRODUCT((M_BOM[Part Name]=$A91)*M_BOM[RM_Qty_Per_Batch]*IFERROR(INDEX(PP_Grid[#Data],M_BOM[PPGridRow],59),0))/18.05</f>
        <v/>
      </c>
      <c r="BH91">
        <f>SUMPRODUCT((M_BOM[Part Name]=$A91)*M_BOM[RM_Qty_Per_Batch]*IFERROR(INDEX(PP_Grid[#Data],M_BOM[PPGridRow],60),0))/18.05</f>
        <v/>
      </c>
      <c r="BI91">
        <f>SUMPRODUCT((M_BOM[Part Name]=$A91)*M_BOM[RM_Qty_Per_Batch]*IFERROR(INDEX(PP_Grid[#Data],M_BOM[PPGridRow],61),0))/18.05</f>
        <v/>
      </c>
      <c r="BJ91">
        <f>SUMPRODUCT((M_BOM[Part Name]=$A91)*M_BOM[RM_Qty_Per_Batch]*IFERROR(INDEX(PP_Grid[#Data],M_BOM[PPGridRow],62),0))/18.05</f>
        <v/>
      </c>
      <c r="BK91">
        <f>SUMPRODUCT((M_BOM[Part Name]=$A91)*M_BOM[RM_Qty_Per_Batch]*IFERROR(INDEX(PP_Grid[#Data],M_BOM[PPGridRow],63),0))/18.05</f>
        <v/>
      </c>
      <c r="BL91">
        <f>SUMPRODUCT((M_BOM[Part Name]=$A91)*M_BOM[RM_Qty_Per_Batch]*IFERROR(INDEX(PP_Grid[#Data],M_BOM[PPGridRow],64),0))/18.05</f>
        <v/>
      </c>
      <c r="BM91">
        <f>SUMPRODUCT((M_BOM[Part Name]=$A91)*M_BOM[RM_Qty_Per_Batch]*IFERROR(INDEX(PP_Grid[#Data],M_BOM[PPGridRow],65),0))/18.05</f>
        <v/>
      </c>
      <c r="BN91">
        <f>SUMPRODUCT((M_BOM[Part Name]=$A91)*M_BOM[RM_Qty_Per_Batch]*IFERROR(INDEX(PP_Grid[#Data],M_BOM[PPGridRow],66),0))/18.05</f>
        <v/>
      </c>
      <c r="BO91">
        <f>SUMPRODUCT((M_BOM[Part Name]=$A91)*M_BOM[RM_Qty_Per_Batch]*IFERROR(INDEX(PP_Grid[#Data],M_BOM[PPGridRow],67),0))/18.05</f>
        <v/>
      </c>
      <c r="BP91">
        <f>SUMPRODUCT((M_BOM[Part Name]=$A91)*M_BOM[RM_Qty_Per_Batch]*IFERROR(INDEX(PP_Grid[#Data],M_BOM[PPGridRow],68),0))/18.05</f>
        <v/>
      </c>
      <c r="BQ91">
        <f>SUMPRODUCT((M_BOM[Part Name]=$A91)*M_BOM[RM_Qty_Per_Batch]*IFERROR(INDEX(PP_Grid[#Data],M_BOM[PPGridRow],69),0))/18.05</f>
        <v/>
      </c>
      <c r="BR91">
        <f>SUMPRODUCT((M_BOM[Part Name]=$A91)*M_BOM[RM_Qty_Per_Batch]*IFERROR(INDEX(PP_Grid[#Data],M_BOM[PPGridRow],70),0))/18.05</f>
        <v/>
      </c>
      <c r="BS91">
        <f>SUMPRODUCT((M_BOM[Part Name]=$A91)*M_BOM[RM_Qty_Per_Batch]*IFERROR(INDEX(PP_Grid[#Data],M_BOM[PPGridRow],71),0))/18.05</f>
        <v/>
      </c>
      <c r="BT91">
        <f>SUMPRODUCT((M_BOM[Part Name]=$A91)*M_BOM[RM_Qty_Per_Batch]*IFERROR(INDEX(PP_Grid[#Data],M_BOM[PPGridRow],72),0))/18.05</f>
        <v/>
      </c>
      <c r="BU91">
        <f>SUMPRODUCT((M_BOM[Part Name]=$A91)*M_BOM[RM_Qty_Per_Batch]*IFERROR(INDEX(PP_Grid[#Data],M_BOM[PPGridRow],73),0))/18.05</f>
        <v/>
      </c>
      <c r="BV91">
        <f>SUMPRODUCT((M_BOM[Part Name]=$A91)*M_BOM[RM_Qty_Per_Batch]*IFERROR(INDEX(PP_Grid[#Data],M_BOM[PPGridRow],74),0))/18.05</f>
        <v/>
      </c>
      <c r="BW91">
        <f>SUMPRODUCT((M_BOM[Part Name]=$A91)*M_BOM[RM_Qty_Per_Batch]*IFERROR(INDEX(PP_Grid[#Data],M_BOM[PPGridRow],75),0))/18.05</f>
        <v/>
      </c>
      <c r="BX91">
        <f>SUMPRODUCT((M_BOM[Part Name]=$A91)*M_BOM[RM_Qty_Per_Batch]*IFERROR(INDEX(PP_Grid[#Data],M_BOM[PPGridRow],76),0))/18.05</f>
        <v/>
      </c>
      <c r="BY91">
        <f>SUMPRODUCT((M_BOM[Part Name]=$A91)*M_BOM[RM_Qty_Per_Batch]*IFERROR(INDEX(PP_Grid[#Data],M_BOM[PPGridRow],77),0))/18.05</f>
        <v/>
      </c>
      <c r="BZ91">
        <f>SUMPRODUCT((M_BOM[Part Name]=$A91)*M_BOM[RM_Qty_Per_Batch]*IFERROR(INDEX(PP_Grid[#Data],M_BOM[PPGridRow],78),0))/18.05</f>
        <v/>
      </c>
      <c r="CA91">
        <f>SUMPRODUCT((M_BOM[Part Name]=$A91)*M_BOM[RM_Qty_Per_Batch]*IFERROR(INDEX(PP_Grid[#Data],M_BOM[PPGridRow],79),0))/18.05</f>
        <v/>
      </c>
      <c r="CB91">
        <f>SUMPRODUCT((M_BOM[Part Name]=$A91)*M_BOM[RM_Qty_Per_Batch]*IFERROR(INDEX(PP_Grid[#Data],M_BOM[PPGridRow],80),0))/18.05</f>
        <v/>
      </c>
      <c r="CC91">
        <f>SUMPRODUCT((M_BOM[Part Name]=$A91)*M_BOM[RM_Qty_Per_Batch]*IFERROR(INDEX(PP_Grid[#Data],M_BOM[PPGridRow],81),0))/18.05</f>
        <v/>
      </c>
      <c r="CD91">
        <f>SUMPRODUCT((M_BOM[Part Name]=$A91)*M_BOM[RM_Qty_Per_Batch]*IFERROR(INDEX(PP_Grid[#Data],M_BOM[PPGridRow],82),0))/18.05</f>
        <v/>
      </c>
      <c r="CE91">
        <f>SUMPRODUCT((M_BOM[Part Name]=$A91)*M_BOM[RM_Qty_Per_Batch]*IFERROR(INDEX(PP_Grid[#Data],M_BOM[PPGridRow],83),0))/18.05</f>
        <v/>
      </c>
      <c r="CF91">
        <f>SUMPRODUCT((M_BOM[Part Name]=$A91)*M_BOM[RM_Qty_Per_Batch]*IFERROR(INDEX(PP_Grid[#Data],M_BOM[PPGridRow],84),0))/18.05</f>
        <v/>
      </c>
      <c r="CG91">
        <f>SUMPRODUCT((M_BOM[Part Name]=$A91)*M_BOM[RM_Qty_Per_Batch]*IFERROR(INDEX(PP_Grid[#Data],M_BOM[PPGridRow],85),0))/18.05</f>
        <v/>
      </c>
      <c r="CH91">
        <f>SUMPRODUCT((M_BOM[Part Name]=$A91)*M_BOM[RM_Qty_Per_Batch]*IFERROR(INDEX(PP_Grid[#Data],M_BOM[PPGridRow],86),0))/18.05</f>
        <v/>
      </c>
      <c r="CI91">
        <f>SUMPRODUCT((M_BOM[Part Name]=$A91)*M_BOM[RM_Qty_Per_Batch]*IFERROR(INDEX(PP_Grid[#Data],M_BOM[PPGridRow],87),0))/18.05</f>
        <v/>
      </c>
      <c r="CJ91">
        <f>SUMPRODUCT((M_BOM[Part Name]=$A91)*M_BOM[RM_Qty_Per_Batch]*IFERROR(INDEX(PP_Grid[#Data],M_BOM[PPGridRow],88),0))/18.05</f>
        <v/>
      </c>
      <c r="CK91">
        <f>SUMPRODUCT((M_BOM[Part Name]=$A91)*M_BOM[RM_Qty_Per_Batch]*IFERROR(INDEX(PP_Grid[#Data],M_BOM[PPGridRow],89),0))/18.05</f>
        <v/>
      </c>
      <c r="CL91">
        <f>SUMPRODUCT((M_BOM[Part Name]=$A91)*M_BOM[RM_Qty_Per_Batch]*IFERROR(INDEX(PP_Grid[#Data],M_BOM[PPGridRow],90),0))/18.05</f>
        <v/>
      </c>
      <c r="CM91">
        <f>SUMPRODUCT((M_BOM[Part Name]=$A91)*M_BOM[RM_Qty_Per_Batch]*IFERROR(INDEX(PP_Grid[#Data],M_BOM[PPGridRow],91),0))/18.05</f>
        <v/>
      </c>
      <c r="CN91">
        <f>SUMPRODUCT((M_BOM[Part Name]=$A91)*M_BOM[RM_Qty_Per_Batch]*IFERROR(INDEX(PP_Grid[#Data],M_BOM[PPGridRow],92),0))/18.05</f>
        <v/>
      </c>
      <c r="CO91">
        <f>SUMPRODUCT((M_BOM[Part Name]=$A91)*M_BOM[RM_Qty_Per_Batch]*IFERROR(INDEX(PP_Grid[#Data],M_BOM[PPGridRow],93),0))/18.05</f>
        <v/>
      </c>
      <c r="CP91">
        <f>SUMPRODUCT((M_BOM[Part Name]=$A91)*M_BOM[RM_Qty_Per_Batch]*IFERROR(INDEX(PP_Grid[#Data],M_BOM[PPGridRow],94),0))/18.05</f>
        <v/>
      </c>
      <c r="CQ91">
        <f>SUMPRODUCT((M_BOM[Part Name]=$A91)*M_BOM[RM_Qty_Per_Batch]*IFERROR(INDEX(PP_Grid[#Data],M_BOM[PPGridRow],95),0))/18.05</f>
        <v/>
      </c>
      <c r="CR91">
        <f>SUMPRODUCT((M_BOM[Part Name]=$A91)*M_BOM[RM_Qty_Per_Batch]*IFERROR(INDEX(PP_Grid[#Data],M_BOM[PPGridRow],96),0))/18.05</f>
        <v/>
      </c>
      <c r="CS91">
        <f>SUMPRODUCT((M_BOM[Part Name]=$A91)*M_BOM[RM_Qty_Per_Batch]*IFERROR(INDEX(PP_Grid[#Data],M_BOM[PPGridRow],97),0))/18.05</f>
        <v/>
      </c>
      <c r="CT91">
        <f>SUMPRODUCT((M_BOM[Part Name]=$A91)*M_BOM[RM_Qty_Per_Batch]*IFERROR(INDEX(PP_Grid[#Data],M_BOM[PPGridRow],98),0))/18.05</f>
        <v/>
      </c>
      <c r="CU91">
        <f>SUMPRODUCT((M_BOM[Part Name]=$A91)*M_BOM[RM_Qty_Per_Batch]*IFERROR(INDEX(PP_Grid[#Data],M_BOM[PPGridRow],99),0))/18.05</f>
        <v/>
      </c>
      <c r="CV91">
        <f>SUMPRODUCT((M_BOM[Part Name]=$A91)*M_BOM[RM_Qty_Per_Batch]*IFERROR(INDEX(PP_Grid[#Data],M_BOM[PPGridRow],100),0))/18.05</f>
        <v/>
      </c>
      <c r="CW91">
        <f>SUMPRODUCT((M_BOM[Part Name]=$A91)*M_BOM[RM_Qty_Per_Batch]*IFERROR(INDEX(PP_Grid[#Data],M_BOM[PPGridRow],101),0))/18.05</f>
        <v/>
      </c>
      <c r="CX91">
        <f>SUMPRODUCT((M_BOM[Part Name]=$A91)*M_BOM[RM_Qty_Per_Batch]*IFERROR(INDEX(PP_Grid[#Data],M_BOM[PPGridRow],102),0))/18.05</f>
        <v/>
      </c>
      <c r="CY91">
        <f>SUMPRODUCT((M_BOM[Part Name]=$A91)*M_BOM[RM_Qty_Per_Batch]*IFERROR(INDEX(PP_Grid[#Data],M_BOM[PPGridRow],103),0))/18.05</f>
        <v/>
      </c>
      <c r="CZ91">
        <f>SUMPRODUCT((M_BOM[Part Name]=$A91)*M_BOM[RM_Qty_Per_Batch]*IFERROR(INDEX(PP_Grid[#Data],M_BOM[PPGridRow],104),0))/18.05</f>
        <v/>
      </c>
      <c r="DA91">
        <f>SUMPRODUCT((M_BOM[Part Name]=$A91)*M_BOM[RM_Qty_Per_Batch]*IFERROR(INDEX(PP_Grid[#Data],M_BOM[PPGridRow],105),0))/18.05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Name]=$A92)*M_BOM[RM_Qty_Per_Batch]*IFERROR(INDEX(PP_Grid[#Data],M_BOM[PPGridRow],2),0))/17.69</f>
        <v/>
      </c>
      <c r="C92">
        <f>SUMPRODUCT((M_BOM[Part Name]=$A92)*M_BOM[RM_Qty_Per_Batch]*IFERROR(INDEX(PP_Grid[#Data],M_BOM[PPGridRow],3),0))/17.69</f>
        <v/>
      </c>
      <c r="D92">
        <f>SUMPRODUCT((M_BOM[Part Name]=$A92)*M_BOM[RM_Qty_Per_Batch]*IFERROR(INDEX(PP_Grid[#Data],M_BOM[PPGridRow],4),0))/17.69</f>
        <v/>
      </c>
      <c r="E92">
        <f>SUMPRODUCT((M_BOM[Part Name]=$A92)*M_BOM[RM_Qty_Per_Batch]*IFERROR(INDEX(PP_Grid[#Data],M_BOM[PPGridRow],5),0))/17.69</f>
        <v/>
      </c>
      <c r="F92">
        <f>SUMPRODUCT((M_BOM[Part Name]=$A92)*M_BOM[RM_Qty_Per_Batch]*IFERROR(INDEX(PP_Grid[#Data],M_BOM[PPGridRow],6),0))/17.69</f>
        <v/>
      </c>
      <c r="G92">
        <f>SUMPRODUCT((M_BOM[Part Name]=$A92)*M_BOM[RM_Qty_Per_Batch]*IFERROR(INDEX(PP_Grid[#Data],M_BOM[PPGridRow],7),0))/17.69</f>
        <v/>
      </c>
      <c r="H92">
        <f>SUMPRODUCT((M_BOM[Part Name]=$A92)*M_BOM[RM_Qty_Per_Batch]*IFERROR(INDEX(PP_Grid[#Data],M_BOM[PPGridRow],8),0))/17.69</f>
        <v/>
      </c>
      <c r="I92">
        <f>SUMPRODUCT((M_BOM[Part Name]=$A92)*M_BOM[RM_Qty_Per_Batch]*IFERROR(INDEX(PP_Grid[#Data],M_BOM[PPGridRow],9),0))/17.69</f>
        <v/>
      </c>
      <c r="J92">
        <f>SUMPRODUCT((M_BOM[Part Name]=$A92)*M_BOM[RM_Qty_Per_Batch]*IFERROR(INDEX(PP_Grid[#Data],M_BOM[PPGridRow],10),0))/17.69</f>
        <v/>
      </c>
      <c r="K92">
        <f>SUMPRODUCT((M_BOM[Part Name]=$A92)*M_BOM[RM_Qty_Per_Batch]*IFERROR(INDEX(PP_Grid[#Data],M_BOM[PPGridRow],11),0))/17.69</f>
        <v/>
      </c>
      <c r="L92">
        <f>SUMPRODUCT((M_BOM[Part Name]=$A92)*M_BOM[RM_Qty_Per_Batch]*IFERROR(INDEX(PP_Grid[#Data],M_BOM[PPGridRow],12),0))/17.69</f>
        <v/>
      </c>
      <c r="M92">
        <f>SUMPRODUCT((M_BOM[Part Name]=$A92)*M_BOM[RM_Qty_Per_Batch]*IFERROR(INDEX(PP_Grid[#Data],M_BOM[PPGridRow],13),0))/17.69</f>
        <v/>
      </c>
      <c r="N92">
        <f>SUMPRODUCT((M_BOM[Part Name]=$A92)*M_BOM[RM_Qty_Per_Batch]*IFERROR(INDEX(PP_Grid[#Data],M_BOM[PPGridRow],14),0))/17.69</f>
        <v/>
      </c>
      <c r="O92">
        <f>SUMPRODUCT((M_BOM[Part Name]=$A92)*M_BOM[RM_Qty_Per_Batch]*IFERROR(INDEX(PP_Grid[#Data],M_BOM[PPGridRow],15),0))/17.69</f>
        <v/>
      </c>
      <c r="P92">
        <f>SUMPRODUCT((M_BOM[Part Name]=$A92)*M_BOM[RM_Qty_Per_Batch]*IFERROR(INDEX(PP_Grid[#Data],M_BOM[PPGridRow],16),0))/17.69</f>
        <v/>
      </c>
      <c r="Q92">
        <f>SUMPRODUCT((M_BOM[Part Name]=$A92)*M_BOM[RM_Qty_Per_Batch]*IFERROR(INDEX(PP_Grid[#Data],M_BOM[PPGridRow],17),0))/17.69</f>
        <v/>
      </c>
      <c r="R92">
        <f>SUMPRODUCT((M_BOM[Part Name]=$A92)*M_BOM[RM_Qty_Per_Batch]*IFERROR(INDEX(PP_Grid[#Data],M_BOM[PPGridRow],18),0))/17.69</f>
        <v/>
      </c>
      <c r="S92">
        <f>SUMPRODUCT((M_BOM[Part Name]=$A92)*M_BOM[RM_Qty_Per_Batch]*IFERROR(INDEX(PP_Grid[#Data],M_BOM[PPGridRow],19),0))/17.69</f>
        <v/>
      </c>
      <c r="T92">
        <f>SUMPRODUCT((M_BOM[Part Name]=$A92)*M_BOM[RM_Qty_Per_Batch]*IFERROR(INDEX(PP_Grid[#Data],M_BOM[PPGridRow],20),0))/17.69</f>
        <v/>
      </c>
      <c r="U92">
        <f>SUMPRODUCT((M_BOM[Part Name]=$A92)*M_BOM[RM_Qty_Per_Batch]*IFERROR(INDEX(PP_Grid[#Data],M_BOM[PPGridRow],21),0))/17.69</f>
        <v/>
      </c>
      <c r="V92">
        <f>SUMPRODUCT((M_BOM[Part Name]=$A92)*M_BOM[RM_Qty_Per_Batch]*IFERROR(INDEX(PP_Grid[#Data],M_BOM[PPGridRow],22),0))/17.69</f>
        <v/>
      </c>
      <c r="W92">
        <f>SUMPRODUCT((M_BOM[Part Name]=$A92)*M_BOM[RM_Qty_Per_Batch]*IFERROR(INDEX(PP_Grid[#Data],M_BOM[PPGridRow],23),0))/17.69</f>
        <v/>
      </c>
      <c r="X92">
        <f>SUMPRODUCT((M_BOM[Part Name]=$A92)*M_BOM[RM_Qty_Per_Batch]*IFERROR(INDEX(PP_Grid[#Data],M_BOM[PPGridRow],24),0))/17.69</f>
        <v/>
      </c>
      <c r="Y92">
        <f>SUMPRODUCT((M_BOM[Part Name]=$A92)*M_BOM[RM_Qty_Per_Batch]*IFERROR(INDEX(PP_Grid[#Data],M_BOM[PPGridRow],25),0))/17.69</f>
        <v/>
      </c>
      <c r="Z92">
        <f>SUMPRODUCT((M_BOM[Part Name]=$A92)*M_BOM[RM_Qty_Per_Batch]*IFERROR(INDEX(PP_Grid[#Data],M_BOM[PPGridRow],26),0))/17.69</f>
        <v/>
      </c>
      <c r="AA92">
        <f>SUMPRODUCT((M_BOM[Part Name]=$A92)*M_BOM[RM_Qty_Per_Batch]*IFERROR(INDEX(PP_Grid[#Data],M_BOM[PPGridRow],27),0))/17.69</f>
        <v/>
      </c>
      <c r="AB92">
        <f>SUMPRODUCT((M_BOM[Part Name]=$A92)*M_BOM[RM_Qty_Per_Batch]*IFERROR(INDEX(PP_Grid[#Data],M_BOM[PPGridRow],28),0))/17.69</f>
        <v/>
      </c>
      <c r="AC92">
        <f>SUMPRODUCT((M_BOM[Part Name]=$A92)*M_BOM[RM_Qty_Per_Batch]*IFERROR(INDEX(PP_Grid[#Data],M_BOM[PPGridRow],29),0))/17.69</f>
        <v/>
      </c>
      <c r="AD92">
        <f>SUMPRODUCT((M_BOM[Part Name]=$A92)*M_BOM[RM_Qty_Per_Batch]*IFERROR(INDEX(PP_Grid[#Data],M_BOM[PPGridRow],30),0))/17.69</f>
        <v/>
      </c>
      <c r="AE92">
        <f>SUMPRODUCT((M_BOM[Part Name]=$A92)*M_BOM[RM_Qty_Per_Batch]*IFERROR(INDEX(PP_Grid[#Data],M_BOM[PPGridRow],31),0))/17.69</f>
        <v/>
      </c>
      <c r="AF92">
        <f>SUMPRODUCT((M_BOM[Part Name]=$A92)*M_BOM[RM_Qty_Per_Batch]*IFERROR(INDEX(PP_Grid[#Data],M_BOM[PPGridRow],32),0))/17.69</f>
        <v/>
      </c>
      <c r="AG92">
        <f>SUMPRODUCT((M_BOM[Part Name]=$A92)*M_BOM[RM_Qty_Per_Batch]*IFERROR(INDEX(PP_Grid[#Data],M_BOM[PPGridRow],33),0))/17.69</f>
        <v/>
      </c>
      <c r="AH92">
        <f>SUMPRODUCT((M_BOM[Part Name]=$A92)*M_BOM[RM_Qty_Per_Batch]*IFERROR(INDEX(PP_Grid[#Data],M_BOM[PPGridRow],34),0))/17.69</f>
        <v/>
      </c>
      <c r="AI92">
        <f>SUMPRODUCT((M_BOM[Part Name]=$A92)*M_BOM[RM_Qty_Per_Batch]*IFERROR(INDEX(PP_Grid[#Data],M_BOM[PPGridRow],35),0))/17.69</f>
        <v/>
      </c>
      <c r="AJ92">
        <f>SUMPRODUCT((M_BOM[Part Name]=$A92)*M_BOM[RM_Qty_Per_Batch]*IFERROR(INDEX(PP_Grid[#Data],M_BOM[PPGridRow],36),0))/17.69</f>
        <v/>
      </c>
      <c r="AK92">
        <f>SUMPRODUCT((M_BOM[Part Name]=$A92)*M_BOM[RM_Qty_Per_Batch]*IFERROR(INDEX(PP_Grid[#Data],M_BOM[PPGridRow],37),0))/17.69</f>
        <v/>
      </c>
      <c r="AL92">
        <f>SUMPRODUCT((M_BOM[Part Name]=$A92)*M_BOM[RM_Qty_Per_Batch]*IFERROR(INDEX(PP_Grid[#Data],M_BOM[PPGridRow],38),0))/17.69</f>
        <v/>
      </c>
      <c r="AM92">
        <f>SUMPRODUCT((M_BOM[Part Name]=$A92)*M_BOM[RM_Qty_Per_Batch]*IFERROR(INDEX(PP_Grid[#Data],M_BOM[PPGridRow],39),0))/17.69</f>
        <v/>
      </c>
      <c r="AN92">
        <f>SUMPRODUCT((M_BOM[Part Name]=$A92)*M_BOM[RM_Qty_Per_Batch]*IFERROR(INDEX(PP_Grid[#Data],M_BOM[PPGridRow],40),0))/17.69</f>
        <v/>
      </c>
      <c r="AO92">
        <f>SUMPRODUCT((M_BOM[Part Name]=$A92)*M_BOM[RM_Qty_Per_Batch]*IFERROR(INDEX(PP_Grid[#Data],M_BOM[PPGridRow],41),0))/17.69</f>
        <v/>
      </c>
      <c r="AP92">
        <f>SUMPRODUCT((M_BOM[Part Name]=$A92)*M_BOM[RM_Qty_Per_Batch]*IFERROR(INDEX(PP_Grid[#Data],M_BOM[PPGridRow],42),0))/17.69</f>
        <v/>
      </c>
      <c r="AQ92">
        <f>SUMPRODUCT((M_BOM[Part Name]=$A92)*M_BOM[RM_Qty_Per_Batch]*IFERROR(INDEX(PP_Grid[#Data],M_BOM[PPGridRow],43),0))/17.69</f>
        <v/>
      </c>
      <c r="AR92">
        <f>SUMPRODUCT((M_BOM[Part Name]=$A92)*M_BOM[RM_Qty_Per_Batch]*IFERROR(INDEX(PP_Grid[#Data],M_BOM[PPGridRow],44),0))/17.69</f>
        <v/>
      </c>
      <c r="AS92">
        <f>SUMPRODUCT((M_BOM[Part Name]=$A92)*M_BOM[RM_Qty_Per_Batch]*IFERROR(INDEX(PP_Grid[#Data],M_BOM[PPGridRow],45),0))/17.69</f>
        <v/>
      </c>
      <c r="AT92">
        <f>SUMPRODUCT((M_BOM[Part Name]=$A92)*M_BOM[RM_Qty_Per_Batch]*IFERROR(INDEX(PP_Grid[#Data],M_BOM[PPGridRow],46),0))/17.69</f>
        <v/>
      </c>
      <c r="AU92">
        <f>SUMPRODUCT((M_BOM[Part Name]=$A92)*M_BOM[RM_Qty_Per_Batch]*IFERROR(INDEX(PP_Grid[#Data],M_BOM[PPGridRow],47),0))/17.69</f>
        <v/>
      </c>
      <c r="AV92">
        <f>SUMPRODUCT((M_BOM[Part Name]=$A92)*M_BOM[RM_Qty_Per_Batch]*IFERROR(INDEX(PP_Grid[#Data],M_BOM[PPGridRow],48),0))/17.69</f>
        <v/>
      </c>
      <c r="AW92">
        <f>SUMPRODUCT((M_BOM[Part Name]=$A92)*M_BOM[RM_Qty_Per_Batch]*IFERROR(INDEX(PP_Grid[#Data],M_BOM[PPGridRow],49),0))/17.69</f>
        <v/>
      </c>
      <c r="AX92">
        <f>SUMPRODUCT((M_BOM[Part Name]=$A92)*M_BOM[RM_Qty_Per_Batch]*IFERROR(INDEX(PP_Grid[#Data],M_BOM[PPGridRow],50),0))/17.69</f>
        <v/>
      </c>
      <c r="AY92">
        <f>SUMPRODUCT((M_BOM[Part Name]=$A92)*M_BOM[RM_Qty_Per_Batch]*IFERROR(INDEX(PP_Grid[#Data],M_BOM[PPGridRow],51),0))/17.69</f>
        <v/>
      </c>
      <c r="AZ92">
        <f>SUMPRODUCT((M_BOM[Part Name]=$A92)*M_BOM[RM_Qty_Per_Batch]*IFERROR(INDEX(PP_Grid[#Data],M_BOM[PPGridRow],52),0))/17.69</f>
        <v/>
      </c>
      <c r="BA92">
        <f>SUMPRODUCT((M_BOM[Part Name]=$A92)*M_BOM[RM_Qty_Per_Batch]*IFERROR(INDEX(PP_Grid[#Data],M_BOM[PPGridRow],53),0))/17.69</f>
        <v/>
      </c>
      <c r="BB92">
        <f>SUMPRODUCT((M_BOM[Part Name]=$A92)*M_BOM[RM_Qty_Per_Batch]*IFERROR(INDEX(PP_Grid[#Data],M_BOM[PPGridRow],54),0))/17.69</f>
        <v/>
      </c>
      <c r="BC92">
        <f>SUMPRODUCT((M_BOM[Part Name]=$A92)*M_BOM[RM_Qty_Per_Batch]*IFERROR(INDEX(PP_Grid[#Data],M_BOM[PPGridRow],55),0))/17.69</f>
        <v/>
      </c>
      <c r="BD92">
        <f>SUMPRODUCT((M_BOM[Part Name]=$A92)*M_BOM[RM_Qty_Per_Batch]*IFERROR(INDEX(PP_Grid[#Data],M_BOM[PPGridRow],56),0))/17.69</f>
        <v/>
      </c>
      <c r="BE92">
        <f>SUMPRODUCT((M_BOM[Part Name]=$A92)*M_BOM[RM_Qty_Per_Batch]*IFERROR(INDEX(PP_Grid[#Data],M_BOM[PPGridRow],57),0))/17.69</f>
        <v/>
      </c>
      <c r="BF92">
        <f>SUMPRODUCT((M_BOM[Part Name]=$A92)*M_BOM[RM_Qty_Per_Batch]*IFERROR(INDEX(PP_Grid[#Data],M_BOM[PPGridRow],58),0))/17.69</f>
        <v/>
      </c>
      <c r="BG92">
        <f>SUMPRODUCT((M_BOM[Part Name]=$A92)*M_BOM[RM_Qty_Per_Batch]*IFERROR(INDEX(PP_Grid[#Data],M_BOM[PPGridRow],59),0))/17.69</f>
        <v/>
      </c>
      <c r="BH92">
        <f>SUMPRODUCT((M_BOM[Part Name]=$A92)*M_BOM[RM_Qty_Per_Batch]*IFERROR(INDEX(PP_Grid[#Data],M_BOM[PPGridRow],60),0))/17.69</f>
        <v/>
      </c>
      <c r="BI92">
        <f>SUMPRODUCT((M_BOM[Part Name]=$A92)*M_BOM[RM_Qty_Per_Batch]*IFERROR(INDEX(PP_Grid[#Data],M_BOM[PPGridRow],61),0))/17.69</f>
        <v/>
      </c>
      <c r="BJ92">
        <f>SUMPRODUCT((M_BOM[Part Name]=$A92)*M_BOM[RM_Qty_Per_Batch]*IFERROR(INDEX(PP_Grid[#Data],M_BOM[PPGridRow],62),0))/17.69</f>
        <v/>
      </c>
      <c r="BK92">
        <f>SUMPRODUCT((M_BOM[Part Name]=$A92)*M_BOM[RM_Qty_Per_Batch]*IFERROR(INDEX(PP_Grid[#Data],M_BOM[PPGridRow],63),0))/17.69</f>
        <v/>
      </c>
      <c r="BL92">
        <f>SUMPRODUCT((M_BOM[Part Name]=$A92)*M_BOM[RM_Qty_Per_Batch]*IFERROR(INDEX(PP_Grid[#Data],M_BOM[PPGridRow],64),0))/17.69</f>
        <v/>
      </c>
      <c r="BM92">
        <f>SUMPRODUCT((M_BOM[Part Name]=$A92)*M_BOM[RM_Qty_Per_Batch]*IFERROR(INDEX(PP_Grid[#Data],M_BOM[PPGridRow],65),0))/17.69</f>
        <v/>
      </c>
      <c r="BN92">
        <f>SUMPRODUCT((M_BOM[Part Name]=$A92)*M_BOM[RM_Qty_Per_Batch]*IFERROR(INDEX(PP_Grid[#Data],M_BOM[PPGridRow],66),0))/17.69</f>
        <v/>
      </c>
      <c r="BO92">
        <f>SUMPRODUCT((M_BOM[Part Name]=$A92)*M_BOM[RM_Qty_Per_Batch]*IFERROR(INDEX(PP_Grid[#Data],M_BOM[PPGridRow],67),0))/17.69</f>
        <v/>
      </c>
      <c r="BP92">
        <f>SUMPRODUCT((M_BOM[Part Name]=$A92)*M_BOM[RM_Qty_Per_Batch]*IFERROR(INDEX(PP_Grid[#Data],M_BOM[PPGridRow],68),0))/17.69</f>
        <v/>
      </c>
      <c r="BQ92">
        <f>SUMPRODUCT((M_BOM[Part Name]=$A92)*M_BOM[RM_Qty_Per_Batch]*IFERROR(INDEX(PP_Grid[#Data],M_BOM[PPGridRow],69),0))/17.69</f>
        <v/>
      </c>
      <c r="BR92">
        <f>SUMPRODUCT((M_BOM[Part Name]=$A92)*M_BOM[RM_Qty_Per_Batch]*IFERROR(INDEX(PP_Grid[#Data],M_BOM[PPGridRow],70),0))/17.69</f>
        <v/>
      </c>
      <c r="BS92">
        <f>SUMPRODUCT((M_BOM[Part Name]=$A92)*M_BOM[RM_Qty_Per_Batch]*IFERROR(INDEX(PP_Grid[#Data],M_BOM[PPGridRow],71),0))/17.69</f>
        <v/>
      </c>
      <c r="BT92">
        <f>SUMPRODUCT((M_BOM[Part Name]=$A92)*M_BOM[RM_Qty_Per_Batch]*IFERROR(INDEX(PP_Grid[#Data],M_BOM[PPGridRow],72),0))/17.69</f>
        <v/>
      </c>
      <c r="BU92">
        <f>SUMPRODUCT((M_BOM[Part Name]=$A92)*M_BOM[RM_Qty_Per_Batch]*IFERROR(INDEX(PP_Grid[#Data],M_BOM[PPGridRow],73),0))/17.69</f>
        <v/>
      </c>
      <c r="BV92">
        <f>SUMPRODUCT((M_BOM[Part Name]=$A92)*M_BOM[RM_Qty_Per_Batch]*IFERROR(INDEX(PP_Grid[#Data],M_BOM[PPGridRow],74),0))/17.69</f>
        <v/>
      </c>
      <c r="BW92">
        <f>SUMPRODUCT((M_BOM[Part Name]=$A92)*M_BOM[RM_Qty_Per_Batch]*IFERROR(INDEX(PP_Grid[#Data],M_BOM[PPGridRow],75),0))/17.69</f>
        <v/>
      </c>
      <c r="BX92">
        <f>SUMPRODUCT((M_BOM[Part Name]=$A92)*M_BOM[RM_Qty_Per_Batch]*IFERROR(INDEX(PP_Grid[#Data],M_BOM[PPGridRow],76),0))/17.69</f>
        <v/>
      </c>
      <c r="BY92">
        <f>SUMPRODUCT((M_BOM[Part Name]=$A92)*M_BOM[RM_Qty_Per_Batch]*IFERROR(INDEX(PP_Grid[#Data],M_BOM[PPGridRow],77),0))/17.69</f>
        <v/>
      </c>
      <c r="BZ92">
        <f>SUMPRODUCT((M_BOM[Part Name]=$A92)*M_BOM[RM_Qty_Per_Batch]*IFERROR(INDEX(PP_Grid[#Data],M_BOM[PPGridRow],78),0))/17.69</f>
        <v/>
      </c>
      <c r="CA92">
        <f>SUMPRODUCT((M_BOM[Part Name]=$A92)*M_BOM[RM_Qty_Per_Batch]*IFERROR(INDEX(PP_Grid[#Data],M_BOM[PPGridRow],79),0))/17.69</f>
        <v/>
      </c>
      <c r="CB92">
        <f>SUMPRODUCT((M_BOM[Part Name]=$A92)*M_BOM[RM_Qty_Per_Batch]*IFERROR(INDEX(PP_Grid[#Data],M_BOM[PPGridRow],80),0))/17.69</f>
        <v/>
      </c>
      <c r="CC92">
        <f>SUMPRODUCT((M_BOM[Part Name]=$A92)*M_BOM[RM_Qty_Per_Batch]*IFERROR(INDEX(PP_Grid[#Data],M_BOM[PPGridRow],81),0))/17.69</f>
        <v/>
      </c>
      <c r="CD92">
        <f>SUMPRODUCT((M_BOM[Part Name]=$A92)*M_BOM[RM_Qty_Per_Batch]*IFERROR(INDEX(PP_Grid[#Data],M_BOM[PPGridRow],82),0))/17.69</f>
        <v/>
      </c>
      <c r="CE92">
        <f>SUMPRODUCT((M_BOM[Part Name]=$A92)*M_BOM[RM_Qty_Per_Batch]*IFERROR(INDEX(PP_Grid[#Data],M_BOM[PPGridRow],83),0))/17.69</f>
        <v/>
      </c>
      <c r="CF92">
        <f>SUMPRODUCT((M_BOM[Part Name]=$A92)*M_BOM[RM_Qty_Per_Batch]*IFERROR(INDEX(PP_Grid[#Data],M_BOM[PPGridRow],84),0))/17.69</f>
        <v/>
      </c>
      <c r="CG92">
        <f>SUMPRODUCT((M_BOM[Part Name]=$A92)*M_BOM[RM_Qty_Per_Batch]*IFERROR(INDEX(PP_Grid[#Data],M_BOM[PPGridRow],85),0))/17.69</f>
        <v/>
      </c>
      <c r="CH92">
        <f>SUMPRODUCT((M_BOM[Part Name]=$A92)*M_BOM[RM_Qty_Per_Batch]*IFERROR(INDEX(PP_Grid[#Data],M_BOM[PPGridRow],86),0))/17.69</f>
        <v/>
      </c>
      <c r="CI92">
        <f>SUMPRODUCT((M_BOM[Part Name]=$A92)*M_BOM[RM_Qty_Per_Batch]*IFERROR(INDEX(PP_Grid[#Data],M_BOM[PPGridRow],87),0))/17.69</f>
        <v/>
      </c>
      <c r="CJ92">
        <f>SUMPRODUCT((M_BOM[Part Name]=$A92)*M_BOM[RM_Qty_Per_Batch]*IFERROR(INDEX(PP_Grid[#Data],M_BOM[PPGridRow],88),0))/17.69</f>
        <v/>
      </c>
      <c r="CK92">
        <f>SUMPRODUCT((M_BOM[Part Name]=$A92)*M_BOM[RM_Qty_Per_Batch]*IFERROR(INDEX(PP_Grid[#Data],M_BOM[PPGridRow],89),0))/17.69</f>
        <v/>
      </c>
      <c r="CL92">
        <f>SUMPRODUCT((M_BOM[Part Name]=$A92)*M_BOM[RM_Qty_Per_Batch]*IFERROR(INDEX(PP_Grid[#Data],M_BOM[PPGridRow],90),0))/17.69</f>
        <v/>
      </c>
      <c r="CM92">
        <f>SUMPRODUCT((M_BOM[Part Name]=$A92)*M_BOM[RM_Qty_Per_Batch]*IFERROR(INDEX(PP_Grid[#Data],M_BOM[PPGridRow],91),0))/17.69</f>
        <v/>
      </c>
      <c r="CN92">
        <f>SUMPRODUCT((M_BOM[Part Name]=$A92)*M_BOM[RM_Qty_Per_Batch]*IFERROR(INDEX(PP_Grid[#Data],M_BOM[PPGridRow],92),0))/17.69</f>
        <v/>
      </c>
      <c r="CO92">
        <f>SUMPRODUCT((M_BOM[Part Name]=$A92)*M_BOM[RM_Qty_Per_Batch]*IFERROR(INDEX(PP_Grid[#Data],M_BOM[PPGridRow],93),0))/17.69</f>
        <v/>
      </c>
      <c r="CP92">
        <f>SUMPRODUCT((M_BOM[Part Name]=$A92)*M_BOM[RM_Qty_Per_Batch]*IFERROR(INDEX(PP_Grid[#Data],M_BOM[PPGridRow],94),0))/17.69</f>
        <v/>
      </c>
      <c r="CQ92">
        <f>SUMPRODUCT((M_BOM[Part Name]=$A92)*M_BOM[RM_Qty_Per_Batch]*IFERROR(INDEX(PP_Grid[#Data],M_BOM[PPGridRow],95),0))/17.69</f>
        <v/>
      </c>
      <c r="CR92">
        <f>SUMPRODUCT((M_BOM[Part Name]=$A92)*M_BOM[RM_Qty_Per_Batch]*IFERROR(INDEX(PP_Grid[#Data],M_BOM[PPGridRow],96),0))/17.69</f>
        <v/>
      </c>
      <c r="CS92">
        <f>SUMPRODUCT((M_BOM[Part Name]=$A92)*M_BOM[RM_Qty_Per_Batch]*IFERROR(INDEX(PP_Grid[#Data],M_BOM[PPGridRow],97),0))/17.69</f>
        <v/>
      </c>
      <c r="CT92">
        <f>SUMPRODUCT((M_BOM[Part Name]=$A92)*M_BOM[RM_Qty_Per_Batch]*IFERROR(INDEX(PP_Grid[#Data],M_BOM[PPGridRow],98),0))/17.69</f>
        <v/>
      </c>
      <c r="CU92">
        <f>SUMPRODUCT((M_BOM[Part Name]=$A92)*M_BOM[RM_Qty_Per_Batch]*IFERROR(INDEX(PP_Grid[#Data],M_BOM[PPGridRow],99),0))/17.69</f>
        <v/>
      </c>
      <c r="CV92">
        <f>SUMPRODUCT((M_BOM[Part Name]=$A92)*M_BOM[RM_Qty_Per_Batch]*IFERROR(INDEX(PP_Grid[#Data],M_BOM[PPGridRow],100),0))/17.69</f>
        <v/>
      </c>
      <c r="CW92">
        <f>SUMPRODUCT((M_BOM[Part Name]=$A92)*M_BOM[RM_Qty_Per_Batch]*IFERROR(INDEX(PP_Grid[#Data],M_BOM[PPGridRow],101),0))/17.69</f>
        <v/>
      </c>
      <c r="CX92">
        <f>SUMPRODUCT((M_BOM[Part Name]=$A92)*M_BOM[RM_Qty_Per_Batch]*IFERROR(INDEX(PP_Grid[#Data],M_BOM[PPGridRow],102),0))/17.69</f>
        <v/>
      </c>
      <c r="CY92">
        <f>SUMPRODUCT((M_BOM[Part Name]=$A92)*M_BOM[RM_Qty_Per_Batch]*IFERROR(INDEX(PP_Grid[#Data],M_BOM[PPGridRow],103),0))/17.69</f>
        <v/>
      </c>
      <c r="CZ92">
        <f>SUMPRODUCT((M_BOM[Part Name]=$A92)*M_BOM[RM_Qty_Per_Batch]*IFERROR(INDEX(PP_Grid[#Data],M_BOM[PPGridRow],104),0))/17.69</f>
        <v/>
      </c>
      <c r="DA92">
        <f>SUMPRODUCT((M_BOM[Part Name]=$A92)*M_BOM[RM_Qty_Per_Batch]*IFERROR(INDEX(PP_Grid[#Data],M_BOM[PPGridRow],105),0))/17.69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Name]=$A93)*M_BOM[RM_Qty_Per_Batch]*IFERROR(INDEX(PP_Grid[#Data],M_BOM[PPGridRow],2),0))/17.67</f>
        <v/>
      </c>
      <c r="C93">
        <f>SUMPRODUCT((M_BOM[Part Name]=$A93)*M_BOM[RM_Qty_Per_Batch]*IFERROR(INDEX(PP_Grid[#Data],M_BOM[PPGridRow],3),0))/17.67</f>
        <v/>
      </c>
      <c r="D93">
        <f>SUMPRODUCT((M_BOM[Part Name]=$A93)*M_BOM[RM_Qty_Per_Batch]*IFERROR(INDEX(PP_Grid[#Data],M_BOM[PPGridRow],4),0))/17.67</f>
        <v/>
      </c>
      <c r="E93">
        <f>SUMPRODUCT((M_BOM[Part Name]=$A93)*M_BOM[RM_Qty_Per_Batch]*IFERROR(INDEX(PP_Grid[#Data],M_BOM[PPGridRow],5),0))/17.67</f>
        <v/>
      </c>
      <c r="F93">
        <f>SUMPRODUCT((M_BOM[Part Name]=$A93)*M_BOM[RM_Qty_Per_Batch]*IFERROR(INDEX(PP_Grid[#Data],M_BOM[PPGridRow],6),0))/17.67</f>
        <v/>
      </c>
      <c r="G93">
        <f>SUMPRODUCT((M_BOM[Part Name]=$A93)*M_BOM[RM_Qty_Per_Batch]*IFERROR(INDEX(PP_Grid[#Data],M_BOM[PPGridRow],7),0))/17.67</f>
        <v/>
      </c>
      <c r="H93">
        <f>SUMPRODUCT((M_BOM[Part Name]=$A93)*M_BOM[RM_Qty_Per_Batch]*IFERROR(INDEX(PP_Grid[#Data],M_BOM[PPGridRow],8),0))/17.67</f>
        <v/>
      </c>
      <c r="I93">
        <f>SUMPRODUCT((M_BOM[Part Name]=$A93)*M_BOM[RM_Qty_Per_Batch]*IFERROR(INDEX(PP_Grid[#Data],M_BOM[PPGridRow],9),0))/17.67</f>
        <v/>
      </c>
      <c r="J93">
        <f>SUMPRODUCT((M_BOM[Part Name]=$A93)*M_BOM[RM_Qty_Per_Batch]*IFERROR(INDEX(PP_Grid[#Data],M_BOM[PPGridRow],10),0))/17.67</f>
        <v/>
      </c>
      <c r="K93">
        <f>SUMPRODUCT((M_BOM[Part Name]=$A93)*M_BOM[RM_Qty_Per_Batch]*IFERROR(INDEX(PP_Grid[#Data],M_BOM[PPGridRow],11),0))/17.67</f>
        <v/>
      </c>
      <c r="L93">
        <f>SUMPRODUCT((M_BOM[Part Name]=$A93)*M_BOM[RM_Qty_Per_Batch]*IFERROR(INDEX(PP_Grid[#Data],M_BOM[PPGridRow],12),0))/17.67</f>
        <v/>
      </c>
      <c r="M93">
        <f>SUMPRODUCT((M_BOM[Part Name]=$A93)*M_BOM[RM_Qty_Per_Batch]*IFERROR(INDEX(PP_Grid[#Data],M_BOM[PPGridRow],13),0))/17.67</f>
        <v/>
      </c>
      <c r="N93">
        <f>SUMPRODUCT((M_BOM[Part Name]=$A93)*M_BOM[RM_Qty_Per_Batch]*IFERROR(INDEX(PP_Grid[#Data],M_BOM[PPGridRow],14),0))/17.67</f>
        <v/>
      </c>
      <c r="O93">
        <f>SUMPRODUCT((M_BOM[Part Name]=$A93)*M_BOM[RM_Qty_Per_Batch]*IFERROR(INDEX(PP_Grid[#Data],M_BOM[PPGridRow],15),0))/17.67</f>
        <v/>
      </c>
      <c r="P93">
        <f>SUMPRODUCT((M_BOM[Part Name]=$A93)*M_BOM[RM_Qty_Per_Batch]*IFERROR(INDEX(PP_Grid[#Data],M_BOM[PPGridRow],16),0))/17.67</f>
        <v/>
      </c>
      <c r="Q93">
        <f>SUMPRODUCT((M_BOM[Part Name]=$A93)*M_BOM[RM_Qty_Per_Batch]*IFERROR(INDEX(PP_Grid[#Data],M_BOM[PPGridRow],17),0))/17.67</f>
        <v/>
      </c>
      <c r="R93">
        <f>SUMPRODUCT((M_BOM[Part Name]=$A93)*M_BOM[RM_Qty_Per_Batch]*IFERROR(INDEX(PP_Grid[#Data],M_BOM[PPGridRow],18),0))/17.67</f>
        <v/>
      </c>
      <c r="S93">
        <f>SUMPRODUCT((M_BOM[Part Name]=$A93)*M_BOM[RM_Qty_Per_Batch]*IFERROR(INDEX(PP_Grid[#Data],M_BOM[PPGridRow],19),0))/17.67</f>
        <v/>
      </c>
      <c r="T93">
        <f>SUMPRODUCT((M_BOM[Part Name]=$A93)*M_BOM[RM_Qty_Per_Batch]*IFERROR(INDEX(PP_Grid[#Data],M_BOM[PPGridRow],20),0))/17.67</f>
        <v/>
      </c>
      <c r="U93">
        <f>SUMPRODUCT((M_BOM[Part Name]=$A93)*M_BOM[RM_Qty_Per_Batch]*IFERROR(INDEX(PP_Grid[#Data],M_BOM[PPGridRow],21),0))/17.67</f>
        <v/>
      </c>
      <c r="V93">
        <f>SUMPRODUCT((M_BOM[Part Name]=$A93)*M_BOM[RM_Qty_Per_Batch]*IFERROR(INDEX(PP_Grid[#Data],M_BOM[PPGridRow],22),0))/17.67</f>
        <v/>
      </c>
      <c r="W93">
        <f>SUMPRODUCT((M_BOM[Part Name]=$A93)*M_BOM[RM_Qty_Per_Batch]*IFERROR(INDEX(PP_Grid[#Data],M_BOM[PPGridRow],23),0))/17.67</f>
        <v/>
      </c>
      <c r="X93">
        <f>SUMPRODUCT((M_BOM[Part Name]=$A93)*M_BOM[RM_Qty_Per_Batch]*IFERROR(INDEX(PP_Grid[#Data],M_BOM[PPGridRow],24),0))/17.67</f>
        <v/>
      </c>
      <c r="Y93">
        <f>SUMPRODUCT((M_BOM[Part Name]=$A93)*M_BOM[RM_Qty_Per_Batch]*IFERROR(INDEX(PP_Grid[#Data],M_BOM[PPGridRow],25),0))/17.67</f>
        <v/>
      </c>
      <c r="Z93">
        <f>SUMPRODUCT((M_BOM[Part Name]=$A93)*M_BOM[RM_Qty_Per_Batch]*IFERROR(INDEX(PP_Grid[#Data],M_BOM[PPGridRow],26),0))/17.67</f>
        <v/>
      </c>
      <c r="AA93">
        <f>SUMPRODUCT((M_BOM[Part Name]=$A93)*M_BOM[RM_Qty_Per_Batch]*IFERROR(INDEX(PP_Grid[#Data],M_BOM[PPGridRow],27),0))/17.67</f>
        <v/>
      </c>
      <c r="AB93">
        <f>SUMPRODUCT((M_BOM[Part Name]=$A93)*M_BOM[RM_Qty_Per_Batch]*IFERROR(INDEX(PP_Grid[#Data],M_BOM[PPGridRow],28),0))/17.67</f>
        <v/>
      </c>
      <c r="AC93">
        <f>SUMPRODUCT((M_BOM[Part Name]=$A93)*M_BOM[RM_Qty_Per_Batch]*IFERROR(INDEX(PP_Grid[#Data],M_BOM[PPGridRow],29),0))/17.67</f>
        <v/>
      </c>
      <c r="AD93">
        <f>SUMPRODUCT((M_BOM[Part Name]=$A93)*M_BOM[RM_Qty_Per_Batch]*IFERROR(INDEX(PP_Grid[#Data],M_BOM[PPGridRow],30),0))/17.67</f>
        <v/>
      </c>
      <c r="AE93">
        <f>SUMPRODUCT((M_BOM[Part Name]=$A93)*M_BOM[RM_Qty_Per_Batch]*IFERROR(INDEX(PP_Grid[#Data],M_BOM[PPGridRow],31),0))/17.67</f>
        <v/>
      </c>
      <c r="AF93">
        <f>SUMPRODUCT((M_BOM[Part Name]=$A93)*M_BOM[RM_Qty_Per_Batch]*IFERROR(INDEX(PP_Grid[#Data],M_BOM[PPGridRow],32),0))/17.67</f>
        <v/>
      </c>
      <c r="AG93">
        <f>SUMPRODUCT((M_BOM[Part Name]=$A93)*M_BOM[RM_Qty_Per_Batch]*IFERROR(INDEX(PP_Grid[#Data],M_BOM[PPGridRow],33),0))/17.67</f>
        <v/>
      </c>
      <c r="AH93">
        <f>SUMPRODUCT((M_BOM[Part Name]=$A93)*M_BOM[RM_Qty_Per_Batch]*IFERROR(INDEX(PP_Grid[#Data],M_BOM[PPGridRow],34),0))/17.67</f>
        <v/>
      </c>
      <c r="AI93">
        <f>SUMPRODUCT((M_BOM[Part Name]=$A93)*M_BOM[RM_Qty_Per_Batch]*IFERROR(INDEX(PP_Grid[#Data],M_BOM[PPGridRow],35),0))/17.67</f>
        <v/>
      </c>
      <c r="AJ93">
        <f>SUMPRODUCT((M_BOM[Part Name]=$A93)*M_BOM[RM_Qty_Per_Batch]*IFERROR(INDEX(PP_Grid[#Data],M_BOM[PPGridRow],36),0))/17.67</f>
        <v/>
      </c>
      <c r="AK93">
        <f>SUMPRODUCT((M_BOM[Part Name]=$A93)*M_BOM[RM_Qty_Per_Batch]*IFERROR(INDEX(PP_Grid[#Data],M_BOM[PPGridRow],37),0))/17.67</f>
        <v/>
      </c>
      <c r="AL93">
        <f>SUMPRODUCT((M_BOM[Part Name]=$A93)*M_BOM[RM_Qty_Per_Batch]*IFERROR(INDEX(PP_Grid[#Data],M_BOM[PPGridRow],38),0))/17.67</f>
        <v/>
      </c>
      <c r="AM93">
        <f>SUMPRODUCT((M_BOM[Part Name]=$A93)*M_BOM[RM_Qty_Per_Batch]*IFERROR(INDEX(PP_Grid[#Data],M_BOM[PPGridRow],39),0))/17.67</f>
        <v/>
      </c>
      <c r="AN93">
        <f>SUMPRODUCT((M_BOM[Part Name]=$A93)*M_BOM[RM_Qty_Per_Batch]*IFERROR(INDEX(PP_Grid[#Data],M_BOM[PPGridRow],40),0))/17.67</f>
        <v/>
      </c>
      <c r="AO93">
        <f>SUMPRODUCT((M_BOM[Part Name]=$A93)*M_BOM[RM_Qty_Per_Batch]*IFERROR(INDEX(PP_Grid[#Data],M_BOM[PPGridRow],41),0))/17.67</f>
        <v/>
      </c>
      <c r="AP93">
        <f>SUMPRODUCT((M_BOM[Part Name]=$A93)*M_BOM[RM_Qty_Per_Batch]*IFERROR(INDEX(PP_Grid[#Data],M_BOM[PPGridRow],42),0))/17.67</f>
        <v/>
      </c>
      <c r="AQ93">
        <f>SUMPRODUCT((M_BOM[Part Name]=$A93)*M_BOM[RM_Qty_Per_Batch]*IFERROR(INDEX(PP_Grid[#Data],M_BOM[PPGridRow],43),0))/17.67</f>
        <v/>
      </c>
      <c r="AR93">
        <f>SUMPRODUCT((M_BOM[Part Name]=$A93)*M_BOM[RM_Qty_Per_Batch]*IFERROR(INDEX(PP_Grid[#Data],M_BOM[PPGridRow],44),0))/17.67</f>
        <v/>
      </c>
      <c r="AS93">
        <f>SUMPRODUCT((M_BOM[Part Name]=$A93)*M_BOM[RM_Qty_Per_Batch]*IFERROR(INDEX(PP_Grid[#Data],M_BOM[PPGridRow],45),0))/17.67</f>
        <v/>
      </c>
      <c r="AT93">
        <f>SUMPRODUCT((M_BOM[Part Name]=$A93)*M_BOM[RM_Qty_Per_Batch]*IFERROR(INDEX(PP_Grid[#Data],M_BOM[PPGridRow],46),0))/17.67</f>
        <v/>
      </c>
      <c r="AU93">
        <f>SUMPRODUCT((M_BOM[Part Name]=$A93)*M_BOM[RM_Qty_Per_Batch]*IFERROR(INDEX(PP_Grid[#Data],M_BOM[PPGridRow],47),0))/17.67</f>
        <v/>
      </c>
      <c r="AV93">
        <f>SUMPRODUCT((M_BOM[Part Name]=$A93)*M_BOM[RM_Qty_Per_Batch]*IFERROR(INDEX(PP_Grid[#Data],M_BOM[PPGridRow],48),0))/17.67</f>
        <v/>
      </c>
      <c r="AW93">
        <f>SUMPRODUCT((M_BOM[Part Name]=$A93)*M_BOM[RM_Qty_Per_Batch]*IFERROR(INDEX(PP_Grid[#Data],M_BOM[PPGridRow],49),0))/17.67</f>
        <v/>
      </c>
      <c r="AX93">
        <f>SUMPRODUCT((M_BOM[Part Name]=$A93)*M_BOM[RM_Qty_Per_Batch]*IFERROR(INDEX(PP_Grid[#Data],M_BOM[PPGridRow],50),0))/17.67</f>
        <v/>
      </c>
      <c r="AY93">
        <f>SUMPRODUCT((M_BOM[Part Name]=$A93)*M_BOM[RM_Qty_Per_Batch]*IFERROR(INDEX(PP_Grid[#Data],M_BOM[PPGridRow],51),0))/17.67</f>
        <v/>
      </c>
      <c r="AZ93">
        <f>SUMPRODUCT((M_BOM[Part Name]=$A93)*M_BOM[RM_Qty_Per_Batch]*IFERROR(INDEX(PP_Grid[#Data],M_BOM[PPGridRow],52),0))/17.67</f>
        <v/>
      </c>
      <c r="BA93">
        <f>SUMPRODUCT((M_BOM[Part Name]=$A93)*M_BOM[RM_Qty_Per_Batch]*IFERROR(INDEX(PP_Grid[#Data],M_BOM[PPGridRow],53),0))/17.67</f>
        <v/>
      </c>
      <c r="BB93">
        <f>SUMPRODUCT((M_BOM[Part Name]=$A93)*M_BOM[RM_Qty_Per_Batch]*IFERROR(INDEX(PP_Grid[#Data],M_BOM[PPGridRow],54),0))/17.67</f>
        <v/>
      </c>
      <c r="BC93">
        <f>SUMPRODUCT((M_BOM[Part Name]=$A93)*M_BOM[RM_Qty_Per_Batch]*IFERROR(INDEX(PP_Grid[#Data],M_BOM[PPGridRow],55),0))/17.67</f>
        <v/>
      </c>
      <c r="BD93">
        <f>SUMPRODUCT((M_BOM[Part Name]=$A93)*M_BOM[RM_Qty_Per_Batch]*IFERROR(INDEX(PP_Grid[#Data],M_BOM[PPGridRow],56),0))/17.67</f>
        <v/>
      </c>
      <c r="BE93">
        <f>SUMPRODUCT((M_BOM[Part Name]=$A93)*M_BOM[RM_Qty_Per_Batch]*IFERROR(INDEX(PP_Grid[#Data],M_BOM[PPGridRow],57),0))/17.67</f>
        <v/>
      </c>
      <c r="BF93">
        <f>SUMPRODUCT((M_BOM[Part Name]=$A93)*M_BOM[RM_Qty_Per_Batch]*IFERROR(INDEX(PP_Grid[#Data],M_BOM[PPGridRow],58),0))/17.67</f>
        <v/>
      </c>
      <c r="BG93">
        <f>SUMPRODUCT((M_BOM[Part Name]=$A93)*M_BOM[RM_Qty_Per_Batch]*IFERROR(INDEX(PP_Grid[#Data],M_BOM[PPGridRow],59),0))/17.67</f>
        <v/>
      </c>
      <c r="BH93">
        <f>SUMPRODUCT((M_BOM[Part Name]=$A93)*M_BOM[RM_Qty_Per_Batch]*IFERROR(INDEX(PP_Grid[#Data],M_BOM[PPGridRow],60),0))/17.67</f>
        <v/>
      </c>
      <c r="BI93">
        <f>SUMPRODUCT((M_BOM[Part Name]=$A93)*M_BOM[RM_Qty_Per_Batch]*IFERROR(INDEX(PP_Grid[#Data],M_BOM[PPGridRow],61),0))/17.67</f>
        <v/>
      </c>
      <c r="BJ93">
        <f>SUMPRODUCT((M_BOM[Part Name]=$A93)*M_BOM[RM_Qty_Per_Batch]*IFERROR(INDEX(PP_Grid[#Data],M_BOM[PPGridRow],62),0))/17.67</f>
        <v/>
      </c>
      <c r="BK93">
        <f>SUMPRODUCT((M_BOM[Part Name]=$A93)*M_BOM[RM_Qty_Per_Batch]*IFERROR(INDEX(PP_Grid[#Data],M_BOM[PPGridRow],63),0))/17.67</f>
        <v/>
      </c>
      <c r="BL93">
        <f>SUMPRODUCT((M_BOM[Part Name]=$A93)*M_BOM[RM_Qty_Per_Batch]*IFERROR(INDEX(PP_Grid[#Data],M_BOM[PPGridRow],64),0))/17.67</f>
        <v/>
      </c>
      <c r="BM93">
        <f>SUMPRODUCT((M_BOM[Part Name]=$A93)*M_BOM[RM_Qty_Per_Batch]*IFERROR(INDEX(PP_Grid[#Data],M_BOM[PPGridRow],65),0))/17.67</f>
        <v/>
      </c>
      <c r="BN93">
        <f>SUMPRODUCT((M_BOM[Part Name]=$A93)*M_BOM[RM_Qty_Per_Batch]*IFERROR(INDEX(PP_Grid[#Data],M_BOM[PPGridRow],66),0))/17.67</f>
        <v/>
      </c>
      <c r="BO93">
        <f>SUMPRODUCT((M_BOM[Part Name]=$A93)*M_BOM[RM_Qty_Per_Batch]*IFERROR(INDEX(PP_Grid[#Data],M_BOM[PPGridRow],67),0))/17.67</f>
        <v/>
      </c>
      <c r="BP93">
        <f>SUMPRODUCT((M_BOM[Part Name]=$A93)*M_BOM[RM_Qty_Per_Batch]*IFERROR(INDEX(PP_Grid[#Data],M_BOM[PPGridRow],68),0))/17.67</f>
        <v/>
      </c>
      <c r="BQ93">
        <f>SUMPRODUCT((M_BOM[Part Name]=$A93)*M_BOM[RM_Qty_Per_Batch]*IFERROR(INDEX(PP_Grid[#Data],M_BOM[PPGridRow],69),0))/17.67</f>
        <v/>
      </c>
      <c r="BR93">
        <f>SUMPRODUCT((M_BOM[Part Name]=$A93)*M_BOM[RM_Qty_Per_Batch]*IFERROR(INDEX(PP_Grid[#Data],M_BOM[PPGridRow],70),0))/17.67</f>
        <v/>
      </c>
      <c r="BS93">
        <f>SUMPRODUCT((M_BOM[Part Name]=$A93)*M_BOM[RM_Qty_Per_Batch]*IFERROR(INDEX(PP_Grid[#Data],M_BOM[PPGridRow],71),0))/17.67</f>
        <v/>
      </c>
      <c r="BT93">
        <f>SUMPRODUCT((M_BOM[Part Name]=$A93)*M_BOM[RM_Qty_Per_Batch]*IFERROR(INDEX(PP_Grid[#Data],M_BOM[PPGridRow],72),0))/17.67</f>
        <v/>
      </c>
      <c r="BU93">
        <f>SUMPRODUCT((M_BOM[Part Name]=$A93)*M_BOM[RM_Qty_Per_Batch]*IFERROR(INDEX(PP_Grid[#Data],M_BOM[PPGridRow],73),0))/17.67</f>
        <v/>
      </c>
      <c r="BV93">
        <f>SUMPRODUCT((M_BOM[Part Name]=$A93)*M_BOM[RM_Qty_Per_Batch]*IFERROR(INDEX(PP_Grid[#Data],M_BOM[PPGridRow],74),0))/17.67</f>
        <v/>
      </c>
      <c r="BW93">
        <f>SUMPRODUCT((M_BOM[Part Name]=$A93)*M_BOM[RM_Qty_Per_Batch]*IFERROR(INDEX(PP_Grid[#Data],M_BOM[PPGridRow],75),0))/17.67</f>
        <v/>
      </c>
      <c r="BX93">
        <f>SUMPRODUCT((M_BOM[Part Name]=$A93)*M_BOM[RM_Qty_Per_Batch]*IFERROR(INDEX(PP_Grid[#Data],M_BOM[PPGridRow],76),0))/17.67</f>
        <v/>
      </c>
      <c r="BY93">
        <f>SUMPRODUCT((M_BOM[Part Name]=$A93)*M_BOM[RM_Qty_Per_Batch]*IFERROR(INDEX(PP_Grid[#Data],M_BOM[PPGridRow],77),0))/17.67</f>
        <v/>
      </c>
      <c r="BZ93">
        <f>SUMPRODUCT((M_BOM[Part Name]=$A93)*M_BOM[RM_Qty_Per_Batch]*IFERROR(INDEX(PP_Grid[#Data],M_BOM[PPGridRow],78),0))/17.67</f>
        <v/>
      </c>
      <c r="CA93">
        <f>SUMPRODUCT((M_BOM[Part Name]=$A93)*M_BOM[RM_Qty_Per_Batch]*IFERROR(INDEX(PP_Grid[#Data],M_BOM[PPGridRow],79),0))/17.67</f>
        <v/>
      </c>
      <c r="CB93">
        <f>SUMPRODUCT((M_BOM[Part Name]=$A93)*M_BOM[RM_Qty_Per_Batch]*IFERROR(INDEX(PP_Grid[#Data],M_BOM[PPGridRow],80),0))/17.67</f>
        <v/>
      </c>
      <c r="CC93">
        <f>SUMPRODUCT((M_BOM[Part Name]=$A93)*M_BOM[RM_Qty_Per_Batch]*IFERROR(INDEX(PP_Grid[#Data],M_BOM[PPGridRow],81),0))/17.67</f>
        <v/>
      </c>
      <c r="CD93">
        <f>SUMPRODUCT((M_BOM[Part Name]=$A93)*M_BOM[RM_Qty_Per_Batch]*IFERROR(INDEX(PP_Grid[#Data],M_BOM[PPGridRow],82),0))/17.67</f>
        <v/>
      </c>
      <c r="CE93">
        <f>SUMPRODUCT((M_BOM[Part Name]=$A93)*M_BOM[RM_Qty_Per_Batch]*IFERROR(INDEX(PP_Grid[#Data],M_BOM[PPGridRow],83),0))/17.67</f>
        <v/>
      </c>
      <c r="CF93">
        <f>SUMPRODUCT((M_BOM[Part Name]=$A93)*M_BOM[RM_Qty_Per_Batch]*IFERROR(INDEX(PP_Grid[#Data],M_BOM[PPGridRow],84),0))/17.67</f>
        <v/>
      </c>
      <c r="CG93">
        <f>SUMPRODUCT((M_BOM[Part Name]=$A93)*M_BOM[RM_Qty_Per_Batch]*IFERROR(INDEX(PP_Grid[#Data],M_BOM[PPGridRow],85),0))/17.67</f>
        <v/>
      </c>
      <c r="CH93">
        <f>SUMPRODUCT((M_BOM[Part Name]=$A93)*M_BOM[RM_Qty_Per_Batch]*IFERROR(INDEX(PP_Grid[#Data],M_BOM[PPGridRow],86),0))/17.67</f>
        <v/>
      </c>
      <c r="CI93">
        <f>SUMPRODUCT((M_BOM[Part Name]=$A93)*M_BOM[RM_Qty_Per_Batch]*IFERROR(INDEX(PP_Grid[#Data],M_BOM[PPGridRow],87),0))/17.67</f>
        <v/>
      </c>
      <c r="CJ93">
        <f>SUMPRODUCT((M_BOM[Part Name]=$A93)*M_BOM[RM_Qty_Per_Batch]*IFERROR(INDEX(PP_Grid[#Data],M_BOM[PPGridRow],88),0))/17.67</f>
        <v/>
      </c>
      <c r="CK93">
        <f>SUMPRODUCT((M_BOM[Part Name]=$A93)*M_BOM[RM_Qty_Per_Batch]*IFERROR(INDEX(PP_Grid[#Data],M_BOM[PPGridRow],89),0))/17.67</f>
        <v/>
      </c>
      <c r="CL93">
        <f>SUMPRODUCT((M_BOM[Part Name]=$A93)*M_BOM[RM_Qty_Per_Batch]*IFERROR(INDEX(PP_Grid[#Data],M_BOM[PPGridRow],90),0))/17.67</f>
        <v/>
      </c>
      <c r="CM93">
        <f>SUMPRODUCT((M_BOM[Part Name]=$A93)*M_BOM[RM_Qty_Per_Batch]*IFERROR(INDEX(PP_Grid[#Data],M_BOM[PPGridRow],91),0))/17.67</f>
        <v/>
      </c>
      <c r="CN93">
        <f>SUMPRODUCT((M_BOM[Part Name]=$A93)*M_BOM[RM_Qty_Per_Batch]*IFERROR(INDEX(PP_Grid[#Data],M_BOM[PPGridRow],92),0))/17.67</f>
        <v/>
      </c>
      <c r="CO93">
        <f>SUMPRODUCT((M_BOM[Part Name]=$A93)*M_BOM[RM_Qty_Per_Batch]*IFERROR(INDEX(PP_Grid[#Data],M_BOM[PPGridRow],93),0))/17.67</f>
        <v/>
      </c>
      <c r="CP93">
        <f>SUMPRODUCT((M_BOM[Part Name]=$A93)*M_BOM[RM_Qty_Per_Batch]*IFERROR(INDEX(PP_Grid[#Data],M_BOM[PPGridRow],94),0))/17.67</f>
        <v/>
      </c>
      <c r="CQ93">
        <f>SUMPRODUCT((M_BOM[Part Name]=$A93)*M_BOM[RM_Qty_Per_Batch]*IFERROR(INDEX(PP_Grid[#Data],M_BOM[PPGridRow],95),0))/17.67</f>
        <v/>
      </c>
      <c r="CR93">
        <f>SUMPRODUCT((M_BOM[Part Name]=$A93)*M_BOM[RM_Qty_Per_Batch]*IFERROR(INDEX(PP_Grid[#Data],M_BOM[PPGridRow],96),0))/17.67</f>
        <v/>
      </c>
      <c r="CS93">
        <f>SUMPRODUCT((M_BOM[Part Name]=$A93)*M_BOM[RM_Qty_Per_Batch]*IFERROR(INDEX(PP_Grid[#Data],M_BOM[PPGridRow],97),0))/17.67</f>
        <v/>
      </c>
      <c r="CT93">
        <f>SUMPRODUCT((M_BOM[Part Name]=$A93)*M_BOM[RM_Qty_Per_Batch]*IFERROR(INDEX(PP_Grid[#Data],M_BOM[PPGridRow],98),0))/17.67</f>
        <v/>
      </c>
      <c r="CU93">
        <f>SUMPRODUCT((M_BOM[Part Name]=$A93)*M_BOM[RM_Qty_Per_Batch]*IFERROR(INDEX(PP_Grid[#Data],M_BOM[PPGridRow],99),0))/17.67</f>
        <v/>
      </c>
      <c r="CV93">
        <f>SUMPRODUCT((M_BOM[Part Name]=$A93)*M_BOM[RM_Qty_Per_Batch]*IFERROR(INDEX(PP_Grid[#Data],M_BOM[PPGridRow],100),0))/17.67</f>
        <v/>
      </c>
      <c r="CW93">
        <f>SUMPRODUCT((M_BOM[Part Name]=$A93)*M_BOM[RM_Qty_Per_Batch]*IFERROR(INDEX(PP_Grid[#Data],M_BOM[PPGridRow],101),0))/17.67</f>
        <v/>
      </c>
      <c r="CX93">
        <f>SUMPRODUCT((M_BOM[Part Name]=$A93)*M_BOM[RM_Qty_Per_Batch]*IFERROR(INDEX(PP_Grid[#Data],M_BOM[PPGridRow],102),0))/17.67</f>
        <v/>
      </c>
      <c r="CY93">
        <f>SUMPRODUCT((M_BOM[Part Name]=$A93)*M_BOM[RM_Qty_Per_Batch]*IFERROR(INDEX(PP_Grid[#Data],M_BOM[PPGridRow],103),0))/17.67</f>
        <v/>
      </c>
      <c r="CZ93">
        <f>SUMPRODUCT((M_BOM[Part Name]=$A93)*M_BOM[RM_Qty_Per_Batch]*IFERROR(INDEX(PP_Grid[#Data],M_BOM[PPGridRow],104),0))/17.67</f>
        <v/>
      </c>
      <c r="DA93">
        <f>SUMPRODUCT((M_BOM[Part Name]=$A93)*M_BOM[RM_Qty_Per_Batch]*IFERROR(INDEX(PP_Grid[#Data],M_BOM[PPGridRow],105),0))/17.67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Name]=$A94)*M_BOM[RM_Qty_Per_Batch]*IFERROR(INDEX(PP_Grid[#Data],M_BOM[PPGridRow],2),0))/22.38</f>
        <v/>
      </c>
      <c r="C94">
        <f>SUMPRODUCT((M_BOM[Part Name]=$A94)*M_BOM[RM_Qty_Per_Batch]*IFERROR(INDEX(PP_Grid[#Data],M_BOM[PPGridRow],3),0))/22.38</f>
        <v/>
      </c>
      <c r="D94">
        <f>SUMPRODUCT((M_BOM[Part Name]=$A94)*M_BOM[RM_Qty_Per_Batch]*IFERROR(INDEX(PP_Grid[#Data],M_BOM[PPGridRow],4),0))/22.38</f>
        <v/>
      </c>
      <c r="E94">
        <f>SUMPRODUCT((M_BOM[Part Name]=$A94)*M_BOM[RM_Qty_Per_Batch]*IFERROR(INDEX(PP_Grid[#Data],M_BOM[PPGridRow],5),0))/22.38</f>
        <v/>
      </c>
      <c r="F94">
        <f>SUMPRODUCT((M_BOM[Part Name]=$A94)*M_BOM[RM_Qty_Per_Batch]*IFERROR(INDEX(PP_Grid[#Data],M_BOM[PPGridRow],6),0))/22.38</f>
        <v/>
      </c>
      <c r="G94">
        <f>SUMPRODUCT((M_BOM[Part Name]=$A94)*M_BOM[RM_Qty_Per_Batch]*IFERROR(INDEX(PP_Grid[#Data],M_BOM[PPGridRow],7),0))/22.38</f>
        <v/>
      </c>
      <c r="H94">
        <f>SUMPRODUCT((M_BOM[Part Name]=$A94)*M_BOM[RM_Qty_Per_Batch]*IFERROR(INDEX(PP_Grid[#Data],M_BOM[PPGridRow],8),0))/22.38</f>
        <v/>
      </c>
      <c r="I94">
        <f>SUMPRODUCT((M_BOM[Part Name]=$A94)*M_BOM[RM_Qty_Per_Batch]*IFERROR(INDEX(PP_Grid[#Data],M_BOM[PPGridRow],9),0))/22.38</f>
        <v/>
      </c>
      <c r="J94">
        <f>SUMPRODUCT((M_BOM[Part Name]=$A94)*M_BOM[RM_Qty_Per_Batch]*IFERROR(INDEX(PP_Grid[#Data],M_BOM[PPGridRow],10),0))/22.38</f>
        <v/>
      </c>
      <c r="K94">
        <f>SUMPRODUCT((M_BOM[Part Name]=$A94)*M_BOM[RM_Qty_Per_Batch]*IFERROR(INDEX(PP_Grid[#Data],M_BOM[PPGridRow],11),0))/22.38</f>
        <v/>
      </c>
      <c r="L94">
        <f>SUMPRODUCT((M_BOM[Part Name]=$A94)*M_BOM[RM_Qty_Per_Batch]*IFERROR(INDEX(PP_Grid[#Data],M_BOM[PPGridRow],12),0))/22.38</f>
        <v/>
      </c>
      <c r="M94">
        <f>SUMPRODUCT((M_BOM[Part Name]=$A94)*M_BOM[RM_Qty_Per_Batch]*IFERROR(INDEX(PP_Grid[#Data],M_BOM[PPGridRow],13),0))/22.38</f>
        <v/>
      </c>
      <c r="N94">
        <f>SUMPRODUCT((M_BOM[Part Name]=$A94)*M_BOM[RM_Qty_Per_Batch]*IFERROR(INDEX(PP_Grid[#Data],M_BOM[PPGridRow],14),0))/22.38</f>
        <v/>
      </c>
      <c r="O94">
        <f>SUMPRODUCT((M_BOM[Part Name]=$A94)*M_BOM[RM_Qty_Per_Batch]*IFERROR(INDEX(PP_Grid[#Data],M_BOM[PPGridRow],15),0))/22.38</f>
        <v/>
      </c>
      <c r="P94">
        <f>SUMPRODUCT((M_BOM[Part Name]=$A94)*M_BOM[RM_Qty_Per_Batch]*IFERROR(INDEX(PP_Grid[#Data],M_BOM[PPGridRow],16),0))/22.38</f>
        <v/>
      </c>
      <c r="Q94">
        <f>SUMPRODUCT((M_BOM[Part Name]=$A94)*M_BOM[RM_Qty_Per_Batch]*IFERROR(INDEX(PP_Grid[#Data],M_BOM[PPGridRow],17),0))/22.38</f>
        <v/>
      </c>
      <c r="R94">
        <f>SUMPRODUCT((M_BOM[Part Name]=$A94)*M_BOM[RM_Qty_Per_Batch]*IFERROR(INDEX(PP_Grid[#Data],M_BOM[PPGridRow],18),0))/22.38</f>
        <v/>
      </c>
      <c r="S94">
        <f>SUMPRODUCT((M_BOM[Part Name]=$A94)*M_BOM[RM_Qty_Per_Batch]*IFERROR(INDEX(PP_Grid[#Data],M_BOM[PPGridRow],19),0))/22.38</f>
        <v/>
      </c>
      <c r="T94">
        <f>SUMPRODUCT((M_BOM[Part Name]=$A94)*M_BOM[RM_Qty_Per_Batch]*IFERROR(INDEX(PP_Grid[#Data],M_BOM[PPGridRow],20),0))/22.38</f>
        <v/>
      </c>
      <c r="U94">
        <f>SUMPRODUCT((M_BOM[Part Name]=$A94)*M_BOM[RM_Qty_Per_Batch]*IFERROR(INDEX(PP_Grid[#Data],M_BOM[PPGridRow],21),0))/22.38</f>
        <v/>
      </c>
      <c r="V94">
        <f>SUMPRODUCT((M_BOM[Part Name]=$A94)*M_BOM[RM_Qty_Per_Batch]*IFERROR(INDEX(PP_Grid[#Data],M_BOM[PPGridRow],22),0))/22.38</f>
        <v/>
      </c>
      <c r="W94">
        <f>SUMPRODUCT((M_BOM[Part Name]=$A94)*M_BOM[RM_Qty_Per_Batch]*IFERROR(INDEX(PP_Grid[#Data],M_BOM[PPGridRow],23),0))/22.38</f>
        <v/>
      </c>
      <c r="X94">
        <f>SUMPRODUCT((M_BOM[Part Name]=$A94)*M_BOM[RM_Qty_Per_Batch]*IFERROR(INDEX(PP_Grid[#Data],M_BOM[PPGridRow],24),0))/22.38</f>
        <v/>
      </c>
      <c r="Y94">
        <f>SUMPRODUCT((M_BOM[Part Name]=$A94)*M_BOM[RM_Qty_Per_Batch]*IFERROR(INDEX(PP_Grid[#Data],M_BOM[PPGridRow],25),0))/22.38</f>
        <v/>
      </c>
      <c r="Z94">
        <f>SUMPRODUCT((M_BOM[Part Name]=$A94)*M_BOM[RM_Qty_Per_Batch]*IFERROR(INDEX(PP_Grid[#Data],M_BOM[PPGridRow],26),0))/22.38</f>
        <v/>
      </c>
      <c r="AA94">
        <f>SUMPRODUCT((M_BOM[Part Name]=$A94)*M_BOM[RM_Qty_Per_Batch]*IFERROR(INDEX(PP_Grid[#Data],M_BOM[PPGridRow],27),0))/22.38</f>
        <v/>
      </c>
      <c r="AB94">
        <f>SUMPRODUCT((M_BOM[Part Name]=$A94)*M_BOM[RM_Qty_Per_Batch]*IFERROR(INDEX(PP_Grid[#Data],M_BOM[PPGridRow],28),0))/22.38</f>
        <v/>
      </c>
      <c r="AC94">
        <f>SUMPRODUCT((M_BOM[Part Name]=$A94)*M_BOM[RM_Qty_Per_Batch]*IFERROR(INDEX(PP_Grid[#Data],M_BOM[PPGridRow],29),0))/22.38</f>
        <v/>
      </c>
      <c r="AD94">
        <f>SUMPRODUCT((M_BOM[Part Name]=$A94)*M_BOM[RM_Qty_Per_Batch]*IFERROR(INDEX(PP_Grid[#Data],M_BOM[PPGridRow],30),0))/22.38</f>
        <v/>
      </c>
      <c r="AE94">
        <f>SUMPRODUCT((M_BOM[Part Name]=$A94)*M_BOM[RM_Qty_Per_Batch]*IFERROR(INDEX(PP_Grid[#Data],M_BOM[PPGridRow],31),0))/22.38</f>
        <v/>
      </c>
      <c r="AF94">
        <f>SUMPRODUCT((M_BOM[Part Name]=$A94)*M_BOM[RM_Qty_Per_Batch]*IFERROR(INDEX(PP_Grid[#Data],M_BOM[PPGridRow],32),0))/22.38</f>
        <v/>
      </c>
      <c r="AG94">
        <f>SUMPRODUCT((M_BOM[Part Name]=$A94)*M_BOM[RM_Qty_Per_Batch]*IFERROR(INDEX(PP_Grid[#Data],M_BOM[PPGridRow],33),0))/22.38</f>
        <v/>
      </c>
      <c r="AH94">
        <f>SUMPRODUCT((M_BOM[Part Name]=$A94)*M_BOM[RM_Qty_Per_Batch]*IFERROR(INDEX(PP_Grid[#Data],M_BOM[PPGridRow],34),0))/22.38</f>
        <v/>
      </c>
      <c r="AI94">
        <f>SUMPRODUCT((M_BOM[Part Name]=$A94)*M_BOM[RM_Qty_Per_Batch]*IFERROR(INDEX(PP_Grid[#Data],M_BOM[PPGridRow],35),0))/22.38</f>
        <v/>
      </c>
      <c r="AJ94">
        <f>SUMPRODUCT((M_BOM[Part Name]=$A94)*M_BOM[RM_Qty_Per_Batch]*IFERROR(INDEX(PP_Grid[#Data],M_BOM[PPGridRow],36),0))/22.38</f>
        <v/>
      </c>
      <c r="AK94">
        <f>SUMPRODUCT((M_BOM[Part Name]=$A94)*M_BOM[RM_Qty_Per_Batch]*IFERROR(INDEX(PP_Grid[#Data],M_BOM[PPGridRow],37),0))/22.38</f>
        <v/>
      </c>
      <c r="AL94">
        <f>SUMPRODUCT((M_BOM[Part Name]=$A94)*M_BOM[RM_Qty_Per_Batch]*IFERROR(INDEX(PP_Grid[#Data],M_BOM[PPGridRow],38),0))/22.38</f>
        <v/>
      </c>
      <c r="AM94">
        <f>SUMPRODUCT((M_BOM[Part Name]=$A94)*M_BOM[RM_Qty_Per_Batch]*IFERROR(INDEX(PP_Grid[#Data],M_BOM[PPGridRow],39),0))/22.38</f>
        <v/>
      </c>
      <c r="AN94">
        <f>SUMPRODUCT((M_BOM[Part Name]=$A94)*M_BOM[RM_Qty_Per_Batch]*IFERROR(INDEX(PP_Grid[#Data],M_BOM[PPGridRow],40),0))/22.38</f>
        <v/>
      </c>
      <c r="AO94">
        <f>SUMPRODUCT((M_BOM[Part Name]=$A94)*M_BOM[RM_Qty_Per_Batch]*IFERROR(INDEX(PP_Grid[#Data],M_BOM[PPGridRow],41),0))/22.38</f>
        <v/>
      </c>
      <c r="AP94">
        <f>SUMPRODUCT((M_BOM[Part Name]=$A94)*M_BOM[RM_Qty_Per_Batch]*IFERROR(INDEX(PP_Grid[#Data],M_BOM[PPGridRow],42),0))/22.38</f>
        <v/>
      </c>
      <c r="AQ94">
        <f>SUMPRODUCT((M_BOM[Part Name]=$A94)*M_BOM[RM_Qty_Per_Batch]*IFERROR(INDEX(PP_Grid[#Data],M_BOM[PPGridRow],43),0))/22.38</f>
        <v/>
      </c>
      <c r="AR94">
        <f>SUMPRODUCT((M_BOM[Part Name]=$A94)*M_BOM[RM_Qty_Per_Batch]*IFERROR(INDEX(PP_Grid[#Data],M_BOM[PPGridRow],44),0))/22.38</f>
        <v/>
      </c>
      <c r="AS94">
        <f>SUMPRODUCT((M_BOM[Part Name]=$A94)*M_BOM[RM_Qty_Per_Batch]*IFERROR(INDEX(PP_Grid[#Data],M_BOM[PPGridRow],45),0))/22.38</f>
        <v/>
      </c>
      <c r="AT94">
        <f>SUMPRODUCT((M_BOM[Part Name]=$A94)*M_BOM[RM_Qty_Per_Batch]*IFERROR(INDEX(PP_Grid[#Data],M_BOM[PPGridRow],46),0))/22.38</f>
        <v/>
      </c>
      <c r="AU94">
        <f>SUMPRODUCT((M_BOM[Part Name]=$A94)*M_BOM[RM_Qty_Per_Batch]*IFERROR(INDEX(PP_Grid[#Data],M_BOM[PPGridRow],47),0))/22.38</f>
        <v/>
      </c>
      <c r="AV94">
        <f>SUMPRODUCT((M_BOM[Part Name]=$A94)*M_BOM[RM_Qty_Per_Batch]*IFERROR(INDEX(PP_Grid[#Data],M_BOM[PPGridRow],48),0))/22.38</f>
        <v/>
      </c>
      <c r="AW94">
        <f>SUMPRODUCT((M_BOM[Part Name]=$A94)*M_BOM[RM_Qty_Per_Batch]*IFERROR(INDEX(PP_Grid[#Data],M_BOM[PPGridRow],49),0))/22.38</f>
        <v/>
      </c>
      <c r="AX94">
        <f>SUMPRODUCT((M_BOM[Part Name]=$A94)*M_BOM[RM_Qty_Per_Batch]*IFERROR(INDEX(PP_Grid[#Data],M_BOM[PPGridRow],50),0))/22.38</f>
        <v/>
      </c>
      <c r="AY94">
        <f>SUMPRODUCT((M_BOM[Part Name]=$A94)*M_BOM[RM_Qty_Per_Batch]*IFERROR(INDEX(PP_Grid[#Data],M_BOM[PPGridRow],51),0))/22.38</f>
        <v/>
      </c>
      <c r="AZ94">
        <f>SUMPRODUCT((M_BOM[Part Name]=$A94)*M_BOM[RM_Qty_Per_Batch]*IFERROR(INDEX(PP_Grid[#Data],M_BOM[PPGridRow],52),0))/22.38</f>
        <v/>
      </c>
      <c r="BA94">
        <f>SUMPRODUCT((M_BOM[Part Name]=$A94)*M_BOM[RM_Qty_Per_Batch]*IFERROR(INDEX(PP_Grid[#Data],M_BOM[PPGridRow],53),0))/22.38</f>
        <v/>
      </c>
      <c r="BB94">
        <f>SUMPRODUCT((M_BOM[Part Name]=$A94)*M_BOM[RM_Qty_Per_Batch]*IFERROR(INDEX(PP_Grid[#Data],M_BOM[PPGridRow],54),0))/22.38</f>
        <v/>
      </c>
      <c r="BC94">
        <f>SUMPRODUCT((M_BOM[Part Name]=$A94)*M_BOM[RM_Qty_Per_Batch]*IFERROR(INDEX(PP_Grid[#Data],M_BOM[PPGridRow],55),0))/22.38</f>
        <v/>
      </c>
      <c r="BD94">
        <f>SUMPRODUCT((M_BOM[Part Name]=$A94)*M_BOM[RM_Qty_Per_Batch]*IFERROR(INDEX(PP_Grid[#Data],M_BOM[PPGridRow],56),0))/22.38</f>
        <v/>
      </c>
      <c r="BE94">
        <f>SUMPRODUCT((M_BOM[Part Name]=$A94)*M_BOM[RM_Qty_Per_Batch]*IFERROR(INDEX(PP_Grid[#Data],M_BOM[PPGridRow],57),0))/22.38</f>
        <v/>
      </c>
      <c r="BF94">
        <f>SUMPRODUCT((M_BOM[Part Name]=$A94)*M_BOM[RM_Qty_Per_Batch]*IFERROR(INDEX(PP_Grid[#Data],M_BOM[PPGridRow],58),0))/22.38</f>
        <v/>
      </c>
      <c r="BG94">
        <f>SUMPRODUCT((M_BOM[Part Name]=$A94)*M_BOM[RM_Qty_Per_Batch]*IFERROR(INDEX(PP_Grid[#Data],M_BOM[PPGridRow],59),0))/22.38</f>
        <v/>
      </c>
      <c r="BH94">
        <f>SUMPRODUCT((M_BOM[Part Name]=$A94)*M_BOM[RM_Qty_Per_Batch]*IFERROR(INDEX(PP_Grid[#Data],M_BOM[PPGridRow],60),0))/22.38</f>
        <v/>
      </c>
      <c r="BI94">
        <f>SUMPRODUCT((M_BOM[Part Name]=$A94)*M_BOM[RM_Qty_Per_Batch]*IFERROR(INDEX(PP_Grid[#Data],M_BOM[PPGridRow],61),0))/22.38</f>
        <v/>
      </c>
      <c r="BJ94">
        <f>SUMPRODUCT((M_BOM[Part Name]=$A94)*M_BOM[RM_Qty_Per_Batch]*IFERROR(INDEX(PP_Grid[#Data],M_BOM[PPGridRow],62),0))/22.38</f>
        <v/>
      </c>
      <c r="BK94">
        <f>SUMPRODUCT((M_BOM[Part Name]=$A94)*M_BOM[RM_Qty_Per_Batch]*IFERROR(INDEX(PP_Grid[#Data],M_BOM[PPGridRow],63),0))/22.38</f>
        <v/>
      </c>
      <c r="BL94">
        <f>SUMPRODUCT((M_BOM[Part Name]=$A94)*M_BOM[RM_Qty_Per_Batch]*IFERROR(INDEX(PP_Grid[#Data],M_BOM[PPGridRow],64),0))/22.38</f>
        <v/>
      </c>
      <c r="BM94">
        <f>SUMPRODUCT((M_BOM[Part Name]=$A94)*M_BOM[RM_Qty_Per_Batch]*IFERROR(INDEX(PP_Grid[#Data],M_BOM[PPGridRow],65),0))/22.38</f>
        <v/>
      </c>
      <c r="BN94">
        <f>SUMPRODUCT((M_BOM[Part Name]=$A94)*M_BOM[RM_Qty_Per_Batch]*IFERROR(INDEX(PP_Grid[#Data],M_BOM[PPGridRow],66),0))/22.38</f>
        <v/>
      </c>
      <c r="BO94">
        <f>SUMPRODUCT((M_BOM[Part Name]=$A94)*M_BOM[RM_Qty_Per_Batch]*IFERROR(INDEX(PP_Grid[#Data],M_BOM[PPGridRow],67),0))/22.38</f>
        <v/>
      </c>
      <c r="BP94">
        <f>SUMPRODUCT((M_BOM[Part Name]=$A94)*M_BOM[RM_Qty_Per_Batch]*IFERROR(INDEX(PP_Grid[#Data],M_BOM[PPGridRow],68),0))/22.38</f>
        <v/>
      </c>
      <c r="BQ94">
        <f>SUMPRODUCT((M_BOM[Part Name]=$A94)*M_BOM[RM_Qty_Per_Batch]*IFERROR(INDEX(PP_Grid[#Data],M_BOM[PPGridRow],69),0))/22.38</f>
        <v/>
      </c>
      <c r="BR94">
        <f>SUMPRODUCT((M_BOM[Part Name]=$A94)*M_BOM[RM_Qty_Per_Batch]*IFERROR(INDEX(PP_Grid[#Data],M_BOM[PPGridRow],70),0))/22.38</f>
        <v/>
      </c>
      <c r="BS94">
        <f>SUMPRODUCT((M_BOM[Part Name]=$A94)*M_BOM[RM_Qty_Per_Batch]*IFERROR(INDEX(PP_Grid[#Data],M_BOM[PPGridRow],71),0))/22.38</f>
        <v/>
      </c>
      <c r="BT94">
        <f>SUMPRODUCT((M_BOM[Part Name]=$A94)*M_BOM[RM_Qty_Per_Batch]*IFERROR(INDEX(PP_Grid[#Data],M_BOM[PPGridRow],72),0))/22.38</f>
        <v/>
      </c>
      <c r="BU94">
        <f>SUMPRODUCT((M_BOM[Part Name]=$A94)*M_BOM[RM_Qty_Per_Batch]*IFERROR(INDEX(PP_Grid[#Data],M_BOM[PPGridRow],73),0))/22.38</f>
        <v/>
      </c>
      <c r="BV94">
        <f>SUMPRODUCT((M_BOM[Part Name]=$A94)*M_BOM[RM_Qty_Per_Batch]*IFERROR(INDEX(PP_Grid[#Data],M_BOM[PPGridRow],74),0))/22.38</f>
        <v/>
      </c>
      <c r="BW94">
        <f>SUMPRODUCT((M_BOM[Part Name]=$A94)*M_BOM[RM_Qty_Per_Batch]*IFERROR(INDEX(PP_Grid[#Data],M_BOM[PPGridRow],75),0))/22.38</f>
        <v/>
      </c>
      <c r="BX94">
        <f>SUMPRODUCT((M_BOM[Part Name]=$A94)*M_BOM[RM_Qty_Per_Batch]*IFERROR(INDEX(PP_Grid[#Data],M_BOM[PPGridRow],76),0))/22.38</f>
        <v/>
      </c>
      <c r="BY94">
        <f>SUMPRODUCT((M_BOM[Part Name]=$A94)*M_BOM[RM_Qty_Per_Batch]*IFERROR(INDEX(PP_Grid[#Data],M_BOM[PPGridRow],77),0))/22.38</f>
        <v/>
      </c>
      <c r="BZ94">
        <f>SUMPRODUCT((M_BOM[Part Name]=$A94)*M_BOM[RM_Qty_Per_Batch]*IFERROR(INDEX(PP_Grid[#Data],M_BOM[PPGridRow],78),0))/22.38</f>
        <v/>
      </c>
      <c r="CA94">
        <f>SUMPRODUCT((M_BOM[Part Name]=$A94)*M_BOM[RM_Qty_Per_Batch]*IFERROR(INDEX(PP_Grid[#Data],M_BOM[PPGridRow],79),0))/22.38</f>
        <v/>
      </c>
      <c r="CB94">
        <f>SUMPRODUCT((M_BOM[Part Name]=$A94)*M_BOM[RM_Qty_Per_Batch]*IFERROR(INDEX(PP_Grid[#Data],M_BOM[PPGridRow],80),0))/22.38</f>
        <v/>
      </c>
      <c r="CC94">
        <f>SUMPRODUCT((M_BOM[Part Name]=$A94)*M_BOM[RM_Qty_Per_Batch]*IFERROR(INDEX(PP_Grid[#Data],M_BOM[PPGridRow],81),0))/22.38</f>
        <v/>
      </c>
      <c r="CD94">
        <f>SUMPRODUCT((M_BOM[Part Name]=$A94)*M_BOM[RM_Qty_Per_Batch]*IFERROR(INDEX(PP_Grid[#Data],M_BOM[PPGridRow],82),0))/22.38</f>
        <v/>
      </c>
      <c r="CE94">
        <f>SUMPRODUCT((M_BOM[Part Name]=$A94)*M_BOM[RM_Qty_Per_Batch]*IFERROR(INDEX(PP_Grid[#Data],M_BOM[PPGridRow],83),0))/22.38</f>
        <v/>
      </c>
      <c r="CF94">
        <f>SUMPRODUCT((M_BOM[Part Name]=$A94)*M_BOM[RM_Qty_Per_Batch]*IFERROR(INDEX(PP_Grid[#Data],M_BOM[PPGridRow],84),0))/22.38</f>
        <v/>
      </c>
      <c r="CG94">
        <f>SUMPRODUCT((M_BOM[Part Name]=$A94)*M_BOM[RM_Qty_Per_Batch]*IFERROR(INDEX(PP_Grid[#Data],M_BOM[PPGridRow],85),0))/22.38</f>
        <v/>
      </c>
      <c r="CH94">
        <f>SUMPRODUCT((M_BOM[Part Name]=$A94)*M_BOM[RM_Qty_Per_Batch]*IFERROR(INDEX(PP_Grid[#Data],M_BOM[PPGridRow],86),0))/22.38</f>
        <v/>
      </c>
      <c r="CI94">
        <f>SUMPRODUCT((M_BOM[Part Name]=$A94)*M_BOM[RM_Qty_Per_Batch]*IFERROR(INDEX(PP_Grid[#Data],M_BOM[PPGridRow],87),0))/22.38</f>
        <v/>
      </c>
      <c r="CJ94">
        <f>SUMPRODUCT((M_BOM[Part Name]=$A94)*M_BOM[RM_Qty_Per_Batch]*IFERROR(INDEX(PP_Grid[#Data],M_BOM[PPGridRow],88),0))/22.38</f>
        <v/>
      </c>
      <c r="CK94">
        <f>SUMPRODUCT((M_BOM[Part Name]=$A94)*M_BOM[RM_Qty_Per_Batch]*IFERROR(INDEX(PP_Grid[#Data],M_BOM[PPGridRow],89),0))/22.38</f>
        <v/>
      </c>
      <c r="CL94">
        <f>SUMPRODUCT((M_BOM[Part Name]=$A94)*M_BOM[RM_Qty_Per_Batch]*IFERROR(INDEX(PP_Grid[#Data],M_BOM[PPGridRow],90),0))/22.38</f>
        <v/>
      </c>
      <c r="CM94">
        <f>SUMPRODUCT((M_BOM[Part Name]=$A94)*M_BOM[RM_Qty_Per_Batch]*IFERROR(INDEX(PP_Grid[#Data],M_BOM[PPGridRow],91),0))/22.38</f>
        <v/>
      </c>
      <c r="CN94">
        <f>SUMPRODUCT((M_BOM[Part Name]=$A94)*M_BOM[RM_Qty_Per_Batch]*IFERROR(INDEX(PP_Grid[#Data],M_BOM[PPGridRow],92),0))/22.38</f>
        <v/>
      </c>
      <c r="CO94">
        <f>SUMPRODUCT((M_BOM[Part Name]=$A94)*M_BOM[RM_Qty_Per_Batch]*IFERROR(INDEX(PP_Grid[#Data],M_BOM[PPGridRow],93),0))/22.38</f>
        <v/>
      </c>
      <c r="CP94">
        <f>SUMPRODUCT((M_BOM[Part Name]=$A94)*M_BOM[RM_Qty_Per_Batch]*IFERROR(INDEX(PP_Grid[#Data],M_BOM[PPGridRow],94),0))/22.38</f>
        <v/>
      </c>
      <c r="CQ94">
        <f>SUMPRODUCT((M_BOM[Part Name]=$A94)*M_BOM[RM_Qty_Per_Batch]*IFERROR(INDEX(PP_Grid[#Data],M_BOM[PPGridRow],95),0))/22.38</f>
        <v/>
      </c>
      <c r="CR94">
        <f>SUMPRODUCT((M_BOM[Part Name]=$A94)*M_BOM[RM_Qty_Per_Batch]*IFERROR(INDEX(PP_Grid[#Data],M_BOM[PPGridRow],96),0))/22.38</f>
        <v/>
      </c>
      <c r="CS94">
        <f>SUMPRODUCT((M_BOM[Part Name]=$A94)*M_BOM[RM_Qty_Per_Batch]*IFERROR(INDEX(PP_Grid[#Data],M_BOM[PPGridRow],97),0))/22.38</f>
        <v/>
      </c>
      <c r="CT94">
        <f>SUMPRODUCT((M_BOM[Part Name]=$A94)*M_BOM[RM_Qty_Per_Batch]*IFERROR(INDEX(PP_Grid[#Data],M_BOM[PPGridRow],98),0))/22.38</f>
        <v/>
      </c>
      <c r="CU94">
        <f>SUMPRODUCT((M_BOM[Part Name]=$A94)*M_BOM[RM_Qty_Per_Batch]*IFERROR(INDEX(PP_Grid[#Data],M_BOM[PPGridRow],99),0))/22.38</f>
        <v/>
      </c>
      <c r="CV94">
        <f>SUMPRODUCT((M_BOM[Part Name]=$A94)*M_BOM[RM_Qty_Per_Batch]*IFERROR(INDEX(PP_Grid[#Data],M_BOM[PPGridRow],100),0))/22.38</f>
        <v/>
      </c>
      <c r="CW94">
        <f>SUMPRODUCT((M_BOM[Part Name]=$A94)*M_BOM[RM_Qty_Per_Batch]*IFERROR(INDEX(PP_Grid[#Data],M_BOM[PPGridRow],101),0))/22.38</f>
        <v/>
      </c>
      <c r="CX94">
        <f>SUMPRODUCT((M_BOM[Part Name]=$A94)*M_BOM[RM_Qty_Per_Batch]*IFERROR(INDEX(PP_Grid[#Data],M_BOM[PPGridRow],102),0))/22.38</f>
        <v/>
      </c>
      <c r="CY94">
        <f>SUMPRODUCT((M_BOM[Part Name]=$A94)*M_BOM[RM_Qty_Per_Batch]*IFERROR(INDEX(PP_Grid[#Data],M_BOM[PPGridRow],103),0))/22.38</f>
        <v/>
      </c>
      <c r="CZ94">
        <f>SUMPRODUCT((M_BOM[Part Name]=$A94)*M_BOM[RM_Qty_Per_Batch]*IFERROR(INDEX(PP_Grid[#Data],M_BOM[PPGridRow],104),0))/22.38</f>
        <v/>
      </c>
      <c r="DA94">
        <f>SUMPRODUCT((M_BOM[Part Name]=$A94)*M_BOM[RM_Qty_Per_Batch]*IFERROR(INDEX(PP_Grid[#Data],M_BOM[PPGridRow],105),0))/22.38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Name]=$A95)*M_BOM[RM_Qty_Per_Batch]*IFERROR(INDEX(PP_Grid[#Data],M_BOM[PPGridRow],2),0))/200.0</f>
        <v/>
      </c>
      <c r="C95">
        <f>SUMPRODUCT((M_BOM[Part Name]=$A95)*M_BOM[RM_Qty_Per_Batch]*IFERROR(INDEX(PP_Grid[#Data],M_BOM[PPGridRow],3),0))/200.0</f>
        <v/>
      </c>
      <c r="D95">
        <f>SUMPRODUCT((M_BOM[Part Name]=$A95)*M_BOM[RM_Qty_Per_Batch]*IFERROR(INDEX(PP_Grid[#Data],M_BOM[PPGridRow],4),0))/200.0</f>
        <v/>
      </c>
      <c r="E95">
        <f>SUMPRODUCT((M_BOM[Part Name]=$A95)*M_BOM[RM_Qty_Per_Batch]*IFERROR(INDEX(PP_Grid[#Data],M_BOM[PPGridRow],5),0))/200.0</f>
        <v/>
      </c>
      <c r="F95">
        <f>SUMPRODUCT((M_BOM[Part Name]=$A95)*M_BOM[RM_Qty_Per_Batch]*IFERROR(INDEX(PP_Grid[#Data],M_BOM[PPGridRow],6),0))/200.0</f>
        <v/>
      </c>
      <c r="G95">
        <f>SUMPRODUCT((M_BOM[Part Name]=$A95)*M_BOM[RM_Qty_Per_Batch]*IFERROR(INDEX(PP_Grid[#Data],M_BOM[PPGridRow],7),0))/200.0</f>
        <v/>
      </c>
      <c r="H95">
        <f>SUMPRODUCT((M_BOM[Part Name]=$A95)*M_BOM[RM_Qty_Per_Batch]*IFERROR(INDEX(PP_Grid[#Data],M_BOM[PPGridRow],8),0))/200.0</f>
        <v/>
      </c>
      <c r="I95">
        <f>SUMPRODUCT((M_BOM[Part Name]=$A95)*M_BOM[RM_Qty_Per_Batch]*IFERROR(INDEX(PP_Grid[#Data],M_BOM[PPGridRow],9),0))/200.0</f>
        <v/>
      </c>
      <c r="J95">
        <f>SUMPRODUCT((M_BOM[Part Name]=$A95)*M_BOM[RM_Qty_Per_Batch]*IFERROR(INDEX(PP_Grid[#Data],M_BOM[PPGridRow],10),0))/200.0</f>
        <v/>
      </c>
      <c r="K95">
        <f>SUMPRODUCT((M_BOM[Part Name]=$A95)*M_BOM[RM_Qty_Per_Batch]*IFERROR(INDEX(PP_Grid[#Data],M_BOM[PPGridRow],11),0))/200.0</f>
        <v/>
      </c>
      <c r="L95">
        <f>SUMPRODUCT((M_BOM[Part Name]=$A95)*M_BOM[RM_Qty_Per_Batch]*IFERROR(INDEX(PP_Grid[#Data],M_BOM[PPGridRow],12),0))/200.0</f>
        <v/>
      </c>
      <c r="M95">
        <f>SUMPRODUCT((M_BOM[Part Name]=$A95)*M_BOM[RM_Qty_Per_Batch]*IFERROR(INDEX(PP_Grid[#Data],M_BOM[PPGridRow],13),0))/200.0</f>
        <v/>
      </c>
      <c r="N95">
        <f>SUMPRODUCT((M_BOM[Part Name]=$A95)*M_BOM[RM_Qty_Per_Batch]*IFERROR(INDEX(PP_Grid[#Data],M_BOM[PPGridRow],14),0))/200.0</f>
        <v/>
      </c>
      <c r="O95">
        <f>SUMPRODUCT((M_BOM[Part Name]=$A95)*M_BOM[RM_Qty_Per_Batch]*IFERROR(INDEX(PP_Grid[#Data],M_BOM[PPGridRow],15),0))/200.0</f>
        <v/>
      </c>
      <c r="P95">
        <f>SUMPRODUCT((M_BOM[Part Name]=$A95)*M_BOM[RM_Qty_Per_Batch]*IFERROR(INDEX(PP_Grid[#Data],M_BOM[PPGridRow],16),0))/200.0</f>
        <v/>
      </c>
      <c r="Q95">
        <f>SUMPRODUCT((M_BOM[Part Name]=$A95)*M_BOM[RM_Qty_Per_Batch]*IFERROR(INDEX(PP_Grid[#Data],M_BOM[PPGridRow],17),0))/200.0</f>
        <v/>
      </c>
      <c r="R95">
        <f>SUMPRODUCT((M_BOM[Part Name]=$A95)*M_BOM[RM_Qty_Per_Batch]*IFERROR(INDEX(PP_Grid[#Data],M_BOM[PPGridRow],18),0))/200.0</f>
        <v/>
      </c>
      <c r="S95">
        <f>SUMPRODUCT((M_BOM[Part Name]=$A95)*M_BOM[RM_Qty_Per_Batch]*IFERROR(INDEX(PP_Grid[#Data],M_BOM[PPGridRow],19),0))/200.0</f>
        <v/>
      </c>
      <c r="T95">
        <f>SUMPRODUCT((M_BOM[Part Name]=$A95)*M_BOM[RM_Qty_Per_Batch]*IFERROR(INDEX(PP_Grid[#Data],M_BOM[PPGridRow],20),0))/200.0</f>
        <v/>
      </c>
      <c r="U95">
        <f>SUMPRODUCT((M_BOM[Part Name]=$A95)*M_BOM[RM_Qty_Per_Batch]*IFERROR(INDEX(PP_Grid[#Data],M_BOM[PPGridRow],21),0))/200.0</f>
        <v/>
      </c>
      <c r="V95">
        <f>SUMPRODUCT((M_BOM[Part Name]=$A95)*M_BOM[RM_Qty_Per_Batch]*IFERROR(INDEX(PP_Grid[#Data],M_BOM[PPGridRow],22),0))/200.0</f>
        <v/>
      </c>
      <c r="W95">
        <f>SUMPRODUCT((M_BOM[Part Name]=$A95)*M_BOM[RM_Qty_Per_Batch]*IFERROR(INDEX(PP_Grid[#Data],M_BOM[PPGridRow],23),0))/200.0</f>
        <v/>
      </c>
      <c r="X95">
        <f>SUMPRODUCT((M_BOM[Part Name]=$A95)*M_BOM[RM_Qty_Per_Batch]*IFERROR(INDEX(PP_Grid[#Data],M_BOM[PPGridRow],24),0))/200.0</f>
        <v/>
      </c>
      <c r="Y95">
        <f>SUMPRODUCT((M_BOM[Part Name]=$A95)*M_BOM[RM_Qty_Per_Batch]*IFERROR(INDEX(PP_Grid[#Data],M_BOM[PPGridRow],25),0))/200.0</f>
        <v/>
      </c>
      <c r="Z95">
        <f>SUMPRODUCT((M_BOM[Part Name]=$A95)*M_BOM[RM_Qty_Per_Batch]*IFERROR(INDEX(PP_Grid[#Data],M_BOM[PPGridRow],26),0))/200.0</f>
        <v/>
      </c>
      <c r="AA95">
        <f>SUMPRODUCT((M_BOM[Part Name]=$A95)*M_BOM[RM_Qty_Per_Batch]*IFERROR(INDEX(PP_Grid[#Data],M_BOM[PPGridRow],27),0))/200.0</f>
        <v/>
      </c>
      <c r="AB95">
        <f>SUMPRODUCT((M_BOM[Part Name]=$A95)*M_BOM[RM_Qty_Per_Batch]*IFERROR(INDEX(PP_Grid[#Data],M_BOM[PPGridRow],28),0))/200.0</f>
        <v/>
      </c>
      <c r="AC95">
        <f>SUMPRODUCT((M_BOM[Part Name]=$A95)*M_BOM[RM_Qty_Per_Batch]*IFERROR(INDEX(PP_Grid[#Data],M_BOM[PPGridRow],29),0))/200.0</f>
        <v/>
      </c>
      <c r="AD95">
        <f>SUMPRODUCT((M_BOM[Part Name]=$A95)*M_BOM[RM_Qty_Per_Batch]*IFERROR(INDEX(PP_Grid[#Data],M_BOM[PPGridRow],30),0))/200.0</f>
        <v/>
      </c>
      <c r="AE95">
        <f>SUMPRODUCT((M_BOM[Part Name]=$A95)*M_BOM[RM_Qty_Per_Batch]*IFERROR(INDEX(PP_Grid[#Data],M_BOM[PPGridRow],31),0))/200.0</f>
        <v/>
      </c>
      <c r="AF95">
        <f>SUMPRODUCT((M_BOM[Part Name]=$A95)*M_BOM[RM_Qty_Per_Batch]*IFERROR(INDEX(PP_Grid[#Data],M_BOM[PPGridRow],32),0))/200.0</f>
        <v/>
      </c>
      <c r="AG95">
        <f>SUMPRODUCT((M_BOM[Part Name]=$A95)*M_BOM[RM_Qty_Per_Batch]*IFERROR(INDEX(PP_Grid[#Data],M_BOM[PPGridRow],33),0))/200.0</f>
        <v/>
      </c>
      <c r="AH95">
        <f>SUMPRODUCT((M_BOM[Part Name]=$A95)*M_BOM[RM_Qty_Per_Batch]*IFERROR(INDEX(PP_Grid[#Data],M_BOM[PPGridRow],34),0))/200.0</f>
        <v/>
      </c>
      <c r="AI95">
        <f>SUMPRODUCT((M_BOM[Part Name]=$A95)*M_BOM[RM_Qty_Per_Batch]*IFERROR(INDEX(PP_Grid[#Data],M_BOM[PPGridRow],35),0))/200.0</f>
        <v/>
      </c>
      <c r="AJ95">
        <f>SUMPRODUCT((M_BOM[Part Name]=$A95)*M_BOM[RM_Qty_Per_Batch]*IFERROR(INDEX(PP_Grid[#Data],M_BOM[PPGridRow],36),0))/200.0</f>
        <v/>
      </c>
      <c r="AK95">
        <f>SUMPRODUCT((M_BOM[Part Name]=$A95)*M_BOM[RM_Qty_Per_Batch]*IFERROR(INDEX(PP_Grid[#Data],M_BOM[PPGridRow],37),0))/200.0</f>
        <v/>
      </c>
      <c r="AL95">
        <f>SUMPRODUCT((M_BOM[Part Name]=$A95)*M_BOM[RM_Qty_Per_Batch]*IFERROR(INDEX(PP_Grid[#Data],M_BOM[PPGridRow],38),0))/200.0</f>
        <v/>
      </c>
      <c r="AM95">
        <f>SUMPRODUCT((M_BOM[Part Name]=$A95)*M_BOM[RM_Qty_Per_Batch]*IFERROR(INDEX(PP_Grid[#Data],M_BOM[PPGridRow],39),0))/200.0</f>
        <v/>
      </c>
      <c r="AN95">
        <f>SUMPRODUCT((M_BOM[Part Name]=$A95)*M_BOM[RM_Qty_Per_Batch]*IFERROR(INDEX(PP_Grid[#Data],M_BOM[PPGridRow],40),0))/200.0</f>
        <v/>
      </c>
      <c r="AO95">
        <f>SUMPRODUCT((M_BOM[Part Name]=$A95)*M_BOM[RM_Qty_Per_Batch]*IFERROR(INDEX(PP_Grid[#Data],M_BOM[PPGridRow],41),0))/200.0</f>
        <v/>
      </c>
      <c r="AP95">
        <f>SUMPRODUCT((M_BOM[Part Name]=$A95)*M_BOM[RM_Qty_Per_Batch]*IFERROR(INDEX(PP_Grid[#Data],M_BOM[PPGridRow],42),0))/200.0</f>
        <v/>
      </c>
      <c r="AQ95">
        <f>SUMPRODUCT((M_BOM[Part Name]=$A95)*M_BOM[RM_Qty_Per_Batch]*IFERROR(INDEX(PP_Grid[#Data],M_BOM[PPGridRow],43),0))/200.0</f>
        <v/>
      </c>
      <c r="AR95">
        <f>SUMPRODUCT((M_BOM[Part Name]=$A95)*M_BOM[RM_Qty_Per_Batch]*IFERROR(INDEX(PP_Grid[#Data],M_BOM[PPGridRow],44),0))/200.0</f>
        <v/>
      </c>
      <c r="AS95">
        <f>SUMPRODUCT((M_BOM[Part Name]=$A95)*M_BOM[RM_Qty_Per_Batch]*IFERROR(INDEX(PP_Grid[#Data],M_BOM[PPGridRow],45),0))/200.0</f>
        <v/>
      </c>
      <c r="AT95">
        <f>SUMPRODUCT((M_BOM[Part Name]=$A95)*M_BOM[RM_Qty_Per_Batch]*IFERROR(INDEX(PP_Grid[#Data],M_BOM[PPGridRow],46),0))/200.0</f>
        <v/>
      </c>
      <c r="AU95">
        <f>SUMPRODUCT((M_BOM[Part Name]=$A95)*M_BOM[RM_Qty_Per_Batch]*IFERROR(INDEX(PP_Grid[#Data],M_BOM[PPGridRow],47),0))/200.0</f>
        <v/>
      </c>
      <c r="AV95">
        <f>SUMPRODUCT((M_BOM[Part Name]=$A95)*M_BOM[RM_Qty_Per_Batch]*IFERROR(INDEX(PP_Grid[#Data],M_BOM[PPGridRow],48),0))/200.0</f>
        <v/>
      </c>
      <c r="AW95">
        <f>SUMPRODUCT((M_BOM[Part Name]=$A95)*M_BOM[RM_Qty_Per_Batch]*IFERROR(INDEX(PP_Grid[#Data],M_BOM[PPGridRow],49),0))/200.0</f>
        <v/>
      </c>
      <c r="AX95">
        <f>SUMPRODUCT((M_BOM[Part Name]=$A95)*M_BOM[RM_Qty_Per_Batch]*IFERROR(INDEX(PP_Grid[#Data],M_BOM[PPGridRow],50),0))/200.0</f>
        <v/>
      </c>
      <c r="AY95">
        <f>SUMPRODUCT((M_BOM[Part Name]=$A95)*M_BOM[RM_Qty_Per_Batch]*IFERROR(INDEX(PP_Grid[#Data],M_BOM[PPGridRow],51),0))/200.0</f>
        <v/>
      </c>
      <c r="AZ95">
        <f>SUMPRODUCT((M_BOM[Part Name]=$A95)*M_BOM[RM_Qty_Per_Batch]*IFERROR(INDEX(PP_Grid[#Data],M_BOM[PPGridRow],52),0))/200.0</f>
        <v/>
      </c>
      <c r="BA95">
        <f>SUMPRODUCT((M_BOM[Part Name]=$A95)*M_BOM[RM_Qty_Per_Batch]*IFERROR(INDEX(PP_Grid[#Data],M_BOM[PPGridRow],53),0))/200.0</f>
        <v/>
      </c>
      <c r="BB95">
        <f>SUMPRODUCT((M_BOM[Part Name]=$A95)*M_BOM[RM_Qty_Per_Batch]*IFERROR(INDEX(PP_Grid[#Data],M_BOM[PPGridRow],54),0))/200.0</f>
        <v/>
      </c>
      <c r="BC95">
        <f>SUMPRODUCT((M_BOM[Part Name]=$A95)*M_BOM[RM_Qty_Per_Batch]*IFERROR(INDEX(PP_Grid[#Data],M_BOM[PPGridRow],55),0))/200.0</f>
        <v/>
      </c>
      <c r="BD95">
        <f>SUMPRODUCT((M_BOM[Part Name]=$A95)*M_BOM[RM_Qty_Per_Batch]*IFERROR(INDEX(PP_Grid[#Data],M_BOM[PPGridRow],56),0))/200.0</f>
        <v/>
      </c>
      <c r="BE95">
        <f>SUMPRODUCT((M_BOM[Part Name]=$A95)*M_BOM[RM_Qty_Per_Batch]*IFERROR(INDEX(PP_Grid[#Data],M_BOM[PPGridRow],57),0))/200.0</f>
        <v/>
      </c>
      <c r="BF95">
        <f>SUMPRODUCT((M_BOM[Part Name]=$A95)*M_BOM[RM_Qty_Per_Batch]*IFERROR(INDEX(PP_Grid[#Data],M_BOM[PPGridRow],58),0))/200.0</f>
        <v/>
      </c>
      <c r="BG95">
        <f>SUMPRODUCT((M_BOM[Part Name]=$A95)*M_BOM[RM_Qty_Per_Batch]*IFERROR(INDEX(PP_Grid[#Data],M_BOM[PPGridRow],59),0))/200.0</f>
        <v/>
      </c>
      <c r="BH95">
        <f>SUMPRODUCT((M_BOM[Part Name]=$A95)*M_BOM[RM_Qty_Per_Batch]*IFERROR(INDEX(PP_Grid[#Data],M_BOM[PPGridRow],60),0))/200.0</f>
        <v/>
      </c>
      <c r="BI95">
        <f>SUMPRODUCT((M_BOM[Part Name]=$A95)*M_BOM[RM_Qty_Per_Batch]*IFERROR(INDEX(PP_Grid[#Data],M_BOM[PPGridRow],61),0))/200.0</f>
        <v/>
      </c>
      <c r="BJ95">
        <f>SUMPRODUCT((M_BOM[Part Name]=$A95)*M_BOM[RM_Qty_Per_Batch]*IFERROR(INDEX(PP_Grid[#Data],M_BOM[PPGridRow],62),0))/200.0</f>
        <v/>
      </c>
      <c r="BK95">
        <f>SUMPRODUCT((M_BOM[Part Name]=$A95)*M_BOM[RM_Qty_Per_Batch]*IFERROR(INDEX(PP_Grid[#Data],M_BOM[PPGridRow],63),0))/200.0</f>
        <v/>
      </c>
      <c r="BL95">
        <f>SUMPRODUCT((M_BOM[Part Name]=$A95)*M_BOM[RM_Qty_Per_Batch]*IFERROR(INDEX(PP_Grid[#Data],M_BOM[PPGridRow],64),0))/200.0</f>
        <v/>
      </c>
      <c r="BM95">
        <f>SUMPRODUCT((M_BOM[Part Name]=$A95)*M_BOM[RM_Qty_Per_Batch]*IFERROR(INDEX(PP_Grid[#Data],M_BOM[PPGridRow],65),0))/200.0</f>
        <v/>
      </c>
      <c r="BN95">
        <f>SUMPRODUCT((M_BOM[Part Name]=$A95)*M_BOM[RM_Qty_Per_Batch]*IFERROR(INDEX(PP_Grid[#Data],M_BOM[PPGridRow],66),0))/200.0</f>
        <v/>
      </c>
      <c r="BO95">
        <f>SUMPRODUCT((M_BOM[Part Name]=$A95)*M_BOM[RM_Qty_Per_Batch]*IFERROR(INDEX(PP_Grid[#Data],M_BOM[PPGridRow],67),0))/200.0</f>
        <v/>
      </c>
      <c r="BP95">
        <f>SUMPRODUCT((M_BOM[Part Name]=$A95)*M_BOM[RM_Qty_Per_Batch]*IFERROR(INDEX(PP_Grid[#Data],M_BOM[PPGridRow],68),0))/200.0</f>
        <v/>
      </c>
      <c r="BQ95">
        <f>SUMPRODUCT((M_BOM[Part Name]=$A95)*M_BOM[RM_Qty_Per_Batch]*IFERROR(INDEX(PP_Grid[#Data],M_BOM[PPGridRow],69),0))/200.0</f>
        <v/>
      </c>
      <c r="BR95">
        <f>SUMPRODUCT((M_BOM[Part Name]=$A95)*M_BOM[RM_Qty_Per_Batch]*IFERROR(INDEX(PP_Grid[#Data],M_BOM[PPGridRow],70),0))/200.0</f>
        <v/>
      </c>
      <c r="BS95">
        <f>SUMPRODUCT((M_BOM[Part Name]=$A95)*M_BOM[RM_Qty_Per_Batch]*IFERROR(INDEX(PP_Grid[#Data],M_BOM[PPGridRow],71),0))/200.0</f>
        <v/>
      </c>
      <c r="BT95">
        <f>SUMPRODUCT((M_BOM[Part Name]=$A95)*M_BOM[RM_Qty_Per_Batch]*IFERROR(INDEX(PP_Grid[#Data],M_BOM[PPGridRow],72),0))/200.0</f>
        <v/>
      </c>
      <c r="BU95">
        <f>SUMPRODUCT((M_BOM[Part Name]=$A95)*M_BOM[RM_Qty_Per_Batch]*IFERROR(INDEX(PP_Grid[#Data],M_BOM[PPGridRow],73),0))/200.0</f>
        <v/>
      </c>
      <c r="BV95">
        <f>SUMPRODUCT((M_BOM[Part Name]=$A95)*M_BOM[RM_Qty_Per_Batch]*IFERROR(INDEX(PP_Grid[#Data],M_BOM[PPGridRow],74),0))/200.0</f>
        <v/>
      </c>
      <c r="BW95">
        <f>SUMPRODUCT((M_BOM[Part Name]=$A95)*M_BOM[RM_Qty_Per_Batch]*IFERROR(INDEX(PP_Grid[#Data],M_BOM[PPGridRow],75),0))/200.0</f>
        <v/>
      </c>
      <c r="BX95">
        <f>SUMPRODUCT((M_BOM[Part Name]=$A95)*M_BOM[RM_Qty_Per_Batch]*IFERROR(INDEX(PP_Grid[#Data],M_BOM[PPGridRow],76),0))/200.0</f>
        <v/>
      </c>
      <c r="BY95">
        <f>SUMPRODUCT((M_BOM[Part Name]=$A95)*M_BOM[RM_Qty_Per_Batch]*IFERROR(INDEX(PP_Grid[#Data],M_BOM[PPGridRow],77),0))/200.0</f>
        <v/>
      </c>
      <c r="BZ95">
        <f>SUMPRODUCT((M_BOM[Part Name]=$A95)*M_BOM[RM_Qty_Per_Batch]*IFERROR(INDEX(PP_Grid[#Data],M_BOM[PPGridRow],78),0))/200.0</f>
        <v/>
      </c>
      <c r="CA95">
        <f>SUMPRODUCT((M_BOM[Part Name]=$A95)*M_BOM[RM_Qty_Per_Batch]*IFERROR(INDEX(PP_Grid[#Data],M_BOM[PPGridRow],79),0))/200.0</f>
        <v/>
      </c>
      <c r="CB95">
        <f>SUMPRODUCT((M_BOM[Part Name]=$A95)*M_BOM[RM_Qty_Per_Batch]*IFERROR(INDEX(PP_Grid[#Data],M_BOM[PPGridRow],80),0))/200.0</f>
        <v/>
      </c>
      <c r="CC95">
        <f>SUMPRODUCT((M_BOM[Part Name]=$A95)*M_BOM[RM_Qty_Per_Batch]*IFERROR(INDEX(PP_Grid[#Data],M_BOM[PPGridRow],81),0))/200.0</f>
        <v/>
      </c>
      <c r="CD95">
        <f>SUMPRODUCT((M_BOM[Part Name]=$A95)*M_BOM[RM_Qty_Per_Batch]*IFERROR(INDEX(PP_Grid[#Data],M_BOM[PPGridRow],82),0))/200.0</f>
        <v/>
      </c>
      <c r="CE95">
        <f>SUMPRODUCT((M_BOM[Part Name]=$A95)*M_BOM[RM_Qty_Per_Batch]*IFERROR(INDEX(PP_Grid[#Data],M_BOM[PPGridRow],83),0))/200.0</f>
        <v/>
      </c>
      <c r="CF95">
        <f>SUMPRODUCT((M_BOM[Part Name]=$A95)*M_BOM[RM_Qty_Per_Batch]*IFERROR(INDEX(PP_Grid[#Data],M_BOM[PPGridRow],84),0))/200.0</f>
        <v/>
      </c>
      <c r="CG95">
        <f>SUMPRODUCT((M_BOM[Part Name]=$A95)*M_BOM[RM_Qty_Per_Batch]*IFERROR(INDEX(PP_Grid[#Data],M_BOM[PPGridRow],85),0))/200.0</f>
        <v/>
      </c>
      <c r="CH95">
        <f>SUMPRODUCT((M_BOM[Part Name]=$A95)*M_BOM[RM_Qty_Per_Batch]*IFERROR(INDEX(PP_Grid[#Data],M_BOM[PPGridRow],86),0))/200.0</f>
        <v/>
      </c>
      <c r="CI95">
        <f>SUMPRODUCT((M_BOM[Part Name]=$A95)*M_BOM[RM_Qty_Per_Batch]*IFERROR(INDEX(PP_Grid[#Data],M_BOM[PPGridRow],87),0))/200.0</f>
        <v/>
      </c>
      <c r="CJ95">
        <f>SUMPRODUCT((M_BOM[Part Name]=$A95)*M_BOM[RM_Qty_Per_Batch]*IFERROR(INDEX(PP_Grid[#Data],M_BOM[PPGridRow],88),0))/200.0</f>
        <v/>
      </c>
      <c r="CK95">
        <f>SUMPRODUCT((M_BOM[Part Name]=$A95)*M_BOM[RM_Qty_Per_Batch]*IFERROR(INDEX(PP_Grid[#Data],M_BOM[PPGridRow],89),0))/200.0</f>
        <v/>
      </c>
      <c r="CL95">
        <f>SUMPRODUCT((M_BOM[Part Name]=$A95)*M_BOM[RM_Qty_Per_Batch]*IFERROR(INDEX(PP_Grid[#Data],M_BOM[PPGridRow],90),0))/200.0</f>
        <v/>
      </c>
      <c r="CM95">
        <f>SUMPRODUCT((M_BOM[Part Name]=$A95)*M_BOM[RM_Qty_Per_Batch]*IFERROR(INDEX(PP_Grid[#Data],M_BOM[PPGridRow],91),0))/200.0</f>
        <v/>
      </c>
      <c r="CN95">
        <f>SUMPRODUCT((M_BOM[Part Name]=$A95)*M_BOM[RM_Qty_Per_Batch]*IFERROR(INDEX(PP_Grid[#Data],M_BOM[PPGridRow],92),0))/200.0</f>
        <v/>
      </c>
      <c r="CO95">
        <f>SUMPRODUCT((M_BOM[Part Name]=$A95)*M_BOM[RM_Qty_Per_Batch]*IFERROR(INDEX(PP_Grid[#Data],M_BOM[PPGridRow],93),0))/200.0</f>
        <v/>
      </c>
      <c r="CP95">
        <f>SUMPRODUCT((M_BOM[Part Name]=$A95)*M_BOM[RM_Qty_Per_Batch]*IFERROR(INDEX(PP_Grid[#Data],M_BOM[PPGridRow],94),0))/200.0</f>
        <v/>
      </c>
      <c r="CQ95">
        <f>SUMPRODUCT((M_BOM[Part Name]=$A95)*M_BOM[RM_Qty_Per_Batch]*IFERROR(INDEX(PP_Grid[#Data],M_BOM[PPGridRow],95),0))/200.0</f>
        <v/>
      </c>
      <c r="CR95">
        <f>SUMPRODUCT((M_BOM[Part Name]=$A95)*M_BOM[RM_Qty_Per_Batch]*IFERROR(INDEX(PP_Grid[#Data],M_BOM[PPGridRow],96),0))/200.0</f>
        <v/>
      </c>
      <c r="CS95">
        <f>SUMPRODUCT((M_BOM[Part Name]=$A95)*M_BOM[RM_Qty_Per_Batch]*IFERROR(INDEX(PP_Grid[#Data],M_BOM[PPGridRow],97),0))/200.0</f>
        <v/>
      </c>
      <c r="CT95">
        <f>SUMPRODUCT((M_BOM[Part Name]=$A95)*M_BOM[RM_Qty_Per_Batch]*IFERROR(INDEX(PP_Grid[#Data],M_BOM[PPGridRow],98),0))/200.0</f>
        <v/>
      </c>
      <c r="CU95">
        <f>SUMPRODUCT((M_BOM[Part Name]=$A95)*M_BOM[RM_Qty_Per_Batch]*IFERROR(INDEX(PP_Grid[#Data],M_BOM[PPGridRow],99),0))/200.0</f>
        <v/>
      </c>
      <c r="CV95">
        <f>SUMPRODUCT((M_BOM[Part Name]=$A95)*M_BOM[RM_Qty_Per_Batch]*IFERROR(INDEX(PP_Grid[#Data],M_BOM[PPGridRow],100),0))/200.0</f>
        <v/>
      </c>
      <c r="CW95">
        <f>SUMPRODUCT((M_BOM[Part Name]=$A95)*M_BOM[RM_Qty_Per_Batch]*IFERROR(INDEX(PP_Grid[#Data],M_BOM[PPGridRow],101),0))/200.0</f>
        <v/>
      </c>
      <c r="CX95">
        <f>SUMPRODUCT((M_BOM[Part Name]=$A95)*M_BOM[RM_Qty_Per_Batch]*IFERROR(INDEX(PP_Grid[#Data],M_BOM[PPGridRow],102),0))/200.0</f>
        <v/>
      </c>
      <c r="CY95">
        <f>SUMPRODUCT((M_BOM[Part Name]=$A95)*M_BOM[RM_Qty_Per_Batch]*IFERROR(INDEX(PP_Grid[#Data],M_BOM[PPGridRow],103),0))/200.0</f>
        <v/>
      </c>
      <c r="CZ95">
        <f>SUMPRODUCT((M_BOM[Part Name]=$A95)*M_BOM[RM_Qty_Per_Batch]*IFERROR(INDEX(PP_Grid[#Data],M_BOM[PPGridRow],104),0))/200.0</f>
        <v/>
      </c>
      <c r="DA95">
        <f>SUMPRODUCT((M_BOM[Part Name]=$A95)*M_BOM[RM_Qty_Per_Batch]*IFERROR(INDEX(PP_Grid[#Data],M_BOM[PPGridRow],105),0))/200.0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2026-08-07T07:24:52Z</dcterms:created>
  <dcterms:modified xsi:type="dcterms:W3CDTF">2026-08-07T07:24:55Z</dcterms:modified>
</cp:coreProperties>
</file>