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860"/>
  </bookViews>
  <sheets>
    <sheet name="initial_data_2001" sheetId="1" r:id="rId1"/>
    <sheet name="OAK" sheetId="2" r:id="rId2"/>
    <sheet name="Pines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M19" i="1"/>
  <c r="H38"/>
  <c r="H39"/>
  <c r="H40"/>
  <c r="H41"/>
  <c r="H42"/>
  <c r="H43"/>
  <c r="H44"/>
  <c r="H45"/>
  <c r="H46"/>
  <c r="G38"/>
  <c r="G39"/>
  <c r="G40"/>
  <c r="G41"/>
  <c r="G42"/>
  <c r="G43"/>
  <c r="G44"/>
  <c r="G45"/>
  <c r="G46"/>
  <c r="F38"/>
  <c r="F39"/>
  <c r="F40"/>
  <c r="F41"/>
  <c r="F42"/>
  <c r="F43"/>
  <c r="F44"/>
  <c r="F45"/>
  <c r="F46"/>
  <c r="E38"/>
  <c r="E39"/>
  <c r="E40"/>
  <c r="E41"/>
  <c r="E42"/>
  <c r="E43"/>
  <c r="E44"/>
  <c r="E45"/>
  <c r="E46"/>
  <c r="D42"/>
  <c r="D43"/>
  <c r="D44"/>
  <c r="D45"/>
  <c r="D46"/>
  <c r="D41"/>
  <c r="D38"/>
  <c r="D39"/>
  <c r="D40"/>
  <c r="E51"/>
  <c r="E52"/>
  <c r="E50"/>
  <c r="D51"/>
  <c r="D52"/>
  <c r="D50"/>
  <c r="E37"/>
  <c r="D37"/>
  <c r="N67" i="2"/>
  <c r="O67"/>
  <c r="P67"/>
  <c r="Q67"/>
  <c r="R67"/>
  <c r="M67"/>
  <c r="L67"/>
  <c r="K67"/>
  <c r="I67"/>
  <c r="N66"/>
  <c r="O66"/>
  <c r="P66"/>
  <c r="Q66"/>
  <c r="R66"/>
  <c r="M66"/>
  <c r="L66"/>
  <c r="K66"/>
  <c r="I66"/>
  <c r="N65"/>
  <c r="O65"/>
  <c r="P65"/>
  <c r="Q65"/>
  <c r="R65"/>
  <c r="M65"/>
  <c r="L65"/>
  <c r="K65"/>
  <c r="I65"/>
  <c r="S48"/>
  <c r="S42"/>
  <c r="S35"/>
  <c r="B56"/>
  <c r="B47"/>
  <c r="B41"/>
  <c r="I52" i="3"/>
  <c r="M52"/>
  <c r="N52"/>
  <c r="O52"/>
  <c r="P52"/>
  <c r="Q52"/>
  <c r="R52"/>
  <c r="P35"/>
  <c r="P36"/>
  <c r="P37"/>
  <c r="P38"/>
  <c r="P39"/>
  <c r="P40"/>
  <c r="P41"/>
  <c r="P42"/>
  <c r="P43"/>
  <c r="P44"/>
  <c r="P45"/>
  <c r="P46"/>
  <c r="P47"/>
  <c r="P48"/>
  <c r="P49"/>
  <c r="P50"/>
  <c r="P51"/>
  <c r="P34"/>
  <c r="N35"/>
  <c r="N36"/>
  <c r="N37"/>
  <c r="N38"/>
  <c r="N39"/>
  <c r="N40"/>
  <c r="N41"/>
  <c r="N42"/>
  <c r="N43"/>
  <c r="N44"/>
  <c r="N45"/>
  <c r="N46"/>
  <c r="N47"/>
  <c r="N48"/>
  <c r="N49"/>
  <c r="N50"/>
  <c r="N51"/>
  <c r="N34"/>
  <c r="M35"/>
  <c r="M36"/>
  <c r="M37"/>
  <c r="M38"/>
  <c r="M39"/>
  <c r="M40"/>
  <c r="M41"/>
  <c r="M42"/>
  <c r="M43"/>
  <c r="M44"/>
  <c r="M45"/>
  <c r="M46"/>
  <c r="M47"/>
  <c r="M48"/>
  <c r="M49"/>
  <c r="M50"/>
  <c r="M51"/>
  <c r="M34"/>
  <c r="L35"/>
  <c r="L36"/>
  <c r="L37"/>
  <c r="L38"/>
  <c r="L39"/>
  <c r="L40"/>
  <c r="L41"/>
  <c r="L42"/>
  <c r="L43"/>
  <c r="L44"/>
  <c r="L45"/>
  <c r="L46"/>
  <c r="L47"/>
  <c r="L48"/>
  <c r="L49"/>
  <c r="L50"/>
  <c r="L51"/>
  <c r="L34"/>
  <c r="G29"/>
  <c r="E29"/>
  <c r="D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I29" s="1"/>
  <c r="J8"/>
  <c r="J7"/>
  <c r="J6"/>
  <c r="J5"/>
  <c r="J4"/>
  <c r="F37" i="1" l="1"/>
  <c r="G37" s="1"/>
  <c r="H37" s="1"/>
  <c r="I37" s="1"/>
  <c r="I46"/>
  <c r="I41"/>
  <c r="F50"/>
  <c r="G50" s="1"/>
  <c r="H50" s="1"/>
  <c r="F51"/>
  <c r="G51" s="1"/>
  <c r="H51" s="1"/>
  <c r="F52"/>
  <c r="G52" s="1"/>
  <c r="H52" s="1"/>
  <c r="P56" i="2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J57"/>
  <c r="M57"/>
  <c r="N57"/>
  <c r="O57"/>
  <c r="P57"/>
  <c r="Q57"/>
  <c r="R57"/>
  <c r="I5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35"/>
  <c r="I31"/>
  <c r="F31"/>
  <c r="E31"/>
  <c r="D31"/>
  <c r="J29"/>
  <c r="H31"/>
  <c r="O26" i="1"/>
  <c r="N6"/>
  <c r="N7"/>
  <c r="N9"/>
  <c r="N10"/>
  <c r="N11"/>
  <c r="N12"/>
  <c r="N13"/>
  <c r="N14"/>
  <c r="N5"/>
  <c r="P6"/>
  <c r="S6" s="1"/>
  <c r="P7"/>
  <c r="S7" s="1"/>
  <c r="P9"/>
  <c r="S9" s="1"/>
  <c r="P10"/>
  <c r="S10" s="1"/>
  <c r="P11"/>
  <c r="S11" s="1"/>
  <c r="P12"/>
  <c r="S12" s="1"/>
  <c r="P13"/>
  <c r="S13" s="1"/>
  <c r="P14"/>
  <c r="S14" s="1"/>
  <c r="P5"/>
  <c r="M21"/>
  <c r="M22"/>
  <c r="M23"/>
  <c r="M24"/>
  <c r="M25"/>
  <c r="M18"/>
  <c r="N19"/>
  <c r="N21"/>
  <c r="N22"/>
  <c r="N23"/>
  <c r="N24"/>
  <c r="N25"/>
  <c r="N18"/>
  <c r="P19"/>
  <c r="P21"/>
  <c r="P22"/>
  <c r="P23"/>
  <c r="P24"/>
  <c r="P25"/>
  <c r="P18"/>
  <c r="N36"/>
  <c r="S5" l="1"/>
  <c r="I52"/>
  <c r="I51"/>
  <c r="I50"/>
  <c r="L19"/>
  <c r="L20"/>
  <c r="L21"/>
  <c r="L22"/>
  <c r="L23"/>
  <c r="L24"/>
  <c r="L25"/>
  <c r="L18"/>
  <c r="I20" l="1"/>
  <c r="L14"/>
  <c r="L13"/>
  <c r="L12"/>
  <c r="L11"/>
  <c r="L10"/>
  <c r="L9"/>
  <c r="L8"/>
  <c r="I8"/>
  <c r="L7"/>
  <c r="L6"/>
  <c r="L5"/>
  <c r="N8" l="1"/>
  <c r="N15" s="1"/>
  <c r="P8"/>
  <c r="M20"/>
  <c r="M26" s="1"/>
  <c r="N20"/>
  <c r="N26" s="1"/>
  <c r="P20"/>
  <c r="P26" s="1"/>
  <c r="I15"/>
  <c r="I26"/>
  <c r="S8" l="1"/>
  <c r="P15"/>
</calcChain>
</file>

<file path=xl/comments1.xml><?xml version="1.0" encoding="utf-8"?>
<comments xmlns="http://schemas.openxmlformats.org/spreadsheetml/2006/main">
  <authors>
    <author>Autore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polinomial function of Bert xls file called "final pine table"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S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per far fare al modello tre layers</t>
        </r>
      </text>
    </comment>
    <comment ref="R56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tre layers
emergenti
dominanti
dominati</t>
        </r>
      </text>
    </comment>
  </commentList>
</comments>
</file>

<file path=xl/comments3.xml><?xml version="1.0" encoding="utf-8"?>
<comments xmlns="http://schemas.openxmlformats.org/spreadsheetml/2006/main">
  <authors>
    <author>Autore</author>
  </authors>
  <commentList>
    <comment ref="T15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R5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considerare come unico layer</t>
        </r>
      </text>
    </comment>
  </commentList>
</comments>
</file>

<file path=xl/sharedStrings.xml><?xml version="1.0" encoding="utf-8"?>
<sst xmlns="http://schemas.openxmlformats.org/spreadsheetml/2006/main" count="361" uniqueCount="67">
  <si>
    <t>data from Yuste et al 2005 Tree Phys.</t>
  </si>
  <si>
    <t>x</t>
  </si>
  <si>
    <t>y</t>
  </si>
  <si>
    <t>Landuse</t>
  </si>
  <si>
    <t>Age</t>
  </si>
  <si>
    <t>Species</t>
  </si>
  <si>
    <t>Management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</si>
  <si>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</si>
  <si>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</si>
  <si>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</si>
  <si>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</si>
  <si>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</si>
  <si>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</si>
  <si>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</si>
  <si>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</si>
  <si>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</si>
  <si>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Lai</t>
  </si>
  <si>
    <t>F</t>
  </si>
  <si>
    <t>Quercusrobur</t>
  </si>
  <si>
    <t>T</t>
  </si>
  <si>
    <t>Pinussylvestris</t>
  </si>
  <si>
    <t>data related to 2001</t>
  </si>
  <si>
    <t xml:space="preserve"> </t>
  </si>
  <si>
    <t>stem</t>
  </si>
  <si>
    <t>Branch</t>
  </si>
  <si>
    <t>Foliage</t>
  </si>
  <si>
    <t>Coarse root</t>
  </si>
  <si>
    <t>a</t>
  </si>
  <si>
    <t>b</t>
  </si>
  <si>
    <t xml:space="preserve">power function for oaks </t>
  </si>
  <si>
    <t>equation</t>
  </si>
  <si>
    <t>y=aDBH^b</t>
  </si>
  <si>
    <t>y=a*EXP(bDBH)</t>
  </si>
  <si>
    <t>TOT</t>
  </si>
  <si>
    <t>Stem+Branches</t>
  </si>
  <si>
    <t>coarse root</t>
  </si>
  <si>
    <t>foliage</t>
  </si>
  <si>
    <t>reserve</t>
  </si>
  <si>
    <t>fine root</t>
  </si>
  <si>
    <t>y=aDBHb</t>
  </si>
  <si>
    <t>function for pines</t>
  </si>
  <si>
    <t>all these variables are reffered to the number of trees of that DBH class</t>
  </si>
  <si>
    <t>Optional</t>
  </si>
  <si>
    <t>Ws per tree</t>
  </si>
  <si>
    <t>frequency</t>
  </si>
  <si>
    <t>average DBH</t>
  </si>
  <si>
    <t>DBH class</t>
  </si>
  <si>
    <t>2001_mean_DBH</t>
  </si>
  <si>
    <t>interi</t>
  </si>
  <si>
    <t>sum</t>
  </si>
  <si>
    <t>Ws+branches</t>
  </si>
  <si>
    <t>stem+branchesreserve</t>
  </si>
  <si>
    <t>2008_mean_DBH</t>
  </si>
  <si>
    <t>intero</t>
  </si>
  <si>
    <t>N_tree</t>
  </si>
  <si>
    <t>y=adbh^b</t>
  </si>
  <si>
    <t>somma</t>
  </si>
  <si>
    <t>av Height</t>
  </si>
  <si>
    <t xml:space="preserve">dbh </t>
  </si>
  <si>
    <t>Stem</t>
  </si>
  <si>
    <t>Tot</t>
  </si>
  <si>
    <t>%stem</t>
  </si>
  <si>
    <t>%branch</t>
  </si>
  <si>
    <t>%tot</t>
  </si>
  <si>
    <t>stump</t>
  </si>
  <si>
    <t>oak</t>
  </si>
  <si>
    <t>pines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</si>
</sst>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23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initial_data_2001!$G$37:$G$46</c:f>
              <c:numCache>
                <c:formatCode>General</c:formatCode>
                <c:ptCount val="10"/>
                <c:pt idx="0">
                  <c:v>90.567419695539698</c:v>
                </c:pt>
                <c:pt idx="1">
                  <c:v>85.260306987798742</c:v>
                </c:pt>
                <c:pt idx="2">
                  <c:v>81.133826469277111</c:v>
                </c:pt>
                <c:pt idx="3">
                  <c:v>77.702364533554032</c:v>
                </c:pt>
                <c:pt idx="4">
                  <c:v>74.748900393694669</c:v>
                </c:pt>
                <c:pt idx="5">
                  <c:v>72.15110894488619</c:v>
                </c:pt>
                <c:pt idx="6">
                  <c:v>69.831143591327873</c:v>
                </c:pt>
                <c:pt idx="7">
                  <c:v>67.735549931374194</c:v>
                </c:pt>
                <c:pt idx="8">
                  <c:v>65.825644379260325</c:v>
                </c:pt>
                <c:pt idx="9">
                  <c:v>64.072331006142932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initial_data_2001!$H$37:$H$46</c:f>
              <c:numCache>
                <c:formatCode>General</c:formatCode>
                <c:ptCount val="10"/>
                <c:pt idx="0">
                  <c:v>9.432580304460302</c:v>
                </c:pt>
                <c:pt idx="1">
                  <c:v>14.739693012201258</c:v>
                </c:pt>
                <c:pt idx="2">
                  <c:v>18.866173530722889</c:v>
                </c:pt>
                <c:pt idx="3">
                  <c:v>22.297635466445968</c:v>
                </c:pt>
                <c:pt idx="4">
                  <c:v>25.251099606305331</c:v>
                </c:pt>
                <c:pt idx="5">
                  <c:v>27.84889105511381</c:v>
                </c:pt>
                <c:pt idx="6">
                  <c:v>30.168856408672127</c:v>
                </c:pt>
                <c:pt idx="7">
                  <c:v>32.264450068625806</c:v>
                </c:pt>
                <c:pt idx="8">
                  <c:v>34.174355620739675</c:v>
                </c:pt>
                <c:pt idx="9">
                  <c:v>35.927668993857068</c:v>
                </c:pt>
              </c:numCache>
            </c:numRef>
          </c:val>
        </c:ser>
        <c:marker val="1"/>
        <c:axId val="92154112"/>
        <c:axId val="92160000"/>
      </c:lineChart>
      <c:catAx>
        <c:axId val="92154112"/>
        <c:scaling>
          <c:orientation val="minMax"/>
        </c:scaling>
        <c:axPos val="b"/>
        <c:tickLblPos val="nextTo"/>
        <c:crossAx val="92160000"/>
        <c:crosses val="autoZero"/>
        <c:auto val="1"/>
        <c:lblAlgn val="ctr"/>
        <c:lblOffset val="100"/>
      </c:catAx>
      <c:valAx>
        <c:axId val="92160000"/>
        <c:scaling>
          <c:orientation val="minMax"/>
        </c:scaling>
        <c:axPos val="l"/>
        <c:majorGridlines/>
        <c:numFmt formatCode="General" sourceLinked="1"/>
        <c:tickLblPos val="nextTo"/>
        <c:crossAx val="9215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OAK!$I$34</c:f>
              <c:strCache>
                <c:ptCount val="1"/>
                <c:pt idx="0">
                  <c:v>N_tree</c:v>
                </c:pt>
              </c:strCache>
            </c:strRef>
          </c:tx>
          <c:cat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cat>
          <c:val>
            <c:numRef>
              <c:f>OAK!$I$35:$I$56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91722112"/>
        <c:axId val="91723648"/>
      </c:barChart>
      <c:catAx>
        <c:axId val="91722112"/>
        <c:scaling>
          <c:orientation val="minMax"/>
        </c:scaling>
        <c:axPos val="b"/>
        <c:numFmt formatCode="General" sourceLinked="1"/>
        <c:tickLblPos val="nextTo"/>
        <c:crossAx val="91723648"/>
        <c:crosses val="autoZero"/>
        <c:auto val="1"/>
        <c:lblAlgn val="ctr"/>
        <c:lblOffset val="100"/>
      </c:catAx>
      <c:valAx>
        <c:axId val="91723648"/>
        <c:scaling>
          <c:orientation val="minMax"/>
        </c:scaling>
        <c:axPos val="l"/>
        <c:majorGridlines/>
        <c:numFmt formatCode="General" sourceLinked="1"/>
        <c:tickLblPos val="nextTo"/>
        <c:crossAx val="917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xVal>
          <c:yVal>
            <c:numRef>
              <c:f>OAK!$L$35:$L$56</c:f>
              <c:numCache>
                <c:formatCode>General</c:formatCode>
                <c:ptCount val="22"/>
                <c:pt idx="0">
                  <c:v>9.837421137950475</c:v>
                </c:pt>
                <c:pt idx="1">
                  <c:v>11.002062241604477</c:v>
                </c:pt>
                <c:pt idx="2">
                  <c:v>12.363204048162377</c:v>
                </c:pt>
                <c:pt idx="3">
                  <c:v>13.293329024822086</c:v>
                </c:pt>
                <c:pt idx="4">
                  <c:v>14.07150531679741</c:v>
                </c:pt>
                <c:pt idx="5">
                  <c:v>14.871741523909332</c:v>
                </c:pt>
                <c:pt idx="6">
                  <c:v>15.555201188420035</c:v>
                </c:pt>
                <c:pt idx="7">
                  <c:v>16.147597261286673</c:v>
                </c:pt>
                <c:pt idx="8">
                  <c:v>16.769413980699461</c:v>
                </c:pt>
                <c:pt idx="9">
                  <c:v>17.229398252975464</c:v>
                </c:pt>
                <c:pt idx="10">
                  <c:v>17.755750380114701</c:v>
                </c:pt>
                <c:pt idx="11">
                  <c:v>18.213885565751028</c:v>
                </c:pt>
                <c:pt idx="12">
                  <c:v>18.644748023488646</c:v>
                </c:pt>
                <c:pt idx="13">
                  <c:v>19.094092511884835</c:v>
                </c:pt>
                <c:pt idx="14">
                  <c:v>19.47778328060383</c:v>
                </c:pt>
                <c:pt idx="15">
                  <c:v>19.797826148344168</c:v>
                </c:pt>
                <c:pt idx="16">
                  <c:v>20.199987736527667</c:v>
                </c:pt>
                <c:pt idx="17">
                  <c:v>20.457056039468707</c:v>
                </c:pt>
                <c:pt idx="18">
                  <c:v>20.706611068187097</c:v>
                </c:pt>
                <c:pt idx="19">
                  <c:v>20.981175233432943</c:v>
                </c:pt>
                <c:pt idx="20">
                  <c:v>21.45778823926533</c:v>
                </c:pt>
                <c:pt idx="21">
                  <c:v>21.744782507532545</c:v>
                </c:pt>
              </c:numCache>
            </c:numRef>
          </c:yVal>
        </c:ser>
        <c:axId val="93403008"/>
        <c:axId val="93404544"/>
      </c:scatterChart>
      <c:valAx>
        <c:axId val="93403008"/>
        <c:scaling>
          <c:orientation val="minMax"/>
        </c:scaling>
        <c:axPos val="b"/>
        <c:numFmt formatCode="General" sourceLinked="1"/>
        <c:tickLblPos val="nextTo"/>
        <c:crossAx val="93404544"/>
        <c:crosses val="autoZero"/>
        <c:crossBetween val="midCat"/>
      </c:valAx>
      <c:valAx>
        <c:axId val="93404544"/>
        <c:scaling>
          <c:orientation val="minMax"/>
        </c:scaling>
        <c:axPos val="l"/>
        <c:majorGridlines/>
        <c:numFmt formatCode="General" sourceLinked="1"/>
        <c:tickLblPos val="nextTo"/>
        <c:crossAx val="93403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Pines!$I$34:$I$51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32</c:v>
                </c:pt>
                <c:pt idx="3">
                  <c:v>43</c:v>
                </c:pt>
                <c:pt idx="4">
                  <c:v>68</c:v>
                </c:pt>
                <c:pt idx="5">
                  <c:v>67</c:v>
                </c:pt>
                <c:pt idx="6">
                  <c:v>53</c:v>
                </c:pt>
                <c:pt idx="7">
                  <c:v>36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axId val="93411584"/>
        <c:axId val="94666752"/>
      </c:barChart>
      <c:catAx>
        <c:axId val="93411584"/>
        <c:scaling>
          <c:orientation val="minMax"/>
        </c:scaling>
        <c:axPos val="b"/>
        <c:tickLblPos val="nextTo"/>
        <c:crossAx val="94666752"/>
        <c:crosses val="autoZero"/>
        <c:auto val="1"/>
        <c:lblAlgn val="ctr"/>
        <c:lblOffset val="100"/>
      </c:catAx>
      <c:valAx>
        <c:axId val="94666752"/>
        <c:scaling>
          <c:orientation val="minMax"/>
        </c:scaling>
        <c:axPos val="l"/>
        <c:majorGridlines/>
        <c:numFmt formatCode="General" sourceLinked="1"/>
        <c:tickLblPos val="nextTo"/>
        <c:crossAx val="93411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41</xdr:row>
      <xdr:rowOff>85725</xdr:rowOff>
    </xdr:from>
    <xdr:to>
      <xdr:col>14</xdr:col>
      <xdr:colOff>781050</xdr:colOff>
      <xdr:row>55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346983</xdr:colOff>
      <xdr:row>27</xdr:row>
      <xdr:rowOff>160564</xdr:rowOff>
    </xdr:from>
    <xdr:to>
      <xdr:col>34</xdr:col>
      <xdr:colOff>42182</xdr:colOff>
      <xdr:row>42</xdr:row>
      <xdr:rowOff>27214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533401</xdr:colOff>
      <xdr:row>43</xdr:row>
      <xdr:rowOff>46264</xdr:rowOff>
    </xdr:from>
    <xdr:to>
      <xdr:col>34</xdr:col>
      <xdr:colOff>228600</xdr:colOff>
      <xdr:row>57</xdr:row>
      <xdr:rowOff>112939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32</xdr:row>
      <xdr:rowOff>19050</xdr:rowOff>
    </xdr:from>
    <xdr:to>
      <xdr:col>27</xdr:col>
      <xdr:colOff>381000</xdr:colOff>
      <xdr:row>46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cus_PermanentePlot_2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us_PermanentePlot_2010_paperA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  <sheetName val="Fogli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</sheetNames>
    <sheetDataSet>
      <sheetData sheetId="0"/>
      <sheetData sheetId="1">
        <row r="14">
          <cell r="J14">
            <v>21.533333333333331</v>
          </cell>
        </row>
        <row r="16">
          <cell r="J16">
            <v>24.400000000000002</v>
          </cell>
        </row>
        <row r="18">
          <cell r="J18">
            <v>23.133333333333336</v>
          </cell>
        </row>
        <row r="20">
          <cell r="J20">
            <v>21.599999999999998</v>
          </cell>
        </row>
        <row r="22">
          <cell r="J22">
            <v>20.366666666666664</v>
          </cell>
        </row>
        <row r="24">
          <cell r="J24">
            <v>19.433333333333334</v>
          </cell>
        </row>
        <row r="26">
          <cell r="J26">
            <v>27.099999999999998</v>
          </cell>
        </row>
        <row r="28">
          <cell r="J28">
            <v>26.266666666666666</v>
          </cell>
        </row>
        <row r="30">
          <cell r="J30">
            <v>26.066666666666666</v>
          </cell>
        </row>
        <row r="32">
          <cell r="J32">
            <v>24.233333333333334</v>
          </cell>
        </row>
        <row r="34">
          <cell r="J34">
            <v>23.033333333333331</v>
          </cell>
        </row>
        <row r="36">
          <cell r="J36">
            <v>20.700000000000003</v>
          </cell>
        </row>
        <row r="38">
          <cell r="J38">
            <v>21.766666666666669</v>
          </cell>
        </row>
        <row r="40">
          <cell r="J40">
            <v>23.366666666666664</v>
          </cell>
        </row>
        <row r="42">
          <cell r="J42">
            <v>19.566666666666666</v>
          </cell>
        </row>
        <row r="44">
          <cell r="J44">
            <v>23.166666666666668</v>
          </cell>
        </row>
        <row r="46">
          <cell r="J46">
            <v>24.133333333333336</v>
          </cell>
        </row>
        <row r="48">
          <cell r="J48">
            <v>23.7</v>
          </cell>
        </row>
        <row r="50">
          <cell r="J50">
            <v>19.900000000000002</v>
          </cell>
        </row>
        <row r="52">
          <cell r="J52">
            <v>25.633333333333336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tabSelected="1" topLeftCell="A4" workbookViewId="0">
      <selection activeCell="M19" sqref="M19"/>
    </sheetView>
  </sheetViews>
  <sheetFormatPr defaultRowHeight="15"/>
  <cols>
    <col min="3" max="3" width="16.28515625" style="1" bestFit="1" customWidth="1"/>
    <col min="4" max="16" width="14" style="1" customWidth="1"/>
    <col min="17" max="18" width="14" customWidth="1"/>
  </cols>
  <sheetData>
    <row r="1" spans="1:19">
      <c r="A1" t="s">
        <v>0</v>
      </c>
      <c r="Q1" s="1"/>
      <c r="R1" s="1"/>
    </row>
    <row r="2" spans="1:19">
      <c r="M2" s="56" t="s">
        <v>41</v>
      </c>
      <c r="N2" s="56"/>
      <c r="O2" s="56"/>
      <c r="P2" s="56"/>
      <c r="Q2" s="56"/>
      <c r="R2" s="1" t="s">
        <v>42</v>
      </c>
    </row>
    <row r="3" spans="1:19" ht="15.75" thickBot="1">
      <c r="C3" s="1" t="s">
        <v>21</v>
      </c>
      <c r="M3" s="1" t="s">
        <v>36</v>
      </c>
      <c r="N3" s="1" t="s">
        <v>35</v>
      </c>
      <c r="O3" s="1" t="s">
        <v>38</v>
      </c>
      <c r="P3" s="1" t="s">
        <v>34</v>
      </c>
      <c r="Q3" s="1" t="s">
        <v>37</v>
      </c>
      <c r="R3" s="1"/>
    </row>
    <row r="4" spans="1:19" ht="15.75" thickBot="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4" t="s">
        <v>16</v>
      </c>
      <c r="S4" s="12" t="s">
        <v>43</v>
      </c>
    </row>
    <row r="5" spans="1:19" ht="15.75" thickBot="1">
      <c r="C5" s="2">
        <v>0</v>
      </c>
      <c r="D5" s="3">
        <v>0</v>
      </c>
      <c r="E5" s="3" t="s">
        <v>17</v>
      </c>
      <c r="F5" s="3">
        <v>65</v>
      </c>
      <c r="G5" s="3" t="s">
        <v>18</v>
      </c>
      <c r="H5" s="3" t="s">
        <v>19</v>
      </c>
      <c r="I5" s="3">
        <v>15</v>
      </c>
      <c r="J5" s="3">
        <v>0</v>
      </c>
      <c r="K5" s="3">
        <v>8</v>
      </c>
      <c r="L5" s="3">
        <f>6.8937*LN(K5)-5.4273</f>
        <v>8.9077461558782822</v>
      </c>
      <c r="M5" s="3">
        <v>0</v>
      </c>
      <c r="N5" s="3">
        <f>(D$33*EXP(E$33*(K5)))*I5</f>
        <v>56.478589941120838</v>
      </c>
      <c r="O5" s="3">
        <v>0</v>
      </c>
      <c r="P5" s="3">
        <f>I5*(((D$30*((K5)^E$30)))+((D$31*((K5)^E$31))))</f>
        <v>238.18006327276811</v>
      </c>
      <c r="Q5" s="3">
        <v>0</v>
      </c>
      <c r="R5" s="4">
        <v>0</v>
      </c>
      <c r="S5">
        <f>P5/I5</f>
        <v>15.878670884851207</v>
      </c>
    </row>
    <row r="6" spans="1:19" ht="15.75" thickBot="1">
      <c r="A6" t="s">
        <v>22</v>
      </c>
      <c r="C6" s="5">
        <v>0</v>
      </c>
      <c r="D6" s="6">
        <v>0</v>
      </c>
      <c r="E6" s="6" t="s">
        <v>17</v>
      </c>
      <c r="F6" s="6">
        <v>65</v>
      </c>
      <c r="G6" s="6" t="s">
        <v>18</v>
      </c>
      <c r="H6" s="6" t="s">
        <v>19</v>
      </c>
      <c r="I6" s="6">
        <v>24</v>
      </c>
      <c r="J6" s="6">
        <v>0</v>
      </c>
      <c r="K6" s="6">
        <v>12</v>
      </c>
      <c r="L6" s="6">
        <f t="shared" ref="L6:L14" si="0">6.8937*LN(K6)-5.4273</f>
        <v>11.70290097164354</v>
      </c>
      <c r="M6" s="6">
        <v>0</v>
      </c>
      <c r="N6" s="3">
        <f t="shared" ref="N6:N14" si="1">(D$33*EXP(E$33*(K6)))*I6</f>
        <v>127.2642020269348</v>
      </c>
      <c r="O6" s="6">
        <v>0</v>
      </c>
      <c r="P6" s="3">
        <f t="shared" ref="P6:P14" si="2">I6*(((D$30*((K6)^E$30)))+((D$31*((K6)^E$31))))</f>
        <v>1130.5519077959075</v>
      </c>
      <c r="Q6" s="6">
        <v>0</v>
      </c>
      <c r="R6" s="9">
        <v>0</v>
      </c>
      <c r="S6">
        <f t="shared" ref="S6:S14" si="3">P6/I6</f>
        <v>47.106329491496147</v>
      </c>
    </row>
    <row r="7" spans="1:19" ht="15.75" thickBot="1">
      <c r="C7" s="5">
        <v>0</v>
      </c>
      <c r="D7" s="6">
        <v>0</v>
      </c>
      <c r="E7" s="6" t="s">
        <v>17</v>
      </c>
      <c r="F7" s="6">
        <v>65</v>
      </c>
      <c r="G7" s="6" t="s">
        <v>18</v>
      </c>
      <c r="H7" s="6" t="s">
        <v>19</v>
      </c>
      <c r="I7" s="6">
        <v>56</v>
      </c>
      <c r="J7" s="6">
        <v>0</v>
      </c>
      <c r="K7" s="6">
        <v>16</v>
      </c>
      <c r="L7" s="6">
        <f t="shared" si="0"/>
        <v>13.686094874504381</v>
      </c>
      <c r="M7" s="6">
        <v>0</v>
      </c>
      <c r="N7" s="3">
        <f t="shared" si="1"/>
        <v>418.2013925581482</v>
      </c>
      <c r="O7" s="6">
        <v>0</v>
      </c>
      <c r="P7" s="3">
        <f t="shared" si="2"/>
        <v>5747.4440484803417</v>
      </c>
      <c r="Q7" s="6">
        <v>0</v>
      </c>
      <c r="R7" s="9">
        <v>0</v>
      </c>
      <c r="S7">
        <f t="shared" si="3"/>
        <v>102.63292943714896</v>
      </c>
    </row>
    <row r="8" spans="1:19" ht="15.75" thickBot="1">
      <c r="C8" s="5">
        <v>0</v>
      </c>
      <c r="D8" s="6">
        <v>0</v>
      </c>
      <c r="E8" s="6" t="s">
        <v>17</v>
      </c>
      <c r="F8" s="6">
        <v>65</v>
      </c>
      <c r="G8" s="6" t="s">
        <v>18</v>
      </c>
      <c r="H8" s="6" t="s">
        <v>19</v>
      </c>
      <c r="I8" s="6">
        <f>37+28</f>
        <v>65</v>
      </c>
      <c r="J8" s="6">
        <v>0</v>
      </c>
      <c r="K8" s="6">
        <v>20</v>
      </c>
      <c r="L8" s="6">
        <f t="shared" si="0"/>
        <v>15.224379574199148</v>
      </c>
      <c r="M8" s="6">
        <v>0</v>
      </c>
      <c r="N8" s="3">
        <f t="shared" si="1"/>
        <v>683.61759936746239</v>
      </c>
      <c r="O8" s="6">
        <v>0</v>
      </c>
      <c r="P8" s="3">
        <f t="shared" si="2"/>
        <v>12263.075947427995</v>
      </c>
      <c r="Q8" s="6">
        <v>0</v>
      </c>
      <c r="R8" s="9">
        <v>0</v>
      </c>
      <c r="S8">
        <f t="shared" si="3"/>
        <v>188.66270688350761</v>
      </c>
    </row>
    <row r="9" spans="1:19" ht="15.75" thickBot="1">
      <c r="C9" s="5">
        <v>0</v>
      </c>
      <c r="D9" s="6">
        <v>0</v>
      </c>
      <c r="E9" s="6" t="s">
        <v>17</v>
      </c>
      <c r="F9" s="6">
        <v>65</v>
      </c>
      <c r="G9" s="6" t="s">
        <v>18</v>
      </c>
      <c r="H9" s="6" t="s">
        <v>19</v>
      </c>
      <c r="I9" s="6">
        <v>61</v>
      </c>
      <c r="J9" s="6">
        <v>0</v>
      </c>
      <c r="K9" s="6">
        <v>24</v>
      </c>
      <c r="L9" s="6">
        <f t="shared" si="0"/>
        <v>16.481249690269635</v>
      </c>
      <c r="M9" s="6">
        <v>0</v>
      </c>
      <c r="N9" s="3">
        <f t="shared" si="1"/>
        <v>903.50829442145425</v>
      </c>
      <c r="O9" s="6">
        <v>0</v>
      </c>
      <c r="P9" s="3">
        <f t="shared" si="2"/>
        <v>18989.966189321356</v>
      </c>
      <c r="Q9" s="6">
        <v>0</v>
      </c>
      <c r="R9" s="9">
        <v>0</v>
      </c>
      <c r="S9">
        <f t="shared" si="3"/>
        <v>311.31092113641569</v>
      </c>
    </row>
    <row r="10" spans="1:19" ht="15.75" thickBot="1">
      <c r="C10" s="5">
        <v>0</v>
      </c>
      <c r="D10" s="6">
        <v>0</v>
      </c>
      <c r="E10" s="6" t="s">
        <v>17</v>
      </c>
      <c r="F10" s="6">
        <v>65</v>
      </c>
      <c r="G10" s="6" t="s">
        <v>18</v>
      </c>
      <c r="H10" s="6" t="s">
        <v>19</v>
      </c>
      <c r="I10" s="6">
        <v>42</v>
      </c>
      <c r="J10" s="6">
        <v>0</v>
      </c>
      <c r="K10" s="6">
        <v>28</v>
      </c>
      <c r="L10" s="6">
        <f t="shared" si="0"/>
        <v>17.543918231794802</v>
      </c>
      <c r="M10" s="6">
        <v>0</v>
      </c>
      <c r="N10" s="3">
        <f t="shared" si="1"/>
        <v>876.10070504216765</v>
      </c>
      <c r="O10" s="6">
        <v>0</v>
      </c>
      <c r="P10" s="3">
        <f t="shared" si="2"/>
        <v>20019.797332334321</v>
      </c>
      <c r="Q10" s="6">
        <v>0</v>
      </c>
      <c r="R10" s="9">
        <v>0</v>
      </c>
      <c r="S10">
        <f t="shared" si="3"/>
        <v>476.66184124605525</v>
      </c>
    </row>
    <row r="11" spans="1:19" ht="15.75" thickBot="1">
      <c r="C11" s="5">
        <v>0</v>
      </c>
      <c r="D11" s="6">
        <v>0</v>
      </c>
      <c r="E11" s="6" t="s">
        <v>17</v>
      </c>
      <c r="F11" s="6">
        <v>65</v>
      </c>
      <c r="G11" s="6" t="s">
        <v>18</v>
      </c>
      <c r="H11" s="6" t="s">
        <v>19</v>
      </c>
      <c r="I11" s="6">
        <v>28</v>
      </c>
      <c r="J11" s="6">
        <v>0</v>
      </c>
      <c r="K11" s="6">
        <v>32</v>
      </c>
      <c r="L11" s="6">
        <f t="shared" si="0"/>
        <v>18.464443593130476</v>
      </c>
      <c r="M11" s="6">
        <v>0</v>
      </c>
      <c r="N11" s="3">
        <f t="shared" si="1"/>
        <v>822.55548251899336</v>
      </c>
      <c r="O11" s="6">
        <v>0</v>
      </c>
      <c r="P11" s="3">
        <f t="shared" si="2"/>
        <v>19342.386633508984</v>
      </c>
      <c r="Q11" s="6">
        <v>0</v>
      </c>
      <c r="R11" s="9">
        <v>0</v>
      </c>
      <c r="S11">
        <f t="shared" si="3"/>
        <v>690.79952262532083</v>
      </c>
    </row>
    <row r="12" spans="1:19" ht="15.75" thickBot="1">
      <c r="C12" s="5">
        <v>0</v>
      </c>
      <c r="D12" s="6">
        <v>0</v>
      </c>
      <c r="E12" s="6" t="s">
        <v>17</v>
      </c>
      <c r="F12" s="6">
        <v>65</v>
      </c>
      <c r="G12" s="6" t="s">
        <v>18</v>
      </c>
      <c r="H12" s="6" t="s">
        <v>19</v>
      </c>
      <c r="I12" s="6">
        <v>11</v>
      </c>
      <c r="J12" s="6">
        <v>0</v>
      </c>
      <c r="K12" s="6">
        <v>36</v>
      </c>
      <c r="L12" s="6">
        <f t="shared" si="0"/>
        <v>19.276404506034886</v>
      </c>
      <c r="M12" s="6">
        <v>0</v>
      </c>
      <c r="N12" s="3">
        <f t="shared" si="1"/>
        <v>455.09523235877651</v>
      </c>
      <c r="O12" s="6">
        <v>0</v>
      </c>
      <c r="P12" s="3">
        <f t="shared" si="2"/>
        <v>10558.082568534412</v>
      </c>
      <c r="Q12" s="6">
        <v>0</v>
      </c>
      <c r="R12" s="9">
        <v>0</v>
      </c>
      <c r="S12">
        <f t="shared" si="3"/>
        <v>959.82568804858283</v>
      </c>
    </row>
    <row r="13" spans="1:19" ht="15.75" thickBot="1">
      <c r="C13" s="5">
        <v>0</v>
      </c>
      <c r="D13" s="6">
        <v>0</v>
      </c>
      <c r="E13" s="6" t="s">
        <v>17</v>
      </c>
      <c r="F13" s="6">
        <v>65</v>
      </c>
      <c r="G13" s="6" t="s">
        <v>18</v>
      </c>
      <c r="H13" s="6" t="s">
        <v>19</v>
      </c>
      <c r="I13" s="6">
        <v>6</v>
      </c>
      <c r="J13" s="6">
        <v>0</v>
      </c>
      <c r="K13" s="6">
        <v>40</v>
      </c>
      <c r="L13" s="6">
        <f t="shared" si="0"/>
        <v>20.002728292825243</v>
      </c>
      <c r="M13" s="6">
        <v>0</v>
      </c>
      <c r="N13" s="3">
        <f t="shared" si="1"/>
        <v>349.59344561593986</v>
      </c>
      <c r="O13" s="6">
        <v>0</v>
      </c>
      <c r="P13" s="3">
        <f t="shared" si="2"/>
        <v>7739.2242929421809</v>
      </c>
      <c r="Q13" s="6">
        <v>0</v>
      </c>
      <c r="R13" s="9">
        <v>0</v>
      </c>
      <c r="S13">
        <f t="shared" si="3"/>
        <v>1289.8707154903634</v>
      </c>
    </row>
    <row r="14" spans="1:19" ht="15.75" thickBot="1">
      <c r="C14" s="7">
        <v>0</v>
      </c>
      <c r="D14" s="8">
        <v>0</v>
      </c>
      <c r="E14" s="8" t="s">
        <v>17</v>
      </c>
      <c r="F14" s="8">
        <v>65</v>
      </c>
      <c r="G14" s="8" t="s">
        <v>18</v>
      </c>
      <c r="H14" s="8" t="s">
        <v>19</v>
      </c>
      <c r="I14" s="8">
        <v>3</v>
      </c>
      <c r="J14" s="8">
        <v>0</v>
      </c>
      <c r="K14" s="8">
        <v>44</v>
      </c>
      <c r="L14" s="8">
        <f t="shared" si="0"/>
        <v>20.659768079342317</v>
      </c>
      <c r="M14" s="8">
        <v>0</v>
      </c>
      <c r="N14" s="3">
        <f t="shared" si="1"/>
        <v>246.17033494761574</v>
      </c>
      <c r="O14" s="8">
        <v>0</v>
      </c>
      <c r="P14" s="3">
        <f t="shared" si="2"/>
        <v>5061.3018870267551</v>
      </c>
      <c r="Q14" s="8">
        <v>0</v>
      </c>
      <c r="R14" s="10">
        <v>0</v>
      </c>
      <c r="S14">
        <f t="shared" si="3"/>
        <v>1687.1006290089183</v>
      </c>
    </row>
    <row r="15" spans="1:19">
      <c r="B15" t="s">
        <v>33</v>
      </c>
      <c r="C15" s="6"/>
      <c r="D15" s="6"/>
      <c r="E15" s="6"/>
      <c r="F15" s="6"/>
      <c r="G15" s="6"/>
      <c r="H15" s="6"/>
      <c r="I15" s="6">
        <f>SUM(I5:I14)</f>
        <v>311</v>
      </c>
      <c r="J15" s="6"/>
      <c r="K15" s="6"/>
      <c r="L15" s="6"/>
      <c r="M15" s="6"/>
      <c r="N15" s="6">
        <f>SUM(N5:N14)/1000</f>
        <v>4.9385852787986142</v>
      </c>
      <c r="O15" s="6"/>
      <c r="P15" s="6">
        <f>SUM(P5:P14)/1000</f>
        <v>101.09001087064503</v>
      </c>
      <c r="Q15" s="6"/>
      <c r="R15" s="6"/>
    </row>
    <row r="16" spans="1:19" ht="15.75" thickBot="1">
      <c r="Q16" s="1"/>
      <c r="R16" s="1"/>
    </row>
    <row r="17" spans="2:18" ht="15.75" thickBot="1">
      <c r="C17" s="2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4" t="s">
        <v>16</v>
      </c>
    </row>
    <row r="18" spans="2:18" ht="15.75" thickBot="1">
      <c r="C18" s="2">
        <v>0</v>
      </c>
      <c r="D18" s="3">
        <v>1</v>
      </c>
      <c r="E18" s="3" t="s">
        <v>17</v>
      </c>
      <c r="F18" s="3">
        <v>72</v>
      </c>
      <c r="G18" s="3" t="s">
        <v>20</v>
      </c>
      <c r="H18" s="3" t="s">
        <v>19</v>
      </c>
      <c r="I18" s="3">
        <v>2</v>
      </c>
      <c r="J18" s="3">
        <v>0</v>
      </c>
      <c r="K18" s="3">
        <v>16</v>
      </c>
      <c r="L18" s="3">
        <f>(-0.0082*(K18*K18))+(0.665*K18)+9.0113</f>
        <v>17.552100000000003</v>
      </c>
      <c r="M18" s="3">
        <f>I18*(K$32*K18^L$32)</f>
        <v>4.4473338764848842</v>
      </c>
      <c r="N18" s="3">
        <f>I18*(K$33*K18^L$33)</f>
        <v>19.545581983204851</v>
      </c>
      <c r="O18" s="3">
        <v>0</v>
      </c>
      <c r="P18" s="3">
        <f t="shared" ref="P18:P25" si="4">(I18*(0.1227*((K117)^2.3232))+I18*(0.0022*((K18)^2.9123)))</f>
        <v>14.132249689548686</v>
      </c>
      <c r="Q18" s="3">
        <v>0</v>
      </c>
      <c r="R18" s="4">
        <v>0</v>
      </c>
    </row>
    <row r="19" spans="2:18" ht="15.75" thickBot="1">
      <c r="C19" s="5">
        <v>0</v>
      </c>
      <c r="D19" s="6">
        <v>1</v>
      </c>
      <c r="E19" s="6" t="s">
        <v>17</v>
      </c>
      <c r="F19" s="6">
        <v>72</v>
      </c>
      <c r="G19" s="6" t="s">
        <v>20</v>
      </c>
      <c r="H19" s="6" t="s">
        <v>19</v>
      </c>
      <c r="I19" s="6">
        <v>41</v>
      </c>
      <c r="J19" s="6">
        <v>0</v>
      </c>
      <c r="K19" s="6">
        <v>20</v>
      </c>
      <c r="L19" s="6">
        <f t="shared" ref="L19:L25" si="5">(-0.0082*(K19*K19))+(0.665*K19)+9.0113</f>
        <v>19.031300000000002</v>
      </c>
      <c r="M19" s="3">
        <f>I19*(K$32*K19^L$32)</f>
        <v>150.19679890613421</v>
      </c>
      <c r="N19" s="3">
        <f t="shared" ref="N19:N25" si="6">I19*(K$33*K19^L$33)</f>
        <v>758.82135188032146</v>
      </c>
      <c r="O19" s="6">
        <v>0</v>
      </c>
      <c r="P19" s="3">
        <f t="shared" si="4"/>
        <v>554.87632349138664</v>
      </c>
      <c r="Q19" s="6">
        <v>0</v>
      </c>
      <c r="R19" s="9">
        <v>0</v>
      </c>
    </row>
    <row r="20" spans="2:18" ht="15.75" thickBot="1">
      <c r="C20" s="5">
        <v>0</v>
      </c>
      <c r="D20" s="6">
        <v>1</v>
      </c>
      <c r="E20" s="6" t="s">
        <v>17</v>
      </c>
      <c r="F20" s="6">
        <v>72</v>
      </c>
      <c r="G20" s="6" t="s">
        <v>20</v>
      </c>
      <c r="H20" s="6" t="s">
        <v>19</v>
      </c>
      <c r="I20" s="6">
        <f>43+68</f>
        <v>111</v>
      </c>
      <c r="J20" s="6">
        <v>0</v>
      </c>
      <c r="K20" s="6">
        <v>24</v>
      </c>
      <c r="L20" s="6">
        <f t="shared" si="5"/>
        <v>20.248100000000001</v>
      </c>
      <c r="M20" s="3">
        <f t="shared" ref="M19:M25" si="7">I20*(K$32*K20^L$32)</f>
        <v>611.42625340964685</v>
      </c>
      <c r="N20" s="3">
        <f t="shared" si="6"/>
        <v>3461.6213013833685</v>
      </c>
      <c r="O20" s="6">
        <v>0</v>
      </c>
      <c r="P20" s="3">
        <f t="shared" si="4"/>
        <v>2554.6702989816927</v>
      </c>
      <c r="Q20" s="6">
        <v>0</v>
      </c>
      <c r="R20" s="9">
        <v>0</v>
      </c>
    </row>
    <row r="21" spans="2:18" ht="15.75" thickBot="1">
      <c r="C21" s="5">
        <v>0</v>
      </c>
      <c r="D21" s="6">
        <v>1</v>
      </c>
      <c r="E21" s="6" t="s">
        <v>17</v>
      </c>
      <c r="F21" s="6">
        <v>72</v>
      </c>
      <c r="G21" s="6" t="s">
        <v>20</v>
      </c>
      <c r="H21" s="6" t="s">
        <v>19</v>
      </c>
      <c r="I21" s="6">
        <v>120</v>
      </c>
      <c r="J21" s="6">
        <v>0</v>
      </c>
      <c r="K21" s="6">
        <v>28</v>
      </c>
      <c r="L21" s="6">
        <f t="shared" si="5"/>
        <v>21.202500000000001</v>
      </c>
      <c r="M21" s="3">
        <f t="shared" si="7"/>
        <v>933.20210025563347</v>
      </c>
      <c r="N21" s="3">
        <f t="shared" si="6"/>
        <v>5817.3627338570923</v>
      </c>
      <c r="O21" s="6">
        <v>0</v>
      </c>
      <c r="P21" s="3">
        <f t="shared" si="4"/>
        <v>4326.7545748582907</v>
      </c>
      <c r="Q21" s="6">
        <v>0</v>
      </c>
      <c r="R21" s="9">
        <v>0</v>
      </c>
    </row>
    <row r="22" spans="2:18" ht="15.75" thickBot="1">
      <c r="C22" s="5">
        <v>0</v>
      </c>
      <c r="D22" s="6">
        <v>1</v>
      </c>
      <c r="E22" s="6" t="s">
        <v>17</v>
      </c>
      <c r="F22" s="6">
        <v>72</v>
      </c>
      <c r="G22" s="6" t="s">
        <v>20</v>
      </c>
      <c r="H22" s="6" t="s">
        <v>19</v>
      </c>
      <c r="I22" s="6">
        <v>59</v>
      </c>
      <c r="J22" s="6">
        <v>0</v>
      </c>
      <c r="K22" s="6">
        <v>32</v>
      </c>
      <c r="L22" s="6">
        <f t="shared" si="5"/>
        <v>21.894500000000001</v>
      </c>
      <c r="M22" s="3">
        <f t="shared" si="7"/>
        <v>618.56601702430748</v>
      </c>
      <c r="N22" s="3">
        <f t="shared" si="6"/>
        <v>4191.3918438175087</v>
      </c>
      <c r="O22" s="6">
        <v>0</v>
      </c>
      <c r="P22" s="3">
        <f t="shared" si="4"/>
        <v>3138.506080077289</v>
      </c>
      <c r="Q22" s="6">
        <v>0</v>
      </c>
      <c r="R22" s="9">
        <v>0</v>
      </c>
    </row>
    <row r="23" spans="2:18" ht="15.75" thickBot="1">
      <c r="C23" s="5">
        <v>0</v>
      </c>
      <c r="D23" s="6">
        <v>1</v>
      </c>
      <c r="E23" s="6" t="s">
        <v>17</v>
      </c>
      <c r="F23" s="6">
        <v>72</v>
      </c>
      <c r="G23" s="6" t="s">
        <v>20</v>
      </c>
      <c r="H23" s="6" t="s">
        <v>19</v>
      </c>
      <c r="I23" s="6">
        <v>32</v>
      </c>
      <c r="J23" s="6">
        <v>0</v>
      </c>
      <c r="K23" s="6">
        <v>36</v>
      </c>
      <c r="L23" s="6">
        <f t="shared" si="5"/>
        <v>22.324100000000001</v>
      </c>
      <c r="M23" s="3">
        <f t="shared" si="7"/>
        <v>436.63892270034813</v>
      </c>
      <c r="N23" s="3">
        <f t="shared" si="6"/>
        <v>3184.5239493618869</v>
      </c>
      <c r="O23" s="6">
        <v>0</v>
      </c>
      <c r="P23" s="3">
        <f t="shared" si="4"/>
        <v>2398.7911181073837</v>
      </c>
      <c r="Q23" s="6">
        <v>0</v>
      </c>
      <c r="R23" s="9">
        <v>0</v>
      </c>
    </row>
    <row r="24" spans="2:18" ht="15.75" thickBot="1">
      <c r="C24" s="5">
        <v>0</v>
      </c>
      <c r="D24" s="6">
        <v>1</v>
      </c>
      <c r="E24" s="6" t="s">
        <v>17</v>
      </c>
      <c r="F24" s="6">
        <v>72</v>
      </c>
      <c r="G24" s="6" t="s">
        <v>20</v>
      </c>
      <c r="H24" s="6" t="s">
        <v>19</v>
      </c>
      <c r="I24" s="6">
        <v>7</v>
      </c>
      <c r="J24" s="6">
        <v>0</v>
      </c>
      <c r="K24" s="6">
        <v>40</v>
      </c>
      <c r="L24" s="6">
        <f t="shared" si="5"/>
        <v>22.491300000000003</v>
      </c>
      <c r="M24" s="3">
        <f t="shared" si="7"/>
        <v>120.9035815913136</v>
      </c>
      <c r="N24" s="3">
        <f t="shared" si="6"/>
        <v>941.76244415920928</v>
      </c>
      <c r="O24" s="6">
        <v>0</v>
      </c>
      <c r="P24" s="3">
        <f t="shared" si="4"/>
        <v>713.18144182496133</v>
      </c>
      <c r="Q24" s="6">
        <v>0</v>
      </c>
      <c r="R24" s="9">
        <v>0</v>
      </c>
    </row>
    <row r="25" spans="2:18" ht="15.75" thickBot="1">
      <c r="C25" s="7">
        <v>0</v>
      </c>
      <c r="D25" s="8">
        <v>1</v>
      </c>
      <c r="E25" s="8" t="s">
        <v>17</v>
      </c>
      <c r="F25" s="8">
        <v>72</v>
      </c>
      <c r="G25" s="8" t="s">
        <v>20</v>
      </c>
      <c r="H25" s="8" t="s">
        <v>19</v>
      </c>
      <c r="I25" s="8">
        <v>2</v>
      </c>
      <c r="J25" s="8">
        <v>0</v>
      </c>
      <c r="K25" s="8">
        <v>44</v>
      </c>
      <c r="L25" s="8">
        <f t="shared" si="5"/>
        <v>22.396100000000001</v>
      </c>
      <c r="M25" s="3">
        <f t="shared" si="7"/>
        <v>42.753811416751432</v>
      </c>
      <c r="N25" s="3">
        <f t="shared" si="6"/>
        <v>353.4523793639533</v>
      </c>
      <c r="O25" s="8">
        <v>0</v>
      </c>
      <c r="P25" s="3">
        <f t="shared" si="4"/>
        <v>268.95517574591838</v>
      </c>
      <c r="Q25" s="8">
        <v>0</v>
      </c>
      <c r="R25" s="10">
        <v>0</v>
      </c>
    </row>
    <row r="26" spans="2:18">
      <c r="B26" t="s">
        <v>33</v>
      </c>
      <c r="I26" s="1">
        <f>SUM(I18:I25)</f>
        <v>374</v>
      </c>
      <c r="M26" s="1">
        <f>SUM(M18:M25)/1000</f>
        <v>2.91813481918062</v>
      </c>
      <c r="N26" s="11">
        <f>SUM(N18:N25)/1000</f>
        <v>18.728481585806545</v>
      </c>
      <c r="O26" s="11">
        <f>SUM(O18:O25)/1000</f>
        <v>0</v>
      </c>
      <c r="P26" s="11">
        <f>SUM(P18:P25)/1000</f>
        <v>13.96986726277647</v>
      </c>
    </row>
    <row r="28" spans="2:18">
      <c r="D28" s="1" t="s">
        <v>29</v>
      </c>
      <c r="K28" s="1" t="s">
        <v>40</v>
      </c>
    </row>
    <row r="29" spans="2:18">
      <c r="D29" s="1" t="s">
        <v>27</v>
      </c>
      <c r="E29" s="1" t="s">
        <v>28</v>
      </c>
      <c r="F29" s="1" t="s">
        <v>30</v>
      </c>
      <c r="K29" s="1" t="s">
        <v>27</v>
      </c>
      <c r="L29" s="1" t="s">
        <v>28</v>
      </c>
      <c r="M29" s="1" t="s">
        <v>30</v>
      </c>
    </row>
    <row r="30" spans="2:18">
      <c r="C30" s="1" t="s">
        <v>23</v>
      </c>
      <c r="D30" s="1">
        <v>6.54E-2</v>
      </c>
      <c r="E30" s="1">
        <v>2.5752999999999999</v>
      </c>
      <c r="F30" s="1" t="s">
        <v>31</v>
      </c>
      <c r="J30" s="1" t="s">
        <v>23</v>
      </c>
      <c r="K30" s="1">
        <v>0.1227</v>
      </c>
      <c r="L30" s="1">
        <v>2.3271999999999999</v>
      </c>
      <c r="M30" s="1" t="s">
        <v>39</v>
      </c>
    </row>
    <row r="31" spans="2:18">
      <c r="C31" s="1" t="s">
        <v>24</v>
      </c>
      <c r="D31" s="1">
        <v>2.0999999999999999E-3</v>
      </c>
      <c r="E31" s="1">
        <v>3.3064</v>
      </c>
      <c r="F31" s="1" t="s">
        <v>31</v>
      </c>
      <c r="J31" s="1" t="s">
        <v>24</v>
      </c>
      <c r="K31" s="1">
        <v>2.2000000000000001E-3</v>
      </c>
      <c r="L31" s="1">
        <v>2.9123000000000001</v>
      </c>
      <c r="M31" s="1" t="s">
        <v>39</v>
      </c>
    </row>
    <row r="32" spans="2:18">
      <c r="C32" s="1" t="s">
        <v>25</v>
      </c>
      <c r="D32" s="1">
        <v>2.3999999999999998E-3</v>
      </c>
      <c r="E32" s="1">
        <v>2.6080999999999999</v>
      </c>
      <c r="F32" s="1" t="s">
        <v>31</v>
      </c>
      <c r="J32" s="1" t="s">
        <v>25</v>
      </c>
      <c r="K32" s="1">
        <v>4.4999999999999997E-3</v>
      </c>
      <c r="L32" s="1">
        <v>2.2372000000000001</v>
      </c>
      <c r="M32" s="1" t="s">
        <v>39</v>
      </c>
    </row>
    <row r="33" spans="2:16">
      <c r="C33" s="1" t="s">
        <v>26</v>
      </c>
      <c r="D33" s="1">
        <v>1.8984000000000001</v>
      </c>
      <c r="E33" s="1">
        <v>8.5599999999999996E-2</v>
      </c>
      <c r="F33" s="1" t="s">
        <v>32</v>
      </c>
      <c r="J33" s="1" t="s">
        <v>26</v>
      </c>
      <c r="K33" s="1">
        <v>3.5000000000000001E-3</v>
      </c>
      <c r="L33" s="1">
        <v>2.8618000000000001</v>
      </c>
      <c r="M33" s="1" t="s">
        <v>39</v>
      </c>
    </row>
    <row r="34" spans="2:16">
      <c r="C34" s="55" t="s">
        <v>64</v>
      </c>
      <c r="D34" s="1">
        <v>1.03E-2</v>
      </c>
      <c r="E34" s="1">
        <v>8.5599999999999996E-2</v>
      </c>
      <c r="F34" s="55" t="s">
        <v>31</v>
      </c>
    </row>
    <row r="36" spans="2:16">
      <c r="B36" t="s">
        <v>65</v>
      </c>
      <c r="C36" s="55" t="s">
        <v>58</v>
      </c>
      <c r="D36" s="55" t="s">
        <v>59</v>
      </c>
      <c r="E36" s="55" t="s">
        <v>24</v>
      </c>
      <c r="F36" s="55" t="s">
        <v>60</v>
      </c>
      <c r="G36" s="55" t="s">
        <v>61</v>
      </c>
      <c r="H36" s="55" t="s">
        <v>62</v>
      </c>
      <c r="I36" s="55" t="s">
        <v>63</v>
      </c>
      <c r="N36" s="1">
        <f>K30*((K18/10)^L30)</f>
        <v>0.36633008468982825</v>
      </c>
    </row>
    <row r="37" spans="2:16">
      <c r="C37" s="55">
        <v>5</v>
      </c>
      <c r="D37" s="1">
        <f>D$30*(C37^E$30)</f>
        <v>4.1270069523587622</v>
      </c>
      <c r="E37" s="1">
        <f>D$31*(C37^E$31)</f>
        <v>0.42982702417773694</v>
      </c>
      <c r="F37" s="1">
        <f>SUM(D37:E37)</f>
        <v>4.5568339765364989</v>
      </c>
      <c r="G37" s="1">
        <f>(100*D37)/F37</f>
        <v>90.567419695539698</v>
      </c>
      <c r="H37" s="1">
        <f>100-G37</f>
        <v>9.432580304460302</v>
      </c>
      <c r="I37" s="1">
        <f>SUM(G37:H37)</f>
        <v>100</v>
      </c>
    </row>
    <row r="38" spans="2:16">
      <c r="C38" s="55">
        <v>10</v>
      </c>
      <c r="D38" s="55">
        <f t="shared" ref="D38:D40" si="8">D$30*(C38^E$30)</f>
        <v>24.596751207188916</v>
      </c>
      <c r="E38" s="55">
        <f t="shared" ref="E38:E46" si="9">D$31*(C38^E$31)</f>
        <v>4.2522549437141777</v>
      </c>
      <c r="F38" s="55">
        <f t="shared" ref="F38:F46" si="10">SUM(D38:E38)</f>
        <v>28.849006150903094</v>
      </c>
      <c r="G38" s="55">
        <f t="shared" ref="G38:G46" si="11">(100*D38)/F38</f>
        <v>85.260306987798742</v>
      </c>
      <c r="H38" s="55">
        <f t="shared" ref="H38:H46" si="12">100-G38</f>
        <v>14.739693012201258</v>
      </c>
      <c r="I38" s="55"/>
      <c r="J38" s="55"/>
      <c r="K38" s="55"/>
      <c r="L38" s="55"/>
      <c r="M38" s="55"/>
      <c r="N38" s="55"/>
      <c r="O38" s="55"/>
      <c r="P38" s="55"/>
    </row>
    <row r="39" spans="2:16">
      <c r="C39" s="55">
        <v>15</v>
      </c>
      <c r="D39" s="55">
        <f t="shared" si="8"/>
        <v>69.882038926448928</v>
      </c>
      <c r="E39" s="55">
        <f t="shared" si="9"/>
        <v>16.249778057323081</v>
      </c>
      <c r="F39" s="55">
        <f t="shared" si="10"/>
        <v>86.131816983772012</v>
      </c>
      <c r="G39" s="55">
        <f t="shared" si="11"/>
        <v>81.133826469277111</v>
      </c>
      <c r="H39" s="55">
        <f t="shared" si="12"/>
        <v>18.866173530722889</v>
      </c>
      <c r="I39" s="55"/>
      <c r="J39" s="55"/>
      <c r="K39" s="55"/>
      <c r="L39" s="55"/>
      <c r="M39" s="55"/>
      <c r="N39" s="55"/>
      <c r="O39" s="55"/>
      <c r="P39" s="55"/>
    </row>
    <row r="40" spans="2:16">
      <c r="C40" s="55">
        <v>20</v>
      </c>
      <c r="D40" s="55">
        <f t="shared" si="8"/>
        <v>146.5953842414936</v>
      </c>
      <c r="E40" s="55">
        <f t="shared" si="9"/>
        <v>42.067322642014005</v>
      </c>
      <c r="F40" s="55">
        <f t="shared" si="10"/>
        <v>188.66270688350761</v>
      </c>
      <c r="G40" s="55">
        <f t="shared" si="11"/>
        <v>77.702364533554032</v>
      </c>
      <c r="H40" s="55">
        <f t="shared" si="12"/>
        <v>22.297635466445968</v>
      </c>
      <c r="I40" s="55"/>
      <c r="J40" s="55"/>
      <c r="K40" s="55"/>
      <c r="L40" s="55"/>
      <c r="M40" s="55"/>
      <c r="N40" s="55"/>
      <c r="O40" s="55"/>
      <c r="P40" s="55"/>
    </row>
    <row r="41" spans="2:16">
      <c r="C41" s="1">
        <v>25</v>
      </c>
      <c r="D41" s="55">
        <f>D$30*(C41^E$30)</f>
        <v>260.43098447733274</v>
      </c>
      <c r="E41" s="55">
        <f t="shared" si="9"/>
        <v>87.976795577851846</v>
      </c>
      <c r="F41" s="55">
        <f t="shared" si="10"/>
        <v>348.40778005518462</v>
      </c>
      <c r="G41" s="55">
        <f t="shared" si="11"/>
        <v>74.748900393694669</v>
      </c>
      <c r="H41" s="55">
        <f t="shared" si="12"/>
        <v>25.251099606305331</v>
      </c>
      <c r="I41" s="55">
        <f>SUM(G41:H41)</f>
        <v>100</v>
      </c>
    </row>
    <row r="42" spans="2:16">
      <c r="C42" s="55">
        <v>30</v>
      </c>
      <c r="D42" s="55">
        <f>D$30*(C42^E$30)</f>
        <v>416.49339222521695</v>
      </c>
      <c r="E42" s="55">
        <f t="shared" si="9"/>
        <v>160.75815430799335</v>
      </c>
      <c r="F42" s="55">
        <f t="shared" si="10"/>
        <v>577.25154653321033</v>
      </c>
      <c r="G42" s="55">
        <f t="shared" si="11"/>
        <v>72.15110894488619</v>
      </c>
      <c r="H42" s="55">
        <f t="shared" si="12"/>
        <v>27.84889105511381</v>
      </c>
      <c r="I42" s="55"/>
      <c r="J42" s="55"/>
      <c r="K42" s="55"/>
      <c r="L42" s="55"/>
      <c r="M42" s="55"/>
      <c r="N42" s="55"/>
      <c r="O42" s="55"/>
      <c r="P42" s="55"/>
    </row>
    <row r="43" spans="2:16">
      <c r="C43" s="55">
        <v>35</v>
      </c>
      <c r="D43" s="55">
        <f t="shared" ref="D43:D45" si="13">D$30*(C43^E$30)</f>
        <v>619.46415748894356</v>
      </c>
      <c r="E43" s="55">
        <f t="shared" si="9"/>
        <v>267.62450471917896</v>
      </c>
      <c r="F43" s="55">
        <f t="shared" si="10"/>
        <v>887.08866220812251</v>
      </c>
      <c r="G43" s="55">
        <f t="shared" si="11"/>
        <v>69.831143591327873</v>
      </c>
      <c r="H43" s="55">
        <f t="shared" si="12"/>
        <v>30.168856408672127</v>
      </c>
      <c r="I43" s="55"/>
      <c r="J43" s="55"/>
      <c r="K43" s="55"/>
      <c r="L43" s="55"/>
      <c r="M43" s="55"/>
      <c r="N43" s="55"/>
      <c r="O43" s="55"/>
      <c r="P43" s="55"/>
    </row>
    <row r="44" spans="2:16">
      <c r="C44" s="55">
        <v>40</v>
      </c>
      <c r="D44" s="55">
        <f t="shared" si="13"/>
        <v>873.70102254114875</v>
      </c>
      <c r="E44" s="55">
        <f t="shared" si="9"/>
        <v>416.16969294921461</v>
      </c>
      <c r="F44" s="55">
        <f t="shared" si="10"/>
        <v>1289.8707154903634</v>
      </c>
      <c r="G44" s="55">
        <f t="shared" si="11"/>
        <v>67.735549931374194</v>
      </c>
      <c r="H44" s="55">
        <f t="shared" si="12"/>
        <v>32.264450068625806</v>
      </c>
      <c r="I44" s="55"/>
      <c r="J44" s="55"/>
      <c r="K44" s="55"/>
      <c r="L44" s="55"/>
      <c r="M44" s="55"/>
      <c r="N44" s="55"/>
      <c r="O44" s="55"/>
      <c r="P44" s="55"/>
    </row>
    <row r="45" spans="2:16">
      <c r="C45" s="55">
        <v>45</v>
      </c>
      <c r="D45" s="55">
        <f t="shared" si="13"/>
        <v>1183.3029168333703</v>
      </c>
      <c r="E45" s="55">
        <f t="shared" si="9"/>
        <v>614.32918839246702</v>
      </c>
      <c r="F45" s="55">
        <f t="shared" si="10"/>
        <v>1797.6321052258372</v>
      </c>
      <c r="G45" s="55">
        <f t="shared" si="11"/>
        <v>65.825644379260325</v>
      </c>
      <c r="H45" s="55">
        <f t="shared" si="12"/>
        <v>34.174355620739675</v>
      </c>
      <c r="I45" s="55"/>
      <c r="J45" s="55"/>
      <c r="K45" s="55"/>
      <c r="L45" s="55"/>
      <c r="M45" s="55"/>
      <c r="N45" s="55"/>
      <c r="O45" s="55"/>
      <c r="P45" s="55"/>
    </row>
    <row r="46" spans="2:16">
      <c r="C46" s="1">
        <v>50</v>
      </c>
      <c r="D46" s="55">
        <f>D$30*(C46^E$30)</f>
        <v>1552.155401185129</v>
      </c>
      <c r="E46" s="55">
        <f t="shared" si="9"/>
        <v>870.34956595320728</v>
      </c>
      <c r="F46" s="55">
        <f t="shared" si="10"/>
        <v>2422.5049671383363</v>
      </c>
      <c r="G46" s="55">
        <f t="shared" si="11"/>
        <v>64.072331006142932</v>
      </c>
      <c r="H46" s="55">
        <f t="shared" si="12"/>
        <v>35.927668993857068</v>
      </c>
      <c r="I46" s="55">
        <f>SUM(G46:H46)</f>
        <v>100</v>
      </c>
    </row>
    <row r="49" spans="2:9">
      <c r="B49" t="s">
        <v>66</v>
      </c>
      <c r="C49" s="55" t="s">
        <v>58</v>
      </c>
      <c r="D49" s="55" t="s">
        <v>59</v>
      </c>
      <c r="E49" s="55" t="s">
        <v>24</v>
      </c>
      <c r="F49" s="55" t="s">
        <v>60</v>
      </c>
      <c r="G49" s="55" t="s">
        <v>61</v>
      </c>
      <c r="H49" s="55" t="s">
        <v>62</v>
      </c>
      <c r="I49" s="55" t="s">
        <v>63</v>
      </c>
    </row>
    <row r="50" spans="2:9">
      <c r="C50" s="55">
        <v>5</v>
      </c>
      <c r="D50" s="55">
        <f>K$30*(C50^L$30)</f>
        <v>5.1938279220508949</v>
      </c>
      <c r="E50" s="55">
        <f>K$31*(C50^L$31)</f>
        <v>0.23879928628223016</v>
      </c>
      <c r="F50" s="55">
        <f>SUM(D50:E50)</f>
        <v>5.4326272083331251</v>
      </c>
      <c r="G50" s="55">
        <f>(100*D50)/F50</f>
        <v>95.604349845394594</v>
      </c>
      <c r="H50" s="55">
        <f>100-G50</f>
        <v>4.3956501546054056</v>
      </c>
      <c r="I50" s="55">
        <f>SUM(G50:H50)</f>
        <v>100</v>
      </c>
    </row>
    <row r="51" spans="2:9">
      <c r="C51" s="55">
        <v>25</v>
      </c>
      <c r="D51" s="55">
        <f>K$30*(C51^L$30)</f>
        <v>219.85206588325599</v>
      </c>
      <c r="E51" s="55">
        <f>K$31*(C51^L$31)</f>
        <v>25.920499604046601</v>
      </c>
      <c r="F51" s="55">
        <f>SUM(D51:E51)</f>
        <v>245.77256548730259</v>
      </c>
      <c r="G51" s="55">
        <f t="shared" ref="G51:G52" si="14">(100*D51)/F51</f>
        <v>89.453460945629544</v>
      </c>
      <c r="H51" s="55">
        <f t="shared" ref="H51:H52" si="15">100-G51</f>
        <v>10.546539054370456</v>
      </c>
      <c r="I51" s="55">
        <f>SUM(G51:H51)</f>
        <v>100</v>
      </c>
    </row>
    <row r="52" spans="2:9">
      <c r="C52" s="55">
        <v>50</v>
      </c>
      <c r="D52" s="55">
        <f>K$30*(C52^L$30)</f>
        <v>1103.2846015709547</v>
      </c>
      <c r="E52" s="55">
        <f>K$31*(C52^L$31)</f>
        <v>195.13403474152594</v>
      </c>
      <c r="F52" s="55">
        <f>SUM(D52:E52)</f>
        <v>1298.4186363124807</v>
      </c>
      <c r="G52" s="55">
        <f t="shared" si="14"/>
        <v>84.971408351338198</v>
      </c>
      <c r="H52" s="55">
        <f t="shared" si="15"/>
        <v>15.028591648661802</v>
      </c>
      <c r="I52" s="55">
        <f>SUM(G52:H52)</f>
        <v>100</v>
      </c>
    </row>
  </sheetData>
  <mergeCells count="1">
    <mergeCell ref="M2:Q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S67"/>
  <sheetViews>
    <sheetView topLeftCell="A4" zoomScale="115" zoomScaleNormal="115" workbookViewId="0">
      <selection activeCell="A47" sqref="A47"/>
    </sheetView>
  </sheetViews>
  <sheetFormatPr defaultRowHeight="15"/>
  <cols>
    <col min="3" max="3" width="5.140625" style="22" bestFit="1" customWidth="1"/>
    <col min="4" max="4" width="10.140625" style="22" customWidth="1"/>
    <col min="5" max="6" width="9.140625" style="22"/>
    <col min="7" max="7" width="13.28515625" style="22" bestFit="1" customWidth="1"/>
    <col min="8" max="10" width="9.140625" style="22"/>
    <col min="11" max="12" width="13.42578125" style="22" bestFit="1" customWidth="1"/>
    <col min="13" max="13" width="9.140625" style="22"/>
    <col min="14" max="14" width="17.5703125" style="22" customWidth="1"/>
    <col min="15" max="15" width="9.140625" style="22"/>
    <col min="16" max="16" width="12.7109375" style="22" bestFit="1" customWidth="1"/>
    <col min="17" max="17" width="14.7109375" style="22" bestFit="1" customWidth="1"/>
    <col min="18" max="18" width="9.140625" style="22"/>
  </cols>
  <sheetData>
    <row r="4" spans="3:17">
      <c r="H4" s="22" t="s">
        <v>44</v>
      </c>
      <c r="J4" s="22" t="s">
        <v>45</v>
      </c>
    </row>
    <row r="5" spans="3:17" ht="30.75" thickBot="1">
      <c r="C5" s="23" t="s">
        <v>46</v>
      </c>
      <c r="D5" s="23"/>
      <c r="E5" s="23"/>
      <c r="F5" s="23"/>
      <c r="G5" s="23"/>
      <c r="H5" s="24">
        <v>2001</v>
      </c>
      <c r="I5" s="22" t="s">
        <v>48</v>
      </c>
      <c r="J5" s="25" t="s">
        <v>47</v>
      </c>
    </row>
    <row r="6" spans="3:17">
      <c r="C6" s="22">
        <v>8</v>
      </c>
      <c r="D6" s="26"/>
      <c r="H6" s="22">
        <v>12.230643019941452</v>
      </c>
      <c r="I6" s="22">
        <v>12</v>
      </c>
      <c r="J6" s="22">
        <v>9.1549999999999994</v>
      </c>
      <c r="N6" s="13"/>
      <c r="O6" s="14" t="s">
        <v>29</v>
      </c>
      <c r="P6" s="14"/>
      <c r="Q6" s="15"/>
    </row>
    <row r="7" spans="3:17">
      <c r="C7" s="22">
        <v>10</v>
      </c>
      <c r="D7" s="26"/>
      <c r="H7" s="22">
        <v>5.5037893589736528</v>
      </c>
      <c r="I7" s="22">
        <v>6</v>
      </c>
      <c r="J7" s="22">
        <v>10.84</v>
      </c>
      <c r="N7" s="16"/>
      <c r="O7" s="17" t="s">
        <v>27</v>
      </c>
      <c r="P7" s="17" t="s">
        <v>28</v>
      </c>
      <c r="Q7" s="18" t="s">
        <v>30</v>
      </c>
    </row>
    <row r="8" spans="3:17">
      <c r="C8" s="22">
        <v>12</v>
      </c>
      <c r="D8" s="26"/>
      <c r="H8" s="22">
        <v>9.7845144159531614</v>
      </c>
      <c r="I8" s="22">
        <v>10</v>
      </c>
      <c r="J8" s="22">
        <v>13.206250000000001</v>
      </c>
      <c r="N8" s="16" t="s">
        <v>23</v>
      </c>
      <c r="O8" s="17">
        <v>6.54E-2</v>
      </c>
      <c r="P8" s="17">
        <v>2.5752999999999999</v>
      </c>
      <c r="Q8" s="18" t="s">
        <v>31</v>
      </c>
    </row>
    <row r="9" spans="3:17">
      <c r="C9" s="22">
        <v>14</v>
      </c>
      <c r="D9" s="26"/>
      <c r="H9" s="22">
        <v>11.007578717947306</v>
      </c>
      <c r="I9" s="22">
        <v>11</v>
      </c>
      <c r="J9" s="22">
        <v>15.113888888888889</v>
      </c>
      <c r="N9" s="16" t="s">
        <v>24</v>
      </c>
      <c r="O9" s="17">
        <v>2.0999999999999999E-3</v>
      </c>
      <c r="P9" s="17">
        <v>3.3064</v>
      </c>
      <c r="Q9" s="18" t="s">
        <v>31</v>
      </c>
    </row>
    <row r="10" spans="3:17">
      <c r="C10" s="22">
        <v>16</v>
      </c>
      <c r="D10" s="27"/>
      <c r="H10" s="22">
        <v>21.40362528489754</v>
      </c>
      <c r="I10" s="22">
        <v>21</v>
      </c>
      <c r="J10" s="22">
        <v>16.919999999999998</v>
      </c>
      <c r="N10" s="16" t="s">
        <v>25</v>
      </c>
      <c r="O10" s="17">
        <v>2.3999999999999998E-3</v>
      </c>
      <c r="P10" s="17">
        <v>2.6080999999999999</v>
      </c>
      <c r="Q10" s="18" t="s">
        <v>31</v>
      </c>
    </row>
    <row r="11" spans="3:17" ht="15.75" thickBot="1">
      <c r="C11" s="22">
        <v>18</v>
      </c>
      <c r="D11" s="27"/>
      <c r="H11" s="22">
        <v>29.965075398856555</v>
      </c>
      <c r="I11" s="22">
        <v>30</v>
      </c>
      <c r="J11" s="22">
        <v>19.002653061224489</v>
      </c>
      <c r="N11" s="19" t="s">
        <v>26</v>
      </c>
      <c r="O11" s="20">
        <v>1.8984000000000001</v>
      </c>
      <c r="P11" s="20">
        <v>8.5599999999999996E-2</v>
      </c>
      <c r="Q11" s="21" t="s">
        <v>32</v>
      </c>
    </row>
    <row r="12" spans="3:17">
      <c r="C12" s="22">
        <v>20</v>
      </c>
      <c r="D12" s="27"/>
      <c r="H12" s="22">
        <v>40.361121965806788</v>
      </c>
      <c r="I12" s="22">
        <v>40</v>
      </c>
      <c r="J12" s="22">
        <v>20.983181818181823</v>
      </c>
    </row>
    <row r="13" spans="3:17">
      <c r="C13" s="22">
        <v>22</v>
      </c>
      <c r="D13" s="27"/>
      <c r="H13" s="22">
        <v>34.245800455836061</v>
      </c>
      <c r="I13" s="22">
        <v>34</v>
      </c>
      <c r="J13" s="22">
        <v>22.866071428571427</v>
      </c>
    </row>
    <row r="14" spans="3:17">
      <c r="C14" s="22">
        <v>24</v>
      </c>
      <c r="D14" s="27"/>
      <c r="H14" s="22">
        <v>29.965075398856555</v>
      </c>
      <c r="I14" s="22">
        <v>30</v>
      </c>
      <c r="J14" s="22">
        <v>25.024489795918377</v>
      </c>
    </row>
    <row r="15" spans="3:17">
      <c r="C15" s="22">
        <v>26</v>
      </c>
      <c r="D15" s="27"/>
      <c r="H15" s="22">
        <v>29.965075398856555</v>
      </c>
      <c r="I15" s="22">
        <v>30</v>
      </c>
      <c r="J15" s="22">
        <v>26.751224489795902</v>
      </c>
    </row>
    <row r="16" spans="3:17">
      <c r="C16" s="22">
        <v>28</v>
      </c>
      <c r="D16" s="27"/>
      <c r="H16" s="22">
        <v>24.461286039882904</v>
      </c>
      <c r="I16" s="22">
        <v>24</v>
      </c>
      <c r="J16" s="22">
        <v>28.873750000000012</v>
      </c>
    </row>
    <row r="17" spans="3:10">
      <c r="C17" s="22">
        <v>30</v>
      </c>
      <c r="D17" s="27"/>
      <c r="H17" s="22">
        <v>19.569028831906323</v>
      </c>
      <c r="I17" s="22">
        <v>20</v>
      </c>
      <c r="J17" s="22">
        <v>30.857812499999994</v>
      </c>
    </row>
    <row r="18" spans="3:10">
      <c r="C18" s="22">
        <v>32</v>
      </c>
      <c r="D18" s="27"/>
      <c r="H18" s="22">
        <v>15.288303774926815</v>
      </c>
      <c r="I18" s="22">
        <v>15</v>
      </c>
      <c r="J18" s="22">
        <v>32.847999999999999</v>
      </c>
    </row>
    <row r="19" spans="3:10">
      <c r="C19" s="22">
        <v>34</v>
      </c>
      <c r="D19" s="27"/>
      <c r="H19" s="22">
        <v>14.676771623929742</v>
      </c>
      <c r="I19" s="22">
        <v>15</v>
      </c>
      <c r="J19" s="22">
        <v>35.060416666666669</v>
      </c>
    </row>
    <row r="20" spans="3:10">
      <c r="C20" s="22">
        <v>36</v>
      </c>
      <c r="D20" s="27"/>
      <c r="H20" s="22">
        <v>8.5614501139590153</v>
      </c>
      <c r="I20" s="22">
        <v>9</v>
      </c>
      <c r="J20" s="22">
        <v>37.067142857142862</v>
      </c>
    </row>
    <row r="21" spans="3:10">
      <c r="C21" s="22">
        <v>38</v>
      </c>
      <c r="D21" s="27"/>
      <c r="H21" s="22">
        <v>4.2807250569795077</v>
      </c>
      <c r="I21" s="22">
        <v>4</v>
      </c>
      <c r="J21" s="22">
        <v>38.828571428571429</v>
      </c>
    </row>
    <row r="22" spans="3:10">
      <c r="C22" s="22">
        <v>40</v>
      </c>
      <c r="D22" s="27"/>
      <c r="H22" s="22">
        <v>5.5037893589736528</v>
      </c>
      <c r="I22" s="22">
        <v>6</v>
      </c>
      <c r="J22" s="22">
        <v>41.161111111111119</v>
      </c>
    </row>
    <row r="23" spans="3:10">
      <c r="C23" s="22">
        <v>42</v>
      </c>
      <c r="D23" s="27"/>
      <c r="H23" s="22">
        <v>2.4461286039882904</v>
      </c>
      <c r="I23" s="22">
        <v>2</v>
      </c>
      <c r="J23" s="22">
        <v>42.725000000000001</v>
      </c>
    </row>
    <row r="24" spans="3:10">
      <c r="C24" s="22">
        <v>44</v>
      </c>
      <c r="D24" s="27"/>
      <c r="H24" s="22">
        <v>0.61153215099707259</v>
      </c>
      <c r="I24" s="22">
        <v>1</v>
      </c>
      <c r="J24" s="22">
        <v>44.3</v>
      </c>
    </row>
    <row r="25" spans="3:10">
      <c r="C25" s="22">
        <v>46</v>
      </c>
      <c r="D25" s="27"/>
      <c r="H25" s="22">
        <v>1.2230643019941452</v>
      </c>
      <c r="I25" s="22">
        <v>1</v>
      </c>
      <c r="J25" s="22">
        <v>46.1</v>
      </c>
    </row>
    <row r="26" spans="3:10">
      <c r="C26" s="22">
        <v>48</v>
      </c>
      <c r="D26" s="27"/>
      <c r="H26" s="22">
        <v>0.61153215099707259</v>
      </c>
      <c r="I26" s="22">
        <v>1</v>
      </c>
      <c r="J26" s="22">
        <v>49.4</v>
      </c>
    </row>
    <row r="27" spans="3:10">
      <c r="C27" s="22">
        <v>50</v>
      </c>
      <c r="D27" s="27"/>
      <c r="H27" s="22">
        <v>0.61153215099707259</v>
      </c>
      <c r="I27" s="22">
        <v>1</v>
      </c>
      <c r="J27" s="22">
        <v>51.5</v>
      </c>
    </row>
    <row r="28" spans="3:10">
      <c r="C28" s="22">
        <v>52</v>
      </c>
      <c r="D28" s="27"/>
      <c r="H28" s="22">
        <v>0</v>
      </c>
      <c r="I28" s="22">
        <v>0</v>
      </c>
      <c r="J28" s="28">
        <v>0</v>
      </c>
    </row>
    <row r="29" spans="3:10">
      <c r="C29" s="22">
        <v>54</v>
      </c>
      <c r="D29" s="27"/>
      <c r="H29" s="22">
        <v>0</v>
      </c>
      <c r="I29" s="22">
        <v>0</v>
      </c>
      <c r="J29" s="28">
        <f>[1]Berekeningen!H52</f>
        <v>0</v>
      </c>
    </row>
    <row r="30" spans="3:10">
      <c r="C30" s="22">
        <v>56</v>
      </c>
      <c r="D30" s="27"/>
      <c r="H30" s="22">
        <v>0</v>
      </c>
      <c r="I30" s="22">
        <v>0</v>
      </c>
      <c r="J30" s="28">
        <v>0</v>
      </c>
    </row>
    <row r="31" spans="3:10">
      <c r="D31" s="29">
        <f>SUM(D6:D29)</f>
        <v>0</v>
      </c>
      <c r="E31" s="29">
        <f>SUM(E6:E29)</f>
        <v>0</v>
      </c>
      <c r="F31" s="29">
        <f>SUM(F6:F29)</f>
        <v>0</v>
      </c>
      <c r="G31" s="29"/>
      <c r="H31" s="29">
        <f>SUM(H6:H29)</f>
        <v>322.27744357545731</v>
      </c>
      <c r="I31" s="29">
        <f>SUM(I6:I29)</f>
        <v>323</v>
      </c>
    </row>
    <row r="33" spans="2:19" ht="15.75" thickBot="1">
      <c r="M33" s="22" t="s">
        <v>36</v>
      </c>
      <c r="N33" s="22" t="s">
        <v>35</v>
      </c>
      <c r="O33" s="22" t="s">
        <v>38</v>
      </c>
      <c r="P33" s="22" t="s">
        <v>51</v>
      </c>
    </row>
    <row r="34" spans="2:19" ht="15.75" thickBot="1">
      <c r="B34">
        <v>2001</v>
      </c>
      <c r="C34" s="2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54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  <c r="P34" s="3" t="s">
        <v>50</v>
      </c>
      <c r="Q34" s="3" t="s">
        <v>15</v>
      </c>
      <c r="R34" s="4" t="s">
        <v>16</v>
      </c>
      <c r="S34" s="22" t="s">
        <v>57</v>
      </c>
    </row>
    <row r="35" spans="2:19">
      <c r="C35" s="33">
        <v>0</v>
      </c>
      <c r="D35" s="34">
        <v>0</v>
      </c>
      <c r="E35" s="34" t="s">
        <v>17</v>
      </c>
      <c r="F35" s="34">
        <v>65</v>
      </c>
      <c r="G35" s="34" t="s">
        <v>18</v>
      </c>
      <c r="H35" s="34" t="s">
        <v>19</v>
      </c>
      <c r="I35" s="34">
        <v>12</v>
      </c>
      <c r="J35" s="34">
        <v>0</v>
      </c>
      <c r="K35" s="34">
        <v>9.1549999999999994</v>
      </c>
      <c r="L35" s="34">
        <f>6.8937*LN(K35)-5.4273</f>
        <v>9.837421137950475</v>
      </c>
      <c r="M35" s="34">
        <v>0</v>
      </c>
      <c r="N35" s="34">
        <f>(O$11*EXP(P$11*K35)/1000)*I35</f>
        <v>4.9878301870071681E-2</v>
      </c>
      <c r="O35" s="34">
        <v>0</v>
      </c>
      <c r="P35" s="34">
        <f>(((O$8*(K35^P$8))/1000)*I35)+(((O$9*(K35^P$9))/1000)*I35)</f>
        <v>0.27324426274065167</v>
      </c>
      <c r="Q35" s="34">
        <v>0</v>
      </c>
      <c r="R35" s="35">
        <v>0</v>
      </c>
      <c r="S35" s="57">
        <f>AVERAGE(L35:L41)</f>
        <v>12.999209211666599</v>
      </c>
    </row>
    <row r="36" spans="2:19">
      <c r="C36" s="36">
        <v>0</v>
      </c>
      <c r="D36" s="26">
        <v>0</v>
      </c>
      <c r="E36" s="26" t="s">
        <v>17</v>
      </c>
      <c r="F36" s="26">
        <v>65</v>
      </c>
      <c r="G36" s="26" t="s">
        <v>18</v>
      </c>
      <c r="H36" s="26" t="s">
        <v>19</v>
      </c>
      <c r="I36" s="26">
        <v>6</v>
      </c>
      <c r="J36" s="26">
        <v>0</v>
      </c>
      <c r="K36" s="26">
        <v>10.84</v>
      </c>
      <c r="L36" s="26">
        <f t="shared" ref="L36:L56" si="0">6.8937*LN(K36)-5.4273</f>
        <v>11.002062241604477</v>
      </c>
      <c r="M36" s="26">
        <v>0</v>
      </c>
      <c r="N36" s="26">
        <f t="shared" ref="N36:N56" si="1">(O$11*EXP(P$11*K36)/1000)*I36</f>
        <v>2.8808627128779983E-2</v>
      </c>
      <c r="O36" s="26">
        <v>0</v>
      </c>
      <c r="P36" s="26">
        <f t="shared" ref="P36:P56" si="2">(((O$8*(K36^P$8))/1000)*I36)+(((O$9*(K36^P$9))/1000)*I36)</f>
        <v>0.21496316839879889</v>
      </c>
      <c r="Q36" s="26">
        <v>0</v>
      </c>
      <c r="R36" s="37">
        <v>0</v>
      </c>
      <c r="S36" s="57"/>
    </row>
    <row r="37" spans="2:19">
      <c r="C37" s="36">
        <v>0</v>
      </c>
      <c r="D37" s="26">
        <v>0</v>
      </c>
      <c r="E37" s="26" t="s">
        <v>17</v>
      </c>
      <c r="F37" s="26">
        <v>65</v>
      </c>
      <c r="G37" s="26" t="s">
        <v>18</v>
      </c>
      <c r="H37" s="26" t="s">
        <v>19</v>
      </c>
      <c r="I37" s="26">
        <v>10</v>
      </c>
      <c r="J37" s="26">
        <v>0</v>
      </c>
      <c r="K37" s="26">
        <v>13.206250000000001</v>
      </c>
      <c r="L37" s="26">
        <f t="shared" si="0"/>
        <v>12.363204048162377</v>
      </c>
      <c r="M37" s="26">
        <v>0</v>
      </c>
      <c r="N37" s="26">
        <f t="shared" si="1"/>
        <v>5.8794688496571205E-2</v>
      </c>
      <c r="O37" s="26">
        <v>0</v>
      </c>
      <c r="P37" s="26">
        <f t="shared" si="2"/>
        <v>0.61006023527674424</v>
      </c>
      <c r="Q37" s="26">
        <v>0</v>
      </c>
      <c r="R37" s="37">
        <v>0</v>
      </c>
      <c r="S37" s="57"/>
    </row>
    <row r="38" spans="2:19">
      <c r="C38" s="36">
        <v>0</v>
      </c>
      <c r="D38" s="26">
        <v>0</v>
      </c>
      <c r="E38" s="26" t="s">
        <v>17</v>
      </c>
      <c r="F38" s="26">
        <v>65</v>
      </c>
      <c r="G38" s="26" t="s">
        <v>18</v>
      </c>
      <c r="H38" s="26" t="s">
        <v>19</v>
      </c>
      <c r="I38" s="26">
        <v>11</v>
      </c>
      <c r="J38" s="26">
        <v>0</v>
      </c>
      <c r="K38" s="26">
        <v>15.113888888888889</v>
      </c>
      <c r="L38" s="26">
        <f t="shared" si="0"/>
        <v>13.293329024822086</v>
      </c>
      <c r="M38" s="26">
        <v>0</v>
      </c>
      <c r="N38" s="26">
        <f t="shared" si="1"/>
        <v>7.6146231314430976E-2</v>
      </c>
      <c r="O38" s="26">
        <v>0</v>
      </c>
      <c r="P38" s="26">
        <f t="shared" si="2"/>
        <v>0.96709732533115822</v>
      </c>
      <c r="Q38" s="26">
        <v>0</v>
      </c>
      <c r="R38" s="37">
        <v>0</v>
      </c>
      <c r="S38" s="57"/>
    </row>
    <row r="39" spans="2:19">
      <c r="C39" s="36">
        <v>0</v>
      </c>
      <c r="D39" s="26">
        <v>0</v>
      </c>
      <c r="E39" s="26" t="s">
        <v>17</v>
      </c>
      <c r="F39" s="26">
        <v>65</v>
      </c>
      <c r="G39" s="26" t="s">
        <v>18</v>
      </c>
      <c r="H39" s="26" t="s">
        <v>19</v>
      </c>
      <c r="I39" s="26">
        <v>21</v>
      </c>
      <c r="J39" s="26">
        <v>0</v>
      </c>
      <c r="K39" s="26">
        <v>16.919999999999998</v>
      </c>
      <c r="L39" s="26">
        <f t="shared" si="0"/>
        <v>14.07150531679741</v>
      </c>
      <c r="M39" s="26">
        <v>0</v>
      </c>
      <c r="N39" s="26">
        <f t="shared" si="1"/>
        <v>0.16967517328458773</v>
      </c>
      <c r="O39" s="26">
        <v>0</v>
      </c>
      <c r="P39" s="26">
        <f t="shared" si="2"/>
        <v>2.5094122551906017</v>
      </c>
      <c r="Q39" s="26">
        <v>0</v>
      </c>
      <c r="R39" s="37">
        <v>0</v>
      </c>
      <c r="S39" s="57"/>
    </row>
    <row r="40" spans="2:19">
      <c r="C40" s="36">
        <v>0</v>
      </c>
      <c r="D40" s="26">
        <v>0</v>
      </c>
      <c r="E40" s="26" t="s">
        <v>17</v>
      </c>
      <c r="F40" s="26">
        <v>65</v>
      </c>
      <c r="G40" s="26" t="s">
        <v>18</v>
      </c>
      <c r="H40" s="26" t="s">
        <v>19</v>
      </c>
      <c r="I40" s="26">
        <v>30</v>
      </c>
      <c r="J40" s="26">
        <v>0</v>
      </c>
      <c r="K40" s="26">
        <v>19.002653061224489</v>
      </c>
      <c r="L40" s="26">
        <f t="shared" si="0"/>
        <v>14.871741523909332</v>
      </c>
      <c r="M40" s="26">
        <v>0</v>
      </c>
      <c r="N40" s="26">
        <f t="shared" si="1"/>
        <v>0.28969710448240443</v>
      </c>
      <c r="O40" s="26">
        <v>0</v>
      </c>
      <c r="P40" s="26">
        <f t="shared" si="2"/>
        <v>4.9206872971143927</v>
      </c>
      <c r="Q40" s="26">
        <v>0</v>
      </c>
      <c r="R40" s="37">
        <v>0</v>
      </c>
      <c r="S40" s="57"/>
    </row>
    <row r="41" spans="2:19">
      <c r="B41">
        <f>SUM(I35:I41)</f>
        <v>130</v>
      </c>
      <c r="C41" s="49">
        <v>0</v>
      </c>
      <c r="D41" s="50">
        <v>0</v>
      </c>
      <c r="E41" s="50" t="s">
        <v>17</v>
      </c>
      <c r="F41" s="50">
        <v>65</v>
      </c>
      <c r="G41" s="50" t="s">
        <v>18</v>
      </c>
      <c r="H41" s="50" t="s">
        <v>19</v>
      </c>
      <c r="I41" s="50">
        <v>40</v>
      </c>
      <c r="J41" s="50">
        <v>0</v>
      </c>
      <c r="K41" s="50">
        <v>20.983181818181823</v>
      </c>
      <c r="L41" s="50">
        <f t="shared" si="0"/>
        <v>15.555201188420035</v>
      </c>
      <c r="M41" s="50">
        <v>0</v>
      </c>
      <c r="N41" s="50">
        <f t="shared" si="1"/>
        <v>0.4576255365424331</v>
      </c>
      <c r="O41" s="50">
        <v>0</v>
      </c>
      <c r="P41" s="50">
        <f t="shared" si="2"/>
        <v>8.6072199760071868</v>
      </c>
      <c r="Q41" s="50">
        <v>0</v>
      </c>
      <c r="R41" s="51">
        <v>0</v>
      </c>
      <c r="S41" s="57"/>
    </row>
    <row r="42" spans="2:19">
      <c r="C42" s="52">
        <v>0</v>
      </c>
      <c r="D42" s="53">
        <v>0</v>
      </c>
      <c r="E42" s="53" t="s">
        <v>17</v>
      </c>
      <c r="F42" s="53">
        <v>65</v>
      </c>
      <c r="G42" s="53" t="s">
        <v>18</v>
      </c>
      <c r="H42" s="53" t="s">
        <v>19</v>
      </c>
      <c r="I42" s="53">
        <v>34</v>
      </c>
      <c r="J42" s="53">
        <v>0</v>
      </c>
      <c r="K42" s="53">
        <v>22.866071428571427</v>
      </c>
      <c r="L42" s="53">
        <f t="shared" si="0"/>
        <v>16.147597261286673</v>
      </c>
      <c r="M42" s="53">
        <v>0</v>
      </c>
      <c r="N42" s="53">
        <f t="shared" si="1"/>
        <v>0.45701109341986013</v>
      </c>
      <c r="O42" s="53">
        <v>0</v>
      </c>
      <c r="P42" s="53">
        <f t="shared" si="2"/>
        <v>9.2639669773653814</v>
      </c>
      <c r="Q42" s="53">
        <v>0</v>
      </c>
      <c r="R42" s="54">
        <v>0</v>
      </c>
      <c r="S42" s="57">
        <f>AVERAGE(L42:L47)</f>
        <v>17.460132244052662</v>
      </c>
    </row>
    <row r="43" spans="2:19">
      <c r="C43" s="36">
        <v>0</v>
      </c>
      <c r="D43" s="26">
        <v>0</v>
      </c>
      <c r="E43" s="26" t="s">
        <v>17</v>
      </c>
      <c r="F43" s="26">
        <v>65</v>
      </c>
      <c r="G43" s="26" t="s">
        <v>18</v>
      </c>
      <c r="H43" s="26" t="s">
        <v>19</v>
      </c>
      <c r="I43" s="26">
        <v>30</v>
      </c>
      <c r="J43" s="26">
        <v>0</v>
      </c>
      <c r="K43" s="26">
        <v>25.024489795918377</v>
      </c>
      <c r="L43" s="26">
        <f t="shared" si="0"/>
        <v>16.769413980699461</v>
      </c>
      <c r="M43" s="26">
        <v>0</v>
      </c>
      <c r="N43" s="26">
        <f t="shared" si="1"/>
        <v>0.48507578396664852</v>
      </c>
      <c r="O43" s="26">
        <v>0</v>
      </c>
      <c r="P43" s="26">
        <f t="shared" si="2"/>
        <v>10.480516786060686</v>
      </c>
      <c r="Q43" s="26">
        <v>0</v>
      </c>
      <c r="R43" s="37">
        <v>0</v>
      </c>
      <c r="S43" s="57"/>
    </row>
    <row r="44" spans="2:19">
      <c r="C44" s="36">
        <v>0</v>
      </c>
      <c r="D44" s="26">
        <v>0</v>
      </c>
      <c r="E44" s="26" t="s">
        <v>17</v>
      </c>
      <c r="F44" s="26">
        <v>65</v>
      </c>
      <c r="G44" s="26" t="s">
        <v>18</v>
      </c>
      <c r="H44" s="26" t="s">
        <v>19</v>
      </c>
      <c r="I44" s="26">
        <v>30</v>
      </c>
      <c r="J44" s="26">
        <v>0</v>
      </c>
      <c r="K44" s="26">
        <v>26.751224489795902</v>
      </c>
      <c r="L44" s="26">
        <f t="shared" si="0"/>
        <v>17.229398252975464</v>
      </c>
      <c r="M44" s="26">
        <v>0</v>
      </c>
      <c r="N44" s="26">
        <f t="shared" si="1"/>
        <v>0.56234392231041597</v>
      </c>
      <c r="O44" s="26">
        <v>0</v>
      </c>
      <c r="P44" s="26">
        <f t="shared" si="2"/>
        <v>12.602648069967291</v>
      </c>
      <c r="Q44" s="26">
        <v>0</v>
      </c>
      <c r="R44" s="37">
        <v>0</v>
      </c>
      <c r="S44" s="57"/>
    </row>
    <row r="45" spans="2:19">
      <c r="C45" s="36">
        <v>0</v>
      </c>
      <c r="D45" s="26">
        <v>0</v>
      </c>
      <c r="E45" s="26" t="s">
        <v>17</v>
      </c>
      <c r="F45" s="26">
        <v>65</v>
      </c>
      <c r="G45" s="26" t="s">
        <v>18</v>
      </c>
      <c r="H45" s="26" t="s">
        <v>19</v>
      </c>
      <c r="I45" s="26">
        <v>24</v>
      </c>
      <c r="J45" s="26">
        <v>0</v>
      </c>
      <c r="K45" s="26">
        <v>28.873750000000012</v>
      </c>
      <c r="L45" s="26">
        <f t="shared" si="0"/>
        <v>17.755750380114701</v>
      </c>
      <c r="M45" s="26">
        <v>0</v>
      </c>
      <c r="N45" s="26">
        <f t="shared" si="1"/>
        <v>0.53950834709483142</v>
      </c>
      <c r="O45" s="26">
        <v>0</v>
      </c>
      <c r="P45" s="26">
        <f t="shared" si="2"/>
        <v>12.457484728463161</v>
      </c>
      <c r="Q45" s="26">
        <v>0</v>
      </c>
      <c r="R45" s="37">
        <v>0</v>
      </c>
      <c r="S45" s="57"/>
    </row>
    <row r="46" spans="2:19">
      <c r="C46" s="36">
        <v>0</v>
      </c>
      <c r="D46" s="26">
        <v>0</v>
      </c>
      <c r="E46" s="26" t="s">
        <v>17</v>
      </c>
      <c r="F46" s="26">
        <v>65</v>
      </c>
      <c r="G46" s="26" t="s">
        <v>18</v>
      </c>
      <c r="H46" s="26" t="s">
        <v>19</v>
      </c>
      <c r="I46" s="26">
        <v>20</v>
      </c>
      <c r="J46" s="26">
        <v>0</v>
      </c>
      <c r="K46" s="26">
        <v>30.857812499999994</v>
      </c>
      <c r="L46" s="26">
        <f t="shared" si="0"/>
        <v>18.213885565751028</v>
      </c>
      <c r="M46" s="26">
        <v>0</v>
      </c>
      <c r="N46" s="26">
        <f t="shared" si="1"/>
        <v>0.53281402905763398</v>
      </c>
      <c r="O46" s="26">
        <v>0</v>
      </c>
      <c r="P46" s="26">
        <f t="shared" si="2"/>
        <v>12.486429071135106</v>
      </c>
      <c r="Q46" s="26">
        <v>0</v>
      </c>
      <c r="R46" s="37">
        <v>0</v>
      </c>
      <c r="S46" s="57"/>
    </row>
    <row r="47" spans="2:19">
      <c r="B47">
        <f>SUM(I42:I47)</f>
        <v>153</v>
      </c>
      <c r="C47" s="49">
        <v>0</v>
      </c>
      <c r="D47" s="50">
        <v>0</v>
      </c>
      <c r="E47" s="50" t="s">
        <v>17</v>
      </c>
      <c r="F47" s="50">
        <v>65</v>
      </c>
      <c r="G47" s="50" t="s">
        <v>18</v>
      </c>
      <c r="H47" s="50" t="s">
        <v>19</v>
      </c>
      <c r="I47" s="50">
        <v>15</v>
      </c>
      <c r="J47" s="50">
        <v>0</v>
      </c>
      <c r="K47" s="50">
        <v>32.847999999999999</v>
      </c>
      <c r="L47" s="50">
        <f t="shared" si="0"/>
        <v>18.644748023488646</v>
      </c>
      <c r="M47" s="50">
        <v>0</v>
      </c>
      <c r="N47" s="50">
        <f t="shared" si="1"/>
        <v>0.47383086221302911</v>
      </c>
      <c r="O47" s="50">
        <v>0</v>
      </c>
      <c r="P47" s="50">
        <f t="shared" si="2"/>
        <v>11.145629420535657</v>
      </c>
      <c r="Q47" s="50">
        <v>0</v>
      </c>
      <c r="R47" s="51">
        <v>0</v>
      </c>
      <c r="S47" s="57"/>
    </row>
    <row r="48" spans="2:19">
      <c r="C48" s="36">
        <v>0</v>
      </c>
      <c r="D48" s="26">
        <v>0</v>
      </c>
      <c r="E48" s="26" t="s">
        <v>17</v>
      </c>
      <c r="F48" s="26">
        <v>65</v>
      </c>
      <c r="G48" s="26" t="s">
        <v>18</v>
      </c>
      <c r="H48" s="26" t="s">
        <v>19</v>
      </c>
      <c r="I48" s="26">
        <v>15</v>
      </c>
      <c r="J48" s="26">
        <v>0</v>
      </c>
      <c r="K48" s="26">
        <v>35.060416666666669</v>
      </c>
      <c r="L48" s="26">
        <f t="shared" si="0"/>
        <v>19.094092511884835</v>
      </c>
      <c r="M48" s="26">
        <v>0</v>
      </c>
      <c r="N48" s="26">
        <f t="shared" si="1"/>
        <v>0.57262628365569557</v>
      </c>
      <c r="O48" s="26">
        <v>0</v>
      </c>
      <c r="P48" s="26">
        <f t="shared" si="2"/>
        <v>13.370650696711682</v>
      </c>
      <c r="Q48" s="26">
        <v>0</v>
      </c>
      <c r="R48" s="37">
        <v>0</v>
      </c>
      <c r="S48" s="58">
        <f>AVERAGE(L48:L56)</f>
        <v>20.435233640583014</v>
      </c>
    </row>
    <row r="49" spans="2:19">
      <c r="C49" s="36">
        <v>0</v>
      </c>
      <c r="D49" s="26">
        <v>0</v>
      </c>
      <c r="E49" s="26" t="s">
        <v>17</v>
      </c>
      <c r="F49" s="26">
        <v>65</v>
      </c>
      <c r="G49" s="26" t="s">
        <v>18</v>
      </c>
      <c r="H49" s="26" t="s">
        <v>19</v>
      </c>
      <c r="I49" s="26">
        <v>9</v>
      </c>
      <c r="J49" s="26">
        <v>0</v>
      </c>
      <c r="K49" s="26">
        <v>37.067142857142862</v>
      </c>
      <c r="L49" s="26">
        <f t="shared" si="0"/>
        <v>19.47778328060383</v>
      </c>
      <c r="M49" s="26">
        <v>0</v>
      </c>
      <c r="N49" s="26">
        <f t="shared" si="1"/>
        <v>0.4079658345488722</v>
      </c>
      <c r="O49" s="26">
        <v>0</v>
      </c>
      <c r="P49" s="26">
        <f t="shared" si="2"/>
        <v>9.3748952788220592</v>
      </c>
      <c r="Q49" s="26">
        <v>0</v>
      </c>
      <c r="R49" s="37">
        <v>0</v>
      </c>
      <c r="S49" s="58"/>
    </row>
    <row r="50" spans="2:19">
      <c r="C50" s="36">
        <v>0</v>
      </c>
      <c r="D50" s="26">
        <v>0</v>
      </c>
      <c r="E50" s="26" t="s">
        <v>17</v>
      </c>
      <c r="F50" s="26">
        <v>65</v>
      </c>
      <c r="G50" s="26" t="s">
        <v>18</v>
      </c>
      <c r="H50" s="26" t="s">
        <v>19</v>
      </c>
      <c r="I50" s="26">
        <v>4</v>
      </c>
      <c r="J50" s="26">
        <v>0</v>
      </c>
      <c r="K50" s="26">
        <v>38.828571428571429</v>
      </c>
      <c r="L50" s="26">
        <f t="shared" si="0"/>
        <v>19.797826148344168</v>
      </c>
      <c r="M50" s="26">
        <v>0</v>
      </c>
      <c r="N50" s="26">
        <f t="shared" si="1"/>
        <v>0.21082565273298645</v>
      </c>
      <c r="O50" s="26">
        <v>0</v>
      </c>
      <c r="P50" s="26">
        <f t="shared" si="2"/>
        <v>4.7461353311884036</v>
      </c>
      <c r="Q50" s="26">
        <v>0</v>
      </c>
      <c r="R50" s="37">
        <v>0</v>
      </c>
      <c r="S50" s="58"/>
    </row>
    <row r="51" spans="2:19">
      <c r="C51" s="36">
        <v>0</v>
      </c>
      <c r="D51" s="26">
        <v>0</v>
      </c>
      <c r="E51" s="26" t="s">
        <v>17</v>
      </c>
      <c r="F51" s="26">
        <v>65</v>
      </c>
      <c r="G51" s="26" t="s">
        <v>18</v>
      </c>
      <c r="H51" s="26" t="s">
        <v>19</v>
      </c>
      <c r="I51" s="26">
        <v>6</v>
      </c>
      <c r="J51" s="26">
        <v>0</v>
      </c>
      <c r="K51" s="26">
        <v>41.161111111111119</v>
      </c>
      <c r="L51" s="26">
        <f t="shared" si="0"/>
        <v>20.199987736527667</v>
      </c>
      <c r="M51" s="26">
        <v>0</v>
      </c>
      <c r="N51" s="26">
        <f t="shared" si="1"/>
        <v>0.38612533022962359</v>
      </c>
      <c r="O51" s="26">
        <v>0</v>
      </c>
      <c r="P51" s="26">
        <f t="shared" si="2"/>
        <v>8.3878978134150426</v>
      </c>
      <c r="Q51" s="26">
        <v>0</v>
      </c>
      <c r="R51" s="37">
        <v>0</v>
      </c>
      <c r="S51" s="58"/>
    </row>
    <row r="52" spans="2:19">
      <c r="C52" s="36">
        <v>0</v>
      </c>
      <c r="D52" s="26">
        <v>0</v>
      </c>
      <c r="E52" s="26" t="s">
        <v>17</v>
      </c>
      <c r="F52" s="26">
        <v>65</v>
      </c>
      <c r="G52" s="26" t="s">
        <v>18</v>
      </c>
      <c r="H52" s="26" t="s">
        <v>19</v>
      </c>
      <c r="I52" s="26">
        <v>2</v>
      </c>
      <c r="J52" s="26">
        <v>0</v>
      </c>
      <c r="K52" s="26">
        <v>42.725000000000001</v>
      </c>
      <c r="L52" s="26">
        <f t="shared" si="0"/>
        <v>20.457056039468707</v>
      </c>
      <c r="M52" s="26">
        <v>0</v>
      </c>
      <c r="N52" s="26">
        <f t="shared" si="1"/>
        <v>0.14714501641111791</v>
      </c>
      <c r="O52" s="26">
        <v>0</v>
      </c>
      <c r="P52" s="26">
        <f t="shared" si="2"/>
        <v>3.1056245258136737</v>
      </c>
      <c r="Q52" s="26">
        <v>0</v>
      </c>
      <c r="R52" s="37">
        <v>0</v>
      </c>
      <c r="S52" s="58"/>
    </row>
    <row r="53" spans="2:19">
      <c r="C53" s="36">
        <v>0</v>
      </c>
      <c r="D53" s="26">
        <v>0</v>
      </c>
      <c r="E53" s="26" t="s">
        <v>17</v>
      </c>
      <c r="F53" s="26">
        <v>65</v>
      </c>
      <c r="G53" s="26" t="s">
        <v>18</v>
      </c>
      <c r="H53" s="26" t="s">
        <v>19</v>
      </c>
      <c r="I53" s="26">
        <v>1</v>
      </c>
      <c r="J53" s="26">
        <v>0</v>
      </c>
      <c r="K53" s="26">
        <v>44.3</v>
      </c>
      <c r="L53" s="26">
        <f t="shared" si="0"/>
        <v>20.706611068187097</v>
      </c>
      <c r="M53" s="26">
        <v>0</v>
      </c>
      <c r="N53" s="26">
        <f t="shared" si="1"/>
        <v>8.4191286162761128E-2</v>
      </c>
      <c r="O53" s="26">
        <v>0</v>
      </c>
      <c r="P53" s="26">
        <f t="shared" si="2"/>
        <v>1.7197740373094546</v>
      </c>
      <c r="Q53" s="26">
        <v>0</v>
      </c>
      <c r="R53" s="37">
        <v>0</v>
      </c>
      <c r="S53" s="58"/>
    </row>
    <row r="54" spans="2:19">
      <c r="C54" s="36">
        <v>0</v>
      </c>
      <c r="D54" s="26">
        <v>0</v>
      </c>
      <c r="E54" s="26" t="s">
        <v>17</v>
      </c>
      <c r="F54" s="26">
        <v>65</v>
      </c>
      <c r="G54" s="26" t="s">
        <v>18</v>
      </c>
      <c r="H54" s="26" t="s">
        <v>19</v>
      </c>
      <c r="I54" s="26">
        <v>1</v>
      </c>
      <c r="J54" s="26">
        <v>0</v>
      </c>
      <c r="K54" s="26">
        <v>46.1</v>
      </c>
      <c r="L54" s="26">
        <f t="shared" si="0"/>
        <v>20.981175233432943</v>
      </c>
      <c r="M54" s="26">
        <v>0</v>
      </c>
      <c r="N54" s="26">
        <f t="shared" si="1"/>
        <v>9.8216225038736199E-2</v>
      </c>
      <c r="O54" s="26">
        <v>0</v>
      </c>
      <c r="P54" s="26">
        <f t="shared" si="2"/>
        <v>1.9246306383020166</v>
      </c>
      <c r="Q54" s="26">
        <v>0</v>
      </c>
      <c r="R54" s="37">
        <v>0</v>
      </c>
      <c r="S54" s="58"/>
    </row>
    <row r="55" spans="2:19">
      <c r="C55" s="36">
        <v>0</v>
      </c>
      <c r="D55" s="26">
        <v>0</v>
      </c>
      <c r="E55" s="26" t="s">
        <v>17</v>
      </c>
      <c r="F55" s="26">
        <v>65</v>
      </c>
      <c r="G55" s="26" t="s">
        <v>18</v>
      </c>
      <c r="H55" s="26" t="s">
        <v>19</v>
      </c>
      <c r="I55" s="26">
        <v>1</v>
      </c>
      <c r="J55" s="26">
        <v>0</v>
      </c>
      <c r="K55" s="26">
        <v>49.4</v>
      </c>
      <c r="L55" s="26">
        <f t="shared" si="0"/>
        <v>21.45778823926533</v>
      </c>
      <c r="M55" s="26">
        <v>0</v>
      </c>
      <c r="N55" s="26">
        <f t="shared" si="1"/>
        <v>0.13027549834766075</v>
      </c>
      <c r="O55" s="26">
        <v>0</v>
      </c>
      <c r="P55" s="26">
        <f t="shared" si="2"/>
        <v>2.3409328056855077</v>
      </c>
      <c r="Q55" s="26">
        <v>0</v>
      </c>
      <c r="R55" s="37">
        <v>0</v>
      </c>
      <c r="S55" s="58"/>
    </row>
    <row r="56" spans="2:19" ht="15.75" thickBot="1">
      <c r="B56">
        <f>SUM(I48:I56)</f>
        <v>40</v>
      </c>
      <c r="C56" s="38">
        <v>0</v>
      </c>
      <c r="D56" s="39">
        <v>0</v>
      </c>
      <c r="E56" s="39" t="s">
        <v>17</v>
      </c>
      <c r="F56" s="39">
        <v>65</v>
      </c>
      <c r="G56" s="39" t="s">
        <v>18</v>
      </c>
      <c r="H56" s="39" t="s">
        <v>19</v>
      </c>
      <c r="I56" s="39">
        <v>1</v>
      </c>
      <c r="J56" s="39">
        <v>0</v>
      </c>
      <c r="K56" s="39">
        <v>51.5</v>
      </c>
      <c r="L56" s="39">
        <f t="shared" si="0"/>
        <v>21.744782507532545</v>
      </c>
      <c r="M56" s="39">
        <v>0</v>
      </c>
      <c r="N56" s="39">
        <f t="shared" si="1"/>
        <v>0.15593066076142109</v>
      </c>
      <c r="O56" s="39">
        <v>0</v>
      </c>
      <c r="P56" s="39">
        <f t="shared" si="2"/>
        <v>2.6346303473630783</v>
      </c>
      <c r="Q56" s="39">
        <v>0</v>
      </c>
      <c r="R56" s="40">
        <v>0</v>
      </c>
      <c r="S56" s="58"/>
    </row>
    <row r="57" spans="2:19">
      <c r="B57" t="s">
        <v>49</v>
      </c>
      <c r="I57" s="22">
        <f>SUM(I35:I56)</f>
        <v>323</v>
      </c>
      <c r="J57" s="22">
        <f t="shared" ref="J57:R57" si="3">SUM(J35:J56)</f>
        <v>0</v>
      </c>
      <c r="M57" s="22">
        <f t="shared" si="3"/>
        <v>0</v>
      </c>
      <c r="N57" s="22">
        <f t="shared" si="3"/>
        <v>6.3745114890705743</v>
      </c>
      <c r="O57" s="22">
        <f t="shared" si="3"/>
        <v>0</v>
      </c>
      <c r="P57" s="22">
        <f t="shared" si="3"/>
        <v>134.14453104819768</v>
      </c>
      <c r="Q57" s="22">
        <f t="shared" si="3"/>
        <v>0</v>
      </c>
      <c r="R57" s="22">
        <f t="shared" si="3"/>
        <v>0</v>
      </c>
    </row>
    <row r="63" spans="2:19" ht="15.75" thickBot="1"/>
    <row r="64" spans="2:19" ht="15.75" thickBot="1">
      <c r="C64" s="30" t="s">
        <v>1</v>
      </c>
      <c r="D64" s="31" t="s">
        <v>2</v>
      </c>
      <c r="E64" s="31" t="s">
        <v>3</v>
      </c>
      <c r="F64" s="31" t="s">
        <v>4</v>
      </c>
      <c r="G64" s="31" t="s">
        <v>5</v>
      </c>
      <c r="H64" s="31" t="s">
        <v>6</v>
      </c>
      <c r="I64" s="31" t="s">
        <v>54</v>
      </c>
      <c r="J64" s="31" t="s">
        <v>8</v>
      </c>
      <c r="K64" s="31" t="s">
        <v>9</v>
      </c>
      <c r="L64" s="31" t="s">
        <v>10</v>
      </c>
      <c r="M64" s="31" t="s">
        <v>11</v>
      </c>
      <c r="N64" s="31" t="s">
        <v>12</v>
      </c>
      <c r="O64" s="31" t="s">
        <v>13</v>
      </c>
      <c r="P64" s="31" t="s">
        <v>50</v>
      </c>
      <c r="Q64" s="31" t="s">
        <v>15</v>
      </c>
      <c r="R64" s="32" t="s">
        <v>16</v>
      </c>
    </row>
    <row r="65" spans="3:18">
      <c r="C65" s="36">
        <v>0</v>
      </c>
      <c r="D65" s="26">
        <v>0</v>
      </c>
      <c r="E65" s="26" t="s">
        <v>17</v>
      </c>
      <c r="F65" s="26">
        <v>65</v>
      </c>
      <c r="G65" s="26" t="s">
        <v>18</v>
      </c>
      <c r="H65" s="26" t="s">
        <v>19</v>
      </c>
      <c r="I65" s="26">
        <f>SUM(I35:I41)</f>
        <v>130</v>
      </c>
      <c r="J65" s="26">
        <v>0</v>
      </c>
      <c r="K65" s="26">
        <f>AVERAGE(K35:K41)</f>
        <v>15.031567681185027</v>
      </c>
      <c r="L65" s="26">
        <f>AVERAGE(L35:L41)</f>
        <v>12.999209211666599</v>
      </c>
      <c r="M65" s="26">
        <f>SUM(M35:M41)</f>
        <v>0</v>
      </c>
      <c r="N65" s="26">
        <f t="shared" ref="N65:R65" si="4">SUM(N35:N41)</f>
        <v>1.130625663119279</v>
      </c>
      <c r="O65" s="26">
        <f t="shared" si="4"/>
        <v>0</v>
      </c>
      <c r="P65" s="26">
        <f t="shared" si="4"/>
        <v>18.102684520059533</v>
      </c>
      <c r="Q65" s="26">
        <f t="shared" si="4"/>
        <v>0</v>
      </c>
      <c r="R65" s="37">
        <f t="shared" si="4"/>
        <v>0</v>
      </c>
    </row>
    <row r="66" spans="3:18">
      <c r="C66" s="36">
        <v>0</v>
      </c>
      <c r="D66" s="26">
        <v>0</v>
      </c>
      <c r="E66" s="26" t="s">
        <v>17</v>
      </c>
      <c r="F66" s="26">
        <v>65</v>
      </c>
      <c r="G66" s="26" t="s">
        <v>18</v>
      </c>
      <c r="H66" s="26" t="s">
        <v>19</v>
      </c>
      <c r="I66" s="26">
        <f>SUM(I42:I47)</f>
        <v>153</v>
      </c>
      <c r="J66" s="26">
        <v>0</v>
      </c>
      <c r="K66" s="26">
        <f>AVERAGE(K42:K47)</f>
        <v>27.870224702380956</v>
      </c>
      <c r="L66" s="26">
        <f>AVERAGE(L42:L47)</f>
        <v>17.460132244052662</v>
      </c>
      <c r="M66" s="26">
        <f>SUM(M42:M47)</f>
        <v>0</v>
      </c>
      <c r="N66" s="26">
        <f t="shared" ref="N66:R66" si="5">SUM(N42:N47)</f>
        <v>3.0505840380624192</v>
      </c>
      <c r="O66" s="26">
        <f t="shared" si="5"/>
        <v>0</v>
      </c>
      <c r="P66" s="26">
        <f t="shared" si="5"/>
        <v>68.436675053527281</v>
      </c>
      <c r="Q66" s="26">
        <f t="shared" si="5"/>
        <v>0</v>
      </c>
      <c r="R66" s="37">
        <f t="shared" si="5"/>
        <v>0</v>
      </c>
    </row>
    <row r="67" spans="3:18" ht="15.75" thickBot="1">
      <c r="C67" s="38">
        <v>0</v>
      </c>
      <c r="D67" s="39">
        <v>0</v>
      </c>
      <c r="E67" s="39" t="s">
        <v>17</v>
      </c>
      <c r="F67" s="39">
        <v>65</v>
      </c>
      <c r="G67" s="39" t="s">
        <v>18</v>
      </c>
      <c r="H67" s="39" t="s">
        <v>19</v>
      </c>
      <c r="I67" s="39">
        <f>SUM(I48:I56)</f>
        <v>40</v>
      </c>
      <c r="J67" s="39">
        <v>0</v>
      </c>
      <c r="K67" s="39">
        <f>AVERAGE(K48:K56)</f>
        <v>42.904693562610227</v>
      </c>
      <c r="L67" s="39">
        <f>AVERAGE(L48:L56)</f>
        <v>20.435233640583014</v>
      </c>
      <c r="M67" s="39">
        <f>SUM(M48:M56)</f>
        <v>0</v>
      </c>
      <c r="N67" s="39">
        <f t="shared" ref="N67:R67" si="6">SUM(N48:N56)</f>
        <v>2.193301787888875</v>
      </c>
      <c r="O67" s="39">
        <f t="shared" si="6"/>
        <v>0</v>
      </c>
      <c r="P67" s="39">
        <f t="shared" si="6"/>
        <v>47.60517147461092</v>
      </c>
      <c r="Q67" s="39">
        <f t="shared" si="6"/>
        <v>0</v>
      </c>
      <c r="R67" s="40">
        <f t="shared" si="6"/>
        <v>0</v>
      </c>
    </row>
  </sheetData>
  <mergeCells count="3">
    <mergeCell ref="S35:S41"/>
    <mergeCell ref="S42:S47"/>
    <mergeCell ref="S48:S5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T52"/>
  <sheetViews>
    <sheetView topLeftCell="B25" workbookViewId="0">
      <selection activeCell="O56" sqref="O56"/>
    </sheetView>
  </sheetViews>
  <sheetFormatPr defaultRowHeight="15"/>
  <cols>
    <col min="3" max="18" width="12.7109375" style="22" customWidth="1"/>
    <col min="19" max="20" width="9.140625" style="22"/>
  </cols>
  <sheetData>
    <row r="3" spans="3:20" ht="30">
      <c r="C3" s="23" t="s">
        <v>46</v>
      </c>
      <c r="D3" s="23">
        <v>1995</v>
      </c>
      <c r="E3" s="42">
        <v>2001</v>
      </c>
      <c r="F3" s="42" t="s">
        <v>53</v>
      </c>
      <c r="G3" s="23">
        <v>2004</v>
      </c>
      <c r="H3" s="23"/>
      <c r="I3" s="24">
        <v>2010</v>
      </c>
      <c r="J3" s="25" t="s">
        <v>52</v>
      </c>
    </row>
    <row r="4" spans="3:20">
      <c r="C4" s="22">
        <v>8</v>
      </c>
      <c r="D4" s="26"/>
      <c r="E4" s="43"/>
      <c r="F4" s="43"/>
      <c r="I4" s="44"/>
      <c r="J4" s="28">
        <f>[2]Berekeningen!H4</f>
        <v>0</v>
      </c>
    </row>
    <row r="5" spans="3:20">
      <c r="C5" s="22">
        <v>10</v>
      </c>
      <c r="D5" s="26"/>
      <c r="E5" s="43"/>
      <c r="F5" s="43"/>
      <c r="J5" s="28">
        <f>[2]Berekeningen!H6</f>
        <v>0</v>
      </c>
    </row>
    <row r="6" spans="3:20">
      <c r="C6" s="22">
        <v>12</v>
      </c>
      <c r="D6" s="26"/>
      <c r="E6" s="43"/>
      <c r="F6" s="43"/>
      <c r="J6" s="28">
        <f>[2]Berekeningen!H8</f>
        <v>0</v>
      </c>
    </row>
    <row r="7" spans="3:20">
      <c r="C7" s="22">
        <v>14</v>
      </c>
      <c r="D7" s="26">
        <v>0</v>
      </c>
      <c r="E7" s="43">
        <v>0</v>
      </c>
      <c r="F7" s="43">
        <v>0</v>
      </c>
      <c r="G7" s="22">
        <v>0</v>
      </c>
      <c r="H7" s="22">
        <v>0</v>
      </c>
      <c r="I7" s="22">
        <v>0</v>
      </c>
      <c r="J7" s="28">
        <f>[2]Berekeningen!H10</f>
        <v>0</v>
      </c>
    </row>
    <row r="8" spans="3:20">
      <c r="C8" s="22">
        <v>16</v>
      </c>
      <c r="D8" s="27">
        <v>2</v>
      </c>
      <c r="E8" s="43">
        <v>0</v>
      </c>
      <c r="F8" s="43">
        <v>0</v>
      </c>
      <c r="G8" s="22">
        <v>0</v>
      </c>
      <c r="H8" s="22">
        <v>0</v>
      </c>
      <c r="I8" s="22">
        <v>0</v>
      </c>
      <c r="J8" s="28">
        <f>[2]Berekeningen!H12</f>
        <v>0</v>
      </c>
    </row>
    <row r="9" spans="3:20">
      <c r="C9" s="22">
        <v>18</v>
      </c>
      <c r="D9" s="27">
        <v>14</v>
      </c>
      <c r="E9" s="43">
        <v>2.3391812865497075</v>
      </c>
      <c r="F9" s="43">
        <v>2</v>
      </c>
      <c r="G9" s="22">
        <v>2.9239766081871346</v>
      </c>
      <c r="H9" s="22">
        <v>1.9801980198019802</v>
      </c>
      <c r="I9" s="22">
        <f>[2]Berekeningen!J14</f>
        <v>21.533333333333331</v>
      </c>
      <c r="J9" s="28">
        <f>[2]Berekeningen!H14</f>
        <v>0</v>
      </c>
    </row>
    <row r="10" spans="3:20">
      <c r="C10" s="22">
        <v>20</v>
      </c>
      <c r="D10" s="27">
        <v>44</v>
      </c>
      <c r="E10" s="43">
        <v>10.526315789473685</v>
      </c>
      <c r="F10" s="43">
        <v>11</v>
      </c>
      <c r="G10" s="22">
        <v>11.695906432748538</v>
      </c>
      <c r="H10" s="22">
        <v>8.4158415841584162</v>
      </c>
      <c r="I10" s="22">
        <f>[2]Berekeningen!J16</f>
        <v>24.400000000000002</v>
      </c>
      <c r="J10" s="28">
        <f>[2]Berekeningen!H16</f>
        <v>0</v>
      </c>
    </row>
    <row r="11" spans="3:20">
      <c r="C11" s="22">
        <v>22</v>
      </c>
      <c r="D11" s="27">
        <v>63</v>
      </c>
      <c r="E11" s="43">
        <v>31.578947368421055</v>
      </c>
      <c r="F11" s="43">
        <v>32</v>
      </c>
      <c r="G11" s="22">
        <v>22.222222222222221</v>
      </c>
      <c r="H11" s="22">
        <v>17.326732673267326</v>
      </c>
      <c r="I11" s="22">
        <f>[2]Berekeningen!J18</f>
        <v>23.133333333333336</v>
      </c>
      <c r="J11" s="28">
        <f>[2]Berekeningen!H18</f>
        <v>0</v>
      </c>
    </row>
    <row r="12" spans="3:20">
      <c r="C12" s="22">
        <v>24</v>
      </c>
      <c r="D12" s="27">
        <v>92</v>
      </c>
      <c r="E12" s="43">
        <v>43.274853801169591</v>
      </c>
      <c r="F12" s="43">
        <v>43</v>
      </c>
      <c r="G12" s="22">
        <v>44.444444444444443</v>
      </c>
      <c r="H12" s="22">
        <v>24.752475247524753</v>
      </c>
      <c r="I12" s="22">
        <f>[2]Berekeningen!J20</f>
        <v>21.599999999999998</v>
      </c>
      <c r="J12" s="28">
        <f>[2]Berekeningen!H20</f>
        <v>0</v>
      </c>
    </row>
    <row r="13" spans="3:20">
      <c r="C13" s="22">
        <v>26</v>
      </c>
      <c r="D13" s="27">
        <v>94</v>
      </c>
      <c r="E13" s="43">
        <v>67.836257309941516</v>
      </c>
      <c r="F13" s="43">
        <v>68</v>
      </c>
      <c r="G13" s="22">
        <v>69.590643274853804</v>
      </c>
      <c r="H13" s="22">
        <v>46.534653465346537</v>
      </c>
      <c r="I13" s="22">
        <f>[2]Berekeningen!J22</f>
        <v>20.366666666666664</v>
      </c>
      <c r="J13" s="28">
        <f>[2]Berekeningen!H22</f>
        <v>0</v>
      </c>
    </row>
    <row r="14" spans="3:20">
      <c r="C14" s="22">
        <v>28</v>
      </c>
      <c r="D14" s="27">
        <v>83</v>
      </c>
      <c r="E14" s="43">
        <v>66.666666666666671</v>
      </c>
      <c r="F14" s="43">
        <v>67</v>
      </c>
      <c r="G14" s="22">
        <v>52.046783625730995</v>
      </c>
      <c r="H14" s="22">
        <v>64.851485148514854</v>
      </c>
      <c r="I14" s="22">
        <f>[2]Berekeningen!J24</f>
        <v>19.433333333333334</v>
      </c>
      <c r="J14" s="28">
        <f>[2]Berekeningen!H24</f>
        <v>0</v>
      </c>
      <c r="Q14" s="41"/>
      <c r="R14" s="41" t="s">
        <v>40</v>
      </c>
      <c r="S14" s="41"/>
      <c r="T14" s="41"/>
    </row>
    <row r="15" spans="3:20">
      <c r="C15" s="22">
        <v>30</v>
      </c>
      <c r="D15" s="27">
        <v>64</v>
      </c>
      <c r="E15" s="43">
        <v>53.216374269005847</v>
      </c>
      <c r="F15" s="43">
        <v>53</v>
      </c>
      <c r="G15" s="22">
        <v>54.970760233918128</v>
      </c>
      <c r="H15" s="22">
        <v>55.445544554455445</v>
      </c>
      <c r="I15" s="22">
        <f>[2]Berekeningen!J26</f>
        <v>27.099999999999998</v>
      </c>
      <c r="J15" s="28">
        <f>[2]Berekeningen!H26</f>
        <v>0</v>
      </c>
      <c r="Q15" s="41"/>
      <c r="R15" s="41" t="s">
        <v>27</v>
      </c>
      <c r="S15" s="41" t="s">
        <v>28</v>
      </c>
      <c r="T15" s="41" t="s">
        <v>30</v>
      </c>
    </row>
    <row r="16" spans="3:20">
      <c r="C16" s="22">
        <v>32</v>
      </c>
      <c r="D16" s="27">
        <v>20</v>
      </c>
      <c r="E16" s="43">
        <v>36.257309941520468</v>
      </c>
      <c r="F16" s="43">
        <v>36</v>
      </c>
      <c r="G16" s="22">
        <v>38.011695906432749</v>
      </c>
      <c r="H16" s="22">
        <v>46.534653465346537</v>
      </c>
      <c r="I16" s="22">
        <f>[2]Berekeningen!J28</f>
        <v>26.266666666666666</v>
      </c>
      <c r="J16" s="28">
        <f>[2]Berekeningen!H28</f>
        <v>0</v>
      </c>
      <c r="Q16" s="41" t="s">
        <v>23</v>
      </c>
      <c r="R16" s="41">
        <v>0.1227</v>
      </c>
      <c r="S16" s="41">
        <v>2.3271999999999999</v>
      </c>
      <c r="T16" s="41" t="s">
        <v>55</v>
      </c>
    </row>
    <row r="17" spans="3:20">
      <c r="C17" s="22">
        <v>34</v>
      </c>
      <c r="D17" s="27">
        <v>28</v>
      </c>
      <c r="E17" s="43">
        <v>22.807017543859651</v>
      </c>
      <c r="F17" s="43">
        <v>23</v>
      </c>
      <c r="G17" s="22">
        <v>22.222222222222221</v>
      </c>
      <c r="H17" s="22">
        <v>31.188118811881189</v>
      </c>
      <c r="I17" s="22">
        <f>[2]Berekeningen!J30</f>
        <v>26.066666666666666</v>
      </c>
      <c r="J17" s="28">
        <f>[2]Berekeningen!H30</f>
        <v>0</v>
      </c>
      <c r="Q17" s="41" t="s">
        <v>24</v>
      </c>
      <c r="R17" s="41">
        <v>2.2000000000000001E-3</v>
      </c>
      <c r="S17" s="41">
        <v>2.9123000000000001</v>
      </c>
      <c r="T17" s="41" t="s">
        <v>55</v>
      </c>
    </row>
    <row r="18" spans="3:20">
      <c r="C18" s="22">
        <v>36</v>
      </c>
      <c r="D18" s="27">
        <v>19</v>
      </c>
      <c r="E18" s="43">
        <v>19.883040935672515</v>
      </c>
      <c r="F18" s="43">
        <v>20</v>
      </c>
      <c r="G18" s="22">
        <v>20.467836257309941</v>
      </c>
      <c r="H18" s="22">
        <v>25.742574257425744</v>
      </c>
      <c r="I18" s="22">
        <f>[2]Berekeningen!J32</f>
        <v>24.233333333333334</v>
      </c>
      <c r="J18" s="28">
        <f>[2]Berekeningen!H32</f>
        <v>0</v>
      </c>
      <c r="Q18" s="41" t="s">
        <v>25</v>
      </c>
      <c r="R18" s="41">
        <v>4.4999999999999997E-3</v>
      </c>
      <c r="S18" s="41">
        <v>2.2372000000000001</v>
      </c>
      <c r="T18" s="41" t="s">
        <v>55</v>
      </c>
    </row>
    <row r="19" spans="3:20">
      <c r="C19" s="22">
        <v>38</v>
      </c>
      <c r="D19" s="27">
        <v>11</v>
      </c>
      <c r="E19" s="43">
        <v>11.695906432748538</v>
      </c>
      <c r="F19" s="43">
        <v>12</v>
      </c>
      <c r="G19" s="22">
        <v>9.9415204678362574</v>
      </c>
      <c r="H19" s="22">
        <v>17.326732673267326</v>
      </c>
      <c r="I19" s="22">
        <f>[2]Berekeningen!J34</f>
        <v>23.033333333333331</v>
      </c>
      <c r="J19" s="28">
        <f>[2]Berekeningen!H34</f>
        <v>0</v>
      </c>
      <c r="Q19" s="41" t="s">
        <v>26</v>
      </c>
      <c r="R19" s="41">
        <v>3.5000000000000001E-3</v>
      </c>
      <c r="S19" s="41">
        <v>2.8618000000000001</v>
      </c>
      <c r="T19" s="41" t="s">
        <v>55</v>
      </c>
    </row>
    <row r="20" spans="3:20">
      <c r="C20" s="22">
        <v>40</v>
      </c>
      <c r="D20" s="27">
        <v>3</v>
      </c>
      <c r="E20" s="43">
        <v>6.4327485380116958</v>
      </c>
      <c r="F20" s="43">
        <v>6</v>
      </c>
      <c r="G20" s="22">
        <v>7.0175438596491233</v>
      </c>
      <c r="H20" s="22">
        <v>10.891089108910892</v>
      </c>
      <c r="I20" s="22">
        <f>[2]Berekeningen!J36</f>
        <v>20.700000000000003</v>
      </c>
      <c r="J20" s="28">
        <f>[2]Berekeningen!H36</f>
        <v>0</v>
      </c>
    </row>
    <row r="21" spans="3:20">
      <c r="C21" s="22">
        <v>42</v>
      </c>
      <c r="D21" s="27">
        <v>2</v>
      </c>
      <c r="E21" s="43">
        <v>1.1695906432748537</v>
      </c>
      <c r="F21" s="43">
        <v>1</v>
      </c>
      <c r="G21" s="22">
        <v>2.3391812865497075</v>
      </c>
      <c r="H21" s="22">
        <v>5.4455445544554459</v>
      </c>
      <c r="I21" s="22">
        <f>[2]Berekeningen!J38</f>
        <v>21.766666666666669</v>
      </c>
      <c r="J21" s="28">
        <f>[2]Berekeningen!H38</f>
        <v>0</v>
      </c>
    </row>
    <row r="22" spans="3:20">
      <c r="C22" s="22">
        <v>44</v>
      </c>
      <c r="D22" s="27">
        <v>1</v>
      </c>
      <c r="E22" s="43">
        <v>1.1695906432748537</v>
      </c>
      <c r="F22" s="43">
        <v>1</v>
      </c>
      <c r="G22" s="22">
        <v>1.7543859649122808</v>
      </c>
      <c r="H22" s="22">
        <v>2.9702970297029703</v>
      </c>
      <c r="I22" s="22">
        <f>[2]Berekeningen!J40</f>
        <v>23.366666666666664</v>
      </c>
      <c r="J22" s="28">
        <f>[2]Berekeningen!H40</f>
        <v>0</v>
      </c>
    </row>
    <row r="23" spans="3:20">
      <c r="C23" s="22">
        <v>46</v>
      </c>
      <c r="D23" s="27">
        <v>1</v>
      </c>
      <c r="E23" s="43">
        <v>0.58479532163742687</v>
      </c>
      <c r="F23" s="43">
        <v>1</v>
      </c>
      <c r="G23" s="22">
        <v>0.58479532163742687</v>
      </c>
      <c r="H23" s="22">
        <v>1.4851485148514851</v>
      </c>
      <c r="I23" s="22">
        <f>[2]Berekeningen!J42</f>
        <v>19.566666666666666</v>
      </c>
      <c r="J23" s="28">
        <f>[2]Berekeningen!H42</f>
        <v>0</v>
      </c>
    </row>
    <row r="24" spans="3:20">
      <c r="C24" s="22">
        <v>48</v>
      </c>
      <c r="D24" s="27">
        <v>1</v>
      </c>
      <c r="E24" s="43">
        <v>0.58479532163742687</v>
      </c>
      <c r="F24" s="43">
        <v>1</v>
      </c>
      <c r="G24" s="22">
        <v>0</v>
      </c>
      <c r="H24" s="22">
        <v>0</v>
      </c>
      <c r="I24" s="22">
        <f>[2]Berekeningen!J44</f>
        <v>23.166666666666668</v>
      </c>
      <c r="J24" s="28">
        <f>[2]Berekeningen!H44</f>
        <v>0</v>
      </c>
    </row>
    <row r="25" spans="3:20">
      <c r="C25" s="22">
        <v>50</v>
      </c>
      <c r="D25" s="27">
        <v>0</v>
      </c>
      <c r="E25" s="43">
        <v>0.58479532163742687</v>
      </c>
      <c r="F25" s="43">
        <v>1</v>
      </c>
      <c r="G25" s="22">
        <v>1.1695906432748537</v>
      </c>
      <c r="H25" s="22">
        <v>0.49504950495049505</v>
      </c>
      <c r="I25" s="22">
        <f>[2]Berekeningen!J46</f>
        <v>24.133333333333336</v>
      </c>
      <c r="J25" s="28">
        <f>[2]Berekeningen!H46</f>
        <v>0</v>
      </c>
    </row>
    <row r="26" spans="3:20">
      <c r="C26" s="22">
        <v>52</v>
      </c>
      <c r="D26" s="27">
        <v>0</v>
      </c>
      <c r="E26" s="43">
        <v>0.58479532163742687</v>
      </c>
      <c r="F26" s="43">
        <v>1</v>
      </c>
      <c r="G26" s="22">
        <v>0.58479532163742687</v>
      </c>
      <c r="H26" s="22">
        <v>0.99009900990099009</v>
      </c>
      <c r="I26" s="22">
        <f>[2]Berekeningen!J48</f>
        <v>23.7</v>
      </c>
      <c r="J26" s="28">
        <f>[2]Berekeningen!H48</f>
        <v>0</v>
      </c>
    </row>
    <row r="27" spans="3:20">
      <c r="C27" s="22">
        <v>54</v>
      </c>
      <c r="D27" s="27">
        <v>0</v>
      </c>
      <c r="E27" s="43">
        <v>0</v>
      </c>
      <c r="F27" s="43"/>
      <c r="G27" s="22">
        <v>0</v>
      </c>
      <c r="H27" s="22">
        <v>0.49504950495049505</v>
      </c>
      <c r="I27" s="22">
        <f>[2]Berekeningen!J50</f>
        <v>19.900000000000002</v>
      </c>
      <c r="J27" s="28">
        <f>[2]Berekeningen!H50</f>
        <v>0</v>
      </c>
    </row>
    <row r="28" spans="3:20">
      <c r="C28" s="22">
        <v>56</v>
      </c>
      <c r="D28" s="27"/>
      <c r="E28" s="43"/>
      <c r="F28" s="43"/>
      <c r="H28" s="22">
        <v>0</v>
      </c>
      <c r="I28" s="22">
        <f>[2]Berekeningen!J52</f>
        <v>25.633333333333336</v>
      </c>
      <c r="J28" s="28">
        <f>[2]Berekeningen!H52</f>
        <v>0</v>
      </c>
    </row>
    <row r="29" spans="3:20">
      <c r="D29" s="29">
        <f>SUM(D4:D27)</f>
        <v>542</v>
      </c>
      <c r="E29" s="45">
        <f>SUM(E4:E27)</f>
        <v>377.19298245614038</v>
      </c>
      <c r="F29" s="45"/>
      <c r="G29" s="29">
        <f>SUM(G4:G27)</f>
        <v>361.98830409356725</v>
      </c>
      <c r="H29" s="29"/>
      <c r="I29" s="29">
        <f>SUM(I4:I27)</f>
        <v>433.46666666666658</v>
      </c>
    </row>
    <row r="32" spans="3:20" ht="15.75" thickBot="1">
      <c r="M32" s="22" t="s">
        <v>36</v>
      </c>
      <c r="N32" s="22" t="s">
        <v>35</v>
      </c>
      <c r="O32" s="22" t="s">
        <v>38</v>
      </c>
      <c r="P32" s="22" t="s">
        <v>51</v>
      </c>
    </row>
    <row r="33" spans="3:18" ht="15.75" thickBot="1">
      <c r="C33" s="30" t="s">
        <v>1</v>
      </c>
      <c r="D33" s="31" t="s">
        <v>2</v>
      </c>
      <c r="E33" s="31" t="s">
        <v>3</v>
      </c>
      <c r="F33" s="31" t="s">
        <v>4</v>
      </c>
      <c r="G33" s="31" t="s">
        <v>5</v>
      </c>
      <c r="H33" s="31" t="s">
        <v>6</v>
      </c>
      <c r="I33" s="31" t="s">
        <v>7</v>
      </c>
      <c r="J33" s="31" t="s">
        <v>8</v>
      </c>
      <c r="K33" s="31" t="s">
        <v>9</v>
      </c>
      <c r="L33" s="31" t="s">
        <v>10</v>
      </c>
      <c r="M33" s="31" t="s">
        <v>11</v>
      </c>
      <c r="N33" s="31" t="s">
        <v>12</v>
      </c>
      <c r="O33" s="31" t="s">
        <v>13</v>
      </c>
      <c r="P33" s="31" t="s">
        <v>50</v>
      </c>
      <c r="Q33" s="31" t="s">
        <v>15</v>
      </c>
      <c r="R33" s="32" t="s">
        <v>16</v>
      </c>
    </row>
    <row r="34" spans="3:18">
      <c r="C34" s="33">
        <v>0</v>
      </c>
      <c r="D34" s="34">
        <v>1</v>
      </c>
      <c r="E34" s="34" t="s">
        <v>17</v>
      </c>
      <c r="F34" s="34">
        <v>72</v>
      </c>
      <c r="G34" s="34" t="s">
        <v>20</v>
      </c>
      <c r="H34" s="34" t="s">
        <v>19</v>
      </c>
      <c r="I34" s="46">
        <v>2</v>
      </c>
      <c r="J34" s="34">
        <v>0</v>
      </c>
      <c r="K34" s="34">
        <v>18</v>
      </c>
      <c r="L34" s="34">
        <f>(-0.0082*(K34*K34))+(0.665*K34)+9.0113</f>
        <v>18.3245</v>
      </c>
      <c r="M34" s="34">
        <f>(R$18*(K34^S$18)/1000)*I34</f>
        <v>5.7881284160191697E-3</v>
      </c>
      <c r="N34" s="34">
        <f>(R$19*(K34^S$19)/1000)*I34</f>
        <v>2.7380217588632599E-2</v>
      </c>
      <c r="O34" s="34">
        <v>0</v>
      </c>
      <c r="P34" s="34">
        <f>(((R$16*(K34^S$16))/1000)*I34)+((R$17*(K34^S$17))/1000)*I34</f>
        <v>0.22462778834745312</v>
      </c>
      <c r="Q34" s="34">
        <v>0</v>
      </c>
      <c r="R34" s="35">
        <v>0</v>
      </c>
    </row>
    <row r="35" spans="3:18">
      <c r="C35" s="36">
        <v>0</v>
      </c>
      <c r="D35" s="26">
        <v>1</v>
      </c>
      <c r="E35" s="26" t="s">
        <v>17</v>
      </c>
      <c r="F35" s="26">
        <v>72</v>
      </c>
      <c r="G35" s="26" t="s">
        <v>20</v>
      </c>
      <c r="H35" s="26" t="s">
        <v>19</v>
      </c>
      <c r="I35" s="47">
        <v>11</v>
      </c>
      <c r="J35" s="26">
        <v>0</v>
      </c>
      <c r="K35" s="26">
        <v>20</v>
      </c>
      <c r="L35" s="26">
        <f t="shared" ref="L35:L51" si="0">(-0.0082*(K35*K35))+(0.665*K35)+9.0113</f>
        <v>19.031300000000002</v>
      </c>
      <c r="M35" s="26">
        <f t="shared" ref="M35:M51" si="1">(R$18*(K35^S$18)/1000)*I35</f>
        <v>4.0296702145548202E-2</v>
      </c>
      <c r="N35" s="26">
        <f t="shared" ref="N35:N51" si="2">(R$19*(K35^S$19)/1000)*I35</f>
        <v>0.20358621635813501</v>
      </c>
      <c r="O35" s="26">
        <v>0</v>
      </c>
      <c r="P35" s="26">
        <f t="shared" ref="P35:P51" si="3">(((R$16*(K35^S$16))/1000)*I35)+((R$17*(K35^S$17))/1000)*I35</f>
        <v>1.5876487989767891</v>
      </c>
      <c r="Q35" s="26">
        <v>0</v>
      </c>
      <c r="R35" s="37">
        <v>0</v>
      </c>
    </row>
    <row r="36" spans="3:18">
      <c r="C36" s="36">
        <v>0</v>
      </c>
      <c r="D36" s="26">
        <v>1</v>
      </c>
      <c r="E36" s="26" t="s">
        <v>17</v>
      </c>
      <c r="F36" s="26">
        <v>72</v>
      </c>
      <c r="G36" s="26" t="s">
        <v>20</v>
      </c>
      <c r="H36" s="26" t="s">
        <v>19</v>
      </c>
      <c r="I36" s="47">
        <v>32</v>
      </c>
      <c r="J36" s="26">
        <v>0</v>
      </c>
      <c r="K36" s="26">
        <v>22</v>
      </c>
      <c r="L36" s="26">
        <f t="shared" si="0"/>
        <v>19.672499999999999</v>
      </c>
      <c r="M36" s="26">
        <f t="shared" si="1"/>
        <v>0.14508767244419113</v>
      </c>
      <c r="N36" s="26">
        <f t="shared" si="2"/>
        <v>0.77797071752998015</v>
      </c>
      <c r="O36" s="26">
        <v>0</v>
      </c>
      <c r="P36" s="26">
        <f t="shared" si="3"/>
        <v>5.7965552404938769</v>
      </c>
      <c r="Q36" s="26">
        <v>0</v>
      </c>
      <c r="R36" s="37">
        <v>0</v>
      </c>
    </row>
    <row r="37" spans="3:18">
      <c r="C37" s="36">
        <v>0</v>
      </c>
      <c r="D37" s="26">
        <v>1</v>
      </c>
      <c r="E37" s="26" t="s">
        <v>17</v>
      </c>
      <c r="F37" s="26">
        <v>72</v>
      </c>
      <c r="G37" s="26" t="s">
        <v>20</v>
      </c>
      <c r="H37" s="26" t="s">
        <v>19</v>
      </c>
      <c r="I37" s="47">
        <v>43</v>
      </c>
      <c r="J37" s="26">
        <v>0</v>
      </c>
      <c r="K37" s="26">
        <v>24</v>
      </c>
      <c r="L37" s="26">
        <f t="shared" si="0"/>
        <v>20.248100000000001</v>
      </c>
      <c r="M37" s="26">
        <f t="shared" si="1"/>
        <v>0.23685881888842175</v>
      </c>
      <c r="N37" s="26">
        <f t="shared" si="2"/>
        <v>1.340988432067431</v>
      </c>
      <c r="O37" s="26">
        <v>0</v>
      </c>
      <c r="P37" s="26">
        <f t="shared" si="3"/>
        <v>9.5865222100908678</v>
      </c>
      <c r="Q37" s="26">
        <v>0</v>
      </c>
      <c r="R37" s="37">
        <v>0</v>
      </c>
    </row>
    <row r="38" spans="3:18">
      <c r="C38" s="36">
        <v>0</v>
      </c>
      <c r="D38" s="26">
        <v>1</v>
      </c>
      <c r="E38" s="26" t="s">
        <v>17</v>
      </c>
      <c r="F38" s="26">
        <v>72</v>
      </c>
      <c r="G38" s="26" t="s">
        <v>20</v>
      </c>
      <c r="H38" s="26" t="s">
        <v>19</v>
      </c>
      <c r="I38" s="47">
        <v>68</v>
      </c>
      <c r="J38" s="26">
        <v>0</v>
      </c>
      <c r="K38" s="26">
        <v>26</v>
      </c>
      <c r="L38" s="26">
        <f t="shared" si="0"/>
        <v>20.758099999999999</v>
      </c>
      <c r="M38" s="26">
        <f t="shared" si="1"/>
        <v>0.44802247467050044</v>
      </c>
      <c r="N38" s="26">
        <f t="shared" si="2"/>
        <v>2.6665374303460041</v>
      </c>
      <c r="O38" s="26">
        <v>0</v>
      </c>
      <c r="P38" s="26">
        <f t="shared" si="3"/>
        <v>18.354571341122352</v>
      </c>
      <c r="Q38" s="26">
        <v>0</v>
      </c>
      <c r="R38" s="37">
        <v>0</v>
      </c>
    </row>
    <row r="39" spans="3:18">
      <c r="C39" s="36">
        <v>0</v>
      </c>
      <c r="D39" s="26">
        <v>1</v>
      </c>
      <c r="E39" s="26" t="s">
        <v>17</v>
      </c>
      <c r="F39" s="26">
        <v>72</v>
      </c>
      <c r="G39" s="26" t="s">
        <v>20</v>
      </c>
      <c r="H39" s="26" t="s">
        <v>19</v>
      </c>
      <c r="I39" s="47">
        <v>67</v>
      </c>
      <c r="J39" s="26">
        <v>0</v>
      </c>
      <c r="K39" s="26">
        <v>28</v>
      </c>
      <c r="L39" s="26">
        <f t="shared" si="0"/>
        <v>21.202500000000001</v>
      </c>
      <c r="M39" s="26">
        <f t="shared" si="1"/>
        <v>0.5210378393093954</v>
      </c>
      <c r="N39" s="26">
        <f t="shared" si="2"/>
        <v>3.2480275264035434</v>
      </c>
      <c r="O39" s="26">
        <v>0</v>
      </c>
      <c r="P39" s="26">
        <f t="shared" si="3"/>
        <v>21.591220042320749</v>
      </c>
      <c r="Q39" s="26">
        <v>0</v>
      </c>
      <c r="R39" s="37">
        <v>0</v>
      </c>
    </row>
    <row r="40" spans="3:18">
      <c r="C40" s="36">
        <v>0</v>
      </c>
      <c r="D40" s="26">
        <v>1</v>
      </c>
      <c r="E40" s="26" t="s">
        <v>17</v>
      </c>
      <c r="F40" s="26">
        <v>72</v>
      </c>
      <c r="G40" s="26" t="s">
        <v>20</v>
      </c>
      <c r="H40" s="26" t="s">
        <v>19</v>
      </c>
      <c r="I40" s="47">
        <v>53</v>
      </c>
      <c r="J40" s="26">
        <v>0</v>
      </c>
      <c r="K40" s="26">
        <v>30</v>
      </c>
      <c r="L40" s="26">
        <f t="shared" si="0"/>
        <v>21.581300000000002</v>
      </c>
      <c r="M40" s="26">
        <f t="shared" si="1"/>
        <v>0.48095456856681085</v>
      </c>
      <c r="N40" s="26">
        <f t="shared" si="2"/>
        <v>3.1301815026063706</v>
      </c>
      <c r="O40" s="26">
        <v>0</v>
      </c>
      <c r="P40" s="26">
        <f t="shared" si="3"/>
        <v>20.146784225509307</v>
      </c>
      <c r="Q40" s="26">
        <v>0</v>
      </c>
      <c r="R40" s="37">
        <v>0</v>
      </c>
    </row>
    <row r="41" spans="3:18">
      <c r="C41" s="36">
        <v>0</v>
      </c>
      <c r="D41" s="26">
        <v>1</v>
      </c>
      <c r="E41" s="26" t="s">
        <v>17</v>
      </c>
      <c r="F41" s="26">
        <v>72</v>
      </c>
      <c r="G41" s="26" t="s">
        <v>20</v>
      </c>
      <c r="H41" s="26" t="s">
        <v>19</v>
      </c>
      <c r="I41" s="47">
        <v>36</v>
      </c>
      <c r="J41" s="26">
        <v>0</v>
      </c>
      <c r="K41" s="26">
        <v>32</v>
      </c>
      <c r="L41" s="26">
        <f t="shared" si="0"/>
        <v>21.894500000000001</v>
      </c>
      <c r="M41" s="26">
        <f t="shared" si="1"/>
        <v>0.37743011208262828</v>
      </c>
      <c r="N41" s="26">
        <f t="shared" si="2"/>
        <v>2.5574594301259381</v>
      </c>
      <c r="O41" s="26">
        <v>0</v>
      </c>
      <c r="P41" s="26">
        <f t="shared" si="3"/>
        <v>15.97329755445841</v>
      </c>
      <c r="Q41" s="26">
        <v>0</v>
      </c>
      <c r="R41" s="37">
        <v>0</v>
      </c>
    </row>
    <row r="42" spans="3:18">
      <c r="C42" s="36">
        <v>0</v>
      </c>
      <c r="D42" s="26">
        <v>1</v>
      </c>
      <c r="E42" s="26" t="s">
        <v>17</v>
      </c>
      <c r="F42" s="26">
        <v>72</v>
      </c>
      <c r="G42" s="26" t="s">
        <v>20</v>
      </c>
      <c r="H42" s="26" t="s">
        <v>19</v>
      </c>
      <c r="I42" s="47">
        <v>23</v>
      </c>
      <c r="J42" s="26">
        <v>0</v>
      </c>
      <c r="K42" s="26">
        <v>34</v>
      </c>
      <c r="L42" s="26">
        <f t="shared" si="0"/>
        <v>22.142099999999999</v>
      </c>
      <c r="M42" s="26">
        <f t="shared" si="1"/>
        <v>0.27616267641747128</v>
      </c>
      <c r="N42" s="26">
        <f t="shared" si="2"/>
        <v>1.9434897082164604</v>
      </c>
      <c r="O42" s="26">
        <v>0</v>
      </c>
      <c r="P42" s="26">
        <f t="shared" si="3"/>
        <v>11.802353220992142</v>
      </c>
      <c r="Q42" s="26">
        <v>0</v>
      </c>
      <c r="R42" s="37">
        <v>0</v>
      </c>
    </row>
    <row r="43" spans="3:18">
      <c r="C43" s="36">
        <v>0</v>
      </c>
      <c r="D43" s="26">
        <v>1</v>
      </c>
      <c r="E43" s="26" t="s">
        <v>17</v>
      </c>
      <c r="F43" s="26">
        <v>72</v>
      </c>
      <c r="G43" s="26" t="s">
        <v>20</v>
      </c>
      <c r="H43" s="26" t="s">
        <v>19</v>
      </c>
      <c r="I43" s="47">
        <v>20</v>
      </c>
      <c r="J43" s="26">
        <v>0</v>
      </c>
      <c r="K43" s="26">
        <v>36</v>
      </c>
      <c r="L43" s="26">
        <f t="shared" si="0"/>
        <v>22.324100000000001</v>
      </c>
      <c r="M43" s="26">
        <f t="shared" si="1"/>
        <v>0.2728993266877176</v>
      </c>
      <c r="N43" s="26">
        <f t="shared" si="2"/>
        <v>1.9903274683511794</v>
      </c>
      <c r="O43" s="26">
        <v>0</v>
      </c>
      <c r="P43" s="26">
        <f t="shared" si="3"/>
        <v>11.772349713166328</v>
      </c>
      <c r="Q43" s="26">
        <v>0</v>
      </c>
      <c r="R43" s="37">
        <v>0</v>
      </c>
    </row>
    <row r="44" spans="3:18">
      <c r="C44" s="36">
        <v>0</v>
      </c>
      <c r="D44" s="26">
        <v>1</v>
      </c>
      <c r="E44" s="26" t="s">
        <v>17</v>
      </c>
      <c r="F44" s="26">
        <v>72</v>
      </c>
      <c r="G44" s="26" t="s">
        <v>20</v>
      </c>
      <c r="H44" s="26" t="s">
        <v>19</v>
      </c>
      <c r="I44" s="47">
        <v>12</v>
      </c>
      <c r="J44" s="26">
        <v>0</v>
      </c>
      <c r="K44" s="26">
        <v>38</v>
      </c>
      <c r="L44" s="26">
        <f t="shared" si="0"/>
        <v>22.4405</v>
      </c>
      <c r="M44" s="26">
        <f t="shared" si="1"/>
        <v>0.1847930451670593</v>
      </c>
      <c r="N44" s="26">
        <f t="shared" si="2"/>
        <v>1.3940359933853812</v>
      </c>
      <c r="O44" s="26">
        <v>0</v>
      </c>
      <c r="P44" s="26">
        <f t="shared" si="3"/>
        <v>8.0432881816524926</v>
      </c>
      <c r="Q44" s="26">
        <v>0</v>
      </c>
      <c r="R44" s="37">
        <v>0</v>
      </c>
    </row>
    <row r="45" spans="3:18">
      <c r="C45" s="36">
        <v>0</v>
      </c>
      <c r="D45" s="26">
        <v>1</v>
      </c>
      <c r="E45" s="26" t="s">
        <v>17</v>
      </c>
      <c r="F45" s="26">
        <v>72</v>
      </c>
      <c r="G45" s="26" t="s">
        <v>20</v>
      </c>
      <c r="H45" s="26" t="s">
        <v>19</v>
      </c>
      <c r="I45" s="47">
        <v>6</v>
      </c>
      <c r="J45" s="26">
        <v>0</v>
      </c>
      <c r="K45" s="26">
        <v>40</v>
      </c>
      <c r="L45" s="26">
        <f t="shared" si="0"/>
        <v>22.491300000000003</v>
      </c>
      <c r="M45" s="26">
        <f t="shared" si="1"/>
        <v>0.10363164136398309</v>
      </c>
      <c r="N45" s="26">
        <f t="shared" si="2"/>
        <v>0.80722495213646506</v>
      </c>
      <c r="O45" s="26">
        <v>0</v>
      </c>
      <c r="P45" s="26">
        <f t="shared" si="3"/>
        <v>4.5496077143670997</v>
      </c>
      <c r="Q45" s="26">
        <v>0</v>
      </c>
      <c r="R45" s="37">
        <v>0</v>
      </c>
    </row>
    <row r="46" spans="3:18">
      <c r="C46" s="36">
        <v>0</v>
      </c>
      <c r="D46" s="26">
        <v>1</v>
      </c>
      <c r="E46" s="26" t="s">
        <v>17</v>
      </c>
      <c r="F46" s="26">
        <v>72</v>
      </c>
      <c r="G46" s="26" t="s">
        <v>20</v>
      </c>
      <c r="H46" s="26" t="s">
        <v>19</v>
      </c>
      <c r="I46" s="47">
        <v>1</v>
      </c>
      <c r="J46" s="26">
        <v>0</v>
      </c>
      <c r="K46" s="26">
        <v>42</v>
      </c>
      <c r="L46" s="26">
        <f t="shared" si="0"/>
        <v>22.476499999999998</v>
      </c>
      <c r="M46" s="26">
        <f t="shared" si="1"/>
        <v>1.926397146408991E-2</v>
      </c>
      <c r="N46" s="26">
        <f t="shared" si="2"/>
        <v>0.15469734622742184</v>
      </c>
      <c r="O46" s="26">
        <v>0</v>
      </c>
      <c r="P46" s="26">
        <f t="shared" si="3"/>
        <v>0.85274852325421202</v>
      </c>
      <c r="Q46" s="26">
        <v>0</v>
      </c>
      <c r="R46" s="37">
        <v>0</v>
      </c>
    </row>
    <row r="47" spans="3:18">
      <c r="C47" s="36">
        <v>0</v>
      </c>
      <c r="D47" s="26">
        <v>1</v>
      </c>
      <c r="E47" s="26" t="s">
        <v>17</v>
      </c>
      <c r="F47" s="26">
        <v>72</v>
      </c>
      <c r="G47" s="26" t="s">
        <v>20</v>
      </c>
      <c r="H47" s="26" t="s">
        <v>19</v>
      </c>
      <c r="I47" s="47">
        <v>1</v>
      </c>
      <c r="J47" s="26">
        <v>0</v>
      </c>
      <c r="K47" s="26">
        <v>44</v>
      </c>
      <c r="L47" s="26">
        <f t="shared" si="0"/>
        <v>22.396100000000001</v>
      </c>
      <c r="M47" s="26">
        <f t="shared" si="1"/>
        <v>2.1376905708375717E-2</v>
      </c>
      <c r="N47" s="26">
        <f t="shared" si="2"/>
        <v>0.17672618968197665</v>
      </c>
      <c r="O47" s="26">
        <v>0</v>
      </c>
      <c r="P47" s="26">
        <f t="shared" si="3"/>
        <v>0.95386187494417107</v>
      </c>
      <c r="Q47" s="26">
        <v>0</v>
      </c>
      <c r="R47" s="37">
        <v>0</v>
      </c>
    </row>
    <row r="48" spans="3:18">
      <c r="C48" s="36">
        <v>0</v>
      </c>
      <c r="D48" s="26">
        <v>1</v>
      </c>
      <c r="E48" s="26" t="s">
        <v>17</v>
      </c>
      <c r="F48" s="26">
        <v>72</v>
      </c>
      <c r="G48" s="26" t="s">
        <v>20</v>
      </c>
      <c r="H48" s="26" t="s">
        <v>19</v>
      </c>
      <c r="I48" s="47">
        <v>1</v>
      </c>
      <c r="J48" s="26">
        <v>0</v>
      </c>
      <c r="K48" s="26">
        <v>46</v>
      </c>
      <c r="L48" s="26">
        <f t="shared" si="0"/>
        <v>22.250100000000003</v>
      </c>
      <c r="M48" s="26">
        <f t="shared" si="1"/>
        <v>2.3612084829593972E-2</v>
      </c>
      <c r="N48" s="26">
        <f t="shared" si="2"/>
        <v>0.20070047810478409</v>
      </c>
      <c r="O48" s="26">
        <v>0</v>
      </c>
      <c r="P48" s="26">
        <f t="shared" si="3"/>
        <v>1.0617513102689393</v>
      </c>
      <c r="Q48" s="26">
        <v>0</v>
      </c>
      <c r="R48" s="37">
        <v>0</v>
      </c>
    </row>
    <row r="49" spans="2:18">
      <c r="C49" s="36">
        <v>0</v>
      </c>
      <c r="D49" s="26">
        <v>1</v>
      </c>
      <c r="E49" s="26" t="s">
        <v>17</v>
      </c>
      <c r="F49" s="26">
        <v>72</v>
      </c>
      <c r="G49" s="26" t="s">
        <v>20</v>
      </c>
      <c r="H49" s="26" t="s">
        <v>19</v>
      </c>
      <c r="I49" s="47">
        <v>1</v>
      </c>
      <c r="J49" s="26">
        <v>0</v>
      </c>
      <c r="K49" s="26">
        <v>48</v>
      </c>
      <c r="L49" s="26">
        <f t="shared" si="0"/>
        <v>22.038499999999999</v>
      </c>
      <c r="M49" s="26">
        <f t="shared" si="1"/>
        <v>2.597080491944994E-2</v>
      </c>
      <c r="N49" s="26">
        <f t="shared" si="2"/>
        <v>0.22669618807516509</v>
      </c>
      <c r="O49" s="26">
        <v>0</v>
      </c>
      <c r="P49" s="26">
        <f t="shared" si="3"/>
        <v>1.1765574940702581</v>
      </c>
      <c r="Q49" s="26">
        <v>0</v>
      </c>
      <c r="R49" s="37">
        <v>0</v>
      </c>
    </row>
    <row r="50" spans="2:18">
      <c r="C50" s="36">
        <v>0</v>
      </c>
      <c r="D50" s="26">
        <v>1</v>
      </c>
      <c r="E50" s="26" t="s">
        <v>17</v>
      </c>
      <c r="F50" s="26">
        <v>72</v>
      </c>
      <c r="G50" s="26" t="s">
        <v>20</v>
      </c>
      <c r="H50" s="26" t="s">
        <v>19</v>
      </c>
      <c r="I50" s="47">
        <v>1</v>
      </c>
      <c r="J50" s="26">
        <v>0</v>
      </c>
      <c r="K50" s="26">
        <v>50</v>
      </c>
      <c r="L50" s="26">
        <f t="shared" si="0"/>
        <v>21.761299999999999</v>
      </c>
      <c r="M50" s="26">
        <f t="shared" si="1"/>
        <v>2.8454319748187126E-2</v>
      </c>
      <c r="N50" s="26">
        <f t="shared" si="2"/>
        <v>0.25478884070494545</v>
      </c>
      <c r="O50" s="26">
        <v>0</v>
      </c>
      <c r="P50" s="26">
        <f t="shared" si="3"/>
        <v>1.2984186363124808</v>
      </c>
      <c r="Q50" s="26">
        <v>0</v>
      </c>
      <c r="R50" s="37">
        <v>0</v>
      </c>
    </row>
    <row r="51" spans="2:18" ht="15.75" thickBot="1">
      <c r="C51" s="38">
        <v>0</v>
      </c>
      <c r="D51" s="39">
        <v>1</v>
      </c>
      <c r="E51" s="39" t="s">
        <v>17</v>
      </c>
      <c r="F51" s="39">
        <v>72</v>
      </c>
      <c r="G51" s="39" t="s">
        <v>20</v>
      </c>
      <c r="H51" s="39" t="s">
        <v>19</v>
      </c>
      <c r="I51" s="48">
        <v>1</v>
      </c>
      <c r="J51" s="39">
        <v>0</v>
      </c>
      <c r="K51" s="39">
        <v>52</v>
      </c>
      <c r="L51" s="39">
        <f t="shared" si="0"/>
        <v>21.418499999999995</v>
      </c>
      <c r="M51" s="39">
        <f t="shared" si="1"/>
        <v>3.1063843828466747E-2</v>
      </c>
      <c r="N51" s="39">
        <f t="shared" si="2"/>
        <v>0.28505352320327831</v>
      </c>
      <c r="O51" s="39">
        <v>0</v>
      </c>
      <c r="P51" s="39">
        <f t="shared" si="3"/>
        <v>1.4274706553022101</v>
      </c>
      <c r="Q51" s="39">
        <v>0</v>
      </c>
      <c r="R51" s="40">
        <v>0</v>
      </c>
    </row>
    <row r="52" spans="2:18">
      <c r="B52" t="s">
        <v>56</v>
      </c>
      <c r="I52" s="22">
        <f t="shared" ref="I52:R52" si="4">SUM(I34:I51)</f>
        <v>379</v>
      </c>
      <c r="M52" s="22">
        <f t="shared" si="4"/>
        <v>3.2427049366579102</v>
      </c>
      <c r="N52" s="22">
        <f t="shared" si="4"/>
        <v>21.385872161113095</v>
      </c>
      <c r="O52" s="22">
        <f t="shared" si="4"/>
        <v>0</v>
      </c>
      <c r="P52" s="22">
        <f t="shared" si="4"/>
        <v>136.19963452565014</v>
      </c>
      <c r="Q52" s="22">
        <f t="shared" si="4"/>
        <v>0</v>
      </c>
      <c r="R52" s="22">
        <f t="shared" si="4"/>
        <v>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initial_data_2001</vt:lpstr>
      <vt:lpstr>OAK</vt:lpstr>
      <vt:lpstr>Pines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2013-07-11T14:29:12Z</dcterms:modified>
</cp:coreProperties>
</file>