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456" yWindow="180" windowWidth="3156" windowHeight="7092"/>
  </bookViews>
  <sheets>
    <sheet name="Valori_medi_x_candini" sheetId="7" r:id="rId1"/>
    <sheet name="PUNTI" sheetId="1" r:id="rId2"/>
    <sheet name="LEGENDA" sheetId="2" r:id="rId3"/>
    <sheet name="ALBERI" sheetId="3" r:id="rId4"/>
    <sheet name="Medie generiche" sheetId="6" r:id="rId5"/>
    <sheet name="Dati_aree_di saggio_validi" sheetId="4" r:id="rId6"/>
  </sheets>
  <definedNames>
    <definedName name="input278849" localSheetId="5">'Dati_aree_di saggio_validi'!$C$14:$U$17</definedName>
    <definedName name="input280026" localSheetId="5">'Dati_aree_di saggio_validi'!$D$13:$V$14</definedName>
    <definedName name="input281673" localSheetId="5">'Dati_aree_di saggio_validi'!$G$5:$W$12</definedName>
    <definedName name="input282422" localSheetId="5">'Dati_aree_di saggio_validi'!$G$12:$W$12</definedName>
    <definedName name="input282679" localSheetId="5">'Dati_aree_di saggio_validi'!$B$13:$T$16</definedName>
    <definedName name="input282921" localSheetId="5">'Dati_aree_di saggio_validi'!$D$13:$V$14</definedName>
    <definedName name="input282928" localSheetId="5">'Dati_aree_di saggio_validi'!$G$1:$W$2</definedName>
  </definedNames>
  <calcPr calcId="125725"/>
  <pivotCaches>
    <pivotCache cacheId="14" r:id="rId7"/>
  </pivotCaches>
</workbook>
</file>

<file path=xl/calcChain.xml><?xml version="1.0" encoding="utf-8"?>
<calcChain xmlns="http://schemas.openxmlformats.org/spreadsheetml/2006/main">
  <c r="D22" i="4"/>
  <c r="D23"/>
  <c r="D24"/>
  <c r="D21"/>
  <c r="I2" i="3"/>
  <c r="I183"/>
  <c r="I180"/>
  <c r="I181"/>
  <c r="I182"/>
  <c r="I184"/>
  <c r="I186"/>
  <c r="I179"/>
  <c r="I176"/>
  <c r="I175"/>
  <c r="I174"/>
  <c r="I172"/>
  <c r="I171"/>
  <c r="I169"/>
  <c r="I168"/>
  <c r="I160"/>
  <c r="I161"/>
  <c r="I162"/>
  <c r="I163"/>
  <c r="I159"/>
  <c r="I67"/>
  <c r="I61"/>
  <c r="F61"/>
  <c r="I59"/>
  <c r="I60"/>
  <c r="I58"/>
  <c r="I53"/>
  <c r="I54"/>
  <c r="I52"/>
  <c r="I44"/>
  <c r="I45"/>
  <c r="I46"/>
  <c r="I47"/>
  <c r="I48"/>
  <c r="I49"/>
  <c r="I50"/>
  <c r="I51"/>
  <c r="I43"/>
  <c r="I55"/>
  <c r="I41"/>
  <c r="I42"/>
  <c r="I40"/>
  <c r="I37"/>
  <c r="I36"/>
  <c r="I34"/>
  <c r="I32"/>
  <c r="I173"/>
  <c r="I69"/>
  <c r="I70"/>
  <c r="I71"/>
  <c r="I72"/>
  <c r="I73"/>
  <c r="I74"/>
  <c r="I75"/>
  <c r="I68"/>
  <c r="I63"/>
  <c r="I64"/>
  <c r="I65"/>
  <c r="I66"/>
  <c r="I62"/>
  <c r="I38"/>
  <c r="I31"/>
  <c r="I3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76"/>
  <c r="I39"/>
  <c r="I35"/>
  <c r="I33"/>
  <c r="I29"/>
  <c r="I26"/>
  <c r="I23"/>
  <c r="I17"/>
  <c r="F184"/>
  <c r="F186"/>
  <c r="F183"/>
  <c r="F176"/>
  <c r="F175"/>
  <c r="F174"/>
  <c r="F172"/>
  <c r="F171"/>
  <c r="F169"/>
  <c r="F168"/>
  <c r="F162"/>
  <c r="F163"/>
  <c r="F161"/>
  <c r="F160"/>
  <c r="F159"/>
  <c r="F67"/>
  <c r="F60"/>
  <c r="F58"/>
  <c r="F180"/>
  <c r="F181"/>
  <c r="F182"/>
  <c r="F179"/>
  <c r="F173"/>
  <c r="F137"/>
  <c r="F138"/>
  <c r="F139"/>
  <c r="F140"/>
  <c r="F141"/>
  <c r="F142"/>
  <c r="F143"/>
  <c r="F144"/>
  <c r="F145"/>
  <c r="F146"/>
  <c r="F147"/>
  <c r="F148"/>
  <c r="F149"/>
  <c r="F150"/>
  <c r="F151"/>
  <c r="F152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05"/>
  <c r="F106"/>
  <c r="F107"/>
  <c r="F108"/>
  <c r="F109"/>
  <c r="F110"/>
  <c r="F111"/>
  <c r="F112"/>
  <c r="F113"/>
  <c r="F114"/>
  <c r="F115"/>
  <c r="F116"/>
  <c r="F117"/>
  <c r="F118"/>
  <c r="F119"/>
  <c r="F91"/>
  <c r="F92"/>
  <c r="F93"/>
  <c r="F94"/>
  <c r="F95"/>
  <c r="F96"/>
  <c r="F97"/>
  <c r="F98"/>
  <c r="F99"/>
  <c r="F100"/>
  <c r="F101"/>
  <c r="F102"/>
  <c r="F103"/>
  <c r="F104"/>
  <c r="F86"/>
  <c r="F87"/>
  <c r="F88"/>
  <c r="F89"/>
  <c r="F90"/>
  <c r="F77"/>
  <c r="F78"/>
  <c r="F79"/>
  <c r="F80"/>
  <c r="F81"/>
  <c r="F82"/>
  <c r="F83"/>
  <c r="F84"/>
  <c r="F85"/>
  <c r="F76"/>
  <c r="F59"/>
  <c r="F69"/>
  <c r="F70"/>
  <c r="F71"/>
  <c r="F72"/>
  <c r="F73"/>
  <c r="F74"/>
  <c r="F75"/>
  <c r="F68"/>
  <c r="F63"/>
  <c r="F64"/>
  <c r="F65"/>
  <c r="F66"/>
  <c r="F62"/>
  <c r="F55"/>
  <c r="F53"/>
  <c r="F54"/>
  <c r="F52"/>
  <c r="F41"/>
  <c r="F42"/>
  <c r="F40"/>
  <c r="F44"/>
  <c r="F45"/>
  <c r="F46"/>
  <c r="F47"/>
  <c r="F48"/>
  <c r="F49"/>
  <c r="F50"/>
  <c r="F51"/>
  <c r="F43"/>
  <c r="F37"/>
  <c r="F36"/>
  <c r="F34"/>
  <c r="F32"/>
  <c r="F38"/>
  <c r="F31"/>
  <c r="F30"/>
  <c r="F3"/>
  <c r="F39"/>
  <c r="F35"/>
  <c r="F33"/>
  <c r="F29"/>
  <c r="F26"/>
  <c r="F23"/>
  <c r="F17"/>
  <c r="I9"/>
  <c r="I10"/>
  <c r="I11"/>
  <c r="I8"/>
  <c r="F9"/>
  <c r="F10"/>
  <c r="F11"/>
  <c r="F8"/>
  <c r="I3"/>
  <c r="I4"/>
  <c r="I5"/>
  <c r="I6"/>
  <c r="I7"/>
  <c r="F25"/>
  <c r="F24"/>
  <c r="F21"/>
  <c r="F22"/>
  <c r="F20"/>
  <c r="F18"/>
  <c r="F13"/>
  <c r="F14"/>
  <c r="F16"/>
  <c r="F12"/>
  <c r="F4"/>
  <c r="F5"/>
  <c r="F6"/>
  <c r="F7"/>
  <c r="F2"/>
</calcChain>
</file>

<file path=xl/comments1.xml><?xml version="1.0" encoding="utf-8"?>
<comments xmlns="http://schemas.openxmlformats.org/spreadsheetml/2006/main">
  <authors>
    <author>Your User Name</author>
  </authors>
  <commentList>
    <comment ref="I179" authorId="0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calcolato con gli indici del leccio
</t>
        </r>
      </text>
    </comment>
  </commentList>
</comments>
</file>

<file path=xl/connections.xml><?xml version="1.0" encoding="utf-8"?>
<connections xmlns="http://schemas.openxmlformats.org/spreadsheetml/2006/main">
  <connection id="1" name="input278849" type="6" refreshedVersion="3" background="1" saveData="1">
    <textPr codePage="850" sourceFile="C:\Users\Alessandro Scremin\Documents\PROGETTI\ForSE\testData\corineLandCover\input27884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280026" type="6" refreshedVersion="3" background="1" saveData="1">
    <textPr codePage="850" sourceFile="C:\Users\Alessandro Scremin\Documents\PROGETTI\ForSE\testData\corineLandCover\input280026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281673" type="6" refreshedVersion="3" background="1" saveData="1">
    <textPr codePage="850" sourceFile="C:\Users\Alessandro Scremin\Documents\PROGETTI\ForSE\testData\corineLandCover\input281673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put282422" type="6" refreshedVersion="3" background="1" saveData="1">
    <textPr codePage="850" sourceFile="C:\Users\Alessandro Scremin\Documents\PROGETTI\ForSE\testData\corineLandCover\input282422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put282679" type="6" refreshedVersion="3" background="1" saveData="1">
    <textPr codePage="850" sourceFile="C:\Users\Alessandro Scremin\Documents\PROGETTI\ForSE\testData\corineLandCover\input28267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nput282921" type="6" refreshedVersion="3" background="1" saveData="1">
    <textPr codePage="850" sourceFile="C:\Users\Alessandro Scremin\Documents\PROGETTI\ForSE\testData\corineLandCover\input282921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put282928" type="6" refreshedVersion="3" background="1" saveData="1">
    <textPr codePage="850" sourceFile="C:\Users\Alessandro Scremin\Documents\PROGETTI\ForSE\testData\corineLandCover\input282928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<sst xmlns="http://schemas.openxmlformats.org/spreadsheetml/2006/main" count="675" uniqueCount="215">
  <si>
    <t>IDPUNTO</t>
  </si>
  <si>
    <t>NORD_ND_GB</t>
  </si>
  <si>
    <t>EST_ND_GB</t>
  </si>
  <si>
    <t>TPCL6</t>
  </si>
  <si>
    <t>0-10_c</t>
  </si>
  <si>
    <t>11-20_c</t>
  </si>
  <si>
    <t>21-30_c</t>
  </si>
  <si>
    <t>31-40_c</t>
  </si>
  <si>
    <t>41-80_c</t>
  </si>
  <si>
    <t>80-120_c</t>
  </si>
  <si>
    <t>&gt;120_c</t>
  </si>
  <si>
    <t>nc_c</t>
  </si>
  <si>
    <t>0-10_f</t>
  </si>
  <si>
    <t>11-20_f</t>
  </si>
  <si>
    <t>21-30_f</t>
  </si>
  <si>
    <t>31-40_f</t>
  </si>
  <si>
    <t>41-80_f</t>
  </si>
  <si>
    <t>80-120_f</t>
  </si>
  <si>
    <t>&gt;120_f</t>
  </si>
  <si>
    <t>na_f</t>
  </si>
  <si>
    <t>nc_f</t>
  </si>
  <si>
    <t>PRAT0</t>
  </si>
  <si>
    <t>PRAT1</t>
  </si>
  <si>
    <t>PRAT2</t>
  </si>
  <si>
    <t>PRAT3</t>
  </si>
  <si>
    <t>PRAT4</t>
  </si>
  <si>
    <t>PRAT5</t>
  </si>
  <si>
    <t>PRAT6</t>
  </si>
  <si>
    <t>UTILIZ1</t>
  </si>
  <si>
    <t>UTILIZ2</t>
  </si>
  <si>
    <t>UTILIZ3</t>
  </si>
  <si>
    <t>UTILIZ4</t>
  </si>
  <si>
    <t>UTILIZ5</t>
  </si>
  <si>
    <t>UTILIZ6</t>
  </si>
  <si>
    <t>UTILIZ7</t>
  </si>
  <si>
    <t>UTILIZ8</t>
  </si>
  <si>
    <t>ESB0</t>
  </si>
  <si>
    <t>ESB1</t>
  </si>
  <si>
    <t>ESB2</t>
  </si>
  <si>
    <t>ESB3</t>
  </si>
  <si>
    <t>ESB4</t>
  </si>
  <si>
    <t>ESB5</t>
  </si>
  <si>
    <t>ESB6</t>
  </si>
  <si>
    <t>FUNZ_PR1</t>
  </si>
  <si>
    <t>FUNZ_PR2</t>
  </si>
  <si>
    <t>FUNZ_PR3</t>
  </si>
  <si>
    <t>FUNZ_PR4</t>
  </si>
  <si>
    <t>FUNZ_PR5</t>
  </si>
  <si>
    <t>FUNZ_PR6</t>
  </si>
  <si>
    <t>FUNZ_PR7</t>
  </si>
  <si>
    <t>ANNO RIL</t>
  </si>
  <si>
    <t>CLASSI DI ETA'</t>
  </si>
  <si>
    <t>0-10 anni_ceduo</t>
  </si>
  <si>
    <t>0-10 anni_fustaia</t>
  </si>
  <si>
    <t>11-20 anni_ceduo</t>
  </si>
  <si>
    <t>11-20 anni_fustaia</t>
  </si>
  <si>
    <t>tipo colturale</t>
  </si>
  <si>
    <t>c</t>
  </si>
  <si>
    <t>ceduo</t>
  </si>
  <si>
    <t>21-30 anni_ceduo</t>
  </si>
  <si>
    <t>21-30 anni_fustaia</t>
  </si>
  <si>
    <t>fc</t>
  </si>
  <si>
    <t>fustaia coetanea</t>
  </si>
  <si>
    <t>31-40 anni_ceduo</t>
  </si>
  <si>
    <t>31-40 anni_fustaia</t>
  </si>
  <si>
    <t>fd</t>
  </si>
  <si>
    <t>fustaia disetanea</t>
  </si>
  <si>
    <t>41-80 anni_ceduo</t>
  </si>
  <si>
    <t>41-80 anni_fustaia</t>
  </si>
  <si>
    <t>n</t>
  </si>
  <si>
    <t>non definito</t>
  </si>
  <si>
    <t>81-120 anni_ceduo</t>
  </si>
  <si>
    <t>81-120 anni_fustaia</t>
  </si>
  <si>
    <t>z</t>
  </si>
  <si>
    <t>non classificato</t>
  </si>
  <si>
    <t>&gt;120 anni_ceduo</t>
  </si>
  <si>
    <t>&gt;120 anni_fustaia</t>
  </si>
  <si>
    <t>non classificato_ceduo</t>
  </si>
  <si>
    <t>non disponibile_fustaia</t>
  </si>
  <si>
    <t>non classificato_fustaia</t>
  </si>
  <si>
    <t>Pratiche colturali</t>
  </si>
  <si>
    <t>Pratiche Colturali Assenti</t>
  </si>
  <si>
    <t>Modalità di esbosco</t>
  </si>
  <si>
    <t>Non rilevata</t>
  </si>
  <si>
    <t>Pratiche Colturali Minimali</t>
  </si>
  <si>
    <t>avvallamento</t>
  </si>
  <si>
    <t>Pratiche Colturali Classiche</t>
  </si>
  <si>
    <t>A soma o con trattore a strascico</t>
  </si>
  <si>
    <t>Pratiche Colturali Intensive</t>
  </si>
  <si>
    <t>Strascico diretto o indiretto, mediante verricello, slitte, trattori o animali</t>
  </si>
  <si>
    <t>Pratiche Colt. Spec. Produz. Second.</t>
  </si>
  <si>
    <t>Sistemi a fune</t>
  </si>
  <si>
    <t>Pratiche Colt. Spec. Servigi</t>
  </si>
  <si>
    <t>Elicottero</t>
  </si>
  <si>
    <t>Altre Pratiche Colturali</t>
  </si>
  <si>
    <t>Esbosco non praticato</t>
  </si>
  <si>
    <t>Utilizzazioni legnose</t>
  </si>
  <si>
    <t>Taglio Raso o Ceduazione</t>
  </si>
  <si>
    <t>Funzione prevalente</t>
  </si>
  <si>
    <t>produzione legnosa</t>
  </si>
  <si>
    <t>T. Raso con Riserve/Ceduazione con Rilascio Matricine</t>
  </si>
  <si>
    <t>produzione non legnosa</t>
  </si>
  <si>
    <t>Taglio A Buche o Per Piccoli Collettivi</t>
  </si>
  <si>
    <t>naturalistica</t>
  </si>
  <si>
    <t>Tagli Successivi</t>
  </si>
  <si>
    <t>ricreativa</t>
  </si>
  <si>
    <t>Taglio a Scelta, Saltuario, a Sterzo</t>
  </si>
  <si>
    <t>protettiva indiretta</t>
  </si>
  <si>
    <t>Altro</t>
  </si>
  <si>
    <t>protettiva diretta</t>
  </si>
  <si>
    <t>Assenza di utilizzazioni</t>
  </si>
  <si>
    <t>nessuna funzione prioritaria</t>
  </si>
  <si>
    <t>Utilizzazioni non rilevate</t>
  </si>
  <si>
    <t>CAT_FOR</t>
  </si>
  <si>
    <t>TIPO_COLT</t>
  </si>
  <si>
    <t>09_2006</t>
  </si>
  <si>
    <t>Faggeta</t>
  </si>
  <si>
    <t>cm</t>
  </si>
  <si>
    <t>ceduo matricinato</t>
  </si>
  <si>
    <t>SOPRASSUOLO</t>
  </si>
  <si>
    <t>Biplano</t>
  </si>
  <si>
    <t>PRAT_COLT</t>
  </si>
  <si>
    <t>UTILIZ_LEGN</t>
  </si>
  <si>
    <t>FUNZ_PR</t>
  </si>
  <si>
    <t>ETA' PIANO UNICO O SUP</t>
  </si>
  <si>
    <t>ETA' PIANO INF</t>
  </si>
  <si>
    <t>Non rilevato</t>
  </si>
  <si>
    <t>Categoria_forestale2</t>
  </si>
  <si>
    <t>ID_ALBERO</t>
  </si>
  <si>
    <t>Specie</t>
  </si>
  <si>
    <t>diametro(cm)</t>
  </si>
  <si>
    <t>h(m)</t>
  </si>
  <si>
    <t>Fitomassa_fusto&amp;rami_grossi(kg)</t>
  </si>
  <si>
    <t>Fitomassa_rami_piccoli(kg)</t>
  </si>
  <si>
    <t>Fitomassa_ceppaia(kg)</t>
  </si>
  <si>
    <t>Fitomassa_totale(kg)</t>
  </si>
  <si>
    <t>Faggio</t>
  </si>
  <si>
    <t>Dendrotipo</t>
  </si>
  <si>
    <t>Altofusto</t>
  </si>
  <si>
    <t>Agrifoglio</t>
  </si>
  <si>
    <t>Pollone</t>
  </si>
  <si>
    <t>Altri boschi di conifere puri e misti</t>
  </si>
  <si>
    <t>Monoplano</t>
  </si>
  <si>
    <t>Cedro</t>
  </si>
  <si>
    <t>Vitalità</t>
  </si>
  <si>
    <t>Pino nero</t>
  </si>
  <si>
    <t>Castagno</t>
  </si>
  <si>
    <t>11_2006</t>
  </si>
  <si>
    <t>&lt;10</t>
  </si>
  <si>
    <t>11_20</t>
  </si>
  <si>
    <t>81_120</t>
  </si>
  <si>
    <t>21_30</t>
  </si>
  <si>
    <t>1 - INDIVIDUO VIVO E PRIVO DI EVIDENTI PARTI SECCHE</t>
  </si>
  <si>
    <t>2 - INDIVIDUO VIVO CON PARTI SECCHE IN MENO DI UN TERZO DELLA CHIOMA</t>
  </si>
  <si>
    <t>Matricina</t>
  </si>
  <si>
    <t>Roverella</t>
  </si>
  <si>
    <t>Cerro</t>
  </si>
  <si>
    <t>Altri boschi caducifogli</t>
  </si>
  <si>
    <t>Acero di monte</t>
  </si>
  <si>
    <t>Pero</t>
  </si>
  <si>
    <t>Boschi di rovere, roverella e farnia</t>
  </si>
  <si>
    <t>Biancospino</t>
  </si>
  <si>
    <t>Leccio</t>
  </si>
  <si>
    <t>10_2006</t>
  </si>
  <si>
    <t>41_81</t>
  </si>
  <si>
    <t>Sughereta</t>
  </si>
  <si>
    <t>Sughera</t>
  </si>
  <si>
    <t>Lecceta</t>
  </si>
  <si>
    <t>cc</t>
  </si>
  <si>
    <t>ceduo composto</t>
  </si>
  <si>
    <t>31_40</t>
  </si>
  <si>
    <t>Erica scoparia</t>
  </si>
  <si>
    <t>03_2009</t>
  </si>
  <si>
    <t>Frassino</t>
  </si>
  <si>
    <t>Castagneto</t>
  </si>
  <si>
    <t>LAT_ND_W84</t>
  </si>
  <si>
    <t>LON_ND_W84</t>
  </si>
  <si>
    <t>FUSO</t>
  </si>
  <si>
    <t>Est</t>
  </si>
  <si>
    <t>Ostrieti, carpineti</t>
  </si>
  <si>
    <t>06_2006</t>
  </si>
  <si>
    <t>Fagussylvatica</t>
  </si>
  <si>
    <t>D</t>
  </si>
  <si>
    <t>T</t>
  </si>
  <si>
    <t>x</t>
  </si>
  <si>
    <t>y</t>
  </si>
  <si>
    <t>Age</t>
  </si>
  <si>
    <t>Species</t>
  </si>
  <si>
    <t>Phenology</t>
  </si>
  <si>
    <t>Management</t>
  </si>
  <si>
    <t>Lai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</si>
  <si>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</si>
  <si>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</si>
  <si>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</si>
  <si>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</si>
  <si>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</si>
  <si>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</si>
  <si>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</si>
  <si>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</si>
  <si>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</si>
  <si>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quercus_deciduous</t>
  </si>
  <si>
    <t>quercus_evergreen</t>
  </si>
  <si>
    <t>E</t>
  </si>
  <si>
    <t>Castaneasativa</t>
  </si>
  <si>
    <t>Copertura Landcover</t>
  </si>
  <si>
    <t>2 e 7</t>
  </si>
  <si>
    <t>1 e 6 e 7</t>
  </si>
  <si>
    <t>Valori</t>
  </si>
  <si>
    <t>Media di Age</t>
  </si>
  <si>
    <t>Media di N</t>
  </si>
  <si>
    <t>Media di AvDBH</t>
  </si>
  <si>
    <t>Media di Height</t>
  </si>
  <si>
    <t>Etichette di riga</t>
  </si>
  <si>
    <t>Y_planted</t>
  </si>
  <si>
    <t xml:space="preserve"> N</t>
  </si>
</sst>
</file>

<file path=xl/styles.xml><?xml version="1.0" encoding="utf-8"?>
<styleSheet xmlns="http://schemas.openxmlformats.org/spreadsheetml/2006/main">
  <numFmts count="2">
    <numFmt numFmtId="168" formatCode="0.00000000"/>
    <numFmt numFmtId="170" formatCode="0.000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Calibri"/>
      <charset val="161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justify" vertical="center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quotePrefix="1" applyNumberFormat="1"/>
    <xf numFmtId="0" fontId="2" fillId="0" borderId="0" xfId="0" quotePrefix="1" applyNumberFormat="1" applyFont="1"/>
    <xf numFmtId="17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0" xfId="0" applyFont="1"/>
    <xf numFmtId="0" fontId="9" fillId="0" borderId="0" xfId="0" applyFont="1" applyFill="1" applyBorder="1" applyAlignment="1">
      <alignment horizontal="right" wrapText="1"/>
    </xf>
    <xf numFmtId="168" fontId="0" fillId="0" borderId="0" xfId="0" applyNumberFormat="1" applyFill="1" applyBorder="1"/>
    <xf numFmtId="0" fontId="0" fillId="3" borderId="0" xfId="0" applyFill="1"/>
    <xf numFmtId="0" fontId="1" fillId="4" borderId="0" xfId="0" applyFont="1" applyFill="1" applyBorder="1" applyAlignment="1">
      <alignment horizontal="justify" vertical="center"/>
    </xf>
    <xf numFmtId="0" fontId="1" fillId="5" borderId="0" xfId="0" applyFont="1" applyFill="1" applyBorder="1" applyAlignment="1">
      <alignment horizontal="justify" vertical="center"/>
    </xf>
    <xf numFmtId="0" fontId="1" fillId="6" borderId="0" xfId="0" applyFont="1" applyFill="1" applyBorder="1" applyAlignment="1">
      <alignment horizontal="justify" vertical="center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0" fillId="7" borderId="1" xfId="0" applyFont="1" applyFill="1" applyBorder="1"/>
    <xf numFmtId="1" fontId="0" fillId="0" borderId="0" xfId="0" applyNumberFormat="1"/>
    <xf numFmtId="0" fontId="10" fillId="7" borderId="1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3" xfId="0" applyFill="1" applyBorder="1"/>
    <xf numFmtId="170" fontId="0" fillId="9" borderId="12" xfId="0" applyNumberFormat="1" applyFill="1" applyBorder="1"/>
    <xf numFmtId="170" fontId="0" fillId="9" borderId="7" xfId="0" applyNumberFormat="1" applyFill="1" applyBorder="1"/>
    <xf numFmtId="1" fontId="0" fillId="9" borderId="7" xfId="0" applyNumberFormat="1" applyFill="1" applyBorder="1"/>
    <xf numFmtId="170" fontId="0" fillId="9" borderId="8" xfId="0" applyNumberFormat="1" applyFill="1" applyBorder="1"/>
    <xf numFmtId="170" fontId="0" fillId="9" borderId="13" xfId="0" applyNumberFormat="1" applyFill="1" applyBorder="1"/>
    <xf numFmtId="170" fontId="0" fillId="9" borderId="2" xfId="0" applyNumberFormat="1" applyFill="1" applyBorder="1"/>
    <xf numFmtId="1" fontId="0" fillId="9" borderId="2" xfId="0" applyNumberFormat="1" applyFill="1" applyBorder="1"/>
    <xf numFmtId="170" fontId="0" fillId="9" borderId="4" xfId="0" applyNumberFormat="1" applyFill="1" applyBorder="1"/>
    <xf numFmtId="170" fontId="0" fillId="9" borderId="14" xfId="0" applyNumberFormat="1" applyFill="1" applyBorder="1"/>
    <xf numFmtId="170" fontId="0" fillId="9" borderId="5" xfId="0" applyNumberFormat="1" applyFill="1" applyBorder="1"/>
    <xf numFmtId="1" fontId="0" fillId="9" borderId="5" xfId="0" applyNumberFormat="1" applyFill="1" applyBorder="1"/>
    <xf numFmtId="170" fontId="0" fillId="9" borderId="6" xfId="0" applyNumberFormat="1" applyFill="1" applyBorder="1"/>
  </cellXfs>
  <cellStyles count="1">
    <cellStyle name="Normale" xfId="0" builtinId="0"/>
  </cellStyles>
  <dxfs count="4"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Scremin" refreshedDate="41243.728657870372" createdVersion="3" refreshedVersion="3" minRefreshableVersion="3" recordCount="10">
  <cacheSource type="worksheet">
    <worksheetSource ref="A1:R11" sheet="Dati_aree_di saggio_validi"/>
  </cacheSource>
  <cacheFields count="18">
    <cacheField name="IDPUNTO" numFmtId="0">
      <sharedItems containsSemiMixedTypes="0" containsString="0" containsNumber="1" containsInteger="1" minValue="278849" maxValue="282928"/>
    </cacheField>
    <cacheField name="ANNO RIL" numFmtId="0">
      <sharedItems/>
    </cacheField>
    <cacheField name="LAT_ND_W84" numFmtId="0">
      <sharedItems containsSemiMixedTypes="0" containsString="0" containsNumber="1" minValue="37.844516519999999" maxValue="37.989339999999999"/>
    </cacheField>
    <cacheField name="LON_ND_W84" numFmtId="0">
      <sharedItems containsSemiMixedTypes="0" containsString="0" containsNumber="1" minValue="14.04271855" maxValue="14.193776"/>
    </cacheField>
    <cacheField name="NORD_ND_GB" numFmtId="0">
      <sharedItems containsSemiMixedTypes="0" containsString="0" containsNumber="1" containsInteger="1" minValue="4188925" maxValue="4204946"/>
    </cacheField>
    <cacheField name="EST_ND_GB" numFmtId="0">
      <sharedItems containsSemiMixedTypes="0" containsString="0" containsNumber="1" containsInteger="1" minValue="2435773" maxValue="2449209"/>
    </cacheField>
    <cacheField name="x" numFmtId="0">
      <sharedItems containsSemiMixedTypes="0" containsString="0" containsNumber="1" containsInteger="1" minValue="0" maxValue="0"/>
    </cacheField>
    <cacheField name="y" numFmtId="0">
      <sharedItems containsSemiMixedTypes="0" containsString="0" containsNumber="1" containsInteger="1" minValue="0" maxValue="0"/>
    </cacheField>
    <cacheField name="Age" numFmtId="0">
      <sharedItems containsString="0" containsBlank="1" containsNumber="1" containsInteger="1" minValue="10" maxValue="100"/>
    </cacheField>
    <cacheField name="Species" numFmtId="0">
      <sharedItems count="4">
        <s v="Fagussylvatica"/>
        <s v="quercus_deciduous"/>
        <s v="quercus_evergreen"/>
        <s v="Castaneasativa"/>
      </sharedItems>
    </cacheField>
    <cacheField name="Copertura Landcover" numFmtId="0">
      <sharedItems containsBlank="1" containsMixedTypes="1" containsNumber="1" containsInteger="1" minValue="2" maxValue="7"/>
    </cacheField>
    <cacheField name="Phenology" numFmtId="0">
      <sharedItems/>
    </cacheField>
    <cacheField name="Management" numFmtId="0">
      <sharedItems/>
    </cacheField>
    <cacheField name="Lai" numFmtId="0">
      <sharedItems containsSemiMixedTypes="0" containsString="0" containsNumber="1" containsInteger="1" minValue="0" maxValue="0"/>
    </cacheField>
    <cacheField name="N" numFmtId="0">
      <sharedItems containsSemiMixedTypes="0" containsString="0" containsNumber="1" containsInteger="1" minValue="2" maxValue="130"/>
    </cacheField>
    <cacheField name="Stool" numFmtId="0">
      <sharedItems containsSemiMixedTypes="0" containsString="0" containsNumber="1" containsInteger="1" minValue="0" maxValue="0"/>
    </cacheField>
    <cacheField name="AvDBH" numFmtId="0">
      <sharedItems containsSemiMixedTypes="0" containsString="0" containsNumber="1" minValue="5" maxValue="34.58"/>
    </cacheField>
    <cacheField name="Height" numFmtId="0">
      <sharedItems containsSemiMixedTypes="0" containsString="0" containsNumber="1" minValue="2.8" maxValue="15.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82928"/>
    <s v="09_2006"/>
    <n v="37.844516519999999"/>
    <n v="14.12224812"/>
    <n v="4188925"/>
    <n v="2442771"/>
    <n v="0"/>
    <n v="0"/>
    <n v="100"/>
    <x v="0"/>
    <n v="2"/>
    <s v="D"/>
    <s v="T"/>
    <n v="0"/>
    <n v="10"/>
    <n v="0"/>
    <n v="34.58"/>
    <n v="15.97"/>
  </r>
  <r>
    <n v="281673"/>
    <s v="11_2006"/>
    <n v="37.889564020000002"/>
    <n v="14.055055449999999"/>
    <n v="4193981"/>
    <n v="2436909"/>
    <n v="0"/>
    <n v="0"/>
    <n v="10"/>
    <x v="0"/>
    <n v="2"/>
    <s v="D"/>
    <s v="T"/>
    <n v="0"/>
    <n v="7"/>
    <n v="0"/>
    <n v="31.37"/>
    <n v="10.33"/>
  </r>
  <r>
    <n v="281673"/>
    <s v="11_2006"/>
    <n v="37.889564020000002"/>
    <n v="14.055055449999999"/>
    <n v="4193981"/>
    <n v="2436909"/>
    <n v="0"/>
    <n v="0"/>
    <n v="10"/>
    <x v="1"/>
    <n v="6"/>
    <s v="D"/>
    <s v="T"/>
    <n v="0"/>
    <n v="12"/>
    <n v="0"/>
    <n v="14.7"/>
    <n v="9.1199999999999992"/>
  </r>
  <r>
    <n v="282422"/>
    <s v="09_2006"/>
    <n v="37.862535559999998"/>
    <n v="14.05446987"/>
    <n v="4190983"/>
    <n v="2436827"/>
    <n v="0"/>
    <n v="0"/>
    <m/>
    <x v="1"/>
    <n v="6"/>
    <s v="D"/>
    <s v="T"/>
    <n v="0"/>
    <n v="23"/>
    <n v="0"/>
    <n v="17.46"/>
    <n v="9.1999999999999993"/>
  </r>
  <r>
    <n v="282422"/>
    <s v="09_2006"/>
    <n v="37.862535559999998"/>
    <n v="14.05446987"/>
    <n v="4190983"/>
    <n v="2436827"/>
    <n v="0"/>
    <n v="0"/>
    <m/>
    <x v="2"/>
    <n v="7"/>
    <s v="E"/>
    <s v="T"/>
    <n v="0"/>
    <n v="5"/>
    <n v="0"/>
    <n v="15.17"/>
    <n v="9.06"/>
  </r>
  <r>
    <n v="282921"/>
    <s v="10_2006"/>
    <n v="37.844516519999999"/>
    <n v="14.04271855"/>
    <n v="4188994"/>
    <n v="2435773"/>
    <n v="0"/>
    <n v="0"/>
    <n v="20"/>
    <x v="0"/>
    <s v="2 e 7"/>
    <s v="D"/>
    <s v="T"/>
    <n v="0"/>
    <n v="130"/>
    <n v="0"/>
    <n v="14.14"/>
    <n v="10.98"/>
  </r>
  <r>
    <n v="280026"/>
    <s v="10_2006"/>
    <n v="37.943620559999999"/>
    <n v="14.14724182"/>
    <n v="4199901"/>
    <n v="2445070"/>
    <n v="0"/>
    <n v="0"/>
    <n v="20"/>
    <x v="2"/>
    <m/>
    <s v="E"/>
    <s v="T"/>
    <n v="0"/>
    <n v="20"/>
    <n v="0"/>
    <n v="7.5"/>
    <n v="4.18"/>
  </r>
  <r>
    <n v="280026"/>
    <s v="10_2006"/>
    <n v="37.943620559999999"/>
    <n v="14.14724182"/>
    <n v="4199901"/>
    <n v="2445070"/>
    <n v="0"/>
    <n v="0"/>
    <n v="20"/>
    <x v="1"/>
    <m/>
    <s v="D"/>
    <s v="T"/>
    <n v="0"/>
    <n v="2"/>
    <n v="0"/>
    <n v="5"/>
    <n v="2.8"/>
  </r>
  <r>
    <n v="278849"/>
    <s v="03_2009"/>
    <n v="37.989339999999999"/>
    <n v="14.193776"/>
    <n v="4204946"/>
    <n v="2449209"/>
    <n v="0"/>
    <n v="0"/>
    <m/>
    <x v="2"/>
    <m/>
    <s v="E"/>
    <s v="T"/>
    <n v="0"/>
    <n v="7"/>
    <n v="0"/>
    <n v="32.75"/>
    <n v="7.76"/>
  </r>
  <r>
    <n v="282679"/>
    <s v="09_2006"/>
    <n v="37.853526049999999"/>
    <n v="14.14517684"/>
    <n v="4189906"/>
    <n v="2444797"/>
    <n v="0"/>
    <n v="0"/>
    <n v="25"/>
    <x v="3"/>
    <s v="1 e 6 e 7"/>
    <s v="D"/>
    <s v="T"/>
    <n v="0"/>
    <n v="5"/>
    <n v="0"/>
    <n v="18.329999999999998"/>
    <n v="12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14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outline="1" outlineData="1" multipleFieldFilters="0">
  <location ref="A3:E8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9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AvDBH" fld="16" subtotal="average" baseField="0" baseItem="0"/>
    <dataField name="Media di Height" fld="17" subtotal="average" baseField="0" baseItem="0"/>
    <dataField name="Media di Age" fld="8" subtotal="average" baseField="0" baseItem="0"/>
    <dataField name="Media di N" fld="14" subtotal="average" baseField="0" baseItem="0"/>
  </dataFields>
  <formats count="4">
    <format dxfId="0">
      <pivotArea collapsedLevelsAreSubtotals="1" fieldPosition="0">
        <references count="1">
          <reference field="9" count="1">
            <x v="0"/>
          </reference>
        </references>
      </pivotArea>
    </format>
    <format dxfId="1">
      <pivotArea collapsedLevelsAreSubtotals="1" fieldPosition="0">
        <references count="1">
          <reference field="9" count="1">
            <x v="1"/>
          </reference>
        </references>
      </pivotArea>
    </format>
    <format dxfId="2">
      <pivotArea collapsedLevelsAreSubtotals="1" fieldPosition="0">
        <references count="1">
          <reference field="9" count="1">
            <x v="2"/>
          </reference>
        </references>
      </pivotArea>
    </format>
    <format dxfId="3">
      <pivotArea collapsedLevelsAreSubtotals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nput282679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27884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put280026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put28292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put28242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put281673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put282928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2" sqref="B2"/>
    </sheetView>
  </sheetViews>
  <sheetFormatPr defaultRowHeight="14.4"/>
  <cols>
    <col min="1" max="1" width="16.6640625" bestFit="1" customWidth="1"/>
    <col min="2" max="2" width="14.109375" bestFit="1" customWidth="1"/>
    <col min="3" max="3" width="13.77734375" bestFit="1" customWidth="1"/>
    <col min="4" max="5" width="12" bestFit="1" customWidth="1"/>
  </cols>
  <sheetData>
    <row r="1" spans="1:5" ht="15" thickBot="1">
      <c r="A1" s="30" t="s">
        <v>187</v>
      </c>
      <c r="B1" s="31" t="s">
        <v>193</v>
      </c>
      <c r="C1" s="32" t="s">
        <v>194</v>
      </c>
      <c r="D1" s="32" t="s">
        <v>213</v>
      </c>
      <c r="E1" s="33" t="s">
        <v>214</v>
      </c>
    </row>
    <row r="2" spans="1:5" ht="15" thickBot="1">
      <c r="A2" s="34" t="s">
        <v>203</v>
      </c>
      <c r="B2" s="35">
        <v>18.329999999999998</v>
      </c>
      <c r="C2" s="36">
        <v>12.79</v>
      </c>
      <c r="D2" s="37">
        <v>1981</v>
      </c>
      <c r="E2" s="38">
        <v>5</v>
      </c>
    </row>
    <row r="3" spans="1:5" ht="15" thickBot="1">
      <c r="A3" s="34" t="s">
        <v>181</v>
      </c>
      <c r="B3" s="39">
        <v>26.696666666666669</v>
      </c>
      <c r="C3" s="40">
        <v>12.426666666666668</v>
      </c>
      <c r="D3" s="41">
        <v>1962.6666666666667</v>
      </c>
      <c r="E3" s="42">
        <v>49</v>
      </c>
    </row>
    <row r="4" spans="1:5" ht="15" thickBot="1">
      <c r="A4" s="34" t="s">
        <v>200</v>
      </c>
      <c r="B4" s="39">
        <v>12.386666666666665</v>
      </c>
      <c r="C4" s="40">
        <v>7.04</v>
      </c>
      <c r="D4" s="41">
        <v>1991</v>
      </c>
      <c r="E4" s="42">
        <v>12.333333333333334</v>
      </c>
    </row>
    <row r="5" spans="1:5" ht="15" thickBot="1">
      <c r="A5" s="34" t="s">
        <v>201</v>
      </c>
      <c r="B5" s="43">
        <v>18.473333333333333</v>
      </c>
      <c r="C5" s="44">
        <v>7</v>
      </c>
      <c r="D5" s="45">
        <v>1986</v>
      </c>
      <c r="E5" s="46">
        <v>10.666666666666666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pane ySplit="1" topLeftCell="A2" activePane="bottomLeft" state="frozen"/>
      <selection pane="bottomLeft" activeCell="B2" sqref="B2:B11"/>
    </sheetView>
  </sheetViews>
  <sheetFormatPr defaultRowHeight="14.4"/>
  <cols>
    <col min="1" max="1" width="8.6640625" bestFit="1" customWidth="1"/>
    <col min="2" max="2" width="8.5546875" bestFit="1" customWidth="1"/>
    <col min="3" max="6" width="15.6640625" style="3" customWidth="1"/>
    <col min="7" max="7" width="11.6640625" style="9" customWidth="1"/>
    <col min="8" max="8" width="29.33203125" bestFit="1" customWidth="1"/>
    <col min="9" max="9" width="10.33203125" bestFit="1" customWidth="1"/>
    <col min="10" max="10" width="13.33203125" bestFit="1" customWidth="1"/>
    <col min="11" max="11" width="22.33203125" bestFit="1" customWidth="1"/>
    <col min="12" max="12" width="13.6640625" bestFit="1" customWidth="1"/>
  </cols>
  <sheetData>
    <row r="1" spans="1:15" s="4" customFormat="1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s="10" t="s">
        <v>177</v>
      </c>
      <c r="H1" s="4" t="s">
        <v>113</v>
      </c>
      <c r="I1" s="4" t="s">
        <v>114</v>
      </c>
      <c r="J1" s="5" t="s">
        <v>119</v>
      </c>
      <c r="K1" s="4" t="s">
        <v>124</v>
      </c>
      <c r="L1" s="5" t="s">
        <v>125</v>
      </c>
      <c r="M1" s="4" t="s">
        <v>121</v>
      </c>
      <c r="N1" s="4" t="s">
        <v>122</v>
      </c>
      <c r="O1" s="4" t="s">
        <v>123</v>
      </c>
    </row>
    <row r="2" spans="1:15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 s="13" t="s">
        <v>178</v>
      </c>
      <c r="H2" s="4" t="s">
        <v>116</v>
      </c>
      <c r="I2" s="4" t="s">
        <v>117</v>
      </c>
      <c r="J2" t="s">
        <v>120</v>
      </c>
      <c r="K2" t="s">
        <v>150</v>
      </c>
      <c r="L2" t="s">
        <v>126</v>
      </c>
      <c r="M2">
        <v>0</v>
      </c>
      <c r="O2">
        <v>3</v>
      </c>
    </row>
    <row r="3" spans="1:15">
      <c r="A3" s="11">
        <v>282930</v>
      </c>
      <c r="B3" s="4" t="s">
        <v>115</v>
      </c>
      <c r="C3" s="12">
        <v>37.844516519999999</v>
      </c>
      <c r="D3" s="12">
        <v>14.14497085</v>
      </c>
      <c r="E3" s="12">
        <v>4188907</v>
      </c>
      <c r="F3" s="12">
        <v>2444770</v>
      </c>
      <c r="G3" s="13" t="s">
        <v>178</v>
      </c>
      <c r="H3" s="4" t="s">
        <v>141</v>
      </c>
      <c r="I3" s="4" t="s">
        <v>61</v>
      </c>
      <c r="J3" t="s">
        <v>142</v>
      </c>
      <c r="K3" t="s">
        <v>151</v>
      </c>
      <c r="M3">
        <v>0</v>
      </c>
      <c r="O3">
        <v>3</v>
      </c>
    </row>
    <row r="4" spans="1:15">
      <c r="A4" s="1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 s="13" t="s">
        <v>178</v>
      </c>
      <c r="H4" s="4" t="s">
        <v>116</v>
      </c>
      <c r="I4" s="4" t="s">
        <v>117</v>
      </c>
      <c r="J4" t="s">
        <v>120</v>
      </c>
      <c r="K4" s="8" t="s">
        <v>149</v>
      </c>
      <c r="L4" t="s">
        <v>148</v>
      </c>
      <c r="M4">
        <v>1</v>
      </c>
      <c r="N4">
        <v>2</v>
      </c>
    </row>
    <row r="5" spans="1:15" s="3" customFormat="1">
      <c r="A5" s="14">
        <v>281923</v>
      </c>
      <c r="B5" s="5" t="s">
        <v>147</v>
      </c>
      <c r="C5" s="12">
        <v>37.880554549999999</v>
      </c>
      <c r="D5" s="12">
        <v>14.05486017</v>
      </c>
      <c r="E5" s="12">
        <v>4192982</v>
      </c>
      <c r="F5" s="12">
        <v>2436882</v>
      </c>
      <c r="G5" s="13" t="s">
        <v>178</v>
      </c>
      <c r="H5" s="5" t="s">
        <v>157</v>
      </c>
      <c r="I5" s="5" t="s">
        <v>65</v>
      </c>
      <c r="M5" s="3">
        <v>0</v>
      </c>
    </row>
    <row r="6" spans="1:15">
      <c r="A6" s="11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 s="13" t="s">
        <v>178</v>
      </c>
      <c r="H6" s="5" t="s">
        <v>160</v>
      </c>
      <c r="I6" s="5" t="s">
        <v>65</v>
      </c>
      <c r="M6" s="3">
        <v>0</v>
      </c>
    </row>
    <row r="7" spans="1:15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 s="13" t="s">
        <v>178</v>
      </c>
      <c r="H7" s="4" t="s">
        <v>116</v>
      </c>
      <c r="I7" s="4" t="s">
        <v>117</v>
      </c>
      <c r="J7" t="s">
        <v>120</v>
      </c>
      <c r="K7" t="s">
        <v>164</v>
      </c>
      <c r="L7" t="s">
        <v>149</v>
      </c>
      <c r="M7">
        <v>1</v>
      </c>
      <c r="N7">
        <v>5</v>
      </c>
    </row>
    <row r="8" spans="1:15">
      <c r="A8" s="11">
        <v>278552</v>
      </c>
      <c r="B8" s="4" t="s">
        <v>180</v>
      </c>
      <c r="C8" s="12">
        <v>37.988667290000002</v>
      </c>
      <c r="D8" s="12">
        <v>14.091359969999999</v>
      </c>
      <c r="E8" s="12">
        <v>4204946</v>
      </c>
      <c r="F8" s="12">
        <v>2440209</v>
      </c>
      <c r="G8" s="13" t="s">
        <v>178</v>
      </c>
      <c r="H8" s="4" t="s">
        <v>179</v>
      </c>
      <c r="I8" s="4"/>
    </row>
    <row r="9" spans="1:15">
      <c r="A9" s="11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 s="13" t="s">
        <v>178</v>
      </c>
      <c r="H9" s="4" t="s">
        <v>167</v>
      </c>
      <c r="I9" s="4" t="s">
        <v>168</v>
      </c>
      <c r="J9" t="s">
        <v>120</v>
      </c>
      <c r="K9" t="s">
        <v>170</v>
      </c>
      <c r="L9" t="s">
        <v>151</v>
      </c>
      <c r="M9">
        <v>0</v>
      </c>
    </row>
    <row r="10" spans="1:15">
      <c r="A10" s="11">
        <v>278849</v>
      </c>
      <c r="B10" s="4" t="s">
        <v>172</v>
      </c>
      <c r="C10" s="5">
        <v>37.989339999999999</v>
      </c>
      <c r="D10" s="5">
        <v>14.193776</v>
      </c>
      <c r="E10" s="18">
        <v>4204946</v>
      </c>
      <c r="F10" s="18">
        <v>2449209</v>
      </c>
      <c r="G10" s="13" t="s">
        <v>178</v>
      </c>
      <c r="H10" s="4" t="s">
        <v>165</v>
      </c>
      <c r="I10" s="4" t="s">
        <v>65</v>
      </c>
      <c r="J10" t="s">
        <v>142</v>
      </c>
      <c r="M10">
        <v>0</v>
      </c>
    </row>
    <row r="11" spans="1:15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 s="13" t="s">
        <v>178</v>
      </c>
      <c r="H11" s="4" t="s">
        <v>174</v>
      </c>
      <c r="I11" s="4" t="s">
        <v>168</v>
      </c>
      <c r="J11" t="s">
        <v>142</v>
      </c>
      <c r="K11" t="s">
        <v>151</v>
      </c>
      <c r="M1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opLeftCell="B1" workbookViewId="0">
      <selection activeCell="G20" sqref="G20"/>
    </sheetView>
  </sheetViews>
  <sheetFormatPr defaultRowHeight="14.4"/>
  <cols>
    <col min="1" max="1" width="17.5546875" bestFit="1" customWidth="1"/>
    <col min="2" max="2" width="11.88671875" bestFit="1" customWidth="1"/>
    <col min="8" max="8" width="12.6640625" bestFit="1" customWidth="1"/>
    <col min="10" max="10" width="17.5546875" bestFit="1" customWidth="1"/>
    <col min="11" max="11" width="9.5546875" bestFit="1" customWidth="1"/>
    <col min="257" max="257" width="17.5546875" bestFit="1" customWidth="1"/>
    <col min="258" max="258" width="11.88671875" bestFit="1" customWidth="1"/>
    <col min="264" max="264" width="12.6640625" bestFit="1" customWidth="1"/>
    <col min="266" max="266" width="17.5546875" bestFit="1" customWidth="1"/>
    <col min="267" max="267" width="9.5546875" bestFit="1" customWidth="1"/>
    <col min="513" max="513" width="17.5546875" bestFit="1" customWidth="1"/>
    <col min="514" max="514" width="11.88671875" bestFit="1" customWidth="1"/>
    <col min="520" max="520" width="12.6640625" bestFit="1" customWidth="1"/>
    <col min="522" max="522" width="17.5546875" bestFit="1" customWidth="1"/>
    <col min="523" max="523" width="9.5546875" bestFit="1" customWidth="1"/>
    <col min="769" max="769" width="17.5546875" bestFit="1" customWidth="1"/>
    <col min="770" max="770" width="11.88671875" bestFit="1" customWidth="1"/>
    <col min="776" max="776" width="12.6640625" bestFit="1" customWidth="1"/>
    <col min="778" max="778" width="17.5546875" bestFit="1" customWidth="1"/>
    <col min="779" max="779" width="9.5546875" bestFit="1" customWidth="1"/>
    <col min="1025" max="1025" width="17.5546875" bestFit="1" customWidth="1"/>
    <col min="1026" max="1026" width="11.88671875" bestFit="1" customWidth="1"/>
    <col min="1032" max="1032" width="12.6640625" bestFit="1" customWidth="1"/>
    <col min="1034" max="1034" width="17.5546875" bestFit="1" customWidth="1"/>
    <col min="1035" max="1035" width="9.5546875" bestFit="1" customWidth="1"/>
    <col min="1281" max="1281" width="17.5546875" bestFit="1" customWidth="1"/>
    <col min="1282" max="1282" width="11.88671875" bestFit="1" customWidth="1"/>
    <col min="1288" max="1288" width="12.6640625" bestFit="1" customWidth="1"/>
    <col min="1290" max="1290" width="17.5546875" bestFit="1" customWidth="1"/>
    <col min="1291" max="1291" width="9.5546875" bestFit="1" customWidth="1"/>
    <col min="1537" max="1537" width="17.5546875" bestFit="1" customWidth="1"/>
    <col min="1538" max="1538" width="11.88671875" bestFit="1" customWidth="1"/>
    <col min="1544" max="1544" width="12.6640625" bestFit="1" customWidth="1"/>
    <col min="1546" max="1546" width="17.5546875" bestFit="1" customWidth="1"/>
    <col min="1547" max="1547" width="9.5546875" bestFit="1" customWidth="1"/>
    <col min="1793" max="1793" width="17.5546875" bestFit="1" customWidth="1"/>
    <col min="1794" max="1794" width="11.88671875" bestFit="1" customWidth="1"/>
    <col min="1800" max="1800" width="12.6640625" bestFit="1" customWidth="1"/>
    <col min="1802" max="1802" width="17.5546875" bestFit="1" customWidth="1"/>
    <col min="1803" max="1803" width="9.5546875" bestFit="1" customWidth="1"/>
    <col min="2049" max="2049" width="17.5546875" bestFit="1" customWidth="1"/>
    <col min="2050" max="2050" width="11.88671875" bestFit="1" customWidth="1"/>
    <col min="2056" max="2056" width="12.6640625" bestFit="1" customWidth="1"/>
    <col min="2058" max="2058" width="17.5546875" bestFit="1" customWidth="1"/>
    <col min="2059" max="2059" width="9.5546875" bestFit="1" customWidth="1"/>
    <col min="2305" max="2305" width="17.5546875" bestFit="1" customWidth="1"/>
    <col min="2306" max="2306" width="11.88671875" bestFit="1" customWidth="1"/>
    <col min="2312" max="2312" width="12.6640625" bestFit="1" customWidth="1"/>
    <col min="2314" max="2314" width="17.5546875" bestFit="1" customWidth="1"/>
    <col min="2315" max="2315" width="9.5546875" bestFit="1" customWidth="1"/>
    <col min="2561" max="2561" width="17.5546875" bestFit="1" customWidth="1"/>
    <col min="2562" max="2562" width="11.88671875" bestFit="1" customWidth="1"/>
    <col min="2568" max="2568" width="12.6640625" bestFit="1" customWidth="1"/>
    <col min="2570" max="2570" width="17.5546875" bestFit="1" customWidth="1"/>
    <col min="2571" max="2571" width="9.5546875" bestFit="1" customWidth="1"/>
    <col min="2817" max="2817" width="17.5546875" bestFit="1" customWidth="1"/>
    <col min="2818" max="2818" width="11.88671875" bestFit="1" customWidth="1"/>
    <col min="2824" max="2824" width="12.6640625" bestFit="1" customWidth="1"/>
    <col min="2826" max="2826" width="17.5546875" bestFit="1" customWidth="1"/>
    <col min="2827" max="2827" width="9.5546875" bestFit="1" customWidth="1"/>
    <col min="3073" max="3073" width="17.5546875" bestFit="1" customWidth="1"/>
    <col min="3074" max="3074" width="11.88671875" bestFit="1" customWidth="1"/>
    <col min="3080" max="3080" width="12.6640625" bestFit="1" customWidth="1"/>
    <col min="3082" max="3082" width="17.5546875" bestFit="1" customWidth="1"/>
    <col min="3083" max="3083" width="9.5546875" bestFit="1" customWidth="1"/>
    <col min="3329" max="3329" width="17.5546875" bestFit="1" customWidth="1"/>
    <col min="3330" max="3330" width="11.88671875" bestFit="1" customWidth="1"/>
    <col min="3336" max="3336" width="12.6640625" bestFit="1" customWidth="1"/>
    <col min="3338" max="3338" width="17.5546875" bestFit="1" customWidth="1"/>
    <col min="3339" max="3339" width="9.5546875" bestFit="1" customWidth="1"/>
    <col min="3585" max="3585" width="17.5546875" bestFit="1" customWidth="1"/>
    <col min="3586" max="3586" width="11.88671875" bestFit="1" customWidth="1"/>
    <col min="3592" max="3592" width="12.6640625" bestFit="1" customWidth="1"/>
    <col min="3594" max="3594" width="17.5546875" bestFit="1" customWidth="1"/>
    <col min="3595" max="3595" width="9.5546875" bestFit="1" customWidth="1"/>
    <col min="3841" max="3841" width="17.5546875" bestFit="1" customWidth="1"/>
    <col min="3842" max="3842" width="11.88671875" bestFit="1" customWidth="1"/>
    <col min="3848" max="3848" width="12.6640625" bestFit="1" customWidth="1"/>
    <col min="3850" max="3850" width="17.5546875" bestFit="1" customWidth="1"/>
    <col min="3851" max="3851" width="9.5546875" bestFit="1" customWidth="1"/>
    <col min="4097" max="4097" width="17.5546875" bestFit="1" customWidth="1"/>
    <col min="4098" max="4098" width="11.88671875" bestFit="1" customWidth="1"/>
    <col min="4104" max="4104" width="12.6640625" bestFit="1" customWidth="1"/>
    <col min="4106" max="4106" width="17.5546875" bestFit="1" customWidth="1"/>
    <col min="4107" max="4107" width="9.5546875" bestFit="1" customWidth="1"/>
    <col min="4353" max="4353" width="17.5546875" bestFit="1" customWidth="1"/>
    <col min="4354" max="4354" width="11.88671875" bestFit="1" customWidth="1"/>
    <col min="4360" max="4360" width="12.6640625" bestFit="1" customWidth="1"/>
    <col min="4362" max="4362" width="17.5546875" bestFit="1" customWidth="1"/>
    <col min="4363" max="4363" width="9.5546875" bestFit="1" customWidth="1"/>
    <col min="4609" max="4609" width="17.5546875" bestFit="1" customWidth="1"/>
    <col min="4610" max="4610" width="11.88671875" bestFit="1" customWidth="1"/>
    <col min="4616" max="4616" width="12.6640625" bestFit="1" customWidth="1"/>
    <col min="4618" max="4618" width="17.5546875" bestFit="1" customWidth="1"/>
    <col min="4619" max="4619" width="9.5546875" bestFit="1" customWidth="1"/>
    <col min="4865" max="4865" width="17.5546875" bestFit="1" customWidth="1"/>
    <col min="4866" max="4866" width="11.88671875" bestFit="1" customWidth="1"/>
    <col min="4872" max="4872" width="12.6640625" bestFit="1" customWidth="1"/>
    <col min="4874" max="4874" width="17.5546875" bestFit="1" customWidth="1"/>
    <col min="4875" max="4875" width="9.5546875" bestFit="1" customWidth="1"/>
    <col min="5121" max="5121" width="17.5546875" bestFit="1" customWidth="1"/>
    <col min="5122" max="5122" width="11.88671875" bestFit="1" customWidth="1"/>
    <col min="5128" max="5128" width="12.6640625" bestFit="1" customWidth="1"/>
    <col min="5130" max="5130" width="17.5546875" bestFit="1" customWidth="1"/>
    <col min="5131" max="5131" width="9.5546875" bestFit="1" customWidth="1"/>
    <col min="5377" max="5377" width="17.5546875" bestFit="1" customWidth="1"/>
    <col min="5378" max="5378" width="11.88671875" bestFit="1" customWidth="1"/>
    <col min="5384" max="5384" width="12.6640625" bestFit="1" customWidth="1"/>
    <col min="5386" max="5386" width="17.5546875" bestFit="1" customWidth="1"/>
    <col min="5387" max="5387" width="9.5546875" bestFit="1" customWidth="1"/>
    <col min="5633" max="5633" width="17.5546875" bestFit="1" customWidth="1"/>
    <col min="5634" max="5634" width="11.88671875" bestFit="1" customWidth="1"/>
    <col min="5640" max="5640" width="12.6640625" bestFit="1" customWidth="1"/>
    <col min="5642" max="5642" width="17.5546875" bestFit="1" customWidth="1"/>
    <col min="5643" max="5643" width="9.5546875" bestFit="1" customWidth="1"/>
    <col min="5889" max="5889" width="17.5546875" bestFit="1" customWidth="1"/>
    <col min="5890" max="5890" width="11.88671875" bestFit="1" customWidth="1"/>
    <col min="5896" max="5896" width="12.6640625" bestFit="1" customWidth="1"/>
    <col min="5898" max="5898" width="17.5546875" bestFit="1" customWidth="1"/>
    <col min="5899" max="5899" width="9.5546875" bestFit="1" customWidth="1"/>
    <col min="6145" max="6145" width="17.5546875" bestFit="1" customWidth="1"/>
    <col min="6146" max="6146" width="11.88671875" bestFit="1" customWidth="1"/>
    <col min="6152" max="6152" width="12.6640625" bestFit="1" customWidth="1"/>
    <col min="6154" max="6154" width="17.5546875" bestFit="1" customWidth="1"/>
    <col min="6155" max="6155" width="9.5546875" bestFit="1" customWidth="1"/>
    <col min="6401" max="6401" width="17.5546875" bestFit="1" customWidth="1"/>
    <col min="6402" max="6402" width="11.88671875" bestFit="1" customWidth="1"/>
    <col min="6408" max="6408" width="12.6640625" bestFit="1" customWidth="1"/>
    <col min="6410" max="6410" width="17.5546875" bestFit="1" customWidth="1"/>
    <col min="6411" max="6411" width="9.5546875" bestFit="1" customWidth="1"/>
    <col min="6657" max="6657" width="17.5546875" bestFit="1" customWidth="1"/>
    <col min="6658" max="6658" width="11.88671875" bestFit="1" customWidth="1"/>
    <col min="6664" max="6664" width="12.6640625" bestFit="1" customWidth="1"/>
    <col min="6666" max="6666" width="17.5546875" bestFit="1" customWidth="1"/>
    <col min="6667" max="6667" width="9.5546875" bestFit="1" customWidth="1"/>
    <col min="6913" max="6913" width="17.5546875" bestFit="1" customWidth="1"/>
    <col min="6914" max="6914" width="11.88671875" bestFit="1" customWidth="1"/>
    <col min="6920" max="6920" width="12.6640625" bestFit="1" customWidth="1"/>
    <col min="6922" max="6922" width="17.5546875" bestFit="1" customWidth="1"/>
    <col min="6923" max="6923" width="9.5546875" bestFit="1" customWidth="1"/>
    <col min="7169" max="7169" width="17.5546875" bestFit="1" customWidth="1"/>
    <col min="7170" max="7170" width="11.88671875" bestFit="1" customWidth="1"/>
    <col min="7176" max="7176" width="12.6640625" bestFit="1" customWidth="1"/>
    <col min="7178" max="7178" width="17.5546875" bestFit="1" customWidth="1"/>
    <col min="7179" max="7179" width="9.5546875" bestFit="1" customWidth="1"/>
    <col min="7425" max="7425" width="17.5546875" bestFit="1" customWidth="1"/>
    <col min="7426" max="7426" width="11.88671875" bestFit="1" customWidth="1"/>
    <col min="7432" max="7432" width="12.6640625" bestFit="1" customWidth="1"/>
    <col min="7434" max="7434" width="17.5546875" bestFit="1" customWidth="1"/>
    <col min="7435" max="7435" width="9.5546875" bestFit="1" customWidth="1"/>
    <col min="7681" max="7681" width="17.5546875" bestFit="1" customWidth="1"/>
    <col min="7682" max="7682" width="11.88671875" bestFit="1" customWidth="1"/>
    <col min="7688" max="7688" width="12.6640625" bestFit="1" customWidth="1"/>
    <col min="7690" max="7690" width="17.5546875" bestFit="1" customWidth="1"/>
    <col min="7691" max="7691" width="9.5546875" bestFit="1" customWidth="1"/>
    <col min="7937" max="7937" width="17.5546875" bestFit="1" customWidth="1"/>
    <col min="7938" max="7938" width="11.88671875" bestFit="1" customWidth="1"/>
    <col min="7944" max="7944" width="12.6640625" bestFit="1" customWidth="1"/>
    <col min="7946" max="7946" width="17.5546875" bestFit="1" customWidth="1"/>
    <col min="7947" max="7947" width="9.5546875" bestFit="1" customWidth="1"/>
    <col min="8193" max="8193" width="17.5546875" bestFit="1" customWidth="1"/>
    <col min="8194" max="8194" width="11.88671875" bestFit="1" customWidth="1"/>
    <col min="8200" max="8200" width="12.6640625" bestFit="1" customWidth="1"/>
    <col min="8202" max="8202" width="17.5546875" bestFit="1" customWidth="1"/>
    <col min="8203" max="8203" width="9.5546875" bestFit="1" customWidth="1"/>
    <col min="8449" max="8449" width="17.5546875" bestFit="1" customWidth="1"/>
    <col min="8450" max="8450" width="11.88671875" bestFit="1" customWidth="1"/>
    <col min="8456" max="8456" width="12.6640625" bestFit="1" customWidth="1"/>
    <col min="8458" max="8458" width="17.5546875" bestFit="1" customWidth="1"/>
    <col min="8459" max="8459" width="9.5546875" bestFit="1" customWidth="1"/>
    <col min="8705" max="8705" width="17.5546875" bestFit="1" customWidth="1"/>
    <col min="8706" max="8706" width="11.88671875" bestFit="1" customWidth="1"/>
    <col min="8712" max="8712" width="12.6640625" bestFit="1" customWidth="1"/>
    <col min="8714" max="8714" width="17.5546875" bestFit="1" customWidth="1"/>
    <col min="8715" max="8715" width="9.5546875" bestFit="1" customWidth="1"/>
    <col min="8961" max="8961" width="17.5546875" bestFit="1" customWidth="1"/>
    <col min="8962" max="8962" width="11.88671875" bestFit="1" customWidth="1"/>
    <col min="8968" max="8968" width="12.6640625" bestFit="1" customWidth="1"/>
    <col min="8970" max="8970" width="17.5546875" bestFit="1" customWidth="1"/>
    <col min="8971" max="8971" width="9.5546875" bestFit="1" customWidth="1"/>
    <col min="9217" max="9217" width="17.5546875" bestFit="1" customWidth="1"/>
    <col min="9218" max="9218" width="11.88671875" bestFit="1" customWidth="1"/>
    <col min="9224" max="9224" width="12.6640625" bestFit="1" customWidth="1"/>
    <col min="9226" max="9226" width="17.5546875" bestFit="1" customWidth="1"/>
    <col min="9227" max="9227" width="9.5546875" bestFit="1" customWidth="1"/>
    <col min="9473" max="9473" width="17.5546875" bestFit="1" customWidth="1"/>
    <col min="9474" max="9474" width="11.88671875" bestFit="1" customWidth="1"/>
    <col min="9480" max="9480" width="12.6640625" bestFit="1" customWidth="1"/>
    <col min="9482" max="9482" width="17.5546875" bestFit="1" customWidth="1"/>
    <col min="9483" max="9483" width="9.5546875" bestFit="1" customWidth="1"/>
    <col min="9729" max="9729" width="17.5546875" bestFit="1" customWidth="1"/>
    <col min="9730" max="9730" width="11.88671875" bestFit="1" customWidth="1"/>
    <col min="9736" max="9736" width="12.6640625" bestFit="1" customWidth="1"/>
    <col min="9738" max="9738" width="17.5546875" bestFit="1" customWidth="1"/>
    <col min="9739" max="9739" width="9.5546875" bestFit="1" customWidth="1"/>
    <col min="9985" max="9985" width="17.5546875" bestFit="1" customWidth="1"/>
    <col min="9986" max="9986" width="11.88671875" bestFit="1" customWidth="1"/>
    <col min="9992" max="9992" width="12.6640625" bestFit="1" customWidth="1"/>
    <col min="9994" max="9994" width="17.5546875" bestFit="1" customWidth="1"/>
    <col min="9995" max="9995" width="9.5546875" bestFit="1" customWidth="1"/>
    <col min="10241" max="10241" width="17.5546875" bestFit="1" customWidth="1"/>
    <col min="10242" max="10242" width="11.88671875" bestFit="1" customWidth="1"/>
    <col min="10248" max="10248" width="12.6640625" bestFit="1" customWidth="1"/>
    <col min="10250" max="10250" width="17.5546875" bestFit="1" customWidth="1"/>
    <col min="10251" max="10251" width="9.5546875" bestFit="1" customWidth="1"/>
    <col min="10497" max="10497" width="17.5546875" bestFit="1" customWidth="1"/>
    <col min="10498" max="10498" width="11.88671875" bestFit="1" customWidth="1"/>
    <col min="10504" max="10504" width="12.6640625" bestFit="1" customWidth="1"/>
    <col min="10506" max="10506" width="17.5546875" bestFit="1" customWidth="1"/>
    <col min="10507" max="10507" width="9.5546875" bestFit="1" customWidth="1"/>
    <col min="10753" max="10753" width="17.5546875" bestFit="1" customWidth="1"/>
    <col min="10754" max="10754" width="11.88671875" bestFit="1" customWidth="1"/>
    <col min="10760" max="10760" width="12.6640625" bestFit="1" customWidth="1"/>
    <col min="10762" max="10762" width="17.5546875" bestFit="1" customWidth="1"/>
    <col min="10763" max="10763" width="9.5546875" bestFit="1" customWidth="1"/>
    <col min="11009" max="11009" width="17.5546875" bestFit="1" customWidth="1"/>
    <col min="11010" max="11010" width="11.88671875" bestFit="1" customWidth="1"/>
    <col min="11016" max="11016" width="12.6640625" bestFit="1" customWidth="1"/>
    <col min="11018" max="11018" width="17.5546875" bestFit="1" customWidth="1"/>
    <col min="11019" max="11019" width="9.5546875" bestFit="1" customWidth="1"/>
    <col min="11265" max="11265" width="17.5546875" bestFit="1" customWidth="1"/>
    <col min="11266" max="11266" width="11.88671875" bestFit="1" customWidth="1"/>
    <col min="11272" max="11272" width="12.6640625" bestFit="1" customWidth="1"/>
    <col min="11274" max="11274" width="17.5546875" bestFit="1" customWidth="1"/>
    <col min="11275" max="11275" width="9.5546875" bestFit="1" customWidth="1"/>
    <col min="11521" max="11521" width="17.5546875" bestFit="1" customWidth="1"/>
    <col min="11522" max="11522" width="11.88671875" bestFit="1" customWidth="1"/>
    <col min="11528" max="11528" width="12.6640625" bestFit="1" customWidth="1"/>
    <col min="11530" max="11530" width="17.5546875" bestFit="1" customWidth="1"/>
    <col min="11531" max="11531" width="9.5546875" bestFit="1" customWidth="1"/>
    <col min="11777" max="11777" width="17.5546875" bestFit="1" customWidth="1"/>
    <col min="11778" max="11778" width="11.88671875" bestFit="1" customWidth="1"/>
    <col min="11784" max="11784" width="12.6640625" bestFit="1" customWidth="1"/>
    <col min="11786" max="11786" width="17.5546875" bestFit="1" customWidth="1"/>
    <col min="11787" max="11787" width="9.5546875" bestFit="1" customWidth="1"/>
    <col min="12033" max="12033" width="17.5546875" bestFit="1" customWidth="1"/>
    <col min="12034" max="12034" width="11.88671875" bestFit="1" customWidth="1"/>
    <col min="12040" max="12040" width="12.6640625" bestFit="1" customWidth="1"/>
    <col min="12042" max="12042" width="17.5546875" bestFit="1" customWidth="1"/>
    <col min="12043" max="12043" width="9.5546875" bestFit="1" customWidth="1"/>
    <col min="12289" max="12289" width="17.5546875" bestFit="1" customWidth="1"/>
    <col min="12290" max="12290" width="11.88671875" bestFit="1" customWidth="1"/>
    <col min="12296" max="12296" width="12.6640625" bestFit="1" customWidth="1"/>
    <col min="12298" max="12298" width="17.5546875" bestFit="1" customWidth="1"/>
    <col min="12299" max="12299" width="9.5546875" bestFit="1" customWidth="1"/>
    <col min="12545" max="12545" width="17.5546875" bestFit="1" customWidth="1"/>
    <col min="12546" max="12546" width="11.88671875" bestFit="1" customWidth="1"/>
    <col min="12552" max="12552" width="12.6640625" bestFit="1" customWidth="1"/>
    <col min="12554" max="12554" width="17.5546875" bestFit="1" customWidth="1"/>
    <col min="12555" max="12555" width="9.5546875" bestFit="1" customWidth="1"/>
    <col min="12801" max="12801" width="17.5546875" bestFit="1" customWidth="1"/>
    <col min="12802" max="12802" width="11.88671875" bestFit="1" customWidth="1"/>
    <col min="12808" max="12808" width="12.6640625" bestFit="1" customWidth="1"/>
    <col min="12810" max="12810" width="17.5546875" bestFit="1" customWidth="1"/>
    <col min="12811" max="12811" width="9.5546875" bestFit="1" customWidth="1"/>
    <col min="13057" max="13057" width="17.5546875" bestFit="1" customWidth="1"/>
    <col min="13058" max="13058" width="11.88671875" bestFit="1" customWidth="1"/>
    <col min="13064" max="13064" width="12.6640625" bestFit="1" customWidth="1"/>
    <col min="13066" max="13066" width="17.5546875" bestFit="1" customWidth="1"/>
    <col min="13067" max="13067" width="9.5546875" bestFit="1" customWidth="1"/>
    <col min="13313" max="13313" width="17.5546875" bestFit="1" customWidth="1"/>
    <col min="13314" max="13314" width="11.88671875" bestFit="1" customWidth="1"/>
    <col min="13320" max="13320" width="12.6640625" bestFit="1" customWidth="1"/>
    <col min="13322" max="13322" width="17.5546875" bestFit="1" customWidth="1"/>
    <col min="13323" max="13323" width="9.5546875" bestFit="1" customWidth="1"/>
    <col min="13569" max="13569" width="17.5546875" bestFit="1" customWidth="1"/>
    <col min="13570" max="13570" width="11.88671875" bestFit="1" customWidth="1"/>
    <col min="13576" max="13576" width="12.6640625" bestFit="1" customWidth="1"/>
    <col min="13578" max="13578" width="17.5546875" bestFit="1" customWidth="1"/>
    <col min="13579" max="13579" width="9.5546875" bestFit="1" customWidth="1"/>
    <col min="13825" max="13825" width="17.5546875" bestFit="1" customWidth="1"/>
    <col min="13826" max="13826" width="11.88671875" bestFit="1" customWidth="1"/>
    <col min="13832" max="13832" width="12.6640625" bestFit="1" customWidth="1"/>
    <col min="13834" max="13834" width="17.5546875" bestFit="1" customWidth="1"/>
    <col min="13835" max="13835" width="9.5546875" bestFit="1" customWidth="1"/>
    <col min="14081" max="14081" width="17.5546875" bestFit="1" customWidth="1"/>
    <col min="14082" max="14082" width="11.88671875" bestFit="1" customWidth="1"/>
    <col min="14088" max="14088" width="12.6640625" bestFit="1" customWidth="1"/>
    <col min="14090" max="14090" width="17.5546875" bestFit="1" customWidth="1"/>
    <col min="14091" max="14091" width="9.5546875" bestFit="1" customWidth="1"/>
    <col min="14337" max="14337" width="17.5546875" bestFit="1" customWidth="1"/>
    <col min="14338" max="14338" width="11.88671875" bestFit="1" customWidth="1"/>
    <col min="14344" max="14344" width="12.6640625" bestFit="1" customWidth="1"/>
    <col min="14346" max="14346" width="17.5546875" bestFit="1" customWidth="1"/>
    <col min="14347" max="14347" width="9.5546875" bestFit="1" customWidth="1"/>
    <col min="14593" max="14593" width="17.5546875" bestFit="1" customWidth="1"/>
    <col min="14594" max="14594" width="11.88671875" bestFit="1" customWidth="1"/>
    <col min="14600" max="14600" width="12.6640625" bestFit="1" customWidth="1"/>
    <col min="14602" max="14602" width="17.5546875" bestFit="1" customWidth="1"/>
    <col min="14603" max="14603" width="9.5546875" bestFit="1" customWidth="1"/>
    <col min="14849" max="14849" width="17.5546875" bestFit="1" customWidth="1"/>
    <col min="14850" max="14850" width="11.88671875" bestFit="1" customWidth="1"/>
    <col min="14856" max="14856" width="12.6640625" bestFit="1" customWidth="1"/>
    <col min="14858" max="14858" width="17.5546875" bestFit="1" customWidth="1"/>
    <col min="14859" max="14859" width="9.5546875" bestFit="1" customWidth="1"/>
    <col min="15105" max="15105" width="17.5546875" bestFit="1" customWidth="1"/>
    <col min="15106" max="15106" width="11.88671875" bestFit="1" customWidth="1"/>
    <col min="15112" max="15112" width="12.6640625" bestFit="1" customWidth="1"/>
    <col min="15114" max="15114" width="17.5546875" bestFit="1" customWidth="1"/>
    <col min="15115" max="15115" width="9.5546875" bestFit="1" customWidth="1"/>
    <col min="15361" max="15361" width="17.5546875" bestFit="1" customWidth="1"/>
    <col min="15362" max="15362" width="11.88671875" bestFit="1" customWidth="1"/>
    <col min="15368" max="15368" width="12.6640625" bestFit="1" customWidth="1"/>
    <col min="15370" max="15370" width="17.5546875" bestFit="1" customWidth="1"/>
    <col min="15371" max="15371" width="9.5546875" bestFit="1" customWidth="1"/>
    <col min="15617" max="15617" width="17.5546875" bestFit="1" customWidth="1"/>
    <col min="15618" max="15618" width="11.88671875" bestFit="1" customWidth="1"/>
    <col min="15624" max="15624" width="12.6640625" bestFit="1" customWidth="1"/>
    <col min="15626" max="15626" width="17.5546875" bestFit="1" customWidth="1"/>
    <col min="15627" max="15627" width="9.5546875" bestFit="1" customWidth="1"/>
    <col min="15873" max="15873" width="17.5546875" bestFit="1" customWidth="1"/>
    <col min="15874" max="15874" width="11.88671875" bestFit="1" customWidth="1"/>
    <col min="15880" max="15880" width="12.6640625" bestFit="1" customWidth="1"/>
    <col min="15882" max="15882" width="17.5546875" bestFit="1" customWidth="1"/>
    <col min="15883" max="15883" width="9.5546875" bestFit="1" customWidth="1"/>
    <col min="16129" max="16129" width="17.5546875" bestFit="1" customWidth="1"/>
    <col min="16130" max="16130" width="11.88671875" bestFit="1" customWidth="1"/>
    <col min="16136" max="16136" width="12.6640625" bestFit="1" customWidth="1"/>
    <col min="16138" max="16138" width="17.5546875" bestFit="1" customWidth="1"/>
    <col min="16139" max="16139" width="9.5546875" bestFit="1" customWidth="1"/>
  </cols>
  <sheetData>
    <row r="1" spans="1:13">
      <c r="A1" s="3"/>
      <c r="B1" s="3"/>
      <c r="C1" s="3"/>
      <c r="D1" s="3"/>
      <c r="E1" s="3"/>
      <c r="H1" s="2" t="s">
        <v>51</v>
      </c>
      <c r="I1" t="s">
        <v>4</v>
      </c>
      <c r="J1" t="s">
        <v>52</v>
      </c>
      <c r="L1" t="s">
        <v>12</v>
      </c>
      <c r="M1" t="s">
        <v>53</v>
      </c>
    </row>
    <row r="2" spans="1:13">
      <c r="I2" t="s">
        <v>5</v>
      </c>
      <c r="J2" t="s">
        <v>54</v>
      </c>
      <c r="L2" t="s">
        <v>13</v>
      </c>
      <c r="M2" t="s">
        <v>55</v>
      </c>
    </row>
    <row r="3" spans="1:13">
      <c r="A3" s="2" t="s">
        <v>3</v>
      </c>
      <c r="B3" s="2" t="s">
        <v>56</v>
      </c>
      <c r="C3" t="s">
        <v>57</v>
      </c>
      <c r="D3" t="s">
        <v>58</v>
      </c>
      <c r="I3" t="s">
        <v>6</v>
      </c>
      <c r="J3" t="s">
        <v>59</v>
      </c>
      <c r="L3" t="s">
        <v>14</v>
      </c>
      <c r="M3" t="s">
        <v>60</v>
      </c>
    </row>
    <row r="4" spans="1:13">
      <c r="C4" t="s">
        <v>61</v>
      </c>
      <c r="D4" t="s">
        <v>62</v>
      </c>
      <c r="I4" t="s">
        <v>7</v>
      </c>
      <c r="J4" t="s">
        <v>63</v>
      </c>
      <c r="L4" t="s">
        <v>15</v>
      </c>
      <c r="M4" t="s">
        <v>64</v>
      </c>
    </row>
    <row r="5" spans="1:13">
      <c r="C5" t="s">
        <v>65</v>
      </c>
      <c r="D5" t="s">
        <v>66</v>
      </c>
      <c r="I5" t="s">
        <v>8</v>
      </c>
      <c r="J5" t="s">
        <v>67</v>
      </c>
      <c r="L5" t="s">
        <v>16</v>
      </c>
      <c r="M5" t="s">
        <v>68</v>
      </c>
    </row>
    <row r="6" spans="1:13">
      <c r="C6" t="s">
        <v>69</v>
      </c>
      <c r="D6" t="s">
        <v>70</v>
      </c>
      <c r="I6" t="s">
        <v>9</v>
      </c>
      <c r="J6" t="s">
        <v>71</v>
      </c>
      <c r="L6" t="s">
        <v>17</v>
      </c>
      <c r="M6" t="s">
        <v>72</v>
      </c>
    </row>
    <row r="7" spans="1:13">
      <c r="C7" t="s">
        <v>73</v>
      </c>
      <c r="D7" t="s">
        <v>74</v>
      </c>
      <c r="I7" t="s">
        <v>10</v>
      </c>
      <c r="J7" t="s">
        <v>75</v>
      </c>
      <c r="L7" t="s">
        <v>18</v>
      </c>
      <c r="M7" t="s">
        <v>76</v>
      </c>
    </row>
    <row r="8" spans="1:13">
      <c r="C8" t="s">
        <v>168</v>
      </c>
      <c r="D8" t="s">
        <v>169</v>
      </c>
      <c r="I8" t="s">
        <v>11</v>
      </c>
      <c r="J8" t="s">
        <v>77</v>
      </c>
      <c r="L8" t="s">
        <v>19</v>
      </c>
      <c r="M8" t="s">
        <v>78</v>
      </c>
    </row>
    <row r="9" spans="1:13">
      <c r="C9" t="s">
        <v>117</v>
      </c>
      <c r="D9" t="s">
        <v>118</v>
      </c>
      <c r="L9" t="s">
        <v>20</v>
      </c>
      <c r="M9" t="s">
        <v>79</v>
      </c>
    </row>
    <row r="12" spans="1:13">
      <c r="A12" s="2" t="s">
        <v>80</v>
      </c>
      <c r="B12" t="s">
        <v>21</v>
      </c>
      <c r="C12" t="s">
        <v>81</v>
      </c>
      <c r="J12" s="2" t="s">
        <v>82</v>
      </c>
      <c r="K12" t="s">
        <v>36</v>
      </c>
      <c r="L12" t="s">
        <v>83</v>
      </c>
    </row>
    <row r="13" spans="1:13">
      <c r="B13" t="s">
        <v>22</v>
      </c>
      <c r="C13" t="s">
        <v>84</v>
      </c>
      <c r="K13" t="s">
        <v>37</v>
      </c>
      <c r="L13" t="s">
        <v>85</v>
      </c>
    </row>
    <row r="14" spans="1:13">
      <c r="B14" t="s">
        <v>23</v>
      </c>
      <c r="C14" t="s">
        <v>86</v>
      </c>
      <c r="K14" t="s">
        <v>38</v>
      </c>
      <c r="L14" t="s">
        <v>87</v>
      </c>
    </row>
    <row r="15" spans="1:13">
      <c r="B15" t="s">
        <v>24</v>
      </c>
      <c r="C15" t="s">
        <v>88</v>
      </c>
      <c r="K15" t="s">
        <v>39</v>
      </c>
      <c r="L15" t="s">
        <v>89</v>
      </c>
    </row>
    <row r="16" spans="1:13">
      <c r="B16" t="s">
        <v>25</v>
      </c>
      <c r="C16" t="s">
        <v>90</v>
      </c>
      <c r="K16" t="s">
        <v>40</v>
      </c>
      <c r="L16" t="s">
        <v>91</v>
      </c>
    </row>
    <row r="17" spans="1:12">
      <c r="B17" t="s">
        <v>26</v>
      </c>
      <c r="C17" t="s">
        <v>92</v>
      </c>
      <c r="K17" t="s">
        <v>41</v>
      </c>
      <c r="L17" t="s">
        <v>93</v>
      </c>
    </row>
    <row r="18" spans="1:12">
      <c r="B18" t="s">
        <v>27</v>
      </c>
      <c r="C18" t="s">
        <v>94</v>
      </c>
      <c r="K18" t="s">
        <v>42</v>
      </c>
      <c r="L18" t="s">
        <v>95</v>
      </c>
    </row>
    <row r="20" spans="1:12">
      <c r="A20" s="2" t="s">
        <v>96</v>
      </c>
      <c r="B20" t="s">
        <v>28</v>
      </c>
      <c r="C20" t="s">
        <v>97</v>
      </c>
      <c r="J20" s="2" t="s">
        <v>98</v>
      </c>
      <c r="K20" t="s">
        <v>43</v>
      </c>
      <c r="L20" t="s">
        <v>99</v>
      </c>
    </row>
    <row r="21" spans="1:12">
      <c r="B21" t="s">
        <v>29</v>
      </c>
      <c r="C21" t="s">
        <v>100</v>
      </c>
      <c r="K21" t="s">
        <v>44</v>
      </c>
      <c r="L21" t="s">
        <v>101</v>
      </c>
    </row>
    <row r="22" spans="1:12">
      <c r="B22" t="s">
        <v>30</v>
      </c>
      <c r="C22" t="s">
        <v>102</v>
      </c>
      <c r="K22" t="s">
        <v>45</v>
      </c>
      <c r="L22" t="s">
        <v>103</v>
      </c>
    </row>
    <row r="23" spans="1:12">
      <c r="B23" t="s">
        <v>31</v>
      </c>
      <c r="C23" t="s">
        <v>104</v>
      </c>
      <c r="K23" t="s">
        <v>46</v>
      </c>
      <c r="L23" t="s">
        <v>105</v>
      </c>
    </row>
    <row r="24" spans="1:12">
      <c r="B24" t="s">
        <v>32</v>
      </c>
      <c r="C24" t="s">
        <v>106</v>
      </c>
      <c r="K24" t="s">
        <v>47</v>
      </c>
      <c r="L24" t="s">
        <v>107</v>
      </c>
    </row>
    <row r="25" spans="1:12">
      <c r="B25" t="s">
        <v>33</v>
      </c>
      <c r="C25" t="s">
        <v>108</v>
      </c>
      <c r="K25" t="s">
        <v>48</v>
      </c>
      <c r="L25" t="s">
        <v>109</v>
      </c>
    </row>
    <row r="26" spans="1:12">
      <c r="B26" t="s">
        <v>34</v>
      </c>
      <c r="C26" t="s">
        <v>110</v>
      </c>
      <c r="K26" t="s">
        <v>49</v>
      </c>
      <c r="L26" t="s">
        <v>111</v>
      </c>
    </row>
    <row r="27" spans="1:12">
      <c r="B27" t="s">
        <v>35</v>
      </c>
      <c r="C27" t="s">
        <v>112</v>
      </c>
    </row>
    <row r="29" spans="1:12">
      <c r="B29" s="2" t="s">
        <v>144</v>
      </c>
    </row>
    <row r="30" spans="1:12">
      <c r="B30" s="3" t="s">
        <v>152</v>
      </c>
    </row>
    <row r="31" spans="1:12">
      <c r="B31" s="3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pane ySplit="1" topLeftCell="A146" activePane="bottomLeft" state="frozen"/>
      <selection pane="bottomLeft" activeCell="I20" sqref="I20"/>
    </sheetView>
  </sheetViews>
  <sheetFormatPr defaultRowHeight="14.4"/>
  <cols>
    <col min="2" max="2" width="29.33203125" bestFit="1" customWidth="1"/>
    <col min="3" max="3" width="11.33203125" bestFit="1" customWidth="1"/>
    <col min="4" max="4" width="14.6640625" bestFit="1" customWidth="1"/>
    <col min="5" max="5" width="12" bestFit="1" customWidth="1"/>
    <col min="8" max="8" width="10.33203125" bestFit="1" customWidth="1"/>
    <col min="9" max="9" width="31.109375" bestFit="1" customWidth="1"/>
  </cols>
  <sheetData>
    <row r="1" spans="1:12">
      <c r="A1" s="6" t="s">
        <v>0</v>
      </c>
      <c r="B1" s="6" t="s">
        <v>127</v>
      </c>
      <c r="C1" s="7" t="s">
        <v>128</v>
      </c>
      <c r="D1" s="6" t="s">
        <v>129</v>
      </c>
      <c r="E1" s="6" t="s">
        <v>130</v>
      </c>
      <c r="F1" s="6" t="s">
        <v>131</v>
      </c>
      <c r="G1" s="6" t="s">
        <v>144</v>
      </c>
      <c r="H1" s="6" t="s">
        <v>137</v>
      </c>
      <c r="I1" s="6" t="s">
        <v>132</v>
      </c>
      <c r="J1" s="6" t="s">
        <v>133</v>
      </c>
      <c r="K1" s="6" t="s">
        <v>134</v>
      </c>
      <c r="L1" s="6" t="s">
        <v>135</v>
      </c>
    </row>
    <row r="2" spans="1:12">
      <c r="A2" s="1">
        <v>282928</v>
      </c>
      <c r="B2" t="s">
        <v>116</v>
      </c>
      <c r="C2">
        <v>1</v>
      </c>
      <c r="D2" t="s">
        <v>136</v>
      </c>
      <c r="E2">
        <v>35</v>
      </c>
      <c r="F2">
        <f>(1.6513+(0.99176*15.6333))*(1-(EXP((-0.090463+(0.0011996*15.6333))*E2)))^(0.3015+(0.031218*15.6333))</f>
        <v>16.045055569378867</v>
      </c>
      <c r="G2">
        <v>1</v>
      </c>
      <c r="H2" t="s">
        <v>138</v>
      </c>
      <c r="I2">
        <f>-0.83814+(0.024865*(E2^2)*F2)</f>
        <v>487.8882357474418</v>
      </c>
    </row>
    <row r="3" spans="1:12">
      <c r="A3" s="1"/>
      <c r="C3">
        <v>2</v>
      </c>
      <c r="D3" t="s">
        <v>136</v>
      </c>
      <c r="E3">
        <v>38</v>
      </c>
      <c r="F3">
        <f>(1.6513+(0.99176*15.6333))*(1-(EXP((-0.090463+(0.0011996*15.6333))*E3)))^(0.3015+(0.031218*15.6333))</f>
        <v>16.261612318286137</v>
      </c>
      <c r="G3">
        <v>1</v>
      </c>
      <c r="H3" t="s">
        <v>138</v>
      </c>
      <c r="I3">
        <f t="shared" ref="I3:I7" si="0">-0.83814+(0.024865*(E3^2)*F3)</f>
        <v>583.03602598480302</v>
      </c>
    </row>
    <row r="4" spans="1:12">
      <c r="A4" s="1"/>
      <c r="C4">
        <v>3</v>
      </c>
      <c r="D4" t="s">
        <v>136</v>
      </c>
      <c r="E4">
        <v>31.5</v>
      </c>
      <c r="F4">
        <f t="shared" ref="F4:F7" si="1">(1.6513+(0.99176*15.6333))*(1-(EXP((-0.090463+(0.0011996*15.6333))*E4)))^(0.3015+(0.031218*15.6333))</f>
        <v>15.724445560327878</v>
      </c>
      <c r="G4">
        <v>1</v>
      </c>
      <c r="H4" t="s">
        <v>138</v>
      </c>
      <c r="I4">
        <f t="shared" si="0"/>
        <v>387.12003923140668</v>
      </c>
    </row>
    <row r="5" spans="1:12">
      <c r="A5" s="1"/>
      <c r="C5">
        <v>4</v>
      </c>
      <c r="D5" t="s">
        <v>136</v>
      </c>
      <c r="E5">
        <v>30.5</v>
      </c>
      <c r="F5">
        <f t="shared" si="1"/>
        <v>15.616673852150791</v>
      </c>
      <c r="G5">
        <v>1</v>
      </c>
      <c r="H5" t="s">
        <v>138</v>
      </c>
      <c r="I5">
        <f t="shared" si="0"/>
        <v>360.3859308092018</v>
      </c>
    </row>
    <row r="6" spans="1:12">
      <c r="A6" s="1"/>
      <c r="C6">
        <v>5</v>
      </c>
      <c r="D6" t="s">
        <v>136</v>
      </c>
      <c r="E6">
        <v>40</v>
      </c>
      <c r="F6">
        <f t="shared" si="1"/>
        <v>16.381826894247766</v>
      </c>
      <c r="G6">
        <v>1</v>
      </c>
      <c r="H6" t="s">
        <v>138</v>
      </c>
      <c r="I6">
        <f t="shared" si="0"/>
        <v>650.89646116075323</v>
      </c>
    </row>
    <row r="7" spans="1:12">
      <c r="A7" s="1"/>
      <c r="C7">
        <v>6</v>
      </c>
      <c r="D7" t="s">
        <v>136</v>
      </c>
      <c r="E7">
        <v>32.5</v>
      </c>
      <c r="F7">
        <f t="shared" si="1"/>
        <v>15.824582973612991</v>
      </c>
      <c r="G7">
        <v>1</v>
      </c>
      <c r="H7" t="s">
        <v>138</v>
      </c>
      <c r="I7">
        <f t="shared" si="0"/>
        <v>414.77326751857441</v>
      </c>
    </row>
    <row r="8" spans="1:12">
      <c r="A8" s="1"/>
      <c r="C8">
        <v>7</v>
      </c>
      <c r="D8" t="s">
        <v>139</v>
      </c>
      <c r="E8">
        <v>11</v>
      </c>
      <c r="F8">
        <f>(23.135+(0.20317*15.6333))*(1-(EXP((-0.003705+(-0.0012109*15.6333))*E8)))^(0.22326+(0.033465*15.6333))</f>
        <v>8.5096611650258698</v>
      </c>
      <c r="G8">
        <v>1</v>
      </c>
      <c r="H8" t="s">
        <v>140</v>
      </c>
      <c r="I8">
        <f>-9.1098+(0.0073484*(E8^2)*F8)+(2.3666*E8)</f>
        <v>24.489219686714211</v>
      </c>
    </row>
    <row r="9" spans="1:12">
      <c r="A9" s="1"/>
      <c r="C9">
        <v>8</v>
      </c>
      <c r="D9" t="s">
        <v>139</v>
      </c>
      <c r="E9">
        <v>14.5</v>
      </c>
      <c r="F9">
        <f t="shared" ref="F9:F11" si="2">(23.135+(0.20317*15.6333))*(1-(EXP((-0.003705+(-0.0012109*15.6333))*E9)))^(0.22326+(0.033465*15.6333))</f>
        <v>10.168129222250833</v>
      </c>
      <c r="G9">
        <v>1</v>
      </c>
      <c r="H9" t="s">
        <v>140</v>
      </c>
      <c r="I9">
        <f t="shared" ref="I9:I11" si="3">-9.1098+(0.0073484*(E9^2)*F9)+(2.3666*E9)</f>
        <v>40.91567083331968</v>
      </c>
    </row>
    <row r="10" spans="1:12">
      <c r="A10" s="1"/>
      <c r="C10">
        <v>9</v>
      </c>
      <c r="D10" t="s">
        <v>139</v>
      </c>
      <c r="E10">
        <v>10</v>
      </c>
      <c r="F10">
        <f t="shared" si="2"/>
        <v>7.9898614674230179</v>
      </c>
      <c r="G10">
        <v>1</v>
      </c>
      <c r="H10" t="s">
        <v>140</v>
      </c>
      <c r="I10">
        <f t="shared" si="3"/>
        <v>20.427469800721131</v>
      </c>
    </row>
    <row r="11" spans="1:12">
      <c r="A11" s="1"/>
      <c r="C11">
        <v>10</v>
      </c>
      <c r="D11" t="s">
        <v>139</v>
      </c>
      <c r="E11">
        <v>10.5</v>
      </c>
      <c r="F11">
        <f t="shared" si="2"/>
        <v>8.252622698497559</v>
      </c>
      <c r="G11">
        <v>1</v>
      </c>
      <c r="H11" t="s">
        <v>140</v>
      </c>
      <c r="I11">
        <f t="shared" si="3"/>
        <v>22.425453883299749</v>
      </c>
    </row>
    <row r="12" spans="1:12" s="16" customFormat="1">
      <c r="A12" s="15">
        <v>282930</v>
      </c>
      <c r="B12" s="16" t="s">
        <v>141</v>
      </c>
      <c r="C12" s="16">
        <v>1</v>
      </c>
      <c r="D12" s="16" t="s">
        <v>143</v>
      </c>
      <c r="E12" s="16">
        <v>34</v>
      </c>
      <c r="F12" s="16">
        <f>(1.1495+(1.014*16.2666))*(1-(EXP((-0.16936+(0.0041834*16.2666))*E12)))^(1.3184+(0.015359*16.2666))</f>
        <v>16.768685654145543</v>
      </c>
      <c r="G12" s="16">
        <v>1</v>
      </c>
      <c r="H12" s="16" t="s">
        <v>138</v>
      </c>
      <c r="I12" s="17"/>
    </row>
    <row r="13" spans="1:12" s="16" customFormat="1">
      <c r="A13" s="15"/>
      <c r="C13" s="16">
        <v>2</v>
      </c>
      <c r="D13" s="16" t="s">
        <v>143</v>
      </c>
      <c r="E13" s="16">
        <v>36</v>
      </c>
      <c r="F13" s="16">
        <f t="shared" ref="F13:F25" si="4">(1.1495+(1.014*16.2666))*(1-(EXP((-0.16936+(0.0041834*16.2666))*E13)))^(1.3184+(0.015359*16.2666))</f>
        <v>16.927988305375244</v>
      </c>
      <c r="G13" s="16">
        <v>1</v>
      </c>
      <c r="H13" s="16" t="s">
        <v>138</v>
      </c>
      <c r="I13" s="17"/>
    </row>
    <row r="14" spans="1:12" s="16" customFormat="1">
      <c r="A14" s="15"/>
      <c r="C14" s="16">
        <v>3</v>
      </c>
      <c r="D14" s="16" t="s">
        <v>143</v>
      </c>
      <c r="E14" s="16">
        <v>39</v>
      </c>
      <c r="F14" s="16">
        <f t="shared" si="4"/>
        <v>17.114562831056741</v>
      </c>
      <c r="G14" s="16">
        <v>1</v>
      </c>
      <c r="H14" s="16" t="s">
        <v>138</v>
      </c>
      <c r="I14" s="17"/>
    </row>
    <row r="15" spans="1:12" s="16" customFormat="1">
      <c r="A15" s="15"/>
      <c r="C15" s="16">
        <v>4</v>
      </c>
      <c r="D15" s="16" t="s">
        <v>143</v>
      </c>
      <c r="E15" s="16">
        <v>14</v>
      </c>
      <c r="G15" s="16">
        <v>6</v>
      </c>
      <c r="I15" s="17"/>
    </row>
    <row r="16" spans="1:12" s="16" customFormat="1">
      <c r="A16" s="15"/>
      <c r="C16" s="16">
        <v>5</v>
      </c>
      <c r="D16" s="16" t="s">
        <v>143</v>
      </c>
      <c r="E16" s="16">
        <v>38</v>
      </c>
      <c r="F16" s="16">
        <f t="shared" si="4"/>
        <v>17.058477274435614</v>
      </c>
      <c r="G16" s="16">
        <v>1</v>
      </c>
      <c r="H16" s="16" t="s">
        <v>138</v>
      </c>
      <c r="I16" s="17"/>
    </row>
    <row r="17" spans="1:9" s="16" customFormat="1">
      <c r="A17" s="15"/>
      <c r="C17" s="16">
        <v>6</v>
      </c>
      <c r="D17" s="16" t="s">
        <v>145</v>
      </c>
      <c r="E17" s="16">
        <v>21</v>
      </c>
      <c r="F17" s="16">
        <f>(1.0811+(0.99075*16.2666))*(1-(EXP((-0.11582+(0.001804*16.2666))*E17)))^(0.86892+(0.017684*16.2666))</f>
        <v>14.004806080600172</v>
      </c>
      <c r="G17" s="16">
        <v>2</v>
      </c>
      <c r="H17" s="16" t="s">
        <v>138</v>
      </c>
      <c r="I17" s="16">
        <f>-1.4558+(0.014464*(E17^2)*F17)</f>
        <v>87.875592181062189</v>
      </c>
    </row>
    <row r="18" spans="1:9" s="16" customFormat="1">
      <c r="A18" s="15"/>
      <c r="C18" s="16">
        <v>7</v>
      </c>
      <c r="D18" s="16" t="s">
        <v>143</v>
      </c>
      <c r="E18" s="16">
        <v>39.5</v>
      </c>
      <c r="F18" s="16">
        <f t="shared" si="4"/>
        <v>17.140568050211467</v>
      </c>
      <c r="G18" s="16">
        <v>1</v>
      </c>
      <c r="H18" s="16" t="s">
        <v>138</v>
      </c>
      <c r="I18" s="17"/>
    </row>
    <row r="19" spans="1:9" s="16" customFormat="1">
      <c r="A19" s="15"/>
      <c r="C19" s="16">
        <v>8</v>
      </c>
      <c r="D19" s="16" t="s">
        <v>146</v>
      </c>
      <c r="E19" s="16">
        <v>10.5</v>
      </c>
      <c r="G19" s="16">
        <v>6</v>
      </c>
    </row>
    <row r="20" spans="1:9" s="16" customFormat="1">
      <c r="A20" s="15"/>
      <c r="C20" s="16">
        <v>9</v>
      </c>
      <c r="D20" s="16" t="s">
        <v>143</v>
      </c>
      <c r="E20" s="16">
        <v>25.5</v>
      </c>
      <c r="F20" s="16">
        <f t="shared" si="4"/>
        <v>15.599660853437307</v>
      </c>
      <c r="G20" s="16">
        <v>1</v>
      </c>
      <c r="H20" s="16" t="s">
        <v>138</v>
      </c>
      <c r="I20" s="17"/>
    </row>
    <row r="21" spans="1:9" s="16" customFormat="1">
      <c r="A21" s="15"/>
      <c r="C21" s="16">
        <v>10</v>
      </c>
      <c r="D21" s="16" t="s">
        <v>143</v>
      </c>
      <c r="E21" s="16">
        <v>14</v>
      </c>
      <c r="F21" s="16">
        <f t="shared" si="4"/>
        <v>11.423063006858747</v>
      </c>
      <c r="G21" s="16">
        <v>6</v>
      </c>
      <c r="I21" s="17"/>
    </row>
    <row r="22" spans="1:9" s="16" customFormat="1">
      <c r="A22" s="15"/>
      <c r="C22" s="16">
        <v>11</v>
      </c>
      <c r="D22" s="16" t="s">
        <v>143</v>
      </c>
      <c r="E22" s="16">
        <v>34</v>
      </c>
      <c r="F22" s="16">
        <f t="shared" si="4"/>
        <v>16.768685654145543</v>
      </c>
      <c r="G22" s="16">
        <v>1</v>
      </c>
      <c r="H22" s="16" t="s">
        <v>138</v>
      </c>
      <c r="I22" s="17"/>
    </row>
    <row r="23" spans="1:9" s="16" customFormat="1">
      <c r="A23" s="15"/>
      <c r="C23" s="16">
        <v>12</v>
      </c>
      <c r="D23" s="16" t="s">
        <v>145</v>
      </c>
      <c r="E23" s="16">
        <v>45.5</v>
      </c>
      <c r="F23" s="16">
        <f>(1.0811+(0.99075*16.2666))*(1-(EXP((-0.11582+(0.001804*16.2666))*E23)))^(0.86892+(0.017684*16.2666))</f>
        <v>16.808919855888412</v>
      </c>
      <c r="G23" s="16">
        <v>1</v>
      </c>
      <c r="H23" s="16" t="s">
        <v>138</v>
      </c>
      <c r="I23" s="16">
        <f>-1.4558+(0.014464*(E23^2)*F23)</f>
        <v>501.87210982102874</v>
      </c>
    </row>
    <row r="24" spans="1:9" s="16" customFormat="1">
      <c r="A24" s="15"/>
      <c r="C24" s="16">
        <v>13</v>
      </c>
      <c r="D24" s="16" t="s">
        <v>143</v>
      </c>
      <c r="E24" s="16">
        <v>30</v>
      </c>
      <c r="F24" s="16">
        <f t="shared" si="4"/>
        <v>16.337478378132495</v>
      </c>
      <c r="G24" s="16">
        <v>1</v>
      </c>
      <c r="H24" s="16" t="s">
        <v>138</v>
      </c>
      <c r="I24" s="17"/>
    </row>
    <row r="25" spans="1:9" s="16" customFormat="1">
      <c r="A25" s="15"/>
      <c r="C25" s="16">
        <v>14</v>
      </c>
      <c r="D25" s="16" t="s">
        <v>143</v>
      </c>
      <c r="E25" s="16">
        <v>31.5</v>
      </c>
      <c r="F25" s="16">
        <f t="shared" si="4"/>
        <v>16.519440683644476</v>
      </c>
      <c r="G25" s="16">
        <v>1</v>
      </c>
      <c r="H25" s="16" t="s">
        <v>138</v>
      </c>
      <c r="I25" s="17"/>
    </row>
    <row r="26" spans="1:9" s="16" customFormat="1">
      <c r="A26" s="15"/>
      <c r="C26" s="16">
        <v>15</v>
      </c>
      <c r="D26" s="16" t="s">
        <v>145</v>
      </c>
      <c r="E26" s="16">
        <v>28</v>
      </c>
      <c r="F26" s="16">
        <f>(1.0811+(0.99075*16.2666))*(1-(EXP((-0.11582+(0.001804*16.2666))*E26)))^(0.86892+(0.017684*16.2666))</f>
        <v>15.443488095640934</v>
      </c>
      <c r="G26" s="16">
        <v>1</v>
      </c>
      <c r="H26" s="16" t="s">
        <v>138</v>
      </c>
      <c r="I26" s="16">
        <f>-1.4558+(0.014464*(E26^2)*F26)</f>
        <v>173.66989566323474</v>
      </c>
    </row>
    <row r="27" spans="1:9" s="16" customFormat="1">
      <c r="A27" s="15"/>
      <c r="C27" s="16">
        <v>16</v>
      </c>
      <c r="D27" s="16" t="s">
        <v>146</v>
      </c>
      <c r="E27" s="16">
        <v>10</v>
      </c>
      <c r="G27" s="16">
        <v>6</v>
      </c>
    </row>
    <row r="28" spans="1:9" s="16" customFormat="1">
      <c r="A28" s="15"/>
      <c r="C28" s="16">
        <v>17</v>
      </c>
      <c r="D28" s="16" t="s">
        <v>146</v>
      </c>
      <c r="E28" s="16">
        <v>10.5</v>
      </c>
      <c r="G28" s="16">
        <v>6</v>
      </c>
    </row>
    <row r="29" spans="1:9">
      <c r="A29" s="1">
        <v>281673</v>
      </c>
      <c r="B29" t="s">
        <v>116</v>
      </c>
      <c r="C29">
        <v>1</v>
      </c>
      <c r="D29" t="s">
        <v>136</v>
      </c>
      <c r="E29">
        <v>7</v>
      </c>
      <c r="F29">
        <f>(1.6513+(0.99176*11.3333))*(1-(EXP((-0.090463+(0.0011996*11.3333))*E29)))^(0.3015+(0.031218*11.3333))</f>
        <v>7.2572468814555782</v>
      </c>
      <c r="G29">
        <v>1</v>
      </c>
      <c r="H29" t="s">
        <v>140</v>
      </c>
      <c r="I29">
        <f t="shared" ref="I29" si="5">-0.83814+(0.024865*(E29^2)*F29)</f>
        <v>8.0039807416622555</v>
      </c>
    </row>
    <row r="30" spans="1:9">
      <c r="A30" s="1"/>
      <c r="C30">
        <v>2</v>
      </c>
      <c r="D30" t="s">
        <v>155</v>
      </c>
      <c r="E30">
        <v>12</v>
      </c>
      <c r="F30">
        <f>(1.7091+(0.93776*11.3333))*(1-(EXP((-0.14121+(0.0039096*11.3333))*E30)))^(0.93258+(0.0065481*11.3333))</f>
        <v>8.4588450184309973</v>
      </c>
      <c r="G30">
        <v>1</v>
      </c>
      <c r="H30" t="s">
        <v>138</v>
      </c>
      <c r="I30">
        <f>1.0832+(0.029634*(E30^2)*F30)+(-0.49794*E30)</f>
        <v>31.204315511770524</v>
      </c>
    </row>
    <row r="31" spans="1:9">
      <c r="A31" s="1"/>
      <c r="C31">
        <v>3</v>
      </c>
      <c r="D31" t="s">
        <v>155</v>
      </c>
      <c r="E31">
        <v>10.5</v>
      </c>
      <c r="F31">
        <f>(1.7091+(0.93776*11.3333))*(1-(EXP((-0.14121+(0.0039096*11.3333))*E31)))^(0.93258+(0.0065481*11.3333))</f>
        <v>7.8530885991131543</v>
      </c>
      <c r="G31">
        <v>1</v>
      </c>
      <c r="H31" t="s">
        <v>138</v>
      </c>
      <c r="I31">
        <f>1.0832+(0.029634*(E31^2)*F31)+(-0.49794*E31)</f>
        <v>21.51203663695965</v>
      </c>
    </row>
    <row r="32" spans="1:9">
      <c r="A32" s="1"/>
      <c r="C32">
        <v>4</v>
      </c>
      <c r="D32" t="s">
        <v>156</v>
      </c>
      <c r="E32">
        <v>10</v>
      </c>
      <c r="F32">
        <f>(1.7558+(0.9701*11.3333))*(1-(EXP((-0.1349+(0.0018681*11.3333))*E32)))^(0.4872+(0.040744*11.3333))</f>
        <v>8.8339959726638106</v>
      </c>
      <c r="G32">
        <v>1</v>
      </c>
      <c r="H32" t="s">
        <v>140</v>
      </c>
      <c r="I32">
        <f>-1.3658+(0.025533*(E32^2)*F32)</f>
        <v>21.19004191700251</v>
      </c>
    </row>
    <row r="33" spans="1:9">
      <c r="A33" s="1"/>
      <c r="C33">
        <v>5</v>
      </c>
      <c r="D33" t="s">
        <v>136</v>
      </c>
      <c r="E33">
        <v>48.5</v>
      </c>
      <c r="F33">
        <f>(1.6513+(0.99176*11.3333))*(1-(EXP((-0.090463+(0.0011996*11.3333))*E33)))^(0.3015+(0.031218*11.3333))</f>
        <v>12.6872899002403</v>
      </c>
      <c r="G33">
        <v>1</v>
      </c>
      <c r="H33" t="s">
        <v>154</v>
      </c>
      <c r="I33">
        <f t="shared" ref="I33" si="6">-0.83814+(0.024865*(E33^2)*F33)</f>
        <v>741.22490521084785</v>
      </c>
    </row>
    <row r="34" spans="1:9">
      <c r="A34" s="1"/>
      <c r="C34">
        <v>6</v>
      </c>
      <c r="D34" t="s">
        <v>156</v>
      </c>
      <c r="E34">
        <v>34</v>
      </c>
      <c r="F34">
        <f>(1.7558+(0.9701*11.3333))*(1-(EXP((-0.1349+(0.0018681*11.3333))*E34)))^(0.4872+(0.040744*11.3333))</f>
        <v>12.496903218566066</v>
      </c>
      <c r="G34">
        <v>1</v>
      </c>
      <c r="H34" t="s">
        <v>154</v>
      </c>
      <c r="I34">
        <f>-1.3658+(0.025533*(E34^2)*F34)</f>
        <v>367.49464494087238</v>
      </c>
    </row>
    <row r="35" spans="1:9">
      <c r="A35" s="1"/>
      <c r="C35">
        <v>7</v>
      </c>
      <c r="D35" t="s">
        <v>136</v>
      </c>
      <c r="E35">
        <v>10</v>
      </c>
      <c r="F35">
        <f>(1.6513+(0.99176*11.3333))*(1-(EXP((-0.090463+(0.0011996*11.3333))*E35)))^(0.3015+(0.031218*11.3333))</f>
        <v>8.5706323697039153</v>
      </c>
      <c r="G35">
        <v>1</v>
      </c>
      <c r="H35" t="s">
        <v>140</v>
      </c>
      <c r="I35">
        <f t="shared" ref="I35" si="7">-0.83814+(0.024865*(E35^2)*F35)</f>
        <v>20.47273738726879</v>
      </c>
    </row>
    <row r="36" spans="1:9">
      <c r="A36" s="1"/>
      <c r="C36">
        <v>8</v>
      </c>
      <c r="D36" t="s">
        <v>156</v>
      </c>
      <c r="E36">
        <v>10.5</v>
      </c>
      <c r="F36">
        <f>(1.7558+(0.9701*11.3333))*(1-(EXP((-0.1349+(0.0018681*11.3333))*E36)))^(0.4872+(0.040744*11.3333))</f>
        <v>9.0526136259783812</v>
      </c>
      <c r="G36">
        <v>1</v>
      </c>
      <c r="H36" t="s">
        <v>140</v>
      </c>
      <c r="I36">
        <f>-1.3658+(0.025533*(E36^2)*F36)</f>
        <v>24.117427304259685</v>
      </c>
    </row>
    <row r="37" spans="1:9">
      <c r="A37" s="1"/>
      <c r="C37">
        <v>9</v>
      </c>
      <c r="D37" t="s">
        <v>156</v>
      </c>
      <c r="E37">
        <v>10.5</v>
      </c>
      <c r="F37">
        <f>(1.7558+(0.9701*11.3333))*(1-(EXP((-0.1349+(0.0018681*11.3333))*E37)))^(0.4872+(0.040744*11.3333))</f>
        <v>9.0526136259783812</v>
      </c>
      <c r="G37">
        <v>1</v>
      </c>
      <c r="H37" t="s">
        <v>140</v>
      </c>
      <c r="I37">
        <f>-1.3658+(0.025533*(E37^2)*F37)</f>
        <v>24.117427304259685</v>
      </c>
    </row>
    <row r="38" spans="1:9">
      <c r="A38" s="1"/>
      <c r="C38">
        <v>10</v>
      </c>
      <c r="D38" t="s">
        <v>155</v>
      </c>
      <c r="E38">
        <v>11</v>
      </c>
      <c r="F38">
        <f>(1.7091+(0.93776*11.3333))*(1-(EXP((-0.14121+(0.0039096*11.3333))*E38)))^(0.93258+(0.0065481*11.3333))</f>
        <v>8.0648309934652929</v>
      </c>
      <c r="G38">
        <v>1</v>
      </c>
      <c r="H38" t="s">
        <v>138</v>
      </c>
      <c r="I38">
        <f>1.0832+(0.029634*(E38^2)*F38)+(-0.49794*E38)</f>
        <v>24.524037400902415</v>
      </c>
    </row>
    <row r="39" spans="1:9">
      <c r="A39" s="1"/>
      <c r="C39">
        <v>11</v>
      </c>
      <c r="D39" t="s">
        <v>136</v>
      </c>
      <c r="E39">
        <v>60</v>
      </c>
      <c r="F39">
        <f>(1.6513+(0.99176*11.3333))*(1-(EXP((-0.090463+(0.0011996*11.3333))*E39)))^(0.3015+(0.031218*11.3333))</f>
        <v>12.807172414657019</v>
      </c>
      <c r="G39">
        <v>1</v>
      </c>
      <c r="H39" t="s">
        <v>154</v>
      </c>
      <c r="I39">
        <f t="shared" ref="I39" si="8">-0.83814+(0.024865*(E39^2)*F39)</f>
        <v>1145.5830915256086</v>
      </c>
    </row>
    <row r="40" spans="1:9">
      <c r="A40" s="1">
        <v>281923</v>
      </c>
      <c r="B40" s="3" t="s">
        <v>157</v>
      </c>
      <c r="C40">
        <v>1</v>
      </c>
      <c r="D40" t="s">
        <v>158</v>
      </c>
      <c r="E40">
        <v>24.5</v>
      </c>
      <c r="F40">
        <f>(2.8073+(1.0226*7.7))*(1-(EXP((-0.060703+(0.00091601*7.7))*E40)))^(0.2933+(0.019238*7.7))</f>
        <v>9.3035883013220975</v>
      </c>
      <c r="G40">
        <v>1</v>
      </c>
      <c r="H40" t="s">
        <v>138</v>
      </c>
      <c r="I40">
        <f>0.86876+(0.020421*(E40^2)*F40)</f>
        <v>114.90940316495445</v>
      </c>
    </row>
    <row r="41" spans="1:9">
      <c r="A41" s="1"/>
      <c r="C41">
        <v>2</v>
      </c>
      <c r="D41" t="s">
        <v>158</v>
      </c>
      <c r="E41">
        <v>19</v>
      </c>
      <c r="F41">
        <f t="shared" ref="F41:F42" si="9">(2.8073+(1.0226*7.7))*(1-(EXP((-0.060703+(0.00091601*7.7))*E41)))^(0.2933+(0.019238*7.7))</f>
        <v>8.7663189970933395</v>
      </c>
      <c r="G41">
        <v>1</v>
      </c>
      <c r="H41" t="s">
        <v>138</v>
      </c>
      <c r="I41">
        <f t="shared" ref="I41:I42" si="10">0.86876+(0.020421*(E41^2)*F41)</f>
        <v>65.493897086511154</v>
      </c>
    </row>
    <row r="42" spans="1:9">
      <c r="A42" s="1"/>
      <c r="C42">
        <v>3</v>
      </c>
      <c r="D42" t="s">
        <v>158</v>
      </c>
      <c r="E42">
        <v>16.5</v>
      </c>
      <c r="F42">
        <f t="shared" si="9"/>
        <v>8.4453423753709522</v>
      </c>
      <c r="G42">
        <v>1</v>
      </c>
      <c r="H42" t="s">
        <v>138</v>
      </c>
      <c r="I42">
        <f t="shared" si="10"/>
        <v>47.821631152268324</v>
      </c>
    </row>
    <row r="43" spans="1:9">
      <c r="A43" s="1"/>
      <c r="C43">
        <v>4</v>
      </c>
      <c r="D43" t="s">
        <v>139</v>
      </c>
      <c r="E43">
        <v>10</v>
      </c>
      <c r="F43">
        <f>(23.135+(0.20317*7.7))*(1-(EXP((-0.003705+(-0.0012109*7.7))*E43)))^(0.22326+(0.033465*7.7))</f>
        <v>8.9856872140909037</v>
      </c>
      <c r="G43">
        <v>1</v>
      </c>
      <c r="H43" t="s">
        <v>140</v>
      </c>
      <c r="I43">
        <f>-9.1098+(0.0073484*(E43^2)*F43)+(2.3666*E43)</f>
        <v>21.159242392402561</v>
      </c>
    </row>
    <row r="44" spans="1:9">
      <c r="A44" s="1"/>
      <c r="C44">
        <v>5</v>
      </c>
      <c r="D44" t="s">
        <v>139</v>
      </c>
      <c r="E44">
        <v>10</v>
      </c>
      <c r="F44">
        <f t="shared" ref="F44:F51" si="11">(23.135+(0.20317*7.7))*(1-(EXP((-0.003705+(-0.0012109*7.7))*E44)))^(0.22326+(0.033465*7.7))</f>
        <v>8.9856872140909037</v>
      </c>
      <c r="G44">
        <v>1</v>
      </c>
      <c r="H44" t="s">
        <v>140</v>
      </c>
      <c r="I44">
        <f t="shared" ref="I44:I54" si="12">-9.1098+(0.0073484*(E44^2)*F44)+(2.3666*E44)</f>
        <v>21.159242392402561</v>
      </c>
    </row>
    <row r="45" spans="1:9">
      <c r="A45" s="1"/>
      <c r="C45">
        <v>6</v>
      </c>
      <c r="D45" t="s">
        <v>139</v>
      </c>
      <c r="E45">
        <v>10</v>
      </c>
      <c r="F45">
        <f t="shared" si="11"/>
        <v>8.9856872140909037</v>
      </c>
      <c r="G45">
        <v>1</v>
      </c>
      <c r="H45" t="s">
        <v>140</v>
      </c>
      <c r="I45">
        <f t="shared" si="12"/>
        <v>21.159242392402561</v>
      </c>
    </row>
    <row r="46" spans="1:9">
      <c r="A46" s="1"/>
      <c r="C46">
        <v>7</v>
      </c>
      <c r="D46" t="s">
        <v>139</v>
      </c>
      <c r="E46">
        <v>10</v>
      </c>
      <c r="F46">
        <f t="shared" si="11"/>
        <v>8.9856872140909037</v>
      </c>
      <c r="G46">
        <v>1</v>
      </c>
      <c r="H46" t="s">
        <v>140</v>
      </c>
      <c r="I46">
        <f t="shared" si="12"/>
        <v>21.159242392402561</v>
      </c>
    </row>
    <row r="47" spans="1:9">
      <c r="A47" s="1"/>
      <c r="C47">
        <v>8</v>
      </c>
      <c r="D47" t="s">
        <v>139</v>
      </c>
      <c r="E47">
        <v>10</v>
      </c>
      <c r="F47">
        <f t="shared" si="11"/>
        <v>8.9856872140909037</v>
      </c>
      <c r="G47">
        <v>1</v>
      </c>
      <c r="H47" t="s">
        <v>140</v>
      </c>
      <c r="I47">
        <f t="shared" si="12"/>
        <v>21.159242392402561</v>
      </c>
    </row>
    <row r="48" spans="1:9">
      <c r="A48" s="1"/>
      <c r="C48">
        <v>9</v>
      </c>
      <c r="D48" t="s">
        <v>139</v>
      </c>
      <c r="E48">
        <v>10</v>
      </c>
      <c r="F48">
        <f t="shared" si="11"/>
        <v>8.9856872140909037</v>
      </c>
      <c r="G48">
        <v>1</v>
      </c>
      <c r="H48" t="s">
        <v>140</v>
      </c>
      <c r="I48">
        <f t="shared" si="12"/>
        <v>21.159242392402561</v>
      </c>
    </row>
    <row r="49" spans="1:9">
      <c r="A49" s="1"/>
      <c r="C49">
        <v>10</v>
      </c>
      <c r="D49" t="s">
        <v>139</v>
      </c>
      <c r="E49">
        <v>10</v>
      </c>
      <c r="F49">
        <f t="shared" si="11"/>
        <v>8.9856872140909037</v>
      </c>
      <c r="G49">
        <v>1</v>
      </c>
      <c r="H49" t="s">
        <v>140</v>
      </c>
      <c r="I49">
        <f t="shared" si="12"/>
        <v>21.159242392402561</v>
      </c>
    </row>
    <row r="50" spans="1:9">
      <c r="A50" s="1"/>
      <c r="C50">
        <v>11</v>
      </c>
      <c r="D50" t="s">
        <v>139</v>
      </c>
      <c r="E50">
        <v>11.5</v>
      </c>
      <c r="F50">
        <f t="shared" si="11"/>
        <v>9.5664314288378396</v>
      </c>
      <c r="G50">
        <v>1</v>
      </c>
      <c r="H50" t="s">
        <v>140</v>
      </c>
      <c r="I50">
        <f t="shared" si="12"/>
        <v>27.40300583311862</v>
      </c>
    </row>
    <row r="51" spans="1:9">
      <c r="A51" s="1"/>
      <c r="C51">
        <v>12</v>
      </c>
      <c r="D51" t="s">
        <v>139</v>
      </c>
      <c r="E51">
        <v>11</v>
      </c>
      <c r="F51">
        <f t="shared" si="11"/>
        <v>9.378406548441518</v>
      </c>
      <c r="G51">
        <v>1</v>
      </c>
      <c r="H51" t="s">
        <v>140</v>
      </c>
      <c r="I51">
        <f t="shared" si="12"/>
        <v>25.26167020434869</v>
      </c>
    </row>
    <row r="52" spans="1:9">
      <c r="A52" s="1"/>
      <c r="C52">
        <v>13</v>
      </c>
      <c r="D52" t="s">
        <v>159</v>
      </c>
      <c r="E52">
        <v>10.5</v>
      </c>
      <c r="F52">
        <f>(3.6442+(1.6669*7.7))*(1-(EXP((-0.0081647+(0.000059401*7.7))*E52)))^(0.4404+(0.0051697*7.7))</f>
        <v>4.8329952530220721</v>
      </c>
      <c r="G52">
        <v>1</v>
      </c>
      <c r="H52" t="s">
        <v>138</v>
      </c>
      <c r="I52">
        <f t="shared" si="12"/>
        <v>19.65500475048314</v>
      </c>
    </row>
    <row r="53" spans="1:9">
      <c r="A53" s="1"/>
      <c r="C53">
        <v>14</v>
      </c>
      <c r="D53" t="s">
        <v>159</v>
      </c>
      <c r="E53">
        <v>10</v>
      </c>
      <c r="F53">
        <f t="shared" ref="F53:F54" si="13">(3.6442+(1.6669*7.7))*(1-(EXP((-0.0081647+(0.000059401*7.7))*E53)))^(0.4404+(0.0051697*7.7))</f>
        <v>4.725390209851013</v>
      </c>
      <c r="G53">
        <v>1</v>
      </c>
      <c r="H53" t="s">
        <v>138</v>
      </c>
      <c r="I53">
        <f t="shared" si="12"/>
        <v>18.028605741806921</v>
      </c>
    </row>
    <row r="54" spans="1:9">
      <c r="A54" s="1"/>
      <c r="C54">
        <v>15</v>
      </c>
      <c r="D54" t="s">
        <v>159</v>
      </c>
      <c r="E54">
        <v>10</v>
      </c>
      <c r="F54">
        <f t="shared" si="13"/>
        <v>4.725390209851013</v>
      </c>
      <c r="G54">
        <v>1</v>
      </c>
      <c r="H54" t="s">
        <v>138</v>
      </c>
      <c r="I54">
        <f t="shared" si="12"/>
        <v>18.028605741806921</v>
      </c>
    </row>
    <row r="55" spans="1:9">
      <c r="A55" s="1"/>
      <c r="C55">
        <v>16</v>
      </c>
      <c r="D55" t="s">
        <v>158</v>
      </c>
      <c r="E55">
        <v>41.5</v>
      </c>
      <c r="F55">
        <f t="shared" ref="F55" si="14">(2.8073+(1.0226*7.7))*(1-(EXP((-0.060703+(0.00091601*7.7))*E55)))^(0.2933+(0.019238*7.7))</f>
        <v>10.156260480649978</v>
      </c>
      <c r="G55">
        <v>1</v>
      </c>
      <c r="H55" t="s">
        <v>138</v>
      </c>
      <c r="I55">
        <f t="shared" ref="I55" si="15">0.86876+(0.020421*(E55^2)*F55)</f>
        <v>358.06512411297706</v>
      </c>
    </row>
    <row r="56" spans="1:9">
      <c r="A56" s="1">
        <v>282422</v>
      </c>
      <c r="B56" s="3" t="s">
        <v>160</v>
      </c>
      <c r="C56">
        <v>1</v>
      </c>
      <c r="D56" t="s">
        <v>161</v>
      </c>
      <c r="E56">
        <v>30</v>
      </c>
      <c r="G56">
        <v>2</v>
      </c>
      <c r="H56" t="s">
        <v>138</v>
      </c>
    </row>
    <row r="57" spans="1:9">
      <c r="A57" s="1"/>
      <c r="C57">
        <v>2</v>
      </c>
      <c r="D57" t="s">
        <v>161</v>
      </c>
      <c r="E57">
        <v>19.5</v>
      </c>
      <c r="G57">
        <v>2</v>
      </c>
      <c r="H57" t="s">
        <v>138</v>
      </c>
    </row>
    <row r="58" spans="1:9">
      <c r="A58" s="1"/>
      <c r="C58">
        <v>3</v>
      </c>
      <c r="D58" t="s">
        <v>162</v>
      </c>
      <c r="E58">
        <v>11</v>
      </c>
      <c r="F58">
        <f>(0.75925+(1.0689*10.8666))*(1-(EXP((-0.075194+(0.001203*10.8666))*E58)))^(0.13563+(0.040251*10.8666))</f>
        <v>8.2711771902771467</v>
      </c>
      <c r="G58">
        <v>2</v>
      </c>
      <c r="H58" t="s">
        <v>138</v>
      </c>
      <c r="I58">
        <f>-2.6095+(0.03122*(E58^2)*F58)+(0.39794*E58)</f>
        <v>33.013204377534755</v>
      </c>
    </row>
    <row r="59" spans="1:9">
      <c r="A59" s="1"/>
      <c r="C59">
        <v>4</v>
      </c>
      <c r="D59" t="s">
        <v>155</v>
      </c>
      <c r="E59">
        <v>13.5</v>
      </c>
      <c r="F59">
        <f t="shared" ref="F59" si="16">(1.7091+(0.93776*10.8666))*(1-(EXP((-0.14121+(0.0039096*10.8666))*E59)))^(0.93258+(0.0065481*10.8666))</f>
        <v>8.7510376795594507</v>
      </c>
      <c r="G59">
        <v>2</v>
      </c>
      <c r="H59" t="s">
        <v>138</v>
      </c>
      <c r="I59">
        <f>1.0832+(0.029634*(E59^2)*F59)+(-0.49794*E59)</f>
        <v>41.623583671132806</v>
      </c>
    </row>
    <row r="60" spans="1:9">
      <c r="A60" s="1"/>
      <c r="C60">
        <v>5</v>
      </c>
      <c r="D60" t="s">
        <v>162</v>
      </c>
      <c r="E60">
        <v>23.5</v>
      </c>
      <c r="F60">
        <f>(0.75925+(1.0689*10.8666))*(1-(EXP((-0.075194+(0.001203*10.8666))*E60)))^(0.13563+(0.040251*10.8666))</f>
        <v>10.63534856802942</v>
      </c>
      <c r="G60">
        <v>2</v>
      </c>
      <c r="H60" t="s">
        <v>138</v>
      </c>
      <c r="I60">
        <f>-2.6095+(0.03122*(E60^2)*F60)+(0.39794*E60)</f>
        <v>190.10874032179439</v>
      </c>
    </row>
    <row r="61" spans="1:9">
      <c r="A61" s="1"/>
      <c r="C61">
        <v>6</v>
      </c>
      <c r="D61" t="s">
        <v>159</v>
      </c>
      <c r="E61">
        <v>10</v>
      </c>
      <c r="F61">
        <f>(3.6442+(1.6669*10.8666))*(1-(EXP((-0.0081647+(0.000059401*10.8666))*E61)))^(0.4404+(0.0051697*10.8666))</f>
        <v>5.9086666869949518</v>
      </c>
      <c r="G61">
        <v>2</v>
      </c>
      <c r="H61" t="s">
        <v>138</v>
      </c>
      <c r="I61">
        <f t="shared" ref="I61" si="17">-9.1098+(0.0073484*(E61^2)*F61)+(2.3666*E61)</f>
        <v>18.898124628271368</v>
      </c>
    </row>
    <row r="62" spans="1:9">
      <c r="A62" s="1"/>
      <c r="C62">
        <v>7</v>
      </c>
      <c r="D62" t="s">
        <v>155</v>
      </c>
      <c r="E62">
        <v>19.5</v>
      </c>
      <c r="F62">
        <f>(1.7091+(0.93776*10.8666))*(1-(EXP((-0.14121+(0.0039096*10.8666))*E62)))^(0.93258+(0.0065481*10.8666))</f>
        <v>10.157820825844098</v>
      </c>
      <c r="G62">
        <v>2</v>
      </c>
      <c r="H62" t="s">
        <v>138</v>
      </c>
      <c r="I62">
        <f>1.0832+(0.029634*(E62^2)*F62)+(-0.49794*E62)</f>
        <v>105.8350319097526</v>
      </c>
    </row>
    <row r="63" spans="1:9">
      <c r="A63" s="1"/>
      <c r="C63">
        <v>8</v>
      </c>
      <c r="D63" t="s">
        <v>155</v>
      </c>
      <c r="E63">
        <v>10</v>
      </c>
      <c r="F63">
        <f t="shared" ref="F63:F75" si="18">(1.7091+(0.93776*10.8666))*(1-(EXP((-0.14121+(0.0039096*10.8666))*E63)))^(0.93258+(0.0065481*10.8666))</f>
        <v>7.4527132735122485</v>
      </c>
      <c r="G63">
        <v>2</v>
      </c>
      <c r="H63" t="s">
        <v>138</v>
      </c>
      <c r="I63">
        <f t="shared" ref="I63:I75" si="19">1.0832+(0.029634*(E63^2)*F63)+(-0.49794*E63)</f>
        <v>18.1891705147262</v>
      </c>
    </row>
    <row r="64" spans="1:9">
      <c r="A64" s="1"/>
      <c r="C64">
        <v>9</v>
      </c>
      <c r="D64" t="s">
        <v>155</v>
      </c>
      <c r="E64">
        <v>50.5</v>
      </c>
      <c r="F64">
        <f t="shared" si="18"/>
        <v>11.817724724719781</v>
      </c>
      <c r="G64">
        <v>2</v>
      </c>
      <c r="H64" t="s">
        <v>138</v>
      </c>
      <c r="I64">
        <f t="shared" si="19"/>
        <v>869.05124056910552</v>
      </c>
    </row>
    <row r="65" spans="1:9">
      <c r="A65" s="1"/>
      <c r="C65">
        <v>10</v>
      </c>
      <c r="D65" t="s">
        <v>155</v>
      </c>
      <c r="E65">
        <v>11</v>
      </c>
      <c r="F65">
        <f t="shared" si="18"/>
        <v>7.8703892312883941</v>
      </c>
      <c r="G65">
        <v>2</v>
      </c>
      <c r="H65" t="s">
        <v>138</v>
      </c>
      <c r="I65">
        <f t="shared" si="19"/>
        <v>23.826824852080037</v>
      </c>
    </row>
    <row r="66" spans="1:9">
      <c r="A66" s="1"/>
      <c r="C66">
        <v>11</v>
      </c>
      <c r="D66" t="s">
        <v>155</v>
      </c>
      <c r="E66">
        <v>12.5</v>
      </c>
      <c r="F66">
        <f t="shared" si="18"/>
        <v>8.424574865856334</v>
      </c>
      <c r="G66">
        <v>2</v>
      </c>
      <c r="H66" t="s">
        <v>138</v>
      </c>
      <c r="I66">
        <f t="shared" si="19"/>
        <v>33.867364308560411</v>
      </c>
    </row>
    <row r="67" spans="1:9">
      <c r="A67" s="1"/>
      <c r="C67">
        <v>12</v>
      </c>
      <c r="D67" t="s">
        <v>162</v>
      </c>
      <c r="E67">
        <v>11</v>
      </c>
      <c r="F67">
        <f>(0.75925+(1.0689*10.8666))*(1-(EXP((-0.075194+(0.001203*10.8666))*E67)))^(0.13563+(0.040251*10.8666))</f>
        <v>8.2711771902771467</v>
      </c>
      <c r="G67">
        <v>2</v>
      </c>
      <c r="H67" t="s">
        <v>138</v>
      </c>
      <c r="I67">
        <f>-2.6095+(0.03122*(E67^2)*F67)+(0.39794*E67)</f>
        <v>33.013204377534755</v>
      </c>
    </row>
    <row r="68" spans="1:9">
      <c r="A68" s="1"/>
      <c r="C68">
        <v>13</v>
      </c>
      <c r="D68" t="s">
        <v>155</v>
      </c>
      <c r="E68">
        <v>17</v>
      </c>
      <c r="F68">
        <f t="shared" si="18"/>
        <v>9.6704814217608845</v>
      </c>
      <c r="G68">
        <v>2</v>
      </c>
      <c r="H68" t="s">
        <v>138</v>
      </c>
      <c r="I68">
        <f t="shared" si="19"/>
        <v>75.438408424761533</v>
      </c>
    </row>
    <row r="69" spans="1:9">
      <c r="A69" s="1"/>
      <c r="C69">
        <v>14</v>
      </c>
      <c r="D69" t="s">
        <v>155</v>
      </c>
      <c r="E69">
        <v>23.5</v>
      </c>
      <c r="F69">
        <f t="shared" si="18"/>
        <v>10.72589418048846</v>
      </c>
      <c r="G69">
        <v>2</v>
      </c>
      <c r="H69" t="s">
        <v>138</v>
      </c>
      <c r="I69">
        <f t="shared" si="19"/>
        <v>164.91490656285259</v>
      </c>
    </row>
    <row r="70" spans="1:9">
      <c r="A70" s="1"/>
      <c r="C70">
        <v>15</v>
      </c>
      <c r="D70" t="s">
        <v>155</v>
      </c>
      <c r="E70">
        <v>13</v>
      </c>
      <c r="F70">
        <f t="shared" si="18"/>
        <v>8.591828478997714</v>
      </c>
      <c r="G70">
        <v>2</v>
      </c>
      <c r="H70" t="s">
        <v>138</v>
      </c>
      <c r="I70">
        <f t="shared" si="19"/>
        <v>37.639111429778488</v>
      </c>
    </row>
    <row r="71" spans="1:9">
      <c r="A71" s="1"/>
      <c r="C71">
        <v>16</v>
      </c>
      <c r="D71" t="s">
        <v>155</v>
      </c>
      <c r="E71">
        <v>17</v>
      </c>
      <c r="F71">
        <f t="shared" si="18"/>
        <v>9.6704814217608845</v>
      </c>
      <c r="G71">
        <v>2</v>
      </c>
      <c r="H71" t="s">
        <v>138</v>
      </c>
      <c r="I71">
        <f t="shared" si="19"/>
        <v>75.438408424761533</v>
      </c>
    </row>
    <row r="72" spans="1:9">
      <c r="A72" s="1"/>
      <c r="C72">
        <v>17</v>
      </c>
      <c r="D72" t="s">
        <v>155</v>
      </c>
      <c r="E72">
        <v>14</v>
      </c>
      <c r="F72">
        <f t="shared" si="18"/>
        <v>8.9025886788718154</v>
      </c>
      <c r="G72">
        <v>2</v>
      </c>
      <c r="H72" t="s">
        <v>138</v>
      </c>
      <c r="I72">
        <f t="shared" si="19"/>
        <v>45.820625330298732</v>
      </c>
    </row>
    <row r="73" spans="1:9">
      <c r="A73" s="1"/>
      <c r="C73">
        <v>18</v>
      </c>
      <c r="D73" t="s">
        <v>155</v>
      </c>
      <c r="E73">
        <v>16</v>
      </c>
      <c r="F73">
        <f t="shared" si="18"/>
        <v>9.4393069923241111</v>
      </c>
      <c r="G73">
        <v>2</v>
      </c>
      <c r="H73" t="s">
        <v>138</v>
      </c>
      <c r="I73">
        <f t="shared" si="19"/>
        <v>64.725612393096384</v>
      </c>
    </row>
    <row r="74" spans="1:9">
      <c r="A74" s="1"/>
      <c r="C74">
        <v>19</v>
      </c>
      <c r="D74" t="s">
        <v>155</v>
      </c>
      <c r="E74">
        <v>15.5</v>
      </c>
      <c r="F74">
        <f t="shared" si="18"/>
        <v>9.3148829526154717</v>
      </c>
      <c r="G74">
        <v>2</v>
      </c>
      <c r="H74" t="s">
        <v>138</v>
      </c>
      <c r="I74">
        <f t="shared" si="19"/>
        <v>59.683077250628116</v>
      </c>
    </row>
    <row r="75" spans="1:9">
      <c r="A75" s="1"/>
      <c r="C75">
        <v>20</v>
      </c>
      <c r="D75" t="s">
        <v>155</v>
      </c>
      <c r="E75">
        <v>11.5</v>
      </c>
      <c r="F75">
        <f t="shared" si="18"/>
        <v>8.0642917867590693</v>
      </c>
      <c r="G75">
        <v>2</v>
      </c>
      <c r="H75" t="s">
        <v>138</v>
      </c>
      <c r="I75">
        <f t="shared" si="19"/>
        <v>26.961627716466218</v>
      </c>
    </row>
    <row r="76" spans="1:9">
      <c r="A76" s="1">
        <v>282921</v>
      </c>
      <c r="B76" t="s">
        <v>116</v>
      </c>
      <c r="C76">
        <v>1</v>
      </c>
      <c r="D76" t="s">
        <v>136</v>
      </c>
      <c r="E76">
        <v>5</v>
      </c>
      <c r="F76">
        <f>(1.6513+(0.99176*14.4666))*(1-(EXP((-0.090463+(0.0011996*14.4666))*E76)))^(0.3015+(0.031218*14.4666))</f>
        <v>6.5609312640232229</v>
      </c>
      <c r="G76">
        <v>1</v>
      </c>
      <c r="H76" t="s">
        <v>140</v>
      </c>
      <c r="I76">
        <f t="shared" ref="I76:I139" si="20">-0.83814+(0.024865*(E76^2)*F76)</f>
        <v>3.2402988969984365</v>
      </c>
    </row>
    <row r="77" spans="1:9">
      <c r="A77" s="1"/>
      <c r="C77">
        <v>2</v>
      </c>
      <c r="D77" t="s">
        <v>136</v>
      </c>
      <c r="E77">
        <v>6</v>
      </c>
      <c r="F77">
        <f t="shared" ref="F77:F140" si="21">(1.6513+(0.99176*14.4666))*(1-(EXP((-0.090463+(0.0011996*14.4666))*E77)))^(0.3015+(0.031218*14.4666))</f>
        <v>7.3356967903457635</v>
      </c>
      <c r="G77">
        <v>1</v>
      </c>
      <c r="H77" t="s">
        <v>140</v>
      </c>
      <c r="I77">
        <f t="shared" si="20"/>
        <v>5.7283356249101072</v>
      </c>
    </row>
    <row r="78" spans="1:9">
      <c r="A78" s="1"/>
      <c r="C78">
        <v>3</v>
      </c>
      <c r="D78" t="s">
        <v>136</v>
      </c>
      <c r="E78">
        <v>5</v>
      </c>
      <c r="F78">
        <f t="shared" si="21"/>
        <v>6.5609312640232229</v>
      </c>
      <c r="G78">
        <v>1</v>
      </c>
      <c r="H78" t="s">
        <v>140</v>
      </c>
      <c r="I78">
        <f t="shared" si="20"/>
        <v>3.2402988969984365</v>
      </c>
    </row>
    <row r="79" spans="1:9">
      <c r="A79" s="1"/>
      <c r="C79">
        <v>4</v>
      </c>
      <c r="D79" t="s">
        <v>136</v>
      </c>
      <c r="E79">
        <v>5</v>
      </c>
      <c r="F79">
        <f t="shared" si="21"/>
        <v>6.5609312640232229</v>
      </c>
      <c r="G79">
        <v>1</v>
      </c>
      <c r="H79" t="s">
        <v>140</v>
      </c>
      <c r="I79">
        <f t="shared" si="20"/>
        <v>3.2402988969984365</v>
      </c>
    </row>
    <row r="80" spans="1:9">
      <c r="A80" s="1"/>
      <c r="C80">
        <v>5</v>
      </c>
      <c r="D80" t="s">
        <v>136</v>
      </c>
      <c r="E80">
        <v>6</v>
      </c>
      <c r="F80">
        <f t="shared" si="21"/>
        <v>7.3356967903457635</v>
      </c>
      <c r="G80">
        <v>1</v>
      </c>
      <c r="H80" t="s">
        <v>140</v>
      </c>
      <c r="I80">
        <f t="shared" si="20"/>
        <v>5.7283356249101072</v>
      </c>
    </row>
    <row r="81" spans="1:9">
      <c r="A81" s="1"/>
      <c r="C81">
        <v>6</v>
      </c>
      <c r="D81" t="s">
        <v>136</v>
      </c>
      <c r="E81">
        <v>7</v>
      </c>
      <c r="F81">
        <f t="shared" si="21"/>
        <v>8.0324410727535511</v>
      </c>
      <c r="G81">
        <v>1</v>
      </c>
      <c r="H81" t="s">
        <v>140</v>
      </c>
      <c r="I81">
        <f t="shared" si="20"/>
        <v>8.9484657164268366</v>
      </c>
    </row>
    <row r="82" spans="1:9">
      <c r="A82" s="1"/>
      <c r="C82">
        <v>7</v>
      </c>
      <c r="D82" t="s">
        <v>136</v>
      </c>
      <c r="E82">
        <v>13</v>
      </c>
      <c r="F82">
        <f t="shared" si="21"/>
        <v>11.072378719094946</v>
      </c>
      <c r="G82">
        <v>1</v>
      </c>
      <c r="H82" t="s">
        <v>140</v>
      </c>
      <c r="I82">
        <f t="shared" si="20"/>
        <v>45.69004376769999</v>
      </c>
    </row>
    <row r="83" spans="1:9">
      <c r="A83" s="1"/>
      <c r="C83">
        <v>8</v>
      </c>
      <c r="D83" t="s">
        <v>136</v>
      </c>
      <c r="E83">
        <v>25.5</v>
      </c>
      <c r="F83">
        <f t="shared" si="21"/>
        <v>14.092750685057743</v>
      </c>
      <c r="G83">
        <v>1</v>
      </c>
      <c r="H83" t="s">
        <v>154</v>
      </c>
      <c r="I83">
        <f t="shared" si="20"/>
        <v>227.02002382102052</v>
      </c>
    </row>
    <row r="84" spans="1:9">
      <c r="A84" s="1"/>
      <c r="C84">
        <v>9</v>
      </c>
      <c r="D84" t="s">
        <v>136</v>
      </c>
      <c r="E84">
        <v>30</v>
      </c>
      <c r="F84">
        <f t="shared" si="21"/>
        <v>14.635193140656526</v>
      </c>
      <c r="G84">
        <v>1</v>
      </c>
      <c r="H84" t="s">
        <v>154</v>
      </c>
      <c r="I84">
        <f t="shared" si="20"/>
        <v>326.67552969818206</v>
      </c>
    </row>
    <row r="85" spans="1:9">
      <c r="A85" s="1"/>
      <c r="C85">
        <v>10</v>
      </c>
      <c r="D85" t="s">
        <v>136</v>
      </c>
      <c r="E85">
        <v>29</v>
      </c>
      <c r="F85">
        <f t="shared" si="21"/>
        <v>14.530103314444148</v>
      </c>
      <c r="G85">
        <v>1</v>
      </c>
      <c r="H85" t="s">
        <v>154</v>
      </c>
      <c r="I85">
        <f t="shared" si="20"/>
        <v>303.00760690638276</v>
      </c>
    </row>
    <row r="86" spans="1:9">
      <c r="A86" s="1"/>
      <c r="C86">
        <v>11</v>
      </c>
      <c r="D86" t="s">
        <v>136</v>
      </c>
      <c r="E86">
        <v>12</v>
      </c>
      <c r="F86">
        <f>(1.6513+(0.99176*14.4666))*(1-(EXP((-0.090463+(0.0011996*14.4666))*E86)))^(0.3015+(0.031218*14.4666))</f>
        <v>10.671386832100215</v>
      </c>
      <c r="G86">
        <v>1</v>
      </c>
      <c r="H86" t="s">
        <v>140</v>
      </c>
      <c r="I86">
        <f t="shared" si="20"/>
        <v>37.37140083554474</v>
      </c>
    </row>
    <row r="87" spans="1:9">
      <c r="A87" s="1"/>
      <c r="C87">
        <v>12</v>
      </c>
      <c r="D87" t="s">
        <v>136</v>
      </c>
      <c r="E87">
        <v>12</v>
      </c>
      <c r="F87">
        <f t="shared" si="21"/>
        <v>10.671386832100215</v>
      </c>
      <c r="G87">
        <v>1</v>
      </c>
      <c r="H87" t="s">
        <v>140</v>
      </c>
      <c r="I87">
        <f t="shared" si="20"/>
        <v>37.37140083554474</v>
      </c>
    </row>
    <row r="88" spans="1:9">
      <c r="A88" s="1"/>
      <c r="C88">
        <v>13</v>
      </c>
      <c r="D88" t="s">
        <v>136</v>
      </c>
      <c r="E88">
        <v>10</v>
      </c>
      <c r="F88">
        <f t="shared" si="21"/>
        <v>9.7572940880937278</v>
      </c>
      <c r="G88">
        <v>1</v>
      </c>
      <c r="H88" t="s">
        <v>140</v>
      </c>
      <c r="I88">
        <f t="shared" si="20"/>
        <v>23.42337175004506</v>
      </c>
    </row>
    <row r="89" spans="1:9">
      <c r="A89" s="1"/>
      <c r="C89">
        <v>14</v>
      </c>
      <c r="D89" t="s">
        <v>136</v>
      </c>
      <c r="E89">
        <v>10</v>
      </c>
      <c r="F89">
        <f t="shared" si="21"/>
        <v>9.7572940880937278</v>
      </c>
      <c r="G89">
        <v>1</v>
      </c>
      <c r="H89" t="s">
        <v>140</v>
      </c>
      <c r="I89">
        <f t="shared" si="20"/>
        <v>23.42337175004506</v>
      </c>
    </row>
    <row r="90" spans="1:9">
      <c r="A90" s="1"/>
      <c r="C90">
        <v>15</v>
      </c>
      <c r="D90" t="s">
        <v>136</v>
      </c>
      <c r="E90">
        <v>11</v>
      </c>
      <c r="F90">
        <f t="shared" si="21"/>
        <v>10.234385064085235</v>
      </c>
      <c r="G90">
        <v>1</v>
      </c>
      <c r="H90" t="s">
        <v>140</v>
      </c>
      <c r="I90">
        <f t="shared" si="20"/>
        <v>29.953696138836005</v>
      </c>
    </row>
    <row r="91" spans="1:9">
      <c r="A91" s="1"/>
      <c r="C91">
        <v>16</v>
      </c>
      <c r="D91" t="s">
        <v>136</v>
      </c>
      <c r="E91">
        <v>11</v>
      </c>
      <c r="F91">
        <f>(1.6513+(0.99176*14.4666))*(1-(EXP((-0.090463+(0.0011996*14.4666))*E91)))^(0.3015+(0.031218*14.4666))</f>
        <v>10.234385064085235</v>
      </c>
      <c r="G91">
        <v>1</v>
      </c>
      <c r="H91" t="s">
        <v>140</v>
      </c>
      <c r="I91">
        <f t="shared" si="20"/>
        <v>29.953696138836005</v>
      </c>
    </row>
    <row r="92" spans="1:9">
      <c r="A92" s="1"/>
      <c r="C92">
        <v>17</v>
      </c>
      <c r="D92" t="s">
        <v>136</v>
      </c>
      <c r="E92">
        <v>11</v>
      </c>
      <c r="F92">
        <f t="shared" si="21"/>
        <v>10.234385064085235</v>
      </c>
      <c r="G92">
        <v>1</v>
      </c>
      <c r="H92" t="s">
        <v>140</v>
      </c>
      <c r="I92">
        <f t="shared" si="20"/>
        <v>29.953696138836005</v>
      </c>
    </row>
    <row r="93" spans="1:9">
      <c r="A93" s="1"/>
      <c r="C93">
        <v>18</v>
      </c>
      <c r="D93" t="s">
        <v>136</v>
      </c>
      <c r="E93">
        <v>11</v>
      </c>
      <c r="F93">
        <f t="shared" si="21"/>
        <v>10.234385064085235</v>
      </c>
      <c r="G93">
        <v>1</v>
      </c>
      <c r="H93" t="s">
        <v>140</v>
      </c>
      <c r="I93">
        <f t="shared" si="20"/>
        <v>29.953696138836005</v>
      </c>
    </row>
    <row r="94" spans="1:9">
      <c r="A94" s="1"/>
      <c r="C94">
        <v>19</v>
      </c>
      <c r="D94" t="s">
        <v>136</v>
      </c>
      <c r="E94">
        <v>11</v>
      </c>
      <c r="F94">
        <f t="shared" si="21"/>
        <v>10.234385064085235</v>
      </c>
      <c r="G94">
        <v>1</v>
      </c>
      <c r="H94" t="s">
        <v>140</v>
      </c>
      <c r="I94">
        <f t="shared" si="20"/>
        <v>29.953696138836005</v>
      </c>
    </row>
    <row r="95" spans="1:9">
      <c r="A95" s="1"/>
      <c r="C95">
        <v>20</v>
      </c>
      <c r="D95" t="s">
        <v>136</v>
      </c>
      <c r="E95">
        <v>13</v>
      </c>
      <c r="F95">
        <f t="shared" si="21"/>
        <v>11.072378719094946</v>
      </c>
      <c r="G95">
        <v>1</v>
      </c>
      <c r="H95" t="s">
        <v>140</v>
      </c>
      <c r="I95">
        <f t="shared" si="20"/>
        <v>45.69004376769999</v>
      </c>
    </row>
    <row r="96" spans="1:9">
      <c r="A96" s="1"/>
      <c r="C96">
        <v>21</v>
      </c>
      <c r="D96" t="s">
        <v>136</v>
      </c>
      <c r="E96">
        <v>11</v>
      </c>
      <c r="F96">
        <f t="shared" si="21"/>
        <v>10.234385064085235</v>
      </c>
      <c r="G96">
        <v>1</v>
      </c>
      <c r="H96" t="s">
        <v>140</v>
      </c>
      <c r="I96">
        <f t="shared" si="20"/>
        <v>29.953696138836005</v>
      </c>
    </row>
    <row r="97" spans="1:9">
      <c r="A97" s="1"/>
      <c r="C97">
        <v>22</v>
      </c>
      <c r="D97" t="s">
        <v>136</v>
      </c>
      <c r="E97">
        <v>14.5</v>
      </c>
      <c r="F97">
        <f t="shared" si="21"/>
        <v>11.613907787141065</v>
      </c>
      <c r="G97">
        <v>1</v>
      </c>
      <c r="H97" t="s">
        <v>140</v>
      </c>
      <c r="I97">
        <f t="shared" si="20"/>
        <v>59.877816551006951</v>
      </c>
    </row>
    <row r="98" spans="1:9">
      <c r="A98" s="1"/>
      <c r="C98">
        <v>23</v>
      </c>
      <c r="D98" t="s">
        <v>136</v>
      </c>
      <c r="E98">
        <v>13</v>
      </c>
      <c r="F98">
        <f t="shared" si="21"/>
        <v>11.072378719094946</v>
      </c>
      <c r="G98">
        <v>1</v>
      </c>
      <c r="H98" t="s">
        <v>140</v>
      </c>
      <c r="I98">
        <f t="shared" si="20"/>
        <v>45.69004376769999</v>
      </c>
    </row>
    <row r="99" spans="1:9">
      <c r="A99" s="1"/>
      <c r="C99">
        <v>24</v>
      </c>
      <c r="D99" t="s">
        <v>136</v>
      </c>
      <c r="E99">
        <v>11</v>
      </c>
      <c r="F99">
        <f t="shared" si="21"/>
        <v>10.234385064085235</v>
      </c>
      <c r="G99">
        <v>1</v>
      </c>
      <c r="H99" t="s">
        <v>140</v>
      </c>
      <c r="I99">
        <f t="shared" si="20"/>
        <v>29.953696138836005</v>
      </c>
    </row>
    <row r="100" spans="1:9">
      <c r="A100" s="1"/>
      <c r="C100">
        <v>25</v>
      </c>
      <c r="D100" t="s">
        <v>136</v>
      </c>
      <c r="E100">
        <v>16.5</v>
      </c>
      <c r="F100">
        <f t="shared" si="21"/>
        <v>12.239120694937414</v>
      </c>
      <c r="G100">
        <v>1</v>
      </c>
      <c r="H100" t="s">
        <v>140</v>
      </c>
      <c r="I100">
        <f t="shared" si="20"/>
        <v>82.014541647676225</v>
      </c>
    </row>
    <row r="101" spans="1:9">
      <c r="A101" s="1"/>
      <c r="C101">
        <v>26</v>
      </c>
      <c r="D101" t="s">
        <v>136</v>
      </c>
      <c r="E101">
        <v>12</v>
      </c>
      <c r="F101">
        <f>(1.6513+(0.99176*14.4666))*(1-(EXP((-0.090463+(0.0011996*14.4666))*E101)))^(0.3015+(0.031218*14.4666))</f>
        <v>10.671386832100215</v>
      </c>
      <c r="G101">
        <v>1</v>
      </c>
      <c r="H101" t="s">
        <v>140</v>
      </c>
      <c r="I101">
        <f t="shared" si="20"/>
        <v>37.37140083554474</v>
      </c>
    </row>
    <row r="102" spans="1:9">
      <c r="A102" s="1"/>
      <c r="C102">
        <v>27</v>
      </c>
      <c r="D102" t="s">
        <v>136</v>
      </c>
      <c r="E102">
        <v>10</v>
      </c>
      <c r="F102">
        <f t="shared" si="21"/>
        <v>9.7572940880937278</v>
      </c>
      <c r="G102">
        <v>1</v>
      </c>
      <c r="H102" t="s">
        <v>140</v>
      </c>
      <c r="I102">
        <f t="shared" si="20"/>
        <v>23.42337175004506</v>
      </c>
    </row>
    <row r="103" spans="1:9">
      <c r="A103" s="1"/>
      <c r="C103">
        <v>28</v>
      </c>
      <c r="D103" t="s">
        <v>136</v>
      </c>
      <c r="E103">
        <v>15</v>
      </c>
      <c r="F103">
        <f t="shared" si="21"/>
        <v>11.779933606328319</v>
      </c>
      <c r="G103">
        <v>1</v>
      </c>
      <c r="H103" t="s">
        <v>140</v>
      </c>
      <c r="I103">
        <f t="shared" si="20"/>
        <v>65.066171052304583</v>
      </c>
    </row>
    <row r="104" spans="1:9">
      <c r="A104" s="1"/>
      <c r="C104">
        <v>29</v>
      </c>
      <c r="D104" t="s">
        <v>136</v>
      </c>
      <c r="E104">
        <v>11</v>
      </c>
      <c r="F104">
        <f t="shared" si="21"/>
        <v>10.234385064085235</v>
      </c>
      <c r="G104">
        <v>1</v>
      </c>
      <c r="H104" t="s">
        <v>140</v>
      </c>
      <c r="I104">
        <f t="shared" si="20"/>
        <v>29.953696138836005</v>
      </c>
    </row>
    <row r="105" spans="1:9">
      <c r="A105" s="1"/>
      <c r="C105">
        <v>30</v>
      </c>
      <c r="D105" t="s">
        <v>136</v>
      </c>
      <c r="E105">
        <v>10</v>
      </c>
      <c r="F105">
        <f>(1.6513+(0.99176*14.4666))*(1-(EXP((-0.090463+(0.0011996*14.4666))*E105)))^(0.3015+(0.031218*14.4666))</f>
        <v>9.7572940880937278</v>
      </c>
      <c r="G105">
        <v>1</v>
      </c>
      <c r="H105" t="s">
        <v>140</v>
      </c>
      <c r="I105">
        <f t="shared" si="20"/>
        <v>23.42337175004506</v>
      </c>
    </row>
    <row r="106" spans="1:9">
      <c r="A106" s="1"/>
      <c r="C106">
        <v>31</v>
      </c>
      <c r="D106" t="s">
        <v>136</v>
      </c>
      <c r="E106">
        <v>10.5</v>
      </c>
      <c r="F106">
        <f t="shared" si="21"/>
        <v>10.00113161747171</v>
      </c>
      <c r="G106">
        <v>1</v>
      </c>
      <c r="H106" t="s">
        <v>140</v>
      </c>
      <c r="I106">
        <f t="shared" si="20"/>
        <v>26.578624677944859</v>
      </c>
    </row>
    <row r="107" spans="1:9">
      <c r="A107" s="1"/>
      <c r="C107">
        <v>32</v>
      </c>
      <c r="D107" t="s">
        <v>136</v>
      </c>
      <c r="E107">
        <v>19.5</v>
      </c>
      <c r="F107">
        <f t="shared" si="21"/>
        <v>13.006746974176435</v>
      </c>
      <c r="G107">
        <v>1</v>
      </c>
      <c r="H107" t="s">
        <v>154</v>
      </c>
      <c r="I107">
        <f t="shared" si="20"/>
        <v>122.13956332577911</v>
      </c>
    </row>
    <row r="108" spans="1:9">
      <c r="A108" s="1"/>
      <c r="C108">
        <v>33</v>
      </c>
      <c r="D108" t="s">
        <v>136</v>
      </c>
      <c r="E108">
        <v>12.5</v>
      </c>
      <c r="F108">
        <f t="shared" si="21"/>
        <v>10.876152615203248</v>
      </c>
      <c r="G108">
        <v>1</v>
      </c>
      <c r="H108" t="s">
        <v>140</v>
      </c>
      <c r="I108">
        <f t="shared" si="20"/>
        <v>41.417412308910741</v>
      </c>
    </row>
    <row r="109" spans="1:9">
      <c r="A109" s="1"/>
      <c r="C109">
        <v>34</v>
      </c>
      <c r="D109" t="s">
        <v>136</v>
      </c>
      <c r="E109">
        <v>10.5</v>
      </c>
      <c r="F109">
        <f t="shared" si="21"/>
        <v>10.00113161747171</v>
      </c>
      <c r="G109">
        <v>1</v>
      </c>
      <c r="H109" t="s">
        <v>140</v>
      </c>
      <c r="I109">
        <f t="shared" si="20"/>
        <v>26.578624677944859</v>
      </c>
    </row>
    <row r="110" spans="1:9">
      <c r="A110" s="1"/>
      <c r="C110">
        <v>35</v>
      </c>
      <c r="D110" t="s">
        <v>136</v>
      </c>
      <c r="E110">
        <v>10.5</v>
      </c>
      <c r="F110">
        <f t="shared" si="21"/>
        <v>10.00113161747171</v>
      </c>
      <c r="G110">
        <v>1</v>
      </c>
      <c r="H110" t="s">
        <v>140</v>
      </c>
      <c r="I110">
        <f t="shared" si="20"/>
        <v>26.578624677944859</v>
      </c>
    </row>
    <row r="111" spans="1:9">
      <c r="A111" s="1"/>
      <c r="C111">
        <v>36</v>
      </c>
      <c r="D111" t="s">
        <v>136</v>
      </c>
      <c r="E111">
        <v>13</v>
      </c>
      <c r="F111">
        <f t="shared" si="21"/>
        <v>11.072378719094946</v>
      </c>
      <c r="G111">
        <v>1</v>
      </c>
      <c r="H111" t="s">
        <v>140</v>
      </c>
      <c r="I111">
        <f t="shared" si="20"/>
        <v>45.69004376769999</v>
      </c>
    </row>
    <row r="112" spans="1:9">
      <c r="A112" s="1"/>
      <c r="C112">
        <v>37</v>
      </c>
      <c r="D112" t="s">
        <v>136</v>
      </c>
      <c r="E112">
        <v>27.5</v>
      </c>
      <c r="F112">
        <f t="shared" si="21"/>
        <v>14.35679190016276</v>
      </c>
      <c r="G112">
        <v>1</v>
      </c>
      <c r="H112" t="s">
        <v>154</v>
      </c>
      <c r="I112">
        <f t="shared" si="20"/>
        <v>269.12921813939494</v>
      </c>
    </row>
    <row r="113" spans="1:9">
      <c r="A113" s="1"/>
      <c r="C113">
        <v>38</v>
      </c>
      <c r="D113" t="s">
        <v>136</v>
      </c>
      <c r="E113">
        <v>13</v>
      </c>
      <c r="F113">
        <f t="shared" si="21"/>
        <v>11.072378719094946</v>
      </c>
      <c r="G113">
        <v>1</v>
      </c>
      <c r="H113" t="s">
        <v>140</v>
      </c>
      <c r="I113">
        <f t="shared" si="20"/>
        <v>45.69004376769999</v>
      </c>
    </row>
    <row r="114" spans="1:9">
      <c r="A114" s="1"/>
      <c r="C114">
        <v>39</v>
      </c>
      <c r="D114" t="s">
        <v>136</v>
      </c>
      <c r="E114">
        <v>10</v>
      </c>
      <c r="F114">
        <f t="shared" si="21"/>
        <v>9.7572940880937278</v>
      </c>
      <c r="G114">
        <v>1</v>
      </c>
      <c r="H114" t="s">
        <v>140</v>
      </c>
      <c r="I114">
        <f t="shared" si="20"/>
        <v>23.42337175004506</v>
      </c>
    </row>
    <row r="115" spans="1:9">
      <c r="A115" s="1"/>
      <c r="C115">
        <v>40</v>
      </c>
      <c r="D115" t="s">
        <v>136</v>
      </c>
      <c r="E115">
        <v>13</v>
      </c>
      <c r="F115">
        <f>(1.6513+(0.99176*14.4666))*(1-(EXP((-0.090463+(0.0011996*14.4666))*E115)))^(0.3015+(0.031218*14.4666))</f>
        <v>11.072378719094946</v>
      </c>
      <c r="G115">
        <v>1</v>
      </c>
      <c r="H115" t="s">
        <v>140</v>
      </c>
      <c r="I115">
        <f t="shared" si="20"/>
        <v>45.69004376769999</v>
      </c>
    </row>
    <row r="116" spans="1:9">
      <c r="A116" s="1"/>
      <c r="C116">
        <v>41</v>
      </c>
      <c r="D116" t="s">
        <v>136</v>
      </c>
      <c r="E116">
        <v>13</v>
      </c>
      <c r="F116">
        <f t="shared" si="21"/>
        <v>11.072378719094946</v>
      </c>
      <c r="G116">
        <v>1</v>
      </c>
      <c r="H116" t="s">
        <v>140</v>
      </c>
      <c r="I116">
        <f t="shared" si="20"/>
        <v>45.69004376769999</v>
      </c>
    </row>
    <row r="117" spans="1:9">
      <c r="A117" s="1"/>
      <c r="C117">
        <v>42</v>
      </c>
      <c r="D117" t="s">
        <v>136</v>
      </c>
      <c r="E117">
        <v>19</v>
      </c>
      <c r="F117">
        <f t="shared" si="21"/>
        <v>12.891183846484395</v>
      </c>
      <c r="G117">
        <v>1</v>
      </c>
      <c r="H117" t="s">
        <v>140</v>
      </c>
      <c r="I117">
        <f t="shared" si="20"/>
        <v>114.87654236976327</v>
      </c>
    </row>
    <row r="118" spans="1:9">
      <c r="A118" s="1"/>
      <c r="C118">
        <v>43</v>
      </c>
      <c r="D118" t="s">
        <v>136</v>
      </c>
      <c r="E118">
        <v>32.5</v>
      </c>
      <c r="F118">
        <f t="shared" si="21"/>
        <v>14.865770169167584</v>
      </c>
      <c r="G118">
        <v>1</v>
      </c>
      <c r="H118" t="s">
        <v>154</v>
      </c>
      <c r="I118">
        <f t="shared" si="20"/>
        <v>389.59133761452176</v>
      </c>
    </row>
    <row r="119" spans="1:9">
      <c r="A119" s="1"/>
      <c r="C119">
        <v>44</v>
      </c>
      <c r="D119" t="s">
        <v>136</v>
      </c>
      <c r="E119">
        <v>18.5</v>
      </c>
      <c r="F119">
        <f t="shared" si="21"/>
        <v>12.770958279775634</v>
      </c>
      <c r="G119">
        <v>1</v>
      </c>
      <c r="H119" t="s">
        <v>154</v>
      </c>
      <c r="I119">
        <f t="shared" si="20"/>
        <v>107.8433056177111</v>
      </c>
    </row>
    <row r="120" spans="1:9">
      <c r="A120" s="1"/>
      <c r="C120">
        <v>45</v>
      </c>
      <c r="D120" t="s">
        <v>136</v>
      </c>
      <c r="E120">
        <v>12</v>
      </c>
      <c r="F120">
        <f>(1.6513+(0.99176*14.4666))*(1-(EXP((-0.090463+(0.0011996*14.4666))*E120)))^(0.3015+(0.031218*14.4666))</f>
        <v>10.671386832100215</v>
      </c>
      <c r="G120">
        <v>1</v>
      </c>
      <c r="H120" t="s">
        <v>140</v>
      </c>
      <c r="I120">
        <f t="shared" si="20"/>
        <v>37.37140083554474</v>
      </c>
    </row>
    <row r="121" spans="1:9">
      <c r="A121" s="1"/>
      <c r="C121">
        <v>46</v>
      </c>
      <c r="D121" t="s">
        <v>136</v>
      </c>
      <c r="E121">
        <v>15</v>
      </c>
      <c r="F121">
        <f t="shared" si="21"/>
        <v>11.779933606328319</v>
      </c>
      <c r="G121">
        <v>1</v>
      </c>
      <c r="H121" t="s">
        <v>140</v>
      </c>
      <c r="I121">
        <f t="shared" si="20"/>
        <v>65.066171052304583</v>
      </c>
    </row>
    <row r="122" spans="1:9">
      <c r="A122" s="1"/>
      <c r="C122">
        <v>47</v>
      </c>
      <c r="D122" t="s">
        <v>136</v>
      </c>
      <c r="E122">
        <v>10</v>
      </c>
      <c r="F122">
        <f t="shared" si="21"/>
        <v>9.7572940880937278</v>
      </c>
      <c r="G122">
        <v>1</v>
      </c>
      <c r="H122" t="s">
        <v>140</v>
      </c>
      <c r="I122">
        <f t="shared" si="20"/>
        <v>23.42337175004506</v>
      </c>
    </row>
    <row r="123" spans="1:9">
      <c r="A123" s="1"/>
      <c r="C123">
        <v>48</v>
      </c>
      <c r="D123" t="s">
        <v>136</v>
      </c>
      <c r="E123">
        <v>11.5</v>
      </c>
      <c r="F123">
        <f t="shared" si="21"/>
        <v>10.457627333157971</v>
      </c>
      <c r="G123">
        <v>1</v>
      </c>
      <c r="H123" t="s">
        <v>140</v>
      </c>
      <c r="I123">
        <f t="shared" si="20"/>
        <v>33.550682506254176</v>
      </c>
    </row>
    <row r="124" spans="1:9">
      <c r="A124" s="1"/>
      <c r="C124">
        <v>49</v>
      </c>
      <c r="D124" t="s">
        <v>136</v>
      </c>
      <c r="E124">
        <v>10.5</v>
      </c>
      <c r="F124">
        <f t="shared" si="21"/>
        <v>10.00113161747171</v>
      </c>
      <c r="G124">
        <v>1</v>
      </c>
      <c r="H124" t="s">
        <v>140</v>
      </c>
      <c r="I124">
        <f t="shared" si="20"/>
        <v>26.578624677944859</v>
      </c>
    </row>
    <row r="125" spans="1:9">
      <c r="A125" s="1"/>
      <c r="C125">
        <v>50</v>
      </c>
      <c r="D125" t="s">
        <v>136</v>
      </c>
      <c r="E125">
        <v>37.5</v>
      </c>
      <c r="F125">
        <f t="shared" si="21"/>
        <v>15.215569644784173</v>
      </c>
      <c r="G125">
        <v>1</v>
      </c>
      <c r="H125" t="s">
        <v>154</v>
      </c>
      <c r="I125">
        <f t="shared" si="20"/>
        <v>531.1956495246917</v>
      </c>
    </row>
    <row r="126" spans="1:9">
      <c r="A126" s="1"/>
      <c r="C126">
        <v>51</v>
      </c>
      <c r="D126" t="s">
        <v>136</v>
      </c>
      <c r="E126">
        <v>20</v>
      </c>
      <c r="F126">
        <f t="shared" si="21"/>
        <v>13.117844217672992</v>
      </c>
      <c r="G126">
        <v>1</v>
      </c>
      <c r="H126" t="s">
        <v>140</v>
      </c>
      <c r="I126">
        <f t="shared" si="20"/>
        <v>129.6319385889756</v>
      </c>
    </row>
    <row r="127" spans="1:9">
      <c r="A127" s="1"/>
      <c r="C127">
        <v>52</v>
      </c>
      <c r="D127" t="s">
        <v>136</v>
      </c>
      <c r="E127">
        <v>19</v>
      </c>
      <c r="F127">
        <f t="shared" si="21"/>
        <v>12.891183846484395</v>
      </c>
      <c r="G127">
        <v>1</v>
      </c>
      <c r="H127" t="s">
        <v>140</v>
      </c>
      <c r="I127">
        <f t="shared" si="20"/>
        <v>114.87654236976327</v>
      </c>
    </row>
    <row r="128" spans="1:9">
      <c r="A128" s="1"/>
      <c r="C128">
        <v>53</v>
      </c>
      <c r="D128" t="s">
        <v>136</v>
      </c>
      <c r="E128">
        <v>9.5</v>
      </c>
      <c r="F128">
        <f t="shared" si="21"/>
        <v>9.5022489136500656</v>
      </c>
      <c r="G128">
        <v>1</v>
      </c>
      <c r="H128" t="s">
        <v>140</v>
      </c>
      <c r="I128">
        <f t="shared" si="20"/>
        <v>20.485536086221281</v>
      </c>
    </row>
    <row r="129" spans="1:9">
      <c r="A129" s="1"/>
      <c r="C129">
        <v>54</v>
      </c>
      <c r="D129" t="s">
        <v>136</v>
      </c>
      <c r="E129">
        <v>21</v>
      </c>
      <c r="F129">
        <f t="shared" si="21"/>
        <v>13.327379315317405</v>
      </c>
      <c r="G129">
        <v>1</v>
      </c>
      <c r="H129" t="s">
        <v>140</v>
      </c>
      <c r="I129">
        <f t="shared" si="20"/>
        <v>145.30277142383696</v>
      </c>
    </row>
    <row r="130" spans="1:9">
      <c r="A130" s="1"/>
      <c r="C130">
        <v>55</v>
      </c>
      <c r="D130" t="s">
        <v>136</v>
      </c>
      <c r="E130">
        <v>27.5</v>
      </c>
      <c r="F130">
        <f>(1.6513+(0.99176*14.4666))*(1-(EXP((-0.090463+(0.0011996*14.4666))*E130)))^(0.3015+(0.031218*14.4666))</f>
        <v>14.35679190016276</v>
      </c>
      <c r="G130">
        <v>1</v>
      </c>
      <c r="H130" t="s">
        <v>154</v>
      </c>
      <c r="I130">
        <f t="shared" si="20"/>
        <v>269.12921813939494</v>
      </c>
    </row>
    <row r="131" spans="1:9">
      <c r="A131" s="1"/>
      <c r="C131">
        <v>56</v>
      </c>
      <c r="D131" t="s">
        <v>136</v>
      </c>
      <c r="E131">
        <v>19</v>
      </c>
      <c r="F131">
        <f t="shared" si="21"/>
        <v>12.891183846484395</v>
      </c>
      <c r="G131">
        <v>1</v>
      </c>
      <c r="H131" t="s">
        <v>140</v>
      </c>
      <c r="I131">
        <f t="shared" si="20"/>
        <v>114.87654236976327</v>
      </c>
    </row>
    <row r="132" spans="1:9">
      <c r="A132" s="1"/>
      <c r="C132">
        <v>57</v>
      </c>
      <c r="D132" t="s">
        <v>136</v>
      </c>
      <c r="E132">
        <v>11</v>
      </c>
      <c r="F132">
        <f t="shared" si="21"/>
        <v>10.234385064085235</v>
      </c>
      <c r="G132">
        <v>1</v>
      </c>
      <c r="H132" t="s">
        <v>140</v>
      </c>
      <c r="I132">
        <f t="shared" si="20"/>
        <v>29.953696138836005</v>
      </c>
    </row>
    <row r="133" spans="1:9">
      <c r="A133" s="1"/>
      <c r="C133">
        <v>58</v>
      </c>
      <c r="D133" t="s">
        <v>136</v>
      </c>
      <c r="E133">
        <v>30.5</v>
      </c>
      <c r="F133">
        <f t="shared" si="21"/>
        <v>14.684839975381806</v>
      </c>
      <c r="G133">
        <v>2</v>
      </c>
      <c r="H133" t="s">
        <v>154</v>
      </c>
      <c r="I133">
        <f t="shared" si="20"/>
        <v>338.83199240521475</v>
      </c>
    </row>
    <row r="134" spans="1:9">
      <c r="A134" s="1"/>
      <c r="C134">
        <v>59</v>
      </c>
      <c r="D134" t="s">
        <v>136</v>
      </c>
      <c r="E134">
        <v>10</v>
      </c>
      <c r="F134">
        <f t="shared" si="21"/>
        <v>9.7572940880937278</v>
      </c>
      <c r="G134">
        <v>1</v>
      </c>
      <c r="H134" t="s">
        <v>140</v>
      </c>
      <c r="I134">
        <f t="shared" si="20"/>
        <v>23.42337175004506</v>
      </c>
    </row>
    <row r="135" spans="1:9">
      <c r="A135" s="1"/>
      <c r="C135">
        <v>60</v>
      </c>
      <c r="D135" t="s">
        <v>136</v>
      </c>
      <c r="E135">
        <v>10.5</v>
      </c>
      <c r="F135">
        <f>(1.6513+(0.99176*14.4666))*(1-(EXP((-0.090463+(0.0011996*14.4666))*E135)))^(0.3015+(0.031218*14.4666))</f>
        <v>10.00113161747171</v>
      </c>
      <c r="G135">
        <v>1</v>
      </c>
      <c r="H135" t="s">
        <v>140</v>
      </c>
      <c r="I135">
        <f t="shared" si="20"/>
        <v>26.578624677944859</v>
      </c>
    </row>
    <row r="136" spans="1:9">
      <c r="A136" s="1"/>
      <c r="C136">
        <v>61</v>
      </c>
      <c r="D136" t="s">
        <v>136</v>
      </c>
      <c r="E136">
        <v>10</v>
      </c>
      <c r="F136">
        <f t="shared" si="21"/>
        <v>9.7572940880937278</v>
      </c>
      <c r="G136">
        <v>1</v>
      </c>
      <c r="H136" t="s">
        <v>140</v>
      </c>
      <c r="I136">
        <f t="shared" si="20"/>
        <v>23.42337175004506</v>
      </c>
    </row>
    <row r="137" spans="1:9">
      <c r="A137" s="1"/>
      <c r="C137">
        <v>62</v>
      </c>
      <c r="D137" t="s">
        <v>136</v>
      </c>
      <c r="E137">
        <v>16.5</v>
      </c>
      <c r="F137">
        <f>(1.6513+(0.99176*14.4666))*(1-(EXP((-0.090463+(0.0011996*14.4666))*E137)))^(0.3015+(0.031218*14.4666))</f>
        <v>12.239120694937414</v>
      </c>
      <c r="G137">
        <v>1</v>
      </c>
      <c r="H137" t="s">
        <v>140</v>
      </c>
      <c r="I137">
        <f t="shared" si="20"/>
        <v>82.014541647676225</v>
      </c>
    </row>
    <row r="138" spans="1:9">
      <c r="A138" s="1"/>
      <c r="C138">
        <v>63</v>
      </c>
      <c r="D138" t="s">
        <v>136</v>
      </c>
      <c r="E138">
        <v>10</v>
      </c>
      <c r="F138">
        <f t="shared" si="21"/>
        <v>9.7572940880937278</v>
      </c>
      <c r="G138">
        <v>1</v>
      </c>
      <c r="H138" t="s">
        <v>140</v>
      </c>
      <c r="I138">
        <f t="shared" si="20"/>
        <v>23.42337175004506</v>
      </c>
    </row>
    <row r="139" spans="1:9">
      <c r="A139" s="1"/>
      <c r="C139">
        <v>64</v>
      </c>
      <c r="D139" t="s">
        <v>136</v>
      </c>
      <c r="E139">
        <v>12.5</v>
      </c>
      <c r="F139">
        <f t="shared" si="21"/>
        <v>10.876152615203248</v>
      </c>
      <c r="G139">
        <v>1</v>
      </c>
      <c r="H139" t="s">
        <v>140</v>
      </c>
      <c r="I139">
        <f t="shared" si="20"/>
        <v>41.417412308910741</v>
      </c>
    </row>
    <row r="140" spans="1:9">
      <c r="A140" s="1"/>
      <c r="C140">
        <v>65</v>
      </c>
      <c r="D140" t="s">
        <v>136</v>
      </c>
      <c r="E140">
        <v>13</v>
      </c>
      <c r="F140">
        <f t="shared" si="21"/>
        <v>11.072378719094946</v>
      </c>
      <c r="G140">
        <v>1</v>
      </c>
      <c r="H140" t="s">
        <v>140</v>
      </c>
      <c r="I140">
        <f t="shared" ref="I140:I152" si="22">-0.83814+(0.024865*(E140^2)*F140)</f>
        <v>45.69004376769999</v>
      </c>
    </row>
    <row r="141" spans="1:9">
      <c r="A141" s="1"/>
      <c r="C141">
        <v>66</v>
      </c>
      <c r="D141" t="s">
        <v>136</v>
      </c>
      <c r="E141">
        <v>14</v>
      </c>
      <c r="F141">
        <f t="shared" ref="F141:F151" si="23">(1.6513+(0.99176*14.4666))*(1-(EXP((-0.090463+(0.0011996*14.4666))*E141)))^(0.3015+(0.031218*14.4666))</f>
        <v>11.440874516643376</v>
      </c>
      <c r="G141">
        <v>1</v>
      </c>
      <c r="H141" t="s">
        <v>140</v>
      </c>
      <c r="I141">
        <f t="shared" si="22"/>
        <v>54.919419591842157</v>
      </c>
    </row>
    <row r="142" spans="1:9">
      <c r="A142" s="1"/>
      <c r="C142">
        <v>67</v>
      </c>
      <c r="D142" t="s">
        <v>136</v>
      </c>
      <c r="E142">
        <v>13.5</v>
      </c>
      <c r="F142">
        <f t="shared" si="23"/>
        <v>11.260487846036909</v>
      </c>
      <c r="G142">
        <v>1</v>
      </c>
      <c r="H142" t="s">
        <v>140</v>
      </c>
      <c r="I142">
        <f t="shared" si="22"/>
        <v>50.19040752066374</v>
      </c>
    </row>
    <row r="143" spans="1:9">
      <c r="A143" s="1"/>
      <c r="C143">
        <v>68</v>
      </c>
      <c r="D143" t="s">
        <v>136</v>
      </c>
      <c r="E143">
        <v>14</v>
      </c>
      <c r="F143">
        <f t="shared" si="23"/>
        <v>11.440874516643376</v>
      </c>
      <c r="G143">
        <v>1</v>
      </c>
      <c r="H143" t="s">
        <v>140</v>
      </c>
      <c r="I143">
        <f t="shared" si="22"/>
        <v>54.919419591842157</v>
      </c>
    </row>
    <row r="144" spans="1:9">
      <c r="A144" s="1"/>
      <c r="C144">
        <v>69</v>
      </c>
      <c r="D144" t="s">
        <v>136</v>
      </c>
      <c r="E144">
        <v>14</v>
      </c>
      <c r="F144">
        <f t="shared" si="23"/>
        <v>11.440874516643376</v>
      </c>
      <c r="G144">
        <v>1</v>
      </c>
      <c r="H144" t="s">
        <v>140</v>
      </c>
      <c r="I144">
        <f t="shared" si="22"/>
        <v>54.919419591842157</v>
      </c>
    </row>
    <row r="145" spans="1:9">
      <c r="A145" s="1"/>
      <c r="C145">
        <v>70</v>
      </c>
      <c r="D145" t="s">
        <v>136</v>
      </c>
      <c r="E145">
        <v>22</v>
      </c>
      <c r="F145">
        <f t="shared" si="23"/>
        <v>13.521178026857188</v>
      </c>
      <c r="G145">
        <v>1</v>
      </c>
      <c r="H145" t="s">
        <v>154</v>
      </c>
      <c r="I145">
        <f t="shared" si="22"/>
        <v>161.88464035269712</v>
      </c>
    </row>
    <row r="146" spans="1:9">
      <c r="A146" s="1"/>
      <c r="C146">
        <v>71</v>
      </c>
      <c r="D146" t="s">
        <v>136</v>
      </c>
      <c r="E146">
        <v>12.5</v>
      </c>
      <c r="F146">
        <f t="shared" si="23"/>
        <v>10.876152615203248</v>
      </c>
      <c r="G146">
        <v>1</v>
      </c>
      <c r="H146" t="s">
        <v>140</v>
      </c>
      <c r="I146">
        <f t="shared" si="22"/>
        <v>41.417412308910741</v>
      </c>
    </row>
    <row r="147" spans="1:9">
      <c r="A147" s="1"/>
      <c r="C147">
        <v>72</v>
      </c>
      <c r="D147" t="s">
        <v>136</v>
      </c>
      <c r="E147">
        <v>15.5</v>
      </c>
      <c r="F147">
        <f>(1.6513+(0.99176*14.4666))*(1-(EXP((-0.090463+(0.0011996*14.4666))*E147)))^(0.3015+(0.031218*14.4666))</f>
        <v>11.939276872167145</v>
      </c>
      <c r="G147">
        <v>1</v>
      </c>
      <c r="H147" t="s">
        <v>140</v>
      </c>
      <c r="I147">
        <f t="shared" si="22"/>
        <v>70.484906192201279</v>
      </c>
    </row>
    <row r="148" spans="1:9">
      <c r="A148" s="1"/>
      <c r="C148">
        <v>73</v>
      </c>
      <c r="D148" t="s">
        <v>136</v>
      </c>
      <c r="E148">
        <v>11</v>
      </c>
      <c r="F148">
        <f t="shared" si="23"/>
        <v>10.234385064085235</v>
      </c>
      <c r="G148">
        <v>2</v>
      </c>
      <c r="H148" t="s">
        <v>140</v>
      </c>
      <c r="I148">
        <f t="shared" si="22"/>
        <v>29.953696138836005</v>
      </c>
    </row>
    <row r="149" spans="1:9">
      <c r="A149" s="1"/>
      <c r="C149">
        <v>74</v>
      </c>
      <c r="D149" t="s">
        <v>136</v>
      </c>
      <c r="E149">
        <v>15</v>
      </c>
      <c r="F149">
        <f t="shared" si="23"/>
        <v>11.779933606328319</v>
      </c>
      <c r="G149">
        <v>1</v>
      </c>
      <c r="H149" t="s">
        <v>140</v>
      </c>
      <c r="I149">
        <f t="shared" si="22"/>
        <v>65.066171052304583</v>
      </c>
    </row>
    <row r="150" spans="1:9">
      <c r="A150" s="1"/>
      <c r="C150">
        <v>75</v>
      </c>
      <c r="D150" t="s">
        <v>136</v>
      </c>
      <c r="E150">
        <v>10</v>
      </c>
      <c r="F150">
        <f t="shared" si="23"/>
        <v>9.7572940880937278</v>
      </c>
      <c r="G150">
        <v>1</v>
      </c>
      <c r="H150" t="s">
        <v>140</v>
      </c>
      <c r="I150">
        <f t="shared" si="22"/>
        <v>23.42337175004506</v>
      </c>
    </row>
    <row r="151" spans="1:9">
      <c r="A151" s="1"/>
      <c r="C151">
        <v>76</v>
      </c>
      <c r="D151" t="s">
        <v>136</v>
      </c>
      <c r="E151">
        <v>10</v>
      </c>
      <c r="F151">
        <f t="shared" si="23"/>
        <v>9.7572940880937278</v>
      </c>
      <c r="G151">
        <v>1</v>
      </c>
      <c r="H151" t="s">
        <v>140</v>
      </c>
      <c r="I151">
        <f t="shared" si="22"/>
        <v>23.42337175004506</v>
      </c>
    </row>
    <row r="152" spans="1:9">
      <c r="A152" s="1"/>
      <c r="C152">
        <v>77</v>
      </c>
      <c r="D152" t="s">
        <v>136</v>
      </c>
      <c r="E152">
        <v>10</v>
      </c>
      <c r="F152">
        <f>(1.6513+(0.99176*14.4666))*(1-(EXP((-0.090463+(0.0011996*14.4666))*E152)))^(0.3015+(0.031218*14.4666))</f>
        <v>9.7572940880937278</v>
      </c>
      <c r="G152">
        <v>1</v>
      </c>
      <c r="H152" t="s">
        <v>140</v>
      </c>
      <c r="I152">
        <f t="shared" si="22"/>
        <v>23.42337175004506</v>
      </c>
    </row>
    <row r="153" spans="1:9" s="16" customFormat="1">
      <c r="A153" s="15">
        <v>278552</v>
      </c>
      <c r="B153" s="16" t="s">
        <v>179</v>
      </c>
      <c r="C153" s="16">
        <v>1</v>
      </c>
      <c r="D153" s="16" t="s">
        <v>173</v>
      </c>
      <c r="E153" s="16">
        <v>21.5</v>
      </c>
      <c r="G153" s="16">
        <v>1</v>
      </c>
      <c r="H153" s="16" t="s">
        <v>138</v>
      </c>
    </row>
    <row r="154" spans="1:9" s="16" customFormat="1">
      <c r="A154" s="15"/>
      <c r="C154" s="16">
        <v>2</v>
      </c>
      <c r="D154" s="16" t="s">
        <v>173</v>
      </c>
      <c r="E154" s="16">
        <v>12</v>
      </c>
      <c r="G154" s="16">
        <v>2</v>
      </c>
      <c r="H154" s="16" t="s">
        <v>138</v>
      </c>
    </row>
    <row r="155" spans="1:9" s="16" customFormat="1">
      <c r="A155" s="15"/>
      <c r="C155" s="16">
        <v>3</v>
      </c>
      <c r="D155" s="16" t="s">
        <v>173</v>
      </c>
      <c r="E155" s="16">
        <v>10.5</v>
      </c>
      <c r="G155" s="16">
        <v>1</v>
      </c>
      <c r="H155" s="16" t="s">
        <v>138</v>
      </c>
    </row>
    <row r="156" spans="1:9" s="16" customFormat="1">
      <c r="A156" s="15"/>
      <c r="C156" s="16">
        <v>4</v>
      </c>
      <c r="D156" s="16" t="s">
        <v>173</v>
      </c>
      <c r="E156" s="16">
        <v>11</v>
      </c>
      <c r="G156" s="16">
        <v>1</v>
      </c>
      <c r="H156" s="16" t="s">
        <v>138</v>
      </c>
    </row>
    <row r="157" spans="1:9" s="16" customFormat="1">
      <c r="A157" s="15"/>
      <c r="C157" s="16">
        <v>5</v>
      </c>
      <c r="D157" s="16" t="s">
        <v>173</v>
      </c>
      <c r="E157" s="16">
        <v>11</v>
      </c>
      <c r="G157" s="16">
        <v>1</v>
      </c>
      <c r="H157" s="16" t="s">
        <v>138</v>
      </c>
    </row>
    <row r="158" spans="1:9" s="16" customFormat="1">
      <c r="A158" s="15"/>
      <c r="C158" s="16">
        <v>6</v>
      </c>
      <c r="D158" s="16" t="s">
        <v>173</v>
      </c>
      <c r="E158" s="16">
        <v>12.5</v>
      </c>
      <c r="G158" s="16">
        <v>1</v>
      </c>
      <c r="H158" s="16" t="s">
        <v>138</v>
      </c>
    </row>
    <row r="159" spans="1:9">
      <c r="A159" s="1">
        <v>280026</v>
      </c>
      <c r="B159" t="s">
        <v>167</v>
      </c>
      <c r="C159">
        <v>1</v>
      </c>
      <c r="D159" t="s">
        <v>162</v>
      </c>
      <c r="E159">
        <v>5</v>
      </c>
      <c r="F159">
        <f>(0.75925+(1.0689*4.5333))*(1-(EXP((-0.075194+(0.001203*4.5333))*E159)))^(0.13563+(0.040251*4.5333))</f>
        <v>3.7987009824479134</v>
      </c>
      <c r="G159">
        <v>1</v>
      </c>
      <c r="H159" t="s">
        <v>140</v>
      </c>
      <c r="I159">
        <f>-2.6095+(0.03122*(E159^2)*F159)+(0.39794*E159)</f>
        <v>2.3450861168005965</v>
      </c>
    </row>
    <row r="160" spans="1:9">
      <c r="A160" s="1"/>
      <c r="C160">
        <v>2</v>
      </c>
      <c r="D160" t="s">
        <v>162</v>
      </c>
      <c r="E160">
        <v>8</v>
      </c>
      <c r="F160">
        <f>(0.75925+(1.0689*4.5333))*(1-(EXP((-0.075194+(0.001203*4.5333))*E160)))^(0.13563+(0.040251*4.5333))</f>
        <v>4.2776154426739064</v>
      </c>
      <c r="G160">
        <v>1</v>
      </c>
      <c r="H160" t="s">
        <v>140</v>
      </c>
      <c r="I160">
        <f t="shared" ref="I160:I163" si="24">-2.6095+(0.03122*(E160^2)*F160)+(0.39794*E160)</f>
        <v>9.1210378636978788</v>
      </c>
    </row>
    <row r="161" spans="1:9">
      <c r="A161" s="1"/>
      <c r="C161">
        <v>3</v>
      </c>
      <c r="D161" t="s">
        <v>162</v>
      </c>
      <c r="E161">
        <v>6</v>
      </c>
      <c r="F161">
        <f>(0.75925+(1.0689*4.5333))*(1-(EXP((-0.075194+(0.001203*4.5333))*E161)))^(0.13563+(0.040251*4.5333))</f>
        <v>3.9839379907358627</v>
      </c>
      <c r="G161">
        <v>1</v>
      </c>
      <c r="H161" t="s">
        <v>140</v>
      </c>
      <c r="I161">
        <f t="shared" si="24"/>
        <v>4.2557675865478508</v>
      </c>
    </row>
    <row r="162" spans="1:9">
      <c r="A162" s="1"/>
      <c r="C162">
        <v>4</v>
      </c>
      <c r="D162" t="s">
        <v>162</v>
      </c>
      <c r="E162">
        <v>6</v>
      </c>
      <c r="F162">
        <f>(0.75925+(1.0689*4.5333))*(1-(EXP((-0.075194+(0.001203*4.5333))*E162)))^(0.13563+(0.040251*4.5333))</f>
        <v>3.9839379907358627</v>
      </c>
      <c r="G162">
        <v>1</v>
      </c>
      <c r="H162" t="s">
        <v>140</v>
      </c>
      <c r="I162">
        <f t="shared" si="24"/>
        <v>4.2557675865478508</v>
      </c>
    </row>
    <row r="163" spans="1:9">
      <c r="A163" s="1"/>
      <c r="C163">
        <v>5</v>
      </c>
      <c r="D163" t="s">
        <v>162</v>
      </c>
      <c r="E163">
        <v>8</v>
      </c>
      <c r="F163">
        <f>(0.75925+(1.0689*4.5333))*(1-(EXP((-0.075194+(0.001203*4.5333))*E163)))^(0.13563+(0.040251*4.5333))</f>
        <v>4.2776154426739064</v>
      </c>
      <c r="G163">
        <v>1</v>
      </c>
      <c r="H163" t="s">
        <v>140</v>
      </c>
      <c r="I163">
        <f t="shared" si="24"/>
        <v>9.1210378636978788</v>
      </c>
    </row>
    <row r="164" spans="1:9">
      <c r="A164" s="1"/>
      <c r="C164">
        <v>6</v>
      </c>
      <c r="D164" t="s">
        <v>171</v>
      </c>
      <c r="E164">
        <v>7</v>
      </c>
      <c r="G164">
        <v>1</v>
      </c>
      <c r="H164" t="s">
        <v>140</v>
      </c>
    </row>
    <row r="165" spans="1:9">
      <c r="A165" s="1"/>
      <c r="C165">
        <v>7</v>
      </c>
      <c r="D165" t="s">
        <v>171</v>
      </c>
      <c r="E165">
        <v>8</v>
      </c>
      <c r="G165">
        <v>1</v>
      </c>
      <c r="H165" t="s">
        <v>140</v>
      </c>
    </row>
    <row r="166" spans="1:9">
      <c r="A166" s="1"/>
      <c r="C166">
        <v>8</v>
      </c>
      <c r="D166" t="s">
        <v>171</v>
      </c>
      <c r="E166">
        <v>5</v>
      </c>
      <c r="G166">
        <v>1</v>
      </c>
      <c r="H166" t="s">
        <v>140</v>
      </c>
    </row>
    <row r="167" spans="1:9">
      <c r="A167" s="1"/>
      <c r="C167">
        <v>9</v>
      </c>
      <c r="D167" t="s">
        <v>171</v>
      </c>
      <c r="E167">
        <v>7</v>
      </c>
      <c r="G167">
        <v>1</v>
      </c>
      <c r="H167" t="s">
        <v>140</v>
      </c>
    </row>
    <row r="168" spans="1:9">
      <c r="A168" s="1"/>
      <c r="C168">
        <v>10</v>
      </c>
      <c r="D168" t="s">
        <v>162</v>
      </c>
      <c r="E168">
        <v>9.5</v>
      </c>
      <c r="F168">
        <f>(0.75925+(1.0689*4.5333))*(1-(EXP((-0.075194+(0.001203*4.5333))*E168)))^(0.13563+(0.040251*4.5333))</f>
        <v>4.450892558629362</v>
      </c>
      <c r="G168">
        <v>1</v>
      </c>
      <c r="H168" t="s">
        <v>138</v>
      </c>
      <c r="I168">
        <f t="shared" ref="I168:I169" si="25">-2.6095+(0.03122*(E168^2)*F168)+(0.39794*E168)</f>
        <v>13.711787127656883</v>
      </c>
    </row>
    <row r="169" spans="1:9">
      <c r="A169" s="1"/>
      <c r="C169">
        <v>11</v>
      </c>
      <c r="D169" t="s">
        <v>162</v>
      </c>
      <c r="E169">
        <v>6</v>
      </c>
      <c r="F169">
        <f>(0.75925+(1.0689*4.5333))*(1-(EXP((-0.075194+(0.001203*4.5333))*E169)))^(0.13563+(0.040251*4.5333))</f>
        <v>3.9839379907358627</v>
      </c>
      <c r="G169">
        <v>1</v>
      </c>
      <c r="H169" t="s">
        <v>138</v>
      </c>
      <c r="I169">
        <f t="shared" si="25"/>
        <v>4.2557675865478508</v>
      </c>
    </row>
    <row r="170" spans="1:9">
      <c r="A170" s="1"/>
      <c r="C170">
        <v>12</v>
      </c>
      <c r="D170" t="s">
        <v>171</v>
      </c>
      <c r="E170">
        <v>6</v>
      </c>
      <c r="G170">
        <v>1</v>
      </c>
      <c r="H170" t="s">
        <v>140</v>
      </c>
    </row>
    <row r="171" spans="1:9">
      <c r="A171" s="1"/>
      <c r="C171">
        <v>13</v>
      </c>
      <c r="D171" t="s">
        <v>162</v>
      </c>
      <c r="E171">
        <v>6</v>
      </c>
      <c r="F171">
        <f>(0.75925+(1.0689*4.5333))*(1-(EXP((-0.075194+(0.001203*4.5333))*E171)))^(0.13563+(0.040251*4.5333))</f>
        <v>3.9839379907358627</v>
      </c>
      <c r="G171">
        <v>1</v>
      </c>
      <c r="H171" t="s">
        <v>140</v>
      </c>
      <c r="I171">
        <f t="shared" ref="I171:I172" si="26">-2.6095+(0.03122*(E171^2)*F171)+(0.39794*E171)</f>
        <v>4.2557675865478508</v>
      </c>
    </row>
    <row r="172" spans="1:9">
      <c r="A172" s="1"/>
      <c r="C172">
        <v>14</v>
      </c>
      <c r="D172" t="s">
        <v>162</v>
      </c>
      <c r="E172">
        <v>11</v>
      </c>
      <c r="F172">
        <f>(0.75925+(1.0689*4.5333))*(1-(EXP((-0.075194+(0.001203*4.5333))*E172)))^(0.13563+(0.040251*4.5333))</f>
        <v>4.5954486916421411</v>
      </c>
      <c r="G172">
        <v>1</v>
      </c>
      <c r="H172" t="s">
        <v>140</v>
      </c>
      <c r="I172">
        <f t="shared" si="26"/>
        <v>19.127698886521184</v>
      </c>
    </row>
    <row r="173" spans="1:9">
      <c r="A173" s="1"/>
      <c r="C173">
        <v>15</v>
      </c>
      <c r="D173" t="s">
        <v>155</v>
      </c>
      <c r="E173">
        <v>5</v>
      </c>
      <c r="F173">
        <f>(1.7091+(0.93776*4.5333))*(1-(EXP((-0.14121+(0.0039096*4.5333))*E173)))^(0.93258+(0.0065481*4.5333))</f>
        <v>2.8272161277003751</v>
      </c>
      <c r="G173">
        <v>1</v>
      </c>
      <c r="H173" t="s">
        <v>138</v>
      </c>
      <c r="I173">
        <f t="shared" ref="I173" si="27">1.0832+(0.029634*(E173^2)*F173)+(-0.49794*E173)</f>
        <v>0.68804306820682282</v>
      </c>
    </row>
    <row r="174" spans="1:9">
      <c r="A174" s="1"/>
      <c r="C174">
        <v>16</v>
      </c>
      <c r="D174" t="s">
        <v>162</v>
      </c>
      <c r="E174">
        <v>7</v>
      </c>
      <c r="F174">
        <f>(0.75925+(1.0689*4.5333))*(1-(EXP((-0.075194+(0.001203*4.5333))*E174)))^(0.13563+(0.040251*4.5333))</f>
        <v>4.1414627216904965</v>
      </c>
      <c r="G174">
        <v>1</v>
      </c>
      <c r="H174" t="s">
        <v>140</v>
      </c>
      <c r="I174">
        <f t="shared" ref="I174:I176" si="28">-2.6095+(0.03122*(E174^2)*F174)+(0.39794*E174)</f>
        <v>6.5116068423876881</v>
      </c>
    </row>
    <row r="175" spans="1:9">
      <c r="A175" s="1"/>
      <c r="C175">
        <v>17</v>
      </c>
      <c r="D175" t="s">
        <v>162</v>
      </c>
      <c r="E175">
        <v>9.5</v>
      </c>
      <c r="F175">
        <f>(0.75925+(1.0689*4.5333))*(1-(EXP((-0.075194+(0.001203*4.5333))*E175)))^(0.13563+(0.040251*4.5333))</f>
        <v>4.450892558629362</v>
      </c>
      <c r="G175">
        <v>1</v>
      </c>
      <c r="H175" t="s">
        <v>140</v>
      </c>
      <c r="I175">
        <f t="shared" si="28"/>
        <v>13.711787127656883</v>
      </c>
    </row>
    <row r="176" spans="1:9">
      <c r="A176" s="1"/>
      <c r="C176">
        <v>18</v>
      </c>
      <c r="D176" t="s">
        <v>162</v>
      </c>
      <c r="E176">
        <v>8</v>
      </c>
      <c r="F176">
        <f>(0.75925+(1.0689*4.5333))*(1-(EXP((-0.075194+(0.001203*4.5333))*E176)))^(0.13563+(0.040251*4.5333))</f>
        <v>4.2776154426739064</v>
      </c>
      <c r="G176">
        <v>1</v>
      </c>
      <c r="H176" t="s">
        <v>140</v>
      </c>
      <c r="I176">
        <f t="shared" si="28"/>
        <v>9.1210378636978788</v>
      </c>
    </row>
    <row r="177" spans="1:9">
      <c r="A177" s="1">
        <v>278849</v>
      </c>
      <c r="B177" t="s">
        <v>165</v>
      </c>
      <c r="C177">
        <v>1</v>
      </c>
      <c r="D177" t="s">
        <v>173</v>
      </c>
      <c r="E177">
        <v>13.5</v>
      </c>
      <c r="G177">
        <v>1</v>
      </c>
      <c r="H177" t="s">
        <v>140</v>
      </c>
    </row>
    <row r="178" spans="1:9">
      <c r="A178" s="1"/>
      <c r="C178">
        <v>2</v>
      </c>
      <c r="D178" t="s">
        <v>173</v>
      </c>
      <c r="E178">
        <v>15.5</v>
      </c>
      <c r="G178">
        <v>1</v>
      </c>
      <c r="H178" t="s">
        <v>140</v>
      </c>
    </row>
    <row r="179" spans="1:9">
      <c r="A179" s="1"/>
      <c r="C179">
        <v>3</v>
      </c>
      <c r="D179" t="s">
        <v>166</v>
      </c>
      <c r="E179">
        <v>22</v>
      </c>
      <c r="F179">
        <f>(0.65289+(0.98877*7.9))*(1-(EXP((-0.086367+(0.00086401*7.9))*E179)))^(0.2508+(0.087074*7.9))</f>
        <v>7.0755260756570904</v>
      </c>
      <c r="G179">
        <v>1</v>
      </c>
      <c r="H179" t="s">
        <v>140</v>
      </c>
      <c r="I179">
        <f t="shared" ref="I179:I182" si="29">-2.6095+(0.03122*(E179^2)*F179)+(0.39794*E179)</f>
        <v>113.05977525569497</v>
      </c>
    </row>
    <row r="180" spans="1:9">
      <c r="A180" s="1"/>
      <c r="C180">
        <v>4</v>
      </c>
      <c r="D180" t="s">
        <v>166</v>
      </c>
      <c r="E180">
        <v>39</v>
      </c>
      <c r="F180">
        <f t="shared" ref="F180:F182" si="30">(0.65289+(0.98877*7.9))*(1-(EXP((-0.086367+(0.00086401*7.9))*E180)))^(0.2508+(0.087074*7.9))</f>
        <v>8.1065032834681787</v>
      </c>
      <c r="G180">
        <v>1</v>
      </c>
      <c r="H180" t="s">
        <v>138</v>
      </c>
      <c r="I180">
        <f t="shared" si="29"/>
        <v>397.85249444752219</v>
      </c>
    </row>
    <row r="181" spans="1:9">
      <c r="A181" s="1"/>
      <c r="C181">
        <v>5</v>
      </c>
      <c r="D181" t="s">
        <v>166</v>
      </c>
      <c r="E181">
        <v>29.5</v>
      </c>
      <c r="F181">
        <f t="shared" si="30"/>
        <v>7.7014560716961515</v>
      </c>
      <c r="G181">
        <v>1</v>
      </c>
      <c r="H181" t="s">
        <v>138</v>
      </c>
      <c r="I181">
        <f t="shared" si="29"/>
        <v>218.37216881040746</v>
      </c>
    </row>
    <row r="182" spans="1:9">
      <c r="A182" s="1"/>
      <c r="C182">
        <v>6</v>
      </c>
      <c r="D182" t="s">
        <v>166</v>
      </c>
      <c r="E182">
        <v>40.5</v>
      </c>
      <c r="F182">
        <f t="shared" si="30"/>
        <v>8.1467807486056323</v>
      </c>
      <c r="G182">
        <v>1</v>
      </c>
      <c r="H182" t="s">
        <v>138</v>
      </c>
      <c r="I182">
        <f t="shared" si="29"/>
        <v>430.69234737695012</v>
      </c>
    </row>
    <row r="183" spans="1:9">
      <c r="A183" s="1">
        <v>282679</v>
      </c>
      <c r="B183" t="s">
        <v>174</v>
      </c>
      <c r="C183">
        <v>1</v>
      </c>
      <c r="D183" t="s">
        <v>146</v>
      </c>
      <c r="E183">
        <v>10.5</v>
      </c>
      <c r="F183">
        <f>2.8806*(E183^0.5252)</f>
        <v>9.9040215402610592</v>
      </c>
      <c r="G183">
        <v>1</v>
      </c>
      <c r="H183" t="s">
        <v>138</v>
      </c>
      <c r="I183">
        <f t="shared" ref="I183:I186" si="31">-0.95407+(0.018335*(E183^2)*F183)+(0.19237*E183)</f>
        <v>21.086138402210686</v>
      </c>
    </row>
    <row r="184" spans="1:9">
      <c r="C184">
        <v>2</v>
      </c>
      <c r="D184" t="s">
        <v>146</v>
      </c>
      <c r="E184">
        <v>11.5</v>
      </c>
      <c r="F184">
        <f t="shared" ref="F184:F186" si="32">2.8806*(E184^0.5252)</f>
        <v>10.388706147865868</v>
      </c>
      <c r="G184">
        <v>1</v>
      </c>
      <c r="H184" t="s">
        <v>138</v>
      </c>
      <c r="I184">
        <f t="shared" si="31"/>
        <v>26.448758624993211</v>
      </c>
    </row>
    <row r="185" spans="1:9">
      <c r="C185">
        <v>3</v>
      </c>
      <c r="D185" t="s">
        <v>146</v>
      </c>
      <c r="E185">
        <v>18.5</v>
      </c>
      <c r="G185">
        <v>6</v>
      </c>
    </row>
    <row r="186" spans="1:9">
      <c r="C186">
        <v>4</v>
      </c>
      <c r="D186" t="s">
        <v>146</v>
      </c>
      <c r="E186">
        <v>33</v>
      </c>
      <c r="F186">
        <f t="shared" si="32"/>
        <v>18.072010805239486</v>
      </c>
      <c r="G186">
        <v>1</v>
      </c>
      <c r="H186" t="s">
        <v>140</v>
      </c>
      <c r="I186">
        <f t="shared" si="31"/>
        <v>366.23463642621783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C7" sqref="C7"/>
    </sheetView>
  </sheetViews>
  <sheetFormatPr defaultRowHeight="14.4"/>
  <cols>
    <col min="1" max="1" width="16.6640625" customWidth="1"/>
    <col min="2" max="2" width="14.6640625" customWidth="1"/>
    <col min="3" max="3" width="14.33203125" customWidth="1"/>
    <col min="4" max="4" width="12" customWidth="1"/>
    <col min="5" max="5" width="10.109375" customWidth="1"/>
  </cols>
  <sheetData>
    <row r="3" spans="1:5">
      <c r="B3" s="24" t="s">
        <v>207</v>
      </c>
    </row>
    <row r="4" spans="1:5">
      <c r="A4" s="24" t="s">
        <v>212</v>
      </c>
      <c r="B4" t="s">
        <v>210</v>
      </c>
      <c r="C4" t="s">
        <v>211</v>
      </c>
      <c r="D4" t="s">
        <v>208</v>
      </c>
      <c r="E4" t="s">
        <v>209</v>
      </c>
    </row>
    <row r="5" spans="1:5">
      <c r="A5" s="25" t="s">
        <v>203</v>
      </c>
      <c r="B5" s="26">
        <v>18.329999999999998</v>
      </c>
      <c r="C5" s="26">
        <v>12.79</v>
      </c>
      <c r="D5" s="26">
        <v>25</v>
      </c>
      <c r="E5" s="26">
        <v>5</v>
      </c>
    </row>
    <row r="6" spans="1:5">
      <c r="A6" s="25" t="s">
        <v>181</v>
      </c>
      <c r="B6" s="26">
        <v>26.696666666666669</v>
      </c>
      <c r="C6" s="26">
        <v>12.426666666666668</v>
      </c>
      <c r="D6" s="26">
        <v>43.333333333333336</v>
      </c>
      <c r="E6" s="26">
        <v>49</v>
      </c>
    </row>
    <row r="7" spans="1:5">
      <c r="A7" s="25" t="s">
        <v>200</v>
      </c>
      <c r="B7" s="26">
        <v>12.386666666666665</v>
      </c>
      <c r="C7" s="26">
        <v>7.04</v>
      </c>
      <c r="D7" s="26">
        <v>15</v>
      </c>
      <c r="E7" s="26">
        <v>12.333333333333334</v>
      </c>
    </row>
    <row r="8" spans="1:5">
      <c r="A8" s="25" t="s">
        <v>201</v>
      </c>
      <c r="B8" s="26">
        <v>18.473333333333333</v>
      </c>
      <c r="C8" s="26">
        <v>7</v>
      </c>
      <c r="D8" s="26">
        <v>20</v>
      </c>
      <c r="E8" s="26">
        <v>10.666666666666666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selection activeCell="A16" sqref="A16"/>
    </sheetView>
  </sheetViews>
  <sheetFormatPr defaultRowHeight="14.4"/>
  <cols>
    <col min="1" max="1" width="16.6640625" bestFit="1" customWidth="1"/>
    <col min="2" max="2" width="14.6640625" bestFit="1" customWidth="1"/>
    <col min="3" max="3" width="14.33203125" bestFit="1" customWidth="1"/>
    <col min="4" max="4" width="12.88671875" bestFit="1" customWidth="1"/>
    <col min="5" max="6" width="12.88671875" customWidth="1"/>
    <col min="7" max="8" width="2" bestFit="1" customWidth="1"/>
    <col min="9" max="9" width="4" bestFit="1" customWidth="1"/>
    <col min="10" max="10" width="16.6640625" bestFit="1" customWidth="1"/>
    <col min="11" max="11" width="18.33203125" bestFit="1" customWidth="1"/>
    <col min="12" max="12" width="9.44140625" bestFit="1" customWidth="1"/>
    <col min="13" max="13" width="11.77734375" bestFit="1" customWidth="1"/>
    <col min="14" max="14" width="3.33203125" bestFit="1" customWidth="1"/>
    <col min="15" max="15" width="4" bestFit="1" customWidth="1"/>
    <col min="16" max="16" width="5.21875" bestFit="1" customWidth="1"/>
    <col min="17" max="17" width="6.5546875" bestFit="1" customWidth="1"/>
    <col min="18" max="18" width="6.21875" bestFit="1" customWidth="1"/>
    <col min="19" max="19" width="3.44140625" bestFit="1" customWidth="1"/>
    <col min="20" max="20" width="4.33203125" bestFit="1" customWidth="1"/>
    <col min="21" max="21" width="4.109375" bestFit="1" customWidth="1"/>
    <col min="22" max="22" width="3.5546875" bestFit="1" customWidth="1"/>
    <col min="23" max="23" width="5.21875" customWidth="1"/>
  </cols>
  <sheetData>
    <row r="1" spans="1:23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t="s">
        <v>184</v>
      </c>
      <c r="H1" t="s">
        <v>185</v>
      </c>
      <c r="I1" t="s">
        <v>186</v>
      </c>
      <c r="J1" t="s">
        <v>187</v>
      </c>
      <c r="K1" t="s">
        <v>204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>
        <v>0</v>
      </c>
      <c r="H2">
        <v>0</v>
      </c>
      <c r="I2">
        <v>100</v>
      </c>
      <c r="J2" s="3" t="s">
        <v>181</v>
      </c>
      <c r="K2" s="20">
        <v>2</v>
      </c>
      <c r="L2" t="s">
        <v>182</v>
      </c>
      <c r="M2" t="s">
        <v>183</v>
      </c>
      <c r="N2">
        <v>0</v>
      </c>
      <c r="O2">
        <v>10</v>
      </c>
      <c r="P2">
        <v>0</v>
      </c>
      <c r="Q2">
        <v>34.58</v>
      </c>
      <c r="R2">
        <v>15.97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 s="21">
        <v>281673</v>
      </c>
      <c r="B3" s="4" t="s">
        <v>147</v>
      </c>
      <c r="C3" s="12">
        <v>37.889564020000002</v>
      </c>
      <c r="D3" s="12">
        <v>14.055055449999999</v>
      </c>
      <c r="E3" s="12">
        <v>4193981</v>
      </c>
      <c r="F3" s="12">
        <v>2436909</v>
      </c>
      <c r="G3">
        <v>0</v>
      </c>
      <c r="H3">
        <v>0</v>
      </c>
      <c r="I3">
        <v>10</v>
      </c>
      <c r="J3" s="3" t="s">
        <v>181</v>
      </c>
      <c r="K3" s="20">
        <v>2</v>
      </c>
      <c r="L3" t="s">
        <v>182</v>
      </c>
      <c r="M3" t="s">
        <v>183</v>
      </c>
      <c r="N3">
        <v>0</v>
      </c>
      <c r="O3">
        <v>7</v>
      </c>
      <c r="P3">
        <v>0</v>
      </c>
      <c r="Q3">
        <v>31.37</v>
      </c>
      <c r="R3">
        <v>10.33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 s="2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>
        <v>0</v>
      </c>
      <c r="H4">
        <v>0</v>
      </c>
      <c r="I4">
        <v>10</v>
      </c>
      <c r="J4" s="3" t="s">
        <v>200</v>
      </c>
      <c r="K4" s="20">
        <v>6</v>
      </c>
      <c r="L4" t="s">
        <v>182</v>
      </c>
      <c r="M4" t="s">
        <v>183</v>
      </c>
      <c r="N4">
        <v>0</v>
      </c>
      <c r="O4">
        <v>12</v>
      </c>
      <c r="P4">
        <v>0</v>
      </c>
      <c r="Q4">
        <v>14.7</v>
      </c>
      <c r="R4">
        <v>9.1199999999999992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s="22">
        <v>282422</v>
      </c>
      <c r="B5" s="5" t="s">
        <v>115</v>
      </c>
      <c r="C5" s="12">
        <v>37.862535559999998</v>
      </c>
      <c r="D5" s="12">
        <v>14.05446987</v>
      </c>
      <c r="E5" s="12">
        <v>4190983</v>
      </c>
      <c r="F5" s="12">
        <v>2436827</v>
      </c>
      <c r="G5">
        <v>0</v>
      </c>
      <c r="H5">
        <v>0</v>
      </c>
      <c r="J5" s="3" t="s">
        <v>200</v>
      </c>
      <c r="K5" s="20">
        <v>6</v>
      </c>
      <c r="L5" t="s">
        <v>182</v>
      </c>
      <c r="M5" t="s">
        <v>183</v>
      </c>
      <c r="N5">
        <v>0</v>
      </c>
      <c r="O5">
        <v>23</v>
      </c>
      <c r="P5">
        <v>0</v>
      </c>
      <c r="Q5">
        <v>17.46</v>
      </c>
      <c r="R5">
        <v>9.1999999999999993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s="22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>
        <v>0</v>
      </c>
      <c r="H6">
        <v>0</v>
      </c>
      <c r="J6" s="3" t="s">
        <v>201</v>
      </c>
      <c r="K6" s="20">
        <v>7</v>
      </c>
      <c r="L6" t="s">
        <v>202</v>
      </c>
      <c r="M6" t="s">
        <v>183</v>
      </c>
      <c r="N6">
        <v>0</v>
      </c>
      <c r="O6">
        <v>5</v>
      </c>
      <c r="P6">
        <v>0</v>
      </c>
      <c r="Q6">
        <v>15.17</v>
      </c>
      <c r="R6">
        <v>9.06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>
        <v>0</v>
      </c>
      <c r="H7">
        <v>0</v>
      </c>
      <c r="I7">
        <v>20</v>
      </c>
      <c r="J7" s="3" t="s">
        <v>181</v>
      </c>
      <c r="K7" s="2" t="s">
        <v>205</v>
      </c>
      <c r="L7" t="s">
        <v>182</v>
      </c>
      <c r="M7" t="s">
        <v>183</v>
      </c>
      <c r="N7">
        <v>0</v>
      </c>
      <c r="O7">
        <v>130</v>
      </c>
      <c r="P7">
        <v>0</v>
      </c>
      <c r="Q7">
        <v>14.14</v>
      </c>
      <c r="R7">
        <v>10.98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23">
        <v>280026</v>
      </c>
      <c r="B8" s="4" t="s">
        <v>163</v>
      </c>
      <c r="C8" s="12">
        <v>37.943620559999999</v>
      </c>
      <c r="D8" s="12">
        <v>14.14724182</v>
      </c>
      <c r="E8" s="12">
        <v>4199901</v>
      </c>
      <c r="F8" s="12">
        <v>2445070</v>
      </c>
      <c r="G8">
        <v>0</v>
      </c>
      <c r="H8">
        <v>0</v>
      </c>
      <c r="I8">
        <v>20</v>
      </c>
      <c r="J8" s="3" t="s">
        <v>201</v>
      </c>
      <c r="K8" s="20"/>
      <c r="L8" t="s">
        <v>202</v>
      </c>
      <c r="M8" t="s">
        <v>183</v>
      </c>
      <c r="N8">
        <v>0</v>
      </c>
      <c r="O8">
        <v>20</v>
      </c>
      <c r="P8">
        <v>0</v>
      </c>
      <c r="Q8">
        <v>7.5</v>
      </c>
      <c r="R8">
        <v>4.18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23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>
        <v>0</v>
      </c>
      <c r="H9">
        <v>0</v>
      </c>
      <c r="I9">
        <v>20</v>
      </c>
      <c r="J9" s="3" t="s">
        <v>200</v>
      </c>
      <c r="K9" s="20"/>
      <c r="L9" t="s">
        <v>182</v>
      </c>
      <c r="M9" t="s">
        <v>183</v>
      </c>
      <c r="N9">
        <v>0</v>
      </c>
      <c r="O9">
        <v>2</v>
      </c>
      <c r="P9">
        <v>0</v>
      </c>
      <c r="Q9">
        <v>5</v>
      </c>
      <c r="R9">
        <v>2.8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s="11">
        <v>278849</v>
      </c>
      <c r="B10" s="4" t="s">
        <v>172</v>
      </c>
      <c r="C10" s="19">
        <v>37.989339999999999</v>
      </c>
      <c r="D10" s="19">
        <v>14.193776</v>
      </c>
      <c r="E10" s="18">
        <v>4204946</v>
      </c>
      <c r="F10" s="18">
        <v>2449209</v>
      </c>
      <c r="G10">
        <v>0</v>
      </c>
      <c r="H10">
        <v>0</v>
      </c>
      <c r="J10" s="3" t="s">
        <v>201</v>
      </c>
      <c r="L10" t="s">
        <v>202</v>
      </c>
      <c r="M10" t="s">
        <v>183</v>
      </c>
      <c r="N10">
        <v>0</v>
      </c>
      <c r="O10">
        <v>7</v>
      </c>
      <c r="P10">
        <v>0</v>
      </c>
      <c r="Q10">
        <v>32.75</v>
      </c>
      <c r="R10">
        <v>7.76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>
        <v>0</v>
      </c>
      <c r="H11">
        <v>0</v>
      </c>
      <c r="I11">
        <v>25</v>
      </c>
      <c r="J11" t="s">
        <v>203</v>
      </c>
      <c r="K11" t="s">
        <v>206</v>
      </c>
      <c r="L11" t="s">
        <v>182</v>
      </c>
      <c r="M11" t="s">
        <v>183</v>
      </c>
      <c r="N11">
        <v>0</v>
      </c>
      <c r="O11">
        <v>5</v>
      </c>
      <c r="P11">
        <v>0</v>
      </c>
      <c r="Q11">
        <v>18.329999999999998</v>
      </c>
      <c r="R11">
        <v>12.79</v>
      </c>
      <c r="S11">
        <v>0</v>
      </c>
      <c r="T11">
        <v>0</v>
      </c>
      <c r="U11">
        <v>0</v>
      </c>
      <c r="V11">
        <v>0</v>
      </c>
      <c r="W11">
        <v>0</v>
      </c>
    </row>
    <row r="14" spans="1:23">
      <c r="A14" s="27" t="s">
        <v>212</v>
      </c>
      <c r="B14" s="27" t="s">
        <v>210</v>
      </c>
      <c r="C14" s="27" t="s">
        <v>211</v>
      </c>
      <c r="D14" s="27" t="s">
        <v>208</v>
      </c>
      <c r="E14" s="27" t="s">
        <v>209</v>
      </c>
    </row>
    <row r="15" spans="1:23">
      <c r="A15" s="25" t="s">
        <v>203</v>
      </c>
      <c r="B15" s="26">
        <v>18.329999999999998</v>
      </c>
      <c r="C15" s="26">
        <v>12.79</v>
      </c>
      <c r="D15" s="28">
        <v>25</v>
      </c>
      <c r="E15" s="26">
        <v>5</v>
      </c>
    </row>
    <row r="16" spans="1:23">
      <c r="A16" s="25" t="s">
        <v>181</v>
      </c>
      <c r="B16" s="26">
        <v>26.696666666666669</v>
      </c>
      <c r="C16" s="26">
        <v>12.426666666666668</v>
      </c>
      <c r="D16" s="28">
        <v>43.333333333333336</v>
      </c>
      <c r="E16" s="26">
        <v>49</v>
      </c>
    </row>
    <row r="17" spans="1:5">
      <c r="A17" s="25" t="s">
        <v>200</v>
      </c>
      <c r="B17" s="26">
        <v>12.386666666666665</v>
      </c>
      <c r="C17" s="26">
        <v>7.04</v>
      </c>
      <c r="D17" s="28">
        <v>15</v>
      </c>
      <c r="E17" s="26">
        <v>12.333333333333334</v>
      </c>
    </row>
    <row r="18" spans="1:5">
      <c r="A18" s="25" t="s">
        <v>201</v>
      </c>
      <c r="B18" s="26">
        <v>18.473333333333333</v>
      </c>
      <c r="C18" s="26">
        <v>7</v>
      </c>
      <c r="D18" s="28">
        <v>20</v>
      </c>
      <c r="E18" s="26">
        <v>10.666666666666666</v>
      </c>
    </row>
    <row r="20" spans="1:5">
      <c r="A20" s="27" t="s">
        <v>212</v>
      </c>
      <c r="B20" s="27" t="s">
        <v>210</v>
      </c>
      <c r="C20" s="27" t="s">
        <v>211</v>
      </c>
      <c r="D20" s="29" t="s">
        <v>213</v>
      </c>
      <c r="E20" s="27" t="s">
        <v>209</v>
      </c>
    </row>
    <row r="21" spans="1:5">
      <c r="A21" s="25" t="s">
        <v>203</v>
      </c>
      <c r="B21" s="26">
        <v>18.329999999999998</v>
      </c>
      <c r="C21" s="26">
        <v>12.79</v>
      </c>
      <c r="D21" s="28">
        <f>2006 - D15</f>
        <v>1981</v>
      </c>
      <c r="E21" s="26">
        <v>5</v>
      </c>
    </row>
    <row r="22" spans="1:5">
      <c r="A22" s="25" t="s">
        <v>181</v>
      </c>
      <c r="B22" s="26">
        <v>26.696666666666669</v>
      </c>
      <c r="C22" s="26">
        <v>12.426666666666668</v>
      </c>
      <c r="D22" s="28">
        <f t="shared" ref="D22:D24" si="0">2006 - D16</f>
        <v>1962.6666666666667</v>
      </c>
      <c r="E22" s="26">
        <v>49</v>
      </c>
    </row>
    <row r="23" spans="1:5">
      <c r="A23" s="25" t="s">
        <v>200</v>
      </c>
      <c r="B23" s="26">
        <v>12.386666666666665</v>
      </c>
      <c r="C23" s="26">
        <v>7.04</v>
      </c>
      <c r="D23" s="28">
        <f t="shared" si="0"/>
        <v>1991</v>
      </c>
      <c r="E23" s="26">
        <v>12.333333333333334</v>
      </c>
    </row>
    <row r="24" spans="1:5">
      <c r="A24" s="25" t="s">
        <v>201</v>
      </c>
      <c r="B24" s="26">
        <v>18.473333333333333</v>
      </c>
      <c r="C24" s="26">
        <v>7</v>
      </c>
      <c r="D24" s="28">
        <f t="shared" si="0"/>
        <v>1986</v>
      </c>
      <c r="E24" s="26">
        <v>10.666666666666666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Valori_medi_x_candini</vt:lpstr>
      <vt:lpstr>PUNTI</vt:lpstr>
      <vt:lpstr>LEGENDA</vt:lpstr>
      <vt:lpstr>ALBERI</vt:lpstr>
      <vt:lpstr>Medie generiche</vt:lpstr>
      <vt:lpstr>Dati_aree_di saggio_validi</vt:lpstr>
      <vt:lpstr>'Dati_aree_di saggio_validi'!input278849</vt:lpstr>
      <vt:lpstr>'Dati_aree_di saggio_validi'!input280026</vt:lpstr>
      <vt:lpstr>'Dati_aree_di saggio_validi'!input281673</vt:lpstr>
      <vt:lpstr>'Dati_aree_di saggio_validi'!input282422</vt:lpstr>
      <vt:lpstr>'Dati_aree_di saggio_validi'!input282679</vt:lpstr>
      <vt:lpstr>'Dati_aree_di saggio_validi'!input282921</vt:lpstr>
      <vt:lpstr>'Dati_aree_di saggio_validi'!input282928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Alessandro Scremin</cp:lastModifiedBy>
  <dcterms:created xsi:type="dcterms:W3CDTF">2012-11-13T12:55:17Z</dcterms:created>
  <dcterms:modified xsi:type="dcterms:W3CDTF">2012-11-30T16:43:18Z</dcterms:modified>
</cp:coreProperties>
</file>